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style4.xml" ContentType="application/vnd.ms-office.chartstyle+xml"/>
  <Override PartName="/xl/charts/colors4.xml" ContentType="application/vnd.ms-office.chartcolorstyle+xml"/>
  <Override PartName="/xl/drawings/drawing7.xml" ContentType="application/vnd.openxmlformats-officedocument.drawing+xml"/>
  <Override PartName="/xl/charts/chart10.xml" ContentType="application/vnd.openxmlformats-officedocument.drawingml.chart+xml"/>
  <Override PartName="/xl/drawings/drawing8.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style5.xml" ContentType="application/vnd.ms-office.chartstyle+xml"/>
  <Override PartName="/xl/charts/colors5.xml" ContentType="application/vnd.ms-office.chartcolorstyle+xml"/>
  <Override PartName="/xl/drawings/drawing9.xml" ContentType="application/vnd.openxmlformats-officedocument.drawing+xml"/>
  <Override PartName="/xl/charts/chart13.xml" ContentType="application/vnd.openxmlformats-officedocument.drawingml.chart+xml"/>
  <Override PartName="/xl/drawings/drawing10.xml" ContentType="application/vnd.openxmlformats-officedocument.drawing+xml"/>
  <Override PartName="/xl/charts/chart14.xml" ContentType="application/vnd.openxmlformats-officedocument.drawingml.chart+xml"/>
  <Override PartName="/xl/drawings/drawing11.xml" ContentType="application/vnd.openxmlformats-officedocument.drawingml.chartshapes+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3.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14.xml" ContentType="application/vnd.openxmlformats-officedocument.drawing+xml"/>
  <Override PartName="/xl/charts/chart21.xml" ContentType="application/vnd.openxmlformats-officedocument.drawingml.chart+xml"/>
  <Override PartName="/xl/charts/style8.xml" ContentType="application/vnd.ms-office.chartstyle+xml"/>
  <Override PartName="/xl/charts/colors8.xml" ContentType="application/vnd.ms-office.chartcolorstyle+xml"/>
  <Override PartName="/xl/charts/chart22.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5.xml" ContentType="application/vnd.openxmlformats-officedocument.drawing+xml"/>
  <Override PartName="/xl/charts/chart23.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6.xml" ContentType="application/vnd.openxmlformats-officedocument.drawing+xml"/>
  <Override PartName="/xl/charts/chart24.xml" ContentType="application/vnd.openxmlformats-officedocument.drawingml.chart+xml"/>
  <Override PartName="/xl/drawings/drawing17.xml" ContentType="application/vnd.openxmlformats-officedocument.drawing+xml"/>
  <Override PartName="/xl/charts/chart25.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8.xml" ContentType="application/vnd.openxmlformats-officedocument.drawing+xml"/>
  <Override PartName="/xl/charts/chart26.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9.xml" ContentType="application/vnd.openxmlformats-officedocument.drawing+xml"/>
  <Override PartName="/xl/drawings/drawing20.xml" ContentType="application/vnd.openxmlformats-officedocument.drawing+xml"/>
  <Override PartName="/xl/charts/chart27.xml" ContentType="application/vnd.openxmlformats-officedocument.drawingml.chart+xml"/>
  <Override PartName="/xl/drawings/drawing21.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Users\elpena\Desktop\COPIAS RAPIDAS\"/>
    </mc:Choice>
  </mc:AlternateContent>
  <xr:revisionPtr revIDLastSave="0" documentId="13_ncr:1_{D71216EA-C351-46B4-B7A7-FEF402E372E5}" xr6:coauthVersionLast="47" xr6:coauthVersionMax="47" xr10:uidLastSave="{00000000-0000-0000-0000-000000000000}"/>
  <bookViews>
    <workbookView xWindow="28680" yWindow="-120" windowWidth="29040" windowHeight="15720" tabRatio="990" xr2:uid="{00000000-000D-0000-FFFF-FFFF00000000}"/>
  </bookViews>
  <sheets>
    <sheet name="Presupuesto Adm." sheetId="1" r:id="rId1"/>
    <sheet name="Afiliados y Cotizantes" sheetId="21" r:id="rId2"/>
    <sheet name="Cotizantes" sheetId="26" r:id="rId3"/>
    <sheet name="Empleador" sheetId="7" r:id="rId4"/>
    <sheet name="Aportes" sheetId="5" r:id="rId5"/>
    <sheet name="Traspaso" sheetId="6" r:id="rId6"/>
    <sheet name="Presupuesto de Pensiones" sheetId="2" r:id="rId7"/>
    <sheet name="Nómina" sheetId="8" r:id="rId8"/>
    <sheet name="Autoseguro" sheetId="22" r:id="rId9"/>
    <sheet name="Movimientos" sheetId="25" r:id="rId10"/>
    <sheet name="Hoja1" sheetId="18" state="hidden" r:id="rId11"/>
    <sheet name="Tipo de Pension" sheetId="12" r:id="rId12"/>
    <sheet name="Modalidad" sheetId="10" r:id="rId13"/>
    <sheet name="Retroactivos" sheetId="11" r:id="rId14"/>
    <sheet name="Reintegros" sheetId="16" state="hidden" r:id="rId15"/>
    <sheet name="Créditos Rechazados" sheetId="17" state="hidden" r:id="rId16"/>
    <sheet name="PUC" sheetId="24" r:id="rId17"/>
    <sheet name="Recuperación Fondos" sheetId="15" r:id="rId18"/>
    <sheet name="Servicios" sheetId="27" r:id="rId19"/>
  </sheets>
  <definedNames>
    <definedName name="_xlnm.Print_Area" localSheetId="1">'Afiliados y Cotizantes'!$B$1:$O$58</definedName>
    <definedName name="_xlnm.Print_Area" localSheetId="4">Aportes!$A$1:$D$41</definedName>
    <definedName name="_xlnm.Print_Area" localSheetId="8">Autoseguro!$B$1:$S$66</definedName>
    <definedName name="_xlnm.Print_Area" localSheetId="2">Cotizantes!$B$1:$L$40</definedName>
    <definedName name="_xlnm.Print_Area" localSheetId="12">Modalidad!$B$2:$R$45</definedName>
    <definedName name="_xlnm.Print_Area" localSheetId="9">Movimientos!$B$1:$R$40</definedName>
    <definedName name="_xlnm.Print_Area" localSheetId="7">Nómina!$B$1:$P$55</definedName>
    <definedName name="_xlnm.Print_Area" localSheetId="6">'Presupuesto de Pensiones'!$B$1:$I$50</definedName>
    <definedName name="_xlnm.Print_Area" localSheetId="17">'Recuperación Fondos'!$B$2:$H$57</definedName>
    <definedName name="_xlnm.Print_Area" localSheetId="13">Retroactivos!$C$2:$O$45</definedName>
    <definedName name="_xlnm.Print_Area" localSheetId="18">Servicios!$B$2:$W$49</definedName>
    <definedName name="_xlnm.Print_Area" localSheetId="11">'Tipo de Pension'!$B$2:$AI$30</definedName>
    <definedName name="_xlnm.Print_Area" localSheetId="5">Traspaso!$B$1:$J$42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26" l="1"/>
  <c r="M40" i="27" l="1"/>
  <c r="L40" i="27"/>
  <c r="J41" i="27"/>
  <c r="I41" i="27"/>
  <c r="G41" i="27"/>
  <c r="F41" i="27"/>
  <c r="D41" i="27"/>
  <c r="E41" i="27" s="1"/>
  <c r="C41" i="27"/>
  <c r="K40" i="27"/>
  <c r="H40" i="27"/>
  <c r="E40" i="27"/>
  <c r="K39" i="27"/>
  <c r="H39" i="27"/>
  <c r="E39" i="27"/>
  <c r="K38" i="27"/>
  <c r="H38" i="27"/>
  <c r="E38" i="27"/>
  <c r="M41" i="27"/>
  <c r="L41" i="27"/>
  <c r="K37" i="27"/>
  <c r="H37" i="27"/>
  <c r="E37" i="27"/>
  <c r="J25" i="27"/>
  <c r="I25" i="27"/>
  <c r="G25" i="27"/>
  <c r="F25" i="27"/>
  <c r="D25" i="27"/>
  <c r="C25" i="27"/>
  <c r="N24" i="27"/>
  <c r="K24" i="27"/>
  <c r="H24" i="27"/>
  <c r="E24" i="27"/>
  <c r="N23" i="27"/>
  <c r="K23" i="27"/>
  <c r="H23" i="27"/>
  <c r="E23" i="27"/>
  <c r="N22" i="27"/>
  <c r="K22" i="27"/>
  <c r="H22" i="27"/>
  <c r="E22" i="27"/>
  <c r="N21" i="27"/>
  <c r="K21" i="27"/>
  <c r="H21" i="27"/>
  <c r="E21" i="27"/>
  <c r="N20" i="27"/>
  <c r="K20" i="27"/>
  <c r="H20" i="27"/>
  <c r="E20" i="27"/>
  <c r="N19" i="27"/>
  <c r="K19" i="27"/>
  <c r="H19" i="27"/>
  <c r="E19" i="27"/>
  <c r="N18" i="27"/>
  <c r="K18" i="27"/>
  <c r="H18" i="27"/>
  <c r="E18" i="27"/>
  <c r="N17" i="27"/>
  <c r="K17" i="27"/>
  <c r="H17" i="27"/>
  <c r="E17" i="27"/>
  <c r="N16" i="27"/>
  <c r="K16" i="27"/>
  <c r="H16" i="27"/>
  <c r="E16" i="27"/>
  <c r="N15" i="27"/>
  <c r="K15" i="27"/>
  <c r="H15" i="27"/>
  <c r="E15" i="27"/>
  <c r="N14" i="27"/>
  <c r="K14" i="27"/>
  <c r="H14" i="27"/>
  <c r="E14" i="27"/>
  <c r="N13" i="27"/>
  <c r="K13" i="27"/>
  <c r="H13" i="27"/>
  <c r="E13" i="27"/>
  <c r="L25" i="27"/>
  <c r="K12" i="27"/>
  <c r="H12" i="27"/>
  <c r="E12" i="27"/>
  <c r="H10" i="15"/>
  <c r="H9" i="15"/>
  <c r="H8" i="15"/>
  <c r="M10" i="11"/>
  <c r="M12" i="12"/>
  <c r="N11" i="12"/>
  <c r="M11" i="12"/>
  <c r="L11" i="12"/>
  <c r="K11" i="12"/>
  <c r="J20" i="12"/>
  <c r="I20" i="12"/>
  <c r="H20" i="12"/>
  <c r="G20" i="12"/>
  <c r="C20" i="12"/>
  <c r="Q11" i="22"/>
  <c r="Q10" i="22"/>
  <c r="R11" i="22"/>
  <c r="R10" i="22"/>
  <c r="R9" i="22"/>
  <c r="E14" i="2"/>
  <c r="F14" i="2"/>
  <c r="C9" i="5"/>
  <c r="C8" i="5"/>
  <c r="C10" i="5"/>
  <c r="B11" i="5"/>
  <c r="C11" i="5" s="1"/>
  <c r="D11" i="5" s="1"/>
  <c r="D23" i="26"/>
  <c r="D24" i="26" s="1"/>
  <c r="C23" i="26"/>
  <c r="C24" i="26" s="1"/>
  <c r="E22" i="26"/>
  <c r="E21" i="26"/>
  <c r="E20" i="26"/>
  <c r="F20" i="26" s="1"/>
  <c r="F23" i="26" s="1"/>
  <c r="D19" i="26"/>
  <c r="C19" i="26"/>
  <c r="E18" i="26"/>
  <c r="E17" i="26"/>
  <c r="E16" i="26"/>
  <c r="D15" i="26"/>
  <c r="C15" i="26"/>
  <c r="E14" i="26"/>
  <c r="E13" i="26"/>
  <c r="E12" i="26"/>
  <c r="D11" i="26"/>
  <c r="C11" i="26"/>
  <c r="E10" i="26"/>
  <c r="E9" i="26"/>
  <c r="P9" i="26" s="1"/>
  <c r="F8" i="26"/>
  <c r="F10" i="21"/>
  <c r="D10" i="21"/>
  <c r="C10" i="21"/>
  <c r="K41" i="27" l="1"/>
  <c r="H41" i="27"/>
  <c r="H25" i="27"/>
  <c r="E25" i="27"/>
  <c r="K25" i="27"/>
  <c r="G17" i="26"/>
  <c r="F17" i="26"/>
  <c r="G14" i="26"/>
  <c r="F14" i="26"/>
  <c r="G13" i="26"/>
  <c r="F13" i="26"/>
  <c r="M25" i="27"/>
  <c r="N25" i="27" s="1"/>
  <c r="N12" i="27"/>
  <c r="F22" i="26"/>
  <c r="G22" i="26"/>
  <c r="G21" i="26"/>
  <c r="G24" i="26" s="1"/>
  <c r="F21" i="26"/>
  <c r="F24" i="26" s="1"/>
  <c r="E23" i="26"/>
  <c r="E24" i="26" s="1"/>
  <c r="G20" i="26"/>
  <c r="G23" i="26" s="1"/>
  <c r="G18" i="26"/>
  <c r="F18" i="26"/>
  <c r="E19" i="26"/>
  <c r="G16" i="26"/>
  <c r="G19" i="26" s="1"/>
  <c r="F16" i="26"/>
  <c r="F19" i="26" s="1"/>
  <c r="E15" i="26"/>
  <c r="G12" i="26"/>
  <c r="G15" i="26" s="1"/>
  <c r="F12" i="26"/>
  <c r="F15" i="26" s="1"/>
  <c r="P10" i="26"/>
  <c r="F10" i="26"/>
  <c r="G10" i="26"/>
  <c r="G9" i="26"/>
  <c r="F9" i="26"/>
  <c r="E11" i="26"/>
  <c r="G8" i="26"/>
  <c r="G11" i="26" s="1"/>
  <c r="F11" i="26" l="1"/>
  <c r="H25" i="15"/>
  <c r="H11" i="15"/>
  <c r="N11" i="26"/>
  <c r="P11" i="26"/>
  <c r="G7" i="21"/>
  <c r="Q9" i="22" l="1"/>
  <c r="Q12" i="22" s="1"/>
  <c r="O12" i="22"/>
  <c r="C12" i="22"/>
  <c r="L10" i="11" l="1"/>
  <c r="K13" i="11"/>
  <c r="R12" i="10"/>
  <c r="R13" i="10"/>
  <c r="Q12" i="10"/>
  <c r="Q13" i="10"/>
  <c r="Q14" i="10" s="1"/>
  <c r="R11" i="10"/>
  <c r="Q11" i="10"/>
  <c r="P12" i="10"/>
  <c r="P13" i="10"/>
  <c r="O12" i="10"/>
  <c r="O13" i="10"/>
  <c r="P11" i="10"/>
  <c r="O11" i="10"/>
  <c r="O14" i="10" s="1"/>
  <c r="E20" i="12"/>
  <c r="D19" i="12"/>
  <c r="D18" i="12"/>
  <c r="F17" i="12"/>
  <c r="D17" i="12"/>
  <c r="D16" i="12"/>
  <c r="D15" i="12"/>
  <c r="D14" i="12"/>
  <c r="D13" i="12"/>
  <c r="D12" i="12"/>
  <c r="F11" i="12"/>
  <c r="D11" i="12"/>
  <c r="N10" i="8"/>
  <c r="N11" i="8"/>
  <c r="M10" i="8"/>
  <c r="M11" i="8"/>
  <c r="L10" i="8"/>
  <c r="L11" i="8"/>
  <c r="N9" i="8"/>
  <c r="M9" i="8"/>
  <c r="L9" i="8"/>
  <c r="D20" i="12" l="1"/>
  <c r="F18" i="12"/>
  <c r="F13" i="12"/>
  <c r="F14" i="12"/>
  <c r="F12" i="12"/>
  <c r="F16" i="12"/>
  <c r="F19" i="12"/>
  <c r="F15" i="12"/>
  <c r="D8" i="7"/>
  <c r="D9" i="7"/>
  <c r="D10" i="7"/>
  <c r="F20" i="12" l="1"/>
  <c r="F11" i="1" l="1"/>
  <c r="G11" i="1" s="1"/>
  <c r="E11" i="1"/>
  <c r="F12" i="1"/>
  <c r="G12" i="1" s="1"/>
  <c r="E12" i="1"/>
  <c r="F13" i="1"/>
  <c r="G13" i="1" s="1"/>
  <c r="E13" i="1"/>
  <c r="D10" i="5" l="1"/>
  <c r="H10" i="21" l="1"/>
  <c r="G13" i="11"/>
  <c r="H13" i="11"/>
  <c r="M11" i="11"/>
  <c r="K14" i="10"/>
  <c r="M14" i="10"/>
  <c r="I14" i="10"/>
  <c r="G14" i="10"/>
  <c r="E14" i="10"/>
  <c r="C14" i="10"/>
  <c r="M12" i="22" l="1"/>
  <c r="H12" i="22"/>
  <c r="I12" i="8"/>
  <c r="J12" i="8"/>
  <c r="L12" i="8"/>
  <c r="M12" i="8"/>
  <c r="P12" i="25" l="1"/>
  <c r="K13" i="12"/>
  <c r="B11" i="7"/>
  <c r="C11" i="7"/>
  <c r="L13" i="8"/>
  <c r="L14" i="8" s="1"/>
  <c r="L15" i="8" s="1"/>
  <c r="L16" i="8" s="1"/>
  <c r="L17" i="8" s="1"/>
  <c r="L18" i="8" s="1"/>
  <c r="L19" i="8" s="1"/>
  <c r="L20" i="8" s="1"/>
  <c r="L21" i="8" s="1"/>
  <c r="L22" i="8" s="1"/>
  <c r="L23" i="8" s="1"/>
  <c r="L24" i="8" s="1"/>
  <c r="L25" i="8" s="1"/>
  <c r="L26" i="8" s="1"/>
  <c r="K12" i="8"/>
  <c r="H12" i="8"/>
  <c r="G12" i="8" a="1"/>
  <c r="G12" i="8" s="1"/>
  <c r="F12" i="8" a="1"/>
  <c r="F12" i="8" s="1"/>
  <c r="E12" i="8"/>
  <c r="D12" i="8" a="1"/>
  <c r="D12" i="8" s="1"/>
  <c r="C12" i="8" a="1"/>
  <c r="C12" i="8" s="1"/>
  <c r="C11" i="15"/>
  <c r="D11" i="15"/>
  <c r="E11" i="15"/>
  <c r="C13" i="24"/>
  <c r="B13" i="24"/>
  <c r="L13" i="11"/>
  <c r="J13" i="11"/>
  <c r="F13" i="11"/>
  <c r="E13" i="11"/>
  <c r="D13" i="11"/>
  <c r="N14" i="10"/>
  <c r="L14" i="10"/>
  <c r="J14" i="10"/>
  <c r="H14" i="10"/>
  <c r="F14" i="10"/>
  <c r="D14" i="1"/>
  <c r="C14" i="1"/>
  <c r="F14" i="1" s="1"/>
  <c r="O12" i="25"/>
  <c r="N12" i="25"/>
  <c r="M12" i="25"/>
  <c r="L12" i="25"/>
  <c r="K12" i="25"/>
  <c r="J12" i="25"/>
  <c r="I12" i="25"/>
  <c r="H12" i="25"/>
  <c r="G12" i="25"/>
  <c r="F12" i="25"/>
  <c r="E12" i="25"/>
  <c r="D12" i="25"/>
  <c r="C12" i="25"/>
  <c r="P12" i="22"/>
  <c r="N12" i="22"/>
  <c r="L12" i="22"/>
  <c r="K12" i="22"/>
  <c r="J12" i="22"/>
  <c r="I12" i="22"/>
  <c r="G12" i="22"/>
  <c r="F12" i="22"/>
  <c r="E12" i="22"/>
  <c r="D12" i="22"/>
  <c r="E14" i="1" l="1"/>
  <c r="E7" i="21"/>
  <c r="E10" i="21" s="1"/>
  <c r="E8" i="21"/>
  <c r="E9" i="21"/>
  <c r="G11" i="15" l="1"/>
  <c r="N11" i="11"/>
  <c r="N24" i="25" l="1"/>
  <c r="M24" i="25"/>
  <c r="L24" i="25"/>
  <c r="K24" i="25"/>
  <c r="J24" i="25"/>
  <c r="I24" i="25"/>
  <c r="D24" i="25"/>
  <c r="C24" i="25"/>
  <c r="P23" i="25"/>
  <c r="O23" i="25"/>
  <c r="P22" i="25"/>
  <c r="O22" i="25"/>
  <c r="P21" i="25"/>
  <c r="O21" i="25"/>
  <c r="N20" i="25"/>
  <c r="M20" i="25"/>
  <c r="L20" i="25"/>
  <c r="K20" i="25"/>
  <c r="J20" i="25"/>
  <c r="I20" i="25"/>
  <c r="D20" i="25"/>
  <c r="C20" i="25"/>
  <c r="P19" i="25"/>
  <c r="O19" i="25"/>
  <c r="P18" i="25"/>
  <c r="O18" i="25"/>
  <c r="P17" i="25"/>
  <c r="O17" i="25"/>
  <c r="N16" i="25"/>
  <c r="M16" i="25"/>
  <c r="L16" i="25"/>
  <c r="K16" i="25"/>
  <c r="J16" i="25"/>
  <c r="I16" i="25"/>
  <c r="D16" i="25"/>
  <c r="C16" i="25"/>
  <c r="P15" i="25"/>
  <c r="O15" i="25"/>
  <c r="P14" i="25"/>
  <c r="O14" i="25"/>
  <c r="P13" i="25"/>
  <c r="O13" i="25"/>
  <c r="N25" i="25" l="1"/>
  <c r="M25" i="25"/>
  <c r="I25" i="25"/>
  <c r="D25" i="25"/>
  <c r="O20" i="25"/>
  <c r="P24" i="25"/>
  <c r="L25" i="25"/>
  <c r="K25" i="25"/>
  <c r="J25" i="25"/>
  <c r="C25" i="25"/>
  <c r="P16" i="25"/>
  <c r="O24" i="25"/>
  <c r="O16" i="25"/>
  <c r="P20" i="25"/>
  <c r="O25" i="25" l="1"/>
  <c r="P25" i="25"/>
  <c r="D13" i="24" l="1"/>
  <c r="G13" i="24"/>
  <c r="F13" i="24"/>
  <c r="E13" i="24"/>
  <c r="J9" i="24"/>
  <c r="I9" i="24"/>
  <c r="H9" i="24"/>
  <c r="H13" i="24" s="1"/>
  <c r="J13" i="24" l="1"/>
  <c r="I13" i="24"/>
  <c r="M9" i="11" l="1"/>
  <c r="N9" i="11"/>
  <c r="O9" i="11"/>
  <c r="O37" i="22" l="1"/>
  <c r="O38" i="22"/>
  <c r="O36" i="22"/>
  <c r="N37" i="22"/>
  <c r="N38" i="22"/>
  <c r="N36" i="22"/>
  <c r="K39" i="22"/>
  <c r="F10" i="1" l="1"/>
  <c r="E10" i="1"/>
  <c r="G10" i="1" l="1"/>
  <c r="G14" i="1"/>
  <c r="D14" i="10"/>
  <c r="R8" i="22"/>
  <c r="R12" i="22" s="1"/>
  <c r="Q8" i="22"/>
  <c r="D14" i="2"/>
  <c r="C14" i="2"/>
  <c r="G14" i="2" l="1"/>
  <c r="H14" i="2"/>
  <c r="I14" i="2" s="1"/>
  <c r="G39" i="22" l="1"/>
  <c r="E39" i="22"/>
  <c r="C39" i="22"/>
  <c r="N39" i="22" l="1"/>
  <c r="I39" i="22"/>
  <c r="I13" i="22" l="1"/>
  <c r="N13" i="22"/>
  <c r="P13" i="22"/>
  <c r="D13" i="22"/>
  <c r="M39" i="22" l="1"/>
  <c r="F39" i="22"/>
  <c r="D39" i="22"/>
  <c r="O39" i="22" l="1"/>
  <c r="E11" i="6" l="1"/>
  <c r="G8" i="21"/>
  <c r="G9" i="21"/>
  <c r="G10" i="21" s="1"/>
  <c r="E11" i="21"/>
  <c r="G11" i="21"/>
  <c r="E12" i="21"/>
  <c r="G12" i="21"/>
  <c r="E13" i="21"/>
  <c r="G13" i="21"/>
  <c r="C14" i="21"/>
  <c r="C23" i="21" s="1"/>
  <c r="D14" i="21"/>
  <c r="F14" i="21"/>
  <c r="E15" i="21"/>
  <c r="G15" i="21"/>
  <c r="E16" i="21"/>
  <c r="G16" i="21"/>
  <c r="E17" i="21"/>
  <c r="G17" i="21"/>
  <c r="C18" i="21"/>
  <c r="D18" i="21"/>
  <c r="F18" i="21"/>
  <c r="E19" i="21"/>
  <c r="G19" i="21"/>
  <c r="E20" i="21"/>
  <c r="G20" i="21"/>
  <c r="E21" i="21"/>
  <c r="G21" i="21"/>
  <c r="C22" i="21"/>
  <c r="D22" i="21"/>
  <c r="F22" i="21"/>
  <c r="E18" i="21" l="1"/>
  <c r="E14" i="21"/>
  <c r="G14" i="21"/>
  <c r="D23" i="21"/>
  <c r="E23" i="21" s="1"/>
  <c r="G22" i="21"/>
  <c r="E22" i="21"/>
  <c r="G18" i="21"/>
  <c r="F23" i="21"/>
  <c r="G23" i="21" s="1"/>
  <c r="M16" i="12" l="1"/>
  <c r="N12" i="12" l="1"/>
  <c r="N13" i="12"/>
  <c r="N14" i="12"/>
  <c r="N15" i="12"/>
  <c r="N16" i="12"/>
  <c r="N17" i="12"/>
  <c r="N18" i="12"/>
  <c r="N19" i="12"/>
  <c r="M13" i="12"/>
  <c r="M14" i="12"/>
  <c r="M15" i="12"/>
  <c r="M17" i="12"/>
  <c r="M18" i="12"/>
  <c r="M19" i="12"/>
  <c r="L12" i="12"/>
  <c r="L13" i="12"/>
  <c r="L14" i="12"/>
  <c r="L15" i="12"/>
  <c r="L16" i="12"/>
  <c r="L17" i="12"/>
  <c r="L18" i="12"/>
  <c r="L19" i="12"/>
  <c r="K12" i="12"/>
  <c r="K14" i="12"/>
  <c r="K15" i="12"/>
  <c r="K16" i="12"/>
  <c r="K17" i="12"/>
  <c r="K18" i="12"/>
  <c r="K19" i="12"/>
  <c r="L20" i="12" l="1"/>
  <c r="K20" i="12"/>
  <c r="M20" i="12"/>
  <c r="N20" i="12"/>
  <c r="L8" i="8" l="1"/>
  <c r="M8" i="8"/>
  <c r="N8" i="8"/>
  <c r="N12" i="8" s="1"/>
  <c r="G15" i="2"/>
  <c r="H15" i="2"/>
  <c r="I15" i="2" s="1"/>
  <c r="G16" i="2"/>
  <c r="H16" i="2"/>
  <c r="I16" i="2" s="1"/>
  <c r="K27" i="8" l="1"/>
  <c r="E27" i="8"/>
  <c r="H27" i="8"/>
  <c r="R10" i="10"/>
  <c r="R14" i="10" s="1"/>
  <c r="Q10" i="10"/>
  <c r="P10" i="10"/>
  <c r="P14" i="10" s="1"/>
  <c r="O10" i="10"/>
  <c r="E13" i="8" l="1"/>
  <c r="H13" i="8"/>
  <c r="K13" i="8"/>
  <c r="I15" i="10" l="1"/>
  <c r="O10" i="11"/>
  <c r="N10" i="11"/>
  <c r="O12" i="11"/>
  <c r="N12" i="11"/>
  <c r="M12" i="11"/>
  <c r="D8" i="5"/>
  <c r="N13" i="11" l="1"/>
  <c r="S14" i="10"/>
  <c r="D9" i="5" l="1"/>
  <c r="D11" i="7"/>
  <c r="B25" i="7" s="1"/>
  <c r="G17" i="2"/>
  <c r="H17" i="2"/>
  <c r="I17" i="2" s="1"/>
  <c r="C18" i="2"/>
  <c r="F18" i="2"/>
  <c r="G19" i="2"/>
  <c r="H19" i="2"/>
  <c r="I19" i="2" s="1"/>
  <c r="G20" i="2"/>
  <c r="H20" i="2"/>
  <c r="G21" i="2"/>
  <c r="H21" i="2"/>
  <c r="I21" i="2" s="1"/>
  <c r="C22" i="2"/>
  <c r="F22" i="2"/>
  <c r="G23" i="2"/>
  <c r="H23" i="2"/>
  <c r="I23" i="2" s="1"/>
  <c r="G24" i="2"/>
  <c r="H24" i="2"/>
  <c r="I24" i="2" s="1"/>
  <c r="G25" i="2"/>
  <c r="H25" i="2"/>
  <c r="I25" i="2" s="1"/>
  <c r="G26" i="2"/>
  <c r="H26" i="2"/>
  <c r="I26" i="2" s="1"/>
  <c r="C27" i="2"/>
  <c r="F27" i="2"/>
  <c r="C25" i="7" l="1"/>
  <c r="G18" i="2"/>
  <c r="H22" i="2"/>
  <c r="I22" i="2" s="1"/>
  <c r="G27" i="2"/>
  <c r="G22" i="2"/>
  <c r="C28" i="2"/>
  <c r="I20" i="2"/>
  <c r="H27" i="2"/>
  <c r="I27" i="2" s="1"/>
  <c r="F28" i="2"/>
  <c r="H18" i="2" l="1"/>
  <c r="I18" i="2" s="1"/>
  <c r="G28" i="2"/>
  <c r="H28" i="2" l="1"/>
  <c r="C72" i="18" l="1"/>
  <c r="D69" i="18" s="1"/>
  <c r="A72" i="18"/>
  <c r="B71" i="18"/>
  <c r="B70" i="18"/>
  <c r="B69" i="18"/>
  <c r="B68" i="18"/>
  <c r="B67" i="18"/>
  <c r="B66" i="18"/>
  <c r="B65" i="18"/>
  <c r="B64" i="18"/>
  <c r="B63" i="18"/>
  <c r="D71" i="18" l="1"/>
  <c r="D65" i="18"/>
  <c r="D68" i="18"/>
  <c r="D66" i="18"/>
  <c r="B72" i="18"/>
  <c r="D63" i="18"/>
  <c r="D70" i="18"/>
  <c r="D64" i="18"/>
  <c r="D67" i="18"/>
  <c r="D72" i="18" l="1"/>
  <c r="G9" i="16" l="1"/>
  <c r="F9" i="16"/>
  <c r="C9" i="16"/>
  <c r="B9" i="16"/>
  <c r="I13" i="11" l="1"/>
  <c r="G17" i="11"/>
  <c r="H17" i="11"/>
  <c r="I17" i="11"/>
  <c r="G21" i="11"/>
  <c r="H21" i="11"/>
  <c r="I21" i="11"/>
  <c r="G25" i="11"/>
  <c r="H25" i="11"/>
  <c r="I25" i="11"/>
  <c r="G26" i="11" l="1"/>
  <c r="H26" i="11"/>
  <c r="I26" i="11"/>
  <c r="P39" i="17" l="1"/>
  <c r="N39" i="17"/>
  <c r="P38" i="17"/>
  <c r="N38" i="17"/>
  <c r="P37" i="17"/>
  <c r="N37" i="17"/>
  <c r="P36" i="17"/>
  <c r="N36" i="17"/>
  <c r="P35" i="17"/>
  <c r="N35" i="17"/>
  <c r="P34" i="17"/>
  <c r="N34" i="17"/>
  <c r="P33" i="17"/>
  <c r="N33" i="17"/>
  <c r="P32" i="17"/>
  <c r="N32" i="17"/>
  <c r="G23" i="17"/>
  <c r="F23" i="17"/>
  <c r="E23" i="17"/>
  <c r="D23" i="17"/>
  <c r="C23" i="17"/>
  <c r="B23" i="17"/>
  <c r="I22" i="17"/>
  <c r="H22" i="17"/>
  <c r="I21" i="17"/>
  <c r="H21" i="17"/>
  <c r="I20" i="17"/>
  <c r="H20" i="17"/>
  <c r="G19" i="17"/>
  <c r="F19" i="17"/>
  <c r="E19" i="17"/>
  <c r="D19" i="17"/>
  <c r="C19" i="17"/>
  <c r="B19" i="17"/>
  <c r="I18" i="17"/>
  <c r="H18" i="17"/>
  <c r="I17" i="17"/>
  <c r="H17" i="17"/>
  <c r="I16" i="17"/>
  <c r="H16" i="17"/>
  <c r="G15" i="17"/>
  <c r="F15" i="17"/>
  <c r="E15" i="17"/>
  <c r="D15" i="17"/>
  <c r="C15" i="17"/>
  <c r="B15" i="17"/>
  <c r="I14" i="17"/>
  <c r="H14" i="17"/>
  <c r="I13" i="17"/>
  <c r="H13" i="17"/>
  <c r="I12" i="17"/>
  <c r="H12" i="17"/>
  <c r="G11" i="17"/>
  <c r="F11" i="17"/>
  <c r="E11" i="17"/>
  <c r="D11" i="17"/>
  <c r="C11" i="17"/>
  <c r="B11" i="17"/>
  <c r="I10" i="17"/>
  <c r="H10" i="17"/>
  <c r="I9" i="17"/>
  <c r="H9" i="17"/>
  <c r="I8" i="17"/>
  <c r="H8" i="17"/>
  <c r="P39" i="16"/>
  <c r="N39" i="16"/>
  <c r="P38" i="16"/>
  <c r="N38" i="16"/>
  <c r="P37" i="16"/>
  <c r="N37" i="16"/>
  <c r="P36" i="16"/>
  <c r="N36" i="16"/>
  <c r="P35" i="16"/>
  <c r="N35" i="16"/>
  <c r="P34" i="16"/>
  <c r="N34" i="16"/>
  <c r="P33" i="16"/>
  <c r="N33" i="16"/>
  <c r="P32" i="16"/>
  <c r="N32" i="16"/>
  <c r="G23" i="16"/>
  <c r="F23" i="16"/>
  <c r="E23" i="16"/>
  <c r="D23" i="16"/>
  <c r="C23" i="16"/>
  <c r="B23" i="16"/>
  <c r="I22" i="16"/>
  <c r="H22" i="16"/>
  <c r="I21" i="16"/>
  <c r="H21" i="16"/>
  <c r="I20" i="16"/>
  <c r="H20" i="16"/>
  <c r="G19" i="16"/>
  <c r="F19" i="16"/>
  <c r="E19" i="16"/>
  <c r="D19" i="16"/>
  <c r="C19" i="16"/>
  <c r="B19" i="16"/>
  <c r="I18" i="16"/>
  <c r="H18" i="16"/>
  <c r="I17" i="16"/>
  <c r="H17" i="16"/>
  <c r="I16" i="16"/>
  <c r="H16" i="16"/>
  <c r="G15" i="16"/>
  <c r="F15" i="16"/>
  <c r="E15" i="16"/>
  <c r="D15" i="16"/>
  <c r="C15" i="16"/>
  <c r="B15" i="16"/>
  <c r="I14" i="16"/>
  <c r="H14" i="16"/>
  <c r="I13" i="16"/>
  <c r="H13" i="16"/>
  <c r="I12" i="16"/>
  <c r="H12" i="16"/>
  <c r="G11" i="16"/>
  <c r="F11" i="16"/>
  <c r="E11" i="16"/>
  <c r="D11" i="16"/>
  <c r="C11" i="16"/>
  <c r="B11" i="16"/>
  <c r="I10" i="16"/>
  <c r="H10" i="16"/>
  <c r="I9" i="16"/>
  <c r="H9" i="16"/>
  <c r="I8" i="16"/>
  <c r="H8" i="16"/>
  <c r="E24" i="17" l="1"/>
  <c r="G24" i="17"/>
  <c r="G24" i="16"/>
  <c r="E24" i="16"/>
  <c r="F24" i="16"/>
  <c r="B24" i="16"/>
  <c r="F24" i="17"/>
  <c r="D24" i="17"/>
  <c r="H15" i="16"/>
  <c r="H11" i="17"/>
  <c r="H15" i="17"/>
  <c r="H19" i="17"/>
  <c r="D24" i="16"/>
  <c r="I11" i="16"/>
  <c r="B24" i="17"/>
  <c r="H23" i="17"/>
  <c r="I11" i="17"/>
  <c r="C24" i="17"/>
  <c r="H11" i="16"/>
  <c r="H19" i="16"/>
  <c r="H23" i="16"/>
  <c r="C24" i="16"/>
  <c r="I19" i="17"/>
  <c r="I15" i="17"/>
  <c r="I23" i="17"/>
  <c r="I15" i="16"/>
  <c r="I23" i="16"/>
  <c r="I19" i="16"/>
  <c r="H24" i="17" l="1"/>
  <c r="I24" i="16"/>
  <c r="I24" i="17"/>
  <c r="H24" i="16"/>
  <c r="F11" i="15" l="1"/>
  <c r="D11" i="6"/>
  <c r="C11" i="6"/>
  <c r="F23" i="15" l="1"/>
  <c r="E23" i="15"/>
  <c r="D23" i="15"/>
  <c r="C23" i="15"/>
  <c r="G22" i="15"/>
  <c r="H22" i="15" s="1"/>
  <c r="G21" i="15"/>
  <c r="H21" i="15" s="1"/>
  <c r="G20" i="15"/>
  <c r="H20" i="15" s="1"/>
  <c r="F19" i="15"/>
  <c r="E19" i="15"/>
  <c r="D19" i="15"/>
  <c r="C19" i="15"/>
  <c r="G18" i="15"/>
  <c r="H18" i="15" s="1"/>
  <c r="G17" i="15"/>
  <c r="H17" i="15" s="1"/>
  <c r="G16" i="15"/>
  <c r="H16" i="15" s="1"/>
  <c r="F15" i="15"/>
  <c r="E15" i="15"/>
  <c r="D15" i="15"/>
  <c r="C15" i="15"/>
  <c r="G14" i="15"/>
  <c r="H14" i="15" s="1"/>
  <c r="G13" i="15"/>
  <c r="H13" i="15" s="1"/>
  <c r="G12" i="15"/>
  <c r="H12" i="15" s="1"/>
  <c r="L25" i="11"/>
  <c r="K25" i="11"/>
  <c r="J25" i="11"/>
  <c r="F25" i="11"/>
  <c r="E25" i="11"/>
  <c r="D25" i="11"/>
  <c r="O24" i="11"/>
  <c r="N24" i="11"/>
  <c r="M24" i="11"/>
  <c r="O23" i="11"/>
  <c r="N23" i="11"/>
  <c r="M23" i="11"/>
  <c r="O22" i="11"/>
  <c r="N22" i="11"/>
  <c r="M22" i="11"/>
  <c r="L21" i="11"/>
  <c r="K21" i="11"/>
  <c r="J21" i="11"/>
  <c r="F21" i="11"/>
  <c r="E21" i="11"/>
  <c r="D21" i="11"/>
  <c r="O20" i="11"/>
  <c r="N20" i="11"/>
  <c r="M20" i="11"/>
  <c r="O19" i="11"/>
  <c r="N19" i="11"/>
  <c r="M19" i="11"/>
  <c r="O18" i="11"/>
  <c r="N18" i="11"/>
  <c r="M18" i="11"/>
  <c r="L17" i="11"/>
  <c r="K17" i="11"/>
  <c r="J17" i="11"/>
  <c r="F17" i="11"/>
  <c r="E17" i="11"/>
  <c r="D17" i="11"/>
  <c r="O16" i="11"/>
  <c r="N16" i="11"/>
  <c r="M16" i="11"/>
  <c r="O15" i="11"/>
  <c r="N15" i="11"/>
  <c r="M15" i="11"/>
  <c r="O14" i="11"/>
  <c r="N14" i="11"/>
  <c r="M14" i="11"/>
  <c r="O11" i="11"/>
  <c r="O13" i="11" s="1"/>
  <c r="M13" i="11"/>
  <c r="J27" i="10"/>
  <c r="I27" i="10"/>
  <c r="I28" i="10" s="1"/>
  <c r="H27" i="10"/>
  <c r="G27" i="10"/>
  <c r="G28" i="10" s="1"/>
  <c r="N27" i="10"/>
  <c r="M27" i="10"/>
  <c r="M28" i="10" s="1"/>
  <c r="L27" i="10"/>
  <c r="K27" i="10"/>
  <c r="K28" i="10" s="1"/>
  <c r="F27" i="10"/>
  <c r="E27" i="10"/>
  <c r="E28" i="10" s="1"/>
  <c r="D27" i="10"/>
  <c r="C27" i="10"/>
  <c r="C28" i="10" s="1"/>
  <c r="R26" i="10"/>
  <c r="Q26" i="10"/>
  <c r="P26" i="10"/>
  <c r="O26" i="10"/>
  <c r="R25" i="10"/>
  <c r="Q25" i="10"/>
  <c r="Q27" i="10" s="1"/>
  <c r="Q28" i="10" s="1"/>
  <c r="P25" i="10"/>
  <c r="O25" i="10"/>
  <c r="O27" i="10" s="1"/>
  <c r="O28" i="10" s="1"/>
  <c r="R24" i="10"/>
  <c r="Q24" i="10"/>
  <c r="P24" i="10"/>
  <c r="O24" i="10"/>
  <c r="R23" i="10"/>
  <c r="Q23" i="10"/>
  <c r="P23" i="10"/>
  <c r="O23" i="10"/>
  <c r="J22" i="10"/>
  <c r="I22" i="10"/>
  <c r="H22" i="10"/>
  <c r="G22" i="10"/>
  <c r="N22" i="10"/>
  <c r="M22" i="10"/>
  <c r="L22" i="10"/>
  <c r="K22" i="10"/>
  <c r="F22" i="10"/>
  <c r="E22" i="10"/>
  <c r="D22" i="10"/>
  <c r="C22" i="10"/>
  <c r="R21" i="10"/>
  <c r="Q21" i="10"/>
  <c r="Q22" i="10" s="1"/>
  <c r="P21" i="10"/>
  <c r="O21" i="10"/>
  <c r="O22" i="10" s="1"/>
  <c r="R20" i="10"/>
  <c r="Q20" i="10"/>
  <c r="P20" i="10"/>
  <c r="O20" i="10"/>
  <c r="R19" i="10"/>
  <c r="Q19" i="10"/>
  <c r="P19" i="10"/>
  <c r="O19" i="10"/>
  <c r="J18" i="10"/>
  <c r="I18" i="10"/>
  <c r="H18" i="10"/>
  <c r="G18" i="10"/>
  <c r="N18" i="10"/>
  <c r="M18" i="10"/>
  <c r="L18" i="10"/>
  <c r="K18" i="10"/>
  <c r="F18" i="10"/>
  <c r="E18" i="10"/>
  <c r="D18" i="10"/>
  <c r="C18" i="10"/>
  <c r="R17" i="10"/>
  <c r="Q17" i="10"/>
  <c r="Q18" i="10" s="1"/>
  <c r="P17" i="10"/>
  <c r="O17" i="10"/>
  <c r="O18" i="10" s="1"/>
  <c r="R16" i="10"/>
  <c r="Q16" i="10"/>
  <c r="P16" i="10"/>
  <c r="O16" i="10"/>
  <c r="R15" i="10"/>
  <c r="Q15" i="10"/>
  <c r="P15" i="10"/>
  <c r="O15" i="10"/>
  <c r="H25" i="8"/>
  <c r="G25" i="8"/>
  <c r="G26" i="8" s="1"/>
  <c r="F25" i="8"/>
  <c r="F26" i="8" s="1"/>
  <c r="K25" i="8"/>
  <c r="J25" i="8"/>
  <c r="J26" i="8" s="1"/>
  <c r="I25" i="8"/>
  <c r="I26" i="8" s="1"/>
  <c r="E25" i="8"/>
  <c r="D25" i="8"/>
  <c r="D26" i="8" s="1"/>
  <c r="C25" i="8"/>
  <c r="C26" i="8" s="1"/>
  <c r="N24" i="8"/>
  <c r="M24" i="8"/>
  <c r="M25" i="8" s="1"/>
  <c r="M26" i="8" s="1"/>
  <c r="N23" i="8"/>
  <c r="M23" i="8"/>
  <c r="N22" i="8"/>
  <c r="M22" i="8"/>
  <c r="N21" i="8"/>
  <c r="M21" i="8"/>
  <c r="H20" i="8"/>
  <c r="G20" i="8"/>
  <c r="F20" i="8"/>
  <c r="K20" i="8"/>
  <c r="J20" i="8"/>
  <c r="I20" i="8"/>
  <c r="E20" i="8"/>
  <c r="D20" i="8"/>
  <c r="C20" i="8"/>
  <c r="N19" i="8"/>
  <c r="M19" i="8"/>
  <c r="M20" i="8" s="1"/>
  <c r="N18" i="8"/>
  <c r="M18" i="8"/>
  <c r="N17" i="8"/>
  <c r="M17" i="8"/>
  <c r="H16" i="8"/>
  <c r="G16" i="8"/>
  <c r="F16" i="8"/>
  <c r="K16" i="8"/>
  <c r="J16" i="8"/>
  <c r="I16" i="8"/>
  <c r="E16" i="8"/>
  <c r="D16" i="8"/>
  <c r="C16" i="8"/>
  <c r="N15" i="8"/>
  <c r="M15" i="8"/>
  <c r="M16" i="8" s="1"/>
  <c r="N14" i="8"/>
  <c r="M14" i="8"/>
  <c r="N13" i="8"/>
  <c r="M13" i="8"/>
  <c r="D23" i="6"/>
  <c r="C23" i="6"/>
  <c r="D19" i="6"/>
  <c r="C19" i="6"/>
  <c r="D15" i="6"/>
  <c r="C15" i="6"/>
  <c r="B23" i="5"/>
  <c r="C22" i="5"/>
  <c r="C21" i="5"/>
  <c r="C20" i="5"/>
  <c r="B19" i="5"/>
  <c r="C18" i="5"/>
  <c r="C17" i="5"/>
  <c r="C16" i="5"/>
  <c r="B15" i="5"/>
  <c r="D15" i="5" s="1"/>
  <c r="C14" i="5"/>
  <c r="C13" i="5"/>
  <c r="C23" i="7"/>
  <c r="B23" i="7"/>
  <c r="D22" i="7"/>
  <c r="D21" i="7"/>
  <c r="D20" i="7"/>
  <c r="C19" i="7"/>
  <c r="B19" i="7"/>
  <c r="D18" i="7"/>
  <c r="D17" i="7"/>
  <c r="D16" i="7"/>
  <c r="C15" i="7"/>
  <c r="B15" i="7"/>
  <c r="D14" i="7"/>
  <c r="D13" i="7"/>
  <c r="D12" i="7"/>
  <c r="F27" i="1"/>
  <c r="D27" i="1"/>
  <c r="C27" i="1"/>
  <c r="G26" i="1"/>
  <c r="E26" i="1"/>
  <c r="G25" i="1"/>
  <c r="E25" i="1"/>
  <c r="G24" i="1"/>
  <c r="E24" i="1"/>
  <c r="G23" i="1"/>
  <c r="E23" i="1"/>
  <c r="F22" i="1"/>
  <c r="D22" i="1"/>
  <c r="C22" i="1"/>
  <c r="G21" i="1"/>
  <c r="E21" i="1"/>
  <c r="G20" i="1"/>
  <c r="E20" i="1"/>
  <c r="G19" i="1"/>
  <c r="E19" i="1"/>
  <c r="F18" i="1"/>
  <c r="D18" i="1"/>
  <c r="C18" i="1"/>
  <c r="G17" i="1"/>
  <c r="E17" i="1"/>
  <c r="G16" i="1"/>
  <c r="E16" i="1"/>
  <c r="G15" i="1"/>
  <c r="E15" i="1"/>
  <c r="T14" i="10" l="1"/>
  <c r="D23" i="5"/>
  <c r="D28" i="1"/>
  <c r="C24" i="15"/>
  <c r="E24" i="15"/>
  <c r="E27" i="1"/>
  <c r="C24" i="7"/>
  <c r="N17" i="11"/>
  <c r="B24" i="7"/>
  <c r="D24" i="15"/>
  <c r="E22" i="1"/>
  <c r="C23" i="5"/>
  <c r="L26" i="11"/>
  <c r="O21" i="11"/>
  <c r="G22" i="1"/>
  <c r="G27" i="1"/>
  <c r="D23" i="7"/>
  <c r="D19" i="7"/>
  <c r="U41" i="8"/>
  <c r="U38" i="8"/>
  <c r="L28" i="10"/>
  <c r="C28" i="1"/>
  <c r="F24" i="15"/>
  <c r="D15" i="7"/>
  <c r="T29" i="8"/>
  <c r="T41" i="8"/>
  <c r="T38" i="8"/>
  <c r="M21" i="11"/>
  <c r="G15" i="15"/>
  <c r="H15" i="15" s="1"/>
  <c r="G19" i="15"/>
  <c r="H19" i="15" s="1"/>
  <c r="G23" i="15"/>
  <c r="H23" i="15" s="1"/>
  <c r="E18" i="1"/>
  <c r="C19" i="5"/>
  <c r="P18" i="10"/>
  <c r="G18" i="1"/>
  <c r="D19" i="5"/>
  <c r="J28" i="10"/>
  <c r="K26" i="11"/>
  <c r="M17" i="11"/>
  <c r="N21" i="11"/>
  <c r="M25" i="11"/>
  <c r="O25" i="11"/>
  <c r="N28" i="10"/>
  <c r="P27" i="10"/>
  <c r="N25" i="11"/>
  <c r="F26" i="11"/>
  <c r="O17" i="11"/>
  <c r="J26" i="11"/>
  <c r="D26" i="11"/>
  <c r="E26" i="11"/>
  <c r="T32" i="8"/>
  <c r="R22" i="10"/>
  <c r="H28" i="10"/>
  <c r="R27" i="10"/>
  <c r="R18" i="10"/>
  <c r="P22" i="10"/>
  <c r="F28" i="10"/>
  <c r="R15" i="8"/>
  <c r="N16" i="8"/>
  <c r="K26" i="8"/>
  <c r="N20" i="8"/>
  <c r="N25" i="8"/>
  <c r="R10" i="8"/>
  <c r="U32" i="8"/>
  <c r="U29" i="8"/>
  <c r="E26" i="8"/>
  <c r="H26" i="8"/>
  <c r="B24" i="5"/>
  <c r="C15" i="5"/>
  <c r="E28" i="1" l="1"/>
  <c r="N26" i="11"/>
  <c r="R29" i="10"/>
  <c r="V41" i="8"/>
  <c r="V38" i="8"/>
  <c r="V32" i="8"/>
  <c r="V29" i="8"/>
  <c r="N26" i="8"/>
  <c r="M26" i="11"/>
  <c r="P28" i="10"/>
  <c r="O26" i="11"/>
  <c r="R28" i="10"/>
  <c r="D24" i="7"/>
  <c r="F28" i="1"/>
  <c r="G28" i="1" s="1"/>
  <c r="G24" i="15"/>
  <c r="H24" i="15" s="1"/>
  <c r="P29" i="10" l="1"/>
  <c r="V9" i="8"/>
  <c r="W11" i="8"/>
  <c r="D28"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<sst xmlns="http://schemas.openxmlformats.org/spreadsheetml/2006/main" count="773" uniqueCount="264">
  <si>
    <t>Dirección General de Jubilaciones y Pensiones a Cargo del Estado</t>
  </si>
  <si>
    <t>Departamento Administrativo y Financiero</t>
  </si>
  <si>
    <t>Ejecución Presupuesto Administrativo</t>
  </si>
  <si>
    <t>Estadísticas Trimestre Enero-Marzo</t>
  </si>
  <si>
    <t>Año 2026</t>
  </si>
  <si>
    <t>Mes</t>
  </si>
  <si>
    <t>Presupuesto Programado</t>
  </si>
  <si>
    <t>Presupuesto Ejecutado</t>
  </si>
  <si>
    <t>Restante</t>
  </si>
  <si>
    <t>Monto</t>
  </si>
  <si>
    <t>Absoluto (RD$)</t>
  </si>
  <si>
    <t>Relativo</t>
  </si>
  <si>
    <t>Regalía</t>
  </si>
  <si>
    <t>Marzo</t>
  </si>
  <si>
    <t>Febrero</t>
  </si>
  <si>
    <t>Enero</t>
  </si>
  <si>
    <t>1er. Trimestre</t>
  </si>
  <si>
    <t>Abril</t>
  </si>
  <si>
    <t>Mayo</t>
  </si>
  <si>
    <t>Junio</t>
  </si>
  <si>
    <t>2do Trimestre</t>
  </si>
  <si>
    <t xml:space="preserve">Julio </t>
  </si>
  <si>
    <t>Agosto</t>
  </si>
  <si>
    <t>Septiembre</t>
  </si>
  <si>
    <t>3er Trimestre</t>
  </si>
  <si>
    <t>Octubre</t>
  </si>
  <si>
    <t>Noviembre</t>
  </si>
  <si>
    <t>Diciembre</t>
  </si>
  <si>
    <t>4to Trimestre</t>
  </si>
  <si>
    <t>Total</t>
  </si>
  <si>
    <t>Nota:</t>
  </si>
  <si>
    <r>
      <t xml:space="preserve">Fuente: </t>
    </r>
    <r>
      <rPr>
        <sz val="7"/>
        <rFont val="Calibri"/>
        <family val="2"/>
        <scheme val="minor"/>
      </rPr>
      <t>SIGEF</t>
    </r>
    <r>
      <rPr>
        <b/>
        <sz val="7"/>
        <rFont val="Calibri"/>
        <family val="2"/>
        <scheme val="minor"/>
      </rPr>
      <t xml:space="preserve">, </t>
    </r>
    <r>
      <rPr>
        <sz val="7"/>
        <rFont val="Calibri"/>
        <family val="2"/>
        <scheme val="minor"/>
      </rPr>
      <t>Departamento Financiero.</t>
    </r>
  </si>
  <si>
    <r>
      <t xml:space="preserve">Nota:  </t>
    </r>
    <r>
      <rPr>
        <sz val="7"/>
        <rFont val="Calibri"/>
        <family val="2"/>
        <scheme val="minor"/>
      </rPr>
      <t>La desviacion de 5.38% en la ejecución financiera, corresponde a salidas de personal y a retrasos en los procesos burocráticos del MAP en la contratación de personal para las vacantes disponibles.</t>
    </r>
  </si>
  <si>
    <t>División de Seguimiento al Sistema de Reparto</t>
  </si>
  <si>
    <t>Afiliados y Cotizantes</t>
  </si>
  <si>
    <t>Estadísticas Trimestre Enero - Marzo</t>
  </si>
  <si>
    <t>Afiliados al Sistema de Reparto</t>
  </si>
  <si>
    <t>Cotizantes</t>
  </si>
  <si>
    <t>% Cotizantes</t>
  </si>
  <si>
    <t>No Cotizantes</t>
  </si>
  <si>
    <t>% No Cotizantes</t>
  </si>
  <si>
    <t>Afiliados Policia Nacional</t>
  </si>
  <si>
    <t>Promedio 1er. Trimestre</t>
  </si>
  <si>
    <t>Promedio
2do Trimestre</t>
  </si>
  <si>
    <t>Julio</t>
  </si>
  <si>
    <t>Promedio
3er Trimestre</t>
  </si>
  <si>
    <t>Promedio
4to Trimestre</t>
  </si>
  <si>
    <r>
      <rPr>
        <b/>
        <sz val="8"/>
        <color indexed="8"/>
        <rFont val="Calibri"/>
        <family val="2"/>
      </rPr>
      <t>Fuente:</t>
    </r>
    <r>
      <rPr>
        <sz val="8"/>
        <color indexed="8"/>
        <rFont val="Calibri"/>
        <family val="2"/>
      </rPr>
      <t xml:space="preserve"> Datos recolectados en la DGJP, División de Seguimiento al Sistema de Reparto.</t>
    </r>
  </si>
  <si>
    <t xml:space="preserve"> </t>
  </si>
  <si>
    <t>Distribución de Cotizantes por Tipo de Empleador</t>
  </si>
  <si>
    <t xml:space="preserve">Estadísticas Trimestre Enero - Marzo </t>
  </si>
  <si>
    <t>Cantidad de Cotizantes por Tipo de Empleador</t>
  </si>
  <si>
    <t xml:space="preserve">Público 
</t>
  </si>
  <si>
    <t>Privado</t>
  </si>
  <si>
    <t>% Público</t>
  </si>
  <si>
    <t>% Privado</t>
  </si>
  <si>
    <t>Enero-Abril 2021</t>
  </si>
  <si>
    <t>Promedio
1er Trimestre</t>
  </si>
  <si>
    <r>
      <rPr>
        <b/>
        <sz val="8"/>
        <color indexed="8"/>
        <rFont val="Calibri"/>
        <family val="2"/>
      </rPr>
      <t>Fuente:</t>
    </r>
    <r>
      <rPr>
        <sz val="8"/>
        <color indexed="8"/>
        <rFont val="Calibri"/>
        <family val="2"/>
      </rPr>
      <t xml:space="preserve"> UNIPAGO. División de Seguimiento al Sistema de Reparto.</t>
    </r>
  </si>
  <si>
    <t>Individualización por tipo de Empleador</t>
  </si>
  <si>
    <t>Individualización de aportes por tipo de Empleador</t>
  </si>
  <si>
    <t>Público (RD$)</t>
  </si>
  <si>
    <t>Privado (RD$)</t>
  </si>
  <si>
    <t>Total (RD$)</t>
  </si>
  <si>
    <t>Porcentaje</t>
  </si>
  <si>
    <r>
      <rPr>
        <b/>
        <sz val="8"/>
        <color indexed="8"/>
        <rFont val="Calibri"/>
        <family val="2"/>
      </rPr>
      <t>Fuente:</t>
    </r>
    <r>
      <rPr>
        <sz val="8"/>
        <color indexed="8"/>
        <rFont val="Calibri"/>
        <family val="2"/>
      </rPr>
      <t xml:space="preserve">  UNIPAGO / División de Seguimiento al Sistema de Reparto.</t>
    </r>
  </si>
  <si>
    <t>Distribución de Aportes</t>
  </si>
  <si>
    <t>Cantidad de Aportes</t>
  </si>
  <si>
    <t>Δ Absoluta</t>
  </si>
  <si>
    <t>Δ Relativa</t>
  </si>
  <si>
    <t>1er Trimestre</t>
  </si>
  <si>
    <r>
      <rPr>
        <b/>
        <sz val="8"/>
        <color indexed="8"/>
        <rFont val="Calibri"/>
        <family val="2"/>
      </rPr>
      <t>Fuente:</t>
    </r>
    <r>
      <rPr>
        <sz val="8"/>
        <color indexed="8"/>
        <rFont val="Calibri"/>
        <family val="2"/>
      </rPr>
      <t xml:space="preserve">  UNIPAGO/  División de Seguimiento al Sistema de Reparto.</t>
    </r>
  </si>
  <si>
    <r>
      <rPr>
        <b/>
        <sz val="8"/>
        <color rgb="FF000000"/>
        <rFont val="Calibri"/>
        <family val="2"/>
      </rPr>
      <t>Nota:</t>
    </r>
    <r>
      <rPr>
        <sz val="8"/>
        <color indexed="8"/>
        <rFont val="Calibri"/>
        <family val="2"/>
      </rPr>
      <t xml:space="preserve"> mes de marzo proyectado </t>
    </r>
  </si>
  <si>
    <t>Cantidad de Traspasos</t>
  </si>
  <si>
    <t>Recibidos (SCI a Reparto)</t>
  </si>
  <si>
    <t>Cedidos (Reparto a SCI)</t>
  </si>
  <si>
    <t>Monto Traspasado (RD$)</t>
  </si>
  <si>
    <t>-</t>
  </si>
  <si>
    <t>T2</t>
  </si>
  <si>
    <t>T3</t>
  </si>
  <si>
    <t>T4</t>
  </si>
  <si>
    <r>
      <rPr>
        <b/>
        <sz val="8"/>
        <color indexed="8"/>
        <rFont val="Calibri"/>
        <family val="2"/>
      </rPr>
      <t>Fuente:</t>
    </r>
    <r>
      <rPr>
        <sz val="8"/>
        <color indexed="8"/>
        <rFont val="Calibri"/>
        <family val="2"/>
      </rPr>
      <t xml:space="preserve"> UNIPAGO/  División de Seguimiento al Sistema de Reparto.</t>
    </r>
  </si>
  <si>
    <t>Departamento de Gestión Financiera de Pensiones</t>
  </si>
  <si>
    <t>Ejecución Presupuesto Pensionados</t>
  </si>
  <si>
    <t>Programación Presupuestaria</t>
  </si>
  <si>
    <t>Ejecución Presupuestaria</t>
  </si>
  <si>
    <t>Programación Ordinaria (RD$)</t>
  </si>
  <si>
    <t>Ajuste de Partidas Devengadas</t>
  </si>
  <si>
    <t>Programación Total</t>
  </si>
  <si>
    <t xml:space="preserve"> Ejecutado</t>
  </si>
  <si>
    <t xml:space="preserve">Marzo </t>
  </si>
  <si>
    <t xml:space="preserve">*Nota: La programación ordinaria inicial del 2026, se presenta de acuerdo a la programación dispuesta por la DIGEPRES y colocada en SIGEF.  Se gestionarán variaciones de acuerdo a las    necesidades del pago de las nóminas. </t>
  </si>
  <si>
    <t>Nómina de Pensionados</t>
  </si>
  <si>
    <t>Pensiones Civiles (PC)</t>
  </si>
  <si>
    <t>Pensiones Solidarias (PS)</t>
  </si>
  <si>
    <t>PN</t>
  </si>
  <si>
    <t>TOTAL</t>
  </si>
  <si>
    <t>Cantidad Pensionados</t>
  </si>
  <si>
    <t>Cantidad Pensiones</t>
  </si>
  <si>
    <r>
      <rPr>
        <b/>
        <sz val="8"/>
        <color theme="1"/>
        <rFont val="Calibri"/>
        <family val="2"/>
        <scheme val="minor"/>
      </rPr>
      <t>Fuente:</t>
    </r>
    <r>
      <rPr>
        <sz val="8"/>
        <color theme="1"/>
        <rFont val="Calibri"/>
        <family val="2"/>
        <scheme val="minor"/>
      </rPr>
      <t xml:space="preserve"> SJP</t>
    </r>
  </si>
  <si>
    <t>Variaciones</t>
  </si>
  <si>
    <t>Pensiones</t>
  </si>
  <si>
    <t>Pensionados</t>
  </si>
  <si>
    <t>Abril-Junio 2020</t>
  </si>
  <si>
    <t>Nóminas Autoseguro</t>
  </si>
  <si>
    <t>Nómina Mensual Discapacidad Civil</t>
  </si>
  <si>
    <t>Nómina Mensual Discapacidad Policía Nacional</t>
  </si>
  <si>
    <t>Nómina Mensual Sobrevivencia Civil</t>
  </si>
  <si>
    <t>Nómina Mensual Sobrevivencia Policía</t>
  </si>
  <si>
    <t>Cantidad Beneficiarios</t>
  </si>
  <si>
    <t>Monto Bruto
(RD$)</t>
  </si>
  <si>
    <t>AFP
(RD$)</t>
  </si>
  <si>
    <t>SFS
(RD$)</t>
  </si>
  <si>
    <t>Monto Neto
(RD$)</t>
  </si>
  <si>
    <t>Monto
(RD$)</t>
  </si>
  <si>
    <t xml:space="preserve">Febrero </t>
  </si>
  <si>
    <t>1er.  Trimestre</t>
  </si>
  <si>
    <r>
      <rPr>
        <b/>
        <sz val="8"/>
        <color theme="1"/>
        <rFont val="Calibri"/>
        <family val="2"/>
        <scheme val="minor"/>
      </rPr>
      <t>Fuente:</t>
    </r>
    <r>
      <rPr>
        <sz val="8"/>
        <color theme="1"/>
        <rFont val="Calibri"/>
        <family val="2"/>
        <scheme val="minor"/>
      </rPr>
      <t xml:space="preserve"> División de Nómina</t>
    </r>
  </si>
  <si>
    <t xml:space="preserve">                                                                                                                                                                                                                                                                                                          </t>
  </si>
  <si>
    <t>Nómina Deuda Retroactiva 
Discapacidad Civil</t>
  </si>
  <si>
    <t>Nómina Deuda Retroactiva
Sobrevivencia Civil</t>
  </si>
  <si>
    <t>Nómina Deuda Retroactiva
Sobrevivencia Policía Nacional</t>
  </si>
  <si>
    <t>Movimientos en Nómina</t>
  </si>
  <si>
    <t>TOTAL GENERAL</t>
  </si>
  <si>
    <t>Inclusiones</t>
  </si>
  <si>
    <t xml:space="preserve"> Sobrevivencia</t>
  </si>
  <si>
    <t>Reinclusiones</t>
  </si>
  <si>
    <t>Aumentos</t>
  </si>
  <si>
    <t>Exclusiones</t>
  </si>
  <si>
    <t>Suspensiones</t>
  </si>
  <si>
    <t>Cantidad</t>
  </si>
  <si>
    <t>Tipo Cantidad Porcentaje Monto Porcentaje</t>
  </si>
  <si>
    <t>PENSIÓN</t>
  </si>
  <si>
    <t>CIVIL</t>
  </si>
  <si>
    <t>IDSS</t>
  </si>
  <si>
    <t>GLORIAS</t>
  </si>
  <si>
    <t>DEL</t>
  </si>
  <si>
    <t>DEPORTE</t>
  </si>
  <si>
    <t>PABELLÓN</t>
  </si>
  <si>
    <t>DE</t>
  </si>
  <si>
    <t>LA</t>
  </si>
  <si>
    <t>FAMA</t>
  </si>
  <si>
    <t>PODER</t>
  </si>
  <si>
    <t>LEGISLATIVO</t>
  </si>
  <si>
    <t>EJECUTIVO</t>
  </si>
  <si>
    <t>POLICÍA</t>
  </si>
  <si>
    <t>NACIONAL</t>
  </si>
  <si>
    <t>SOLIDARIA</t>
  </si>
  <si>
    <t>PENSION</t>
  </si>
  <si>
    <t>POR</t>
  </si>
  <si>
    <t>SOBREVIVENCIA</t>
  </si>
  <si>
    <t>Rango</t>
  </si>
  <si>
    <t>Cantidad*</t>
  </si>
  <si>
    <t>Monto*</t>
  </si>
  <si>
    <t>Menos</t>
  </si>
  <si>
    <t>de</t>
  </si>
  <si>
    <t>RD$5117.50</t>
  </si>
  <si>
    <t>Igual</t>
  </si>
  <si>
    <t>a</t>
  </si>
  <si>
    <t>RD$5117.51</t>
  </si>
  <si>
    <t>&gt;=100,000.00</t>
  </si>
  <si>
    <t>18-30</t>
  </si>
  <si>
    <t>30-40</t>
  </si>
  <si>
    <t>40-50</t>
  </si>
  <si>
    <t>50-60</t>
  </si>
  <si>
    <t>60-70</t>
  </si>
  <si>
    <t>70-80</t>
  </si>
  <si>
    <t>80-90</t>
  </si>
  <si>
    <t>90-100</t>
  </si>
  <si>
    <t>con</t>
  </si>
  <si>
    <t>Nacimiento</t>
  </si>
  <si>
    <t>Trimestre Abril-Junio
Al 30 de Junio 2021</t>
  </si>
  <si>
    <t xml:space="preserve">Cantidad </t>
  </si>
  <si>
    <t>Distribución de Pensiones por Tipo y por Montos. Pensionados por edad</t>
  </si>
  <si>
    <t xml:space="preserve">Trimestre Enero - Marzo </t>
  </si>
  <si>
    <t xml:space="preserve">Tipo de Pensión </t>
  </si>
  <si>
    <t>Trimestre Enero-Marzo
Al 31 de marzo 2025</t>
  </si>
  <si>
    <t>Trimestre Enero-Marzo
Al 31 de marzo 2026</t>
  </si>
  <si>
    <t xml:space="preserve">Tipo  </t>
  </si>
  <si>
    <t>Cantidad 
(Var Absoluta)</t>
  </si>
  <si>
    <t>Porcentaje
(Var Porcentual)</t>
  </si>
  <si>
    <t>Monto
(Var Absoluta)</t>
  </si>
  <si>
    <t>PENSIÓN CIVIL</t>
  </si>
  <si>
    <t>GLORIAS DEL DEPORTE</t>
  </si>
  <si>
    <t>PABELLÓN DE LA FAMA</t>
  </si>
  <si>
    <t>PODER LEGISLATIVO</t>
  </si>
  <si>
    <t>PODER EJECUTIVO</t>
  </si>
  <si>
    <t>POLICÍA NACIONAL</t>
  </si>
  <si>
    <t>PENSIÓN SOLIDARIA</t>
  </si>
  <si>
    <t>PENSION POR SOBREVIVENCIA</t>
  </si>
  <si>
    <t>TOTALES:</t>
  </si>
  <si>
    <r>
      <rPr>
        <b/>
        <sz val="8"/>
        <color theme="1"/>
        <rFont val="Calibri"/>
        <family val="2"/>
        <scheme val="minor"/>
      </rPr>
      <t>Fuente:</t>
    </r>
    <r>
      <rPr>
        <sz val="8"/>
        <color theme="1"/>
        <rFont val="Calibri"/>
        <family val="2"/>
        <scheme val="minor"/>
      </rPr>
      <t xml:space="preserve"> Departamento de Gestión Financiera de Pensiones.</t>
    </r>
  </si>
  <si>
    <t>Modalidad de Pago</t>
  </si>
  <si>
    <t>Pensiones Civiles</t>
  </si>
  <si>
    <t>Pensiones Solidarias</t>
  </si>
  <si>
    <t>Electrónico</t>
  </si>
  <si>
    <t>Cheque</t>
  </si>
  <si>
    <t xml:space="preserve">Electrónico </t>
  </si>
  <si>
    <t>Cantidad de Pensiones</t>
  </si>
  <si>
    <t>Cantidad  Pensiones</t>
  </si>
  <si>
    <t>Cantidad Electrónico</t>
  </si>
  <si>
    <t>Cantidad Cheque</t>
  </si>
  <si>
    <r>
      <rPr>
        <b/>
        <sz val="8"/>
        <color theme="1"/>
        <rFont val="Calibri"/>
        <family val="2"/>
        <scheme val="minor"/>
      </rPr>
      <t xml:space="preserve">Fuente: </t>
    </r>
    <r>
      <rPr>
        <sz val="8"/>
        <color theme="1"/>
        <rFont val="Calibri"/>
        <family val="2"/>
        <scheme val="minor"/>
      </rPr>
      <t>SJP, Departamento de Gestión Financiera de Pensiones.</t>
    </r>
  </si>
  <si>
    <t>Pago de Retroactivos</t>
  </si>
  <si>
    <t>Estadíticas Trimestre Enero-Marzo</t>
  </si>
  <si>
    <t>Cantidad 
Pensionados</t>
  </si>
  <si>
    <t>Cantidad 
Pensiones</t>
  </si>
  <si>
    <t>Regalia</t>
  </si>
  <si>
    <t>Diciembre**</t>
  </si>
  <si>
    <t xml:space="preserve"> **Estos totales incluyen las nóminas adicionales de regalía de pensionados inactivos.</t>
  </si>
  <si>
    <r>
      <rPr>
        <b/>
        <sz val="8"/>
        <color theme="1"/>
        <rFont val="Calibri"/>
        <family val="2"/>
        <scheme val="minor"/>
      </rPr>
      <t xml:space="preserve">Fuente: </t>
    </r>
    <r>
      <rPr>
        <sz val="8"/>
        <color theme="1"/>
        <rFont val="Calibri"/>
        <family val="2"/>
        <scheme val="minor"/>
      </rPr>
      <t>Departamento de Gestión Financiera de Pensiones.</t>
    </r>
  </si>
  <si>
    <t>Direccion General de Jubilaciones y Pensiones a Cargo del Estado</t>
  </si>
  <si>
    <t>Reintegro de Cheques</t>
  </si>
  <si>
    <t>Estadíticas Trimestre Abril-Junio</t>
  </si>
  <si>
    <t>Año 2021</t>
  </si>
  <si>
    <t>DGJP</t>
  </si>
  <si>
    <t>Cantidad 
de Cheques</t>
  </si>
  <si>
    <t xml:space="preserve"> *Estos totales incluyen las nóminas adicionales de regalía de pensionados inactivos.</t>
  </si>
  <si>
    <t>Fuente: SIJUPEN</t>
  </si>
  <si>
    <t>Créditos Rechazados</t>
  </si>
  <si>
    <t xml:space="preserve">Cantidad 
</t>
  </si>
  <si>
    <t>Pagos Únicos Compensatorios</t>
  </si>
  <si>
    <t>Recuperación de Fondos</t>
  </si>
  <si>
    <t>Cantidad 
Solicitudes</t>
  </si>
  <si>
    <t>Monto 
Solicitado</t>
  </si>
  <si>
    <t>Monto Recuperado 
Años Anteriores</t>
  </si>
  <si>
    <t>Monto Recuperado 
Año en Curso</t>
  </si>
  <si>
    <t>Total 
Recuperado</t>
  </si>
  <si>
    <t>% Recuperado</t>
  </si>
  <si>
    <t>Dirección de Servicios y Trámite de Pensiones</t>
  </si>
  <si>
    <t>Gestión de Servicios a Pensionados</t>
  </si>
  <si>
    <t>Solicitudes Recibidas</t>
  </si>
  <si>
    <t xml:space="preserve">Descripción </t>
  </si>
  <si>
    <t>Recibidas</t>
  </si>
  <si>
    <t>Procesadas</t>
  </si>
  <si>
    <t>% Eficiencia</t>
  </si>
  <si>
    <t>Modificación Datos Críticos</t>
  </si>
  <si>
    <t>Pensión por sobrevivencia</t>
  </si>
  <si>
    <t>Registro de Poderes</t>
  </si>
  <si>
    <t>Solicitud Aplicación/Suspensión de Descuento 2%</t>
  </si>
  <si>
    <t>Solicitud de actualización de datos  Pensionados</t>
  </si>
  <si>
    <t>Solicitud de Exclusión</t>
  </si>
  <si>
    <t>Solicitud de Inclusión a Nómina</t>
  </si>
  <si>
    <t>Solicitud de Reajuste de Pensión</t>
  </si>
  <si>
    <t>Solicitud de Reclamación de Deuda</t>
  </si>
  <si>
    <t>Solicitud Pago Único Compensatorio</t>
  </si>
  <si>
    <t>Solicitud Pensión</t>
  </si>
  <si>
    <t>Solicitud Re-activación/Re-inclusión Pensión</t>
  </si>
  <si>
    <t>Solicitud Traspaso</t>
  </si>
  <si>
    <t>Total:</t>
  </si>
  <si>
    <r>
      <rPr>
        <b/>
        <sz val="8"/>
        <rFont val="Calibri"/>
        <family val="2"/>
        <scheme val="minor"/>
      </rPr>
      <t>Fuente:</t>
    </r>
    <r>
      <rPr>
        <sz val="8"/>
        <rFont val="Calibri"/>
        <family val="2"/>
        <scheme val="minor"/>
      </rPr>
      <t xml:space="preserve"> Metabase DAP</t>
    </r>
  </si>
  <si>
    <t xml:space="preserve">Trimestre 1 </t>
  </si>
  <si>
    <t>Otorgadas</t>
  </si>
  <si>
    <t>Sobrevivencia Civil</t>
  </si>
  <si>
    <t>Sobrevivencia Policía Nacional</t>
  </si>
  <si>
    <t>Discapacidad Civil</t>
  </si>
  <si>
    <t>Discapacidad Policía Nacional</t>
  </si>
  <si>
    <r>
      <rPr>
        <b/>
        <sz val="8"/>
        <rFont val="Calibri"/>
        <family val="2"/>
        <scheme val="minor"/>
      </rPr>
      <t xml:space="preserve">Fuente: </t>
    </r>
    <r>
      <rPr>
        <sz val="8"/>
        <rFont val="Calibri"/>
        <family val="2"/>
        <scheme val="minor"/>
      </rPr>
      <t>Departamento de Autoseguro</t>
    </r>
  </si>
  <si>
    <r>
      <rPr>
        <b/>
        <sz val="8"/>
        <rFont val="Calibri"/>
        <family val="2"/>
        <scheme val="minor"/>
      </rPr>
      <t xml:space="preserve">Nota: </t>
    </r>
    <r>
      <rPr>
        <sz val="8"/>
        <color theme="1"/>
        <rFont val="Calibri"/>
        <family val="2"/>
        <scheme val="minor"/>
      </rPr>
      <t xml:space="preserve">El proceso de análisis de solicitudes de pensiones de autoseguro requiere de la intervención de varias instituciones, siendo un proceso que puede tardar incluso varios meses. Esto provoca que, el número de otorgamientos sea superior al número de expedientes recibidos en algunas ocasiones, y viceversa. </t>
    </r>
  </si>
  <si>
    <r>
      <rPr>
        <b/>
        <sz val="8"/>
        <color theme="1"/>
        <rFont val="Calibri"/>
        <family val="2"/>
        <scheme val="minor"/>
      </rPr>
      <t xml:space="preserve">Nota: </t>
    </r>
    <r>
      <rPr>
        <sz val="8"/>
        <color theme="1"/>
        <rFont val="Calibri"/>
        <family val="2"/>
        <scheme val="minor"/>
      </rPr>
      <t>El monto no ejecutado en el T1 corresponde a la programación del pago del reajuste salarial del Grupo 4. Dicho pago no pudo realizarse debido a que la aprobación del MAP no fue recibida dentro del plazo establecido, por lo que la ejecución fue reprogramada para el siguiente trimestre.</t>
    </r>
  </si>
  <si>
    <t>**Nota: Se presenta la información en base a los trámites gestionados dentro del mes por las distintas Divisiones del Departamento de Gestión Financiera. El monto de ajuste de partidas devengadas corresponde a los rechazos en transferencias de las diferentes nominas (civil, policia, solidaria y adicionales).</t>
  </si>
  <si>
    <t>El monto restante, fue validado contra SIGEF.</t>
  </si>
  <si>
    <t xml:space="preserve">Enero </t>
  </si>
  <si>
    <t>Solicitudes Recibidas y Otorgadas T1-2026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</si>
</sst>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0.00_);_(&quot;$&quot;* \(#,##0.00\);_(&quot;$&quot;* &quot;-&quot;??_);_(@_)"/>
    <numFmt numFmtId="43" formatCode="_(* #,##0.00_);_(* \(#,##0.00\);_(* &quot;-&quot;??_);_(@_)"/>
    <numFmt numFmtId="164" formatCode="0.0%"/>
    <numFmt numFmtId="165" formatCode="_(* #,##0_);_(* \(#,##0\);_(* &quot;-&quot;??_);_(@_)"/>
    <numFmt numFmtId="166" formatCode="&quot;$&quot;#,##0.00"/>
    <numFmt numFmtId="167" formatCode="_(* #,##0.0_);_(* \(#,##0.0\);_(* &quot;-&quot;??_);_(@_)"/>
    <numFmt numFmtId="168" formatCode="0_);[Red]\(0\)"/>
  </numFmts>
  <fonts count="37"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sz val="10"/>
      <color rgb="FF000000"/>
      <name val="Calibri"/>
      <family val="2"/>
      <scheme val="minor"/>
    </font>
    <font>
      <b/>
      <i/>
      <sz val="10"/>
      <color rgb="FF000000"/>
      <name val="Calibri"/>
      <family val="2"/>
      <scheme val="minor"/>
    </font>
    <font>
      <b/>
      <sz val="10"/>
      <color rgb="FF000000"/>
      <name val="Calibri"/>
      <family val="2"/>
      <scheme val="minor"/>
    </font>
    <font>
      <sz val="10"/>
      <color indexed="8"/>
      <name val="Arial"/>
      <family val="2"/>
    </font>
    <font>
      <b/>
      <sz val="11"/>
      <color rgb="FFFF0000"/>
      <name val="Calibri"/>
      <family val="2"/>
      <scheme val="minor"/>
    </font>
    <font>
      <b/>
      <sz val="12"/>
      <color theme="1"/>
      <name val="Calibri"/>
      <family val="2"/>
      <scheme val="minor"/>
    </font>
    <font>
      <b/>
      <i/>
      <sz val="10"/>
      <color theme="1"/>
      <name val="Calibri"/>
      <family val="2"/>
      <scheme val="minor"/>
    </font>
    <font>
      <b/>
      <sz val="9"/>
      <color theme="1"/>
      <name val="Calibri"/>
      <family val="2"/>
      <scheme val="minor"/>
    </font>
    <font>
      <sz val="8"/>
      <color theme="1"/>
      <name val="Calibri"/>
      <family val="2"/>
      <scheme val="minor"/>
    </font>
    <font>
      <b/>
      <sz val="8"/>
      <color theme="1"/>
      <name val="Calibri"/>
      <family val="2"/>
      <scheme val="minor"/>
    </font>
    <font>
      <b/>
      <sz val="10"/>
      <name val="Calibri"/>
      <family val="2"/>
      <scheme val="minor"/>
    </font>
    <font>
      <b/>
      <i/>
      <sz val="10"/>
      <name val="Calibri"/>
      <family val="2"/>
      <scheme val="minor"/>
    </font>
    <font>
      <sz val="11"/>
      <color rgb="FF000000"/>
      <name val="Calibri"/>
      <family val="2"/>
      <scheme val="minor"/>
    </font>
    <font>
      <sz val="8"/>
      <color rgb="FFFF0000"/>
      <name val="Calibri"/>
      <family val="2"/>
      <scheme val="minor"/>
    </font>
    <font>
      <sz val="8"/>
      <name val="Calibri"/>
      <family val="2"/>
      <scheme val="minor"/>
    </font>
    <font>
      <sz val="10"/>
      <name val="Calibri"/>
      <family val="2"/>
      <scheme val="minor"/>
    </font>
    <font>
      <b/>
      <sz val="8"/>
      <name val="Calibri"/>
      <family val="2"/>
      <scheme val="minor"/>
    </font>
    <font>
      <sz val="11"/>
      <name val="Calibri"/>
      <family val="2"/>
      <scheme val="minor"/>
    </font>
    <font>
      <sz val="7"/>
      <color theme="1"/>
      <name val="Calibri"/>
      <family val="2"/>
      <scheme val="minor"/>
    </font>
    <font>
      <sz val="11"/>
      <color theme="0"/>
      <name val="Calibri"/>
      <family val="2"/>
      <scheme val="minor"/>
    </font>
    <font>
      <i/>
      <sz val="10"/>
      <name val="Calibri"/>
      <family val="2"/>
      <scheme val="minor"/>
    </font>
    <font>
      <b/>
      <sz val="8"/>
      <color indexed="8"/>
      <name val="Calibri"/>
      <family val="2"/>
    </font>
    <font>
      <sz val="8"/>
      <color indexed="8"/>
      <name val="Calibri"/>
      <family val="2"/>
    </font>
    <font>
      <sz val="7"/>
      <name val="Calibri"/>
      <family val="2"/>
      <scheme val="minor"/>
    </font>
    <font>
      <b/>
      <sz val="7"/>
      <name val="Calibri"/>
      <family val="2"/>
      <scheme val="minor"/>
    </font>
    <font>
      <b/>
      <sz val="11"/>
      <color theme="0"/>
      <name val="Calibri"/>
      <family val="2"/>
      <scheme val="minor"/>
    </font>
    <font>
      <sz val="10"/>
      <color rgb="FF000000"/>
      <name val="Calibri"/>
      <family val="2"/>
    </font>
    <font>
      <b/>
      <sz val="12"/>
      <name val="Calibri"/>
      <family val="2"/>
      <scheme val="minor"/>
    </font>
    <font>
      <b/>
      <i/>
      <sz val="11"/>
      <name val="Calibri"/>
      <family val="2"/>
      <scheme val="minor"/>
    </font>
    <font>
      <b/>
      <i/>
      <sz val="11"/>
      <color rgb="FF000000"/>
      <name val="Calibri"/>
      <family val="2"/>
      <scheme val="minor"/>
    </font>
    <font>
      <b/>
      <sz val="8"/>
      <color rgb="FF000000"/>
      <name val="Calibri"/>
      <family val="2"/>
    </font>
    <font>
      <sz val="10"/>
      <color theme="1"/>
      <name val="Arial"/>
      <family val="2"/>
    </font>
  </fonts>
  <fills count="19">
    <fill>
      <patternFill patternType="none"/>
    </fill>
    <fill>
      <patternFill patternType="gray125"/>
    </fill>
    <fill>
      <patternFill patternType="solid">
        <fgColor theme="6"/>
        <bgColor indexed="64"/>
      </patternFill>
    </fill>
    <fill>
      <patternFill patternType="solid">
        <fgColor theme="4"/>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3" tint="0.399975585192419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9"/>
        <bgColor indexed="64"/>
      </patternFill>
    </fill>
    <fill>
      <patternFill patternType="solid">
        <fgColor theme="8" tint="-0.249977111117893"/>
        <bgColor indexed="64"/>
      </patternFill>
    </fill>
    <fill>
      <patternFill patternType="solid">
        <fgColor theme="0" tint="-0.34998626667073579"/>
        <bgColor indexed="64"/>
      </patternFill>
    </fill>
  </fills>
  <borders count="1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0" fontId="8" fillId="0" borderId="0">
      <alignment vertical="top"/>
    </xf>
    <xf numFmtId="44" fontId="1" fillId="0" borderId="0" applyFont="0" applyFill="0" applyBorder="0" applyAlignment="0" applyProtection="0"/>
  </cellStyleXfs>
  <cellXfs count="387">
    <xf numFmtId="0" fontId="0" fillId="0" borderId="0" xfId="0"/>
    <xf numFmtId="0" fontId="0" fillId="0" borderId="0" xfId="0" applyProtection="1">
      <protection locked="0"/>
    </xf>
    <xf numFmtId="9" fontId="5" fillId="0" borderId="0" xfId="0" applyNumberFormat="1" applyFont="1" applyAlignment="1">
      <alignment horizontal="center" vertical="center"/>
    </xf>
    <xf numFmtId="9" fontId="7" fillId="7" borderId="0" xfId="0" applyNumberFormat="1" applyFont="1" applyFill="1" applyAlignment="1">
      <alignment horizontal="center" vertical="center"/>
    </xf>
    <xf numFmtId="9" fontId="4" fillId="0" borderId="0" xfId="0" applyNumberFormat="1" applyFont="1" applyAlignment="1">
      <alignment horizontal="center" vertical="center"/>
    </xf>
    <xf numFmtId="9" fontId="3" fillId="7" borderId="0" xfId="0" applyNumberFormat="1" applyFont="1" applyFill="1" applyAlignment="1">
      <alignment horizontal="center" vertical="center"/>
    </xf>
    <xf numFmtId="9" fontId="3" fillId="10" borderId="0" xfId="0" applyNumberFormat="1" applyFont="1" applyFill="1" applyAlignment="1">
      <alignment horizontal="center" vertical="center"/>
    </xf>
    <xf numFmtId="9" fontId="7" fillId="10" borderId="0" xfId="0" applyNumberFormat="1" applyFont="1" applyFill="1" applyAlignment="1">
      <alignment horizontal="center" vertical="center"/>
    </xf>
    <xf numFmtId="3" fontId="6" fillId="7" borderId="0" xfId="0" applyNumberFormat="1" applyFont="1" applyFill="1" applyAlignment="1">
      <alignment horizontal="center" vertical="center"/>
    </xf>
    <xf numFmtId="165" fontId="6" fillId="7" borderId="0" xfId="2" applyNumberFormat="1" applyFont="1" applyFill="1" applyBorder="1" applyAlignment="1" applyProtection="1">
      <alignment horizontal="center" vertical="center"/>
    </xf>
    <xf numFmtId="3" fontId="6" fillId="10" borderId="0" xfId="0" applyNumberFormat="1" applyFont="1" applyFill="1" applyAlignment="1">
      <alignment horizontal="center" vertical="center"/>
    </xf>
    <xf numFmtId="165" fontId="6" fillId="10" borderId="0" xfId="2" applyNumberFormat="1" applyFont="1" applyFill="1" applyBorder="1" applyAlignment="1" applyProtection="1">
      <alignment horizontal="center" vertical="center"/>
    </xf>
    <xf numFmtId="0" fontId="6" fillId="7" borderId="0" xfId="0" applyFont="1" applyFill="1" applyAlignment="1" applyProtection="1">
      <alignment horizontal="left" vertical="center"/>
      <protection locked="0"/>
    </xf>
    <xf numFmtId="165" fontId="6" fillId="7" borderId="0" xfId="0" applyNumberFormat="1" applyFont="1" applyFill="1" applyAlignment="1">
      <alignment horizontal="center" vertical="center"/>
    </xf>
    <xf numFmtId="3" fontId="0" fillId="0" borderId="0" xfId="0" applyNumberFormat="1" applyProtection="1">
      <protection locked="0"/>
    </xf>
    <xf numFmtId="0" fontId="13" fillId="0" borderId="0" xfId="0" applyFont="1" applyProtection="1">
      <protection locked="0"/>
    </xf>
    <xf numFmtId="9" fontId="6" fillId="7" borderId="0" xfId="1" applyFont="1" applyFill="1" applyBorder="1" applyAlignment="1" applyProtection="1">
      <alignment horizontal="center" vertical="center"/>
    </xf>
    <xf numFmtId="9" fontId="6" fillId="10" borderId="0" xfId="1" applyFont="1" applyFill="1" applyBorder="1" applyAlignment="1" applyProtection="1">
      <alignment horizontal="center" vertical="center"/>
    </xf>
    <xf numFmtId="9" fontId="0" fillId="0" borderId="0" xfId="1" applyFont="1" applyProtection="1">
      <protection locked="0"/>
    </xf>
    <xf numFmtId="3" fontId="2" fillId="0" borderId="0" xfId="0" applyNumberFormat="1" applyFont="1" applyAlignment="1">
      <alignment horizontal="center" vertical="center"/>
    </xf>
    <xf numFmtId="9" fontId="0" fillId="0" borderId="0" xfId="1" applyFont="1" applyAlignment="1" applyProtection="1">
      <alignment horizontal="center" vertical="center"/>
    </xf>
    <xf numFmtId="0" fontId="3" fillId="0" borderId="0" xfId="0" applyFont="1" applyProtection="1">
      <protection locked="0"/>
    </xf>
    <xf numFmtId="0" fontId="2" fillId="0" borderId="0" xfId="0" applyFont="1" applyProtection="1">
      <protection locked="0"/>
    </xf>
    <xf numFmtId="3" fontId="6" fillId="10" borderId="0" xfId="0" applyNumberFormat="1" applyFont="1" applyFill="1" applyAlignment="1">
      <alignment horizontal="left" vertical="center" wrapText="1"/>
    </xf>
    <xf numFmtId="9" fontId="2" fillId="9" borderId="0" xfId="1" applyFont="1" applyFill="1" applyAlignment="1" applyProtection="1">
      <alignment horizontal="center"/>
    </xf>
    <xf numFmtId="0" fontId="2" fillId="9" borderId="0" xfId="0" applyFont="1" applyFill="1"/>
    <xf numFmtId="3" fontId="3" fillId="0" borderId="0" xfId="0" applyNumberFormat="1" applyFont="1" applyAlignment="1">
      <alignment horizontal="center"/>
    </xf>
    <xf numFmtId="0" fontId="6" fillId="7" borderId="0" xfId="0" applyFont="1" applyFill="1" applyAlignment="1">
      <alignment horizontal="left" vertical="center"/>
    </xf>
    <xf numFmtId="0" fontId="6" fillId="10" borderId="0" xfId="0" applyFont="1" applyFill="1" applyAlignment="1">
      <alignment horizontal="left" vertical="center" wrapText="1"/>
    </xf>
    <xf numFmtId="0" fontId="6" fillId="10" borderId="0" xfId="0" applyFont="1" applyFill="1" applyAlignment="1">
      <alignment horizontal="center" vertical="center" wrapText="1"/>
    </xf>
    <xf numFmtId="0" fontId="0" fillId="10" borderId="0" xfId="0" applyFill="1"/>
    <xf numFmtId="0" fontId="4" fillId="0" borderId="0" xfId="0" applyFont="1" applyAlignment="1" applyProtection="1">
      <alignment horizontal="left" vertical="center"/>
      <protection locked="0"/>
    </xf>
    <xf numFmtId="165" fontId="4" fillId="0" borderId="0" xfId="2" applyNumberFormat="1" applyFont="1" applyBorder="1" applyAlignment="1" applyProtection="1">
      <alignment horizontal="center"/>
      <protection locked="0"/>
    </xf>
    <xf numFmtId="2" fontId="0" fillId="0" borderId="0" xfId="0" applyNumberFormat="1" applyProtection="1">
      <protection locked="0"/>
    </xf>
    <xf numFmtId="0" fontId="0" fillId="0" borderId="0" xfId="0" applyAlignment="1" applyProtection="1">
      <alignment horizontal="center"/>
      <protection locked="0"/>
    </xf>
    <xf numFmtId="165" fontId="0" fillId="0" borderId="0" xfId="0" applyNumberFormat="1" applyProtection="1">
      <protection locked="0"/>
    </xf>
    <xf numFmtId="43" fontId="0" fillId="0" borderId="0" xfId="0" applyNumberFormat="1" applyProtection="1">
      <protection locked="0"/>
    </xf>
    <xf numFmtId="165" fontId="3" fillId="0" borderId="0" xfId="2" applyNumberFormat="1" applyFont="1" applyFill="1" applyBorder="1" applyAlignment="1" applyProtection="1">
      <alignment horizontal="center"/>
    </xf>
    <xf numFmtId="165" fontId="3" fillId="0" borderId="0" xfId="2" applyNumberFormat="1" applyFont="1" applyFill="1" applyBorder="1" applyAlignment="1" applyProtection="1">
      <alignment horizontal="center" vertical="center"/>
    </xf>
    <xf numFmtId="165" fontId="11" fillId="7" borderId="0" xfId="2" applyNumberFormat="1" applyFont="1" applyFill="1" applyBorder="1" applyAlignment="1" applyProtection="1">
      <alignment horizontal="center"/>
    </xf>
    <xf numFmtId="165" fontId="11" fillId="7" borderId="0" xfId="2" applyNumberFormat="1" applyFont="1" applyFill="1" applyBorder="1" applyAlignment="1" applyProtection="1">
      <alignment horizontal="center" vertical="center"/>
    </xf>
    <xf numFmtId="165" fontId="11" fillId="10" borderId="0" xfId="2" applyNumberFormat="1" applyFont="1" applyFill="1" applyBorder="1" applyAlignment="1" applyProtection="1">
      <alignment horizontal="center"/>
    </xf>
    <xf numFmtId="165" fontId="11" fillId="10" borderId="0" xfId="2" applyNumberFormat="1" applyFont="1" applyFill="1" applyBorder="1" applyAlignment="1" applyProtection="1">
      <alignment horizontal="center" vertical="center"/>
    </xf>
    <xf numFmtId="0" fontId="3" fillId="5" borderId="0" xfId="0" applyFont="1" applyFill="1" applyAlignment="1">
      <alignment horizontal="left" vertical="center" wrapText="1"/>
    </xf>
    <xf numFmtId="0" fontId="4" fillId="0" borderId="0" xfId="0" applyFont="1" applyAlignment="1">
      <alignment horizontal="left" vertical="center"/>
    </xf>
    <xf numFmtId="0" fontId="3" fillId="5" borderId="0" xfId="0" applyFont="1" applyFill="1" applyAlignment="1">
      <alignment horizontal="center" vertical="center" wrapText="1"/>
    </xf>
    <xf numFmtId="0" fontId="6" fillId="7" borderId="0" xfId="0" applyFont="1" applyFill="1" applyAlignment="1">
      <alignment horizontal="center" vertical="center"/>
    </xf>
    <xf numFmtId="3" fontId="3" fillId="0" borderId="0" xfId="0" applyNumberFormat="1" applyFont="1" applyAlignment="1">
      <alignment horizontal="center" vertical="center"/>
    </xf>
    <xf numFmtId="165" fontId="6" fillId="10" borderId="0" xfId="2" applyNumberFormat="1" applyFont="1" applyFill="1" applyBorder="1" applyAlignment="1" applyProtection="1">
      <alignment horizontal="center"/>
    </xf>
    <xf numFmtId="0" fontId="6" fillId="10" borderId="0" xfId="0" applyFont="1" applyFill="1" applyAlignment="1">
      <alignment horizontal="center" vertical="center"/>
    </xf>
    <xf numFmtId="165" fontId="6" fillId="10" borderId="0" xfId="2" applyNumberFormat="1" applyFont="1" applyFill="1" applyBorder="1" applyAlignment="1" applyProtection="1">
      <alignment horizontal="left" vertical="center"/>
    </xf>
    <xf numFmtId="3" fontId="8" fillId="0" borderId="0" xfId="0" applyNumberFormat="1" applyFont="1" applyAlignment="1" applyProtection="1">
      <alignment horizontal="center" vertical="top"/>
      <protection locked="0"/>
    </xf>
    <xf numFmtId="4" fontId="8" fillId="0" borderId="0" xfId="0" applyNumberFormat="1" applyFont="1" applyAlignment="1" applyProtection="1">
      <alignment horizontal="center" vertical="top"/>
      <protection locked="0"/>
    </xf>
    <xf numFmtId="0" fontId="2" fillId="0" borderId="0" xfId="0" applyFont="1" applyAlignment="1">
      <alignment horizontal="left"/>
    </xf>
    <xf numFmtId="0" fontId="2" fillId="0" borderId="0" xfId="0" applyFont="1" applyAlignment="1">
      <alignment horizontal="center"/>
    </xf>
    <xf numFmtId="165" fontId="11" fillId="7" borderId="0" xfId="2" applyNumberFormat="1" applyFont="1" applyFill="1" applyBorder="1" applyAlignment="1" applyProtection="1">
      <alignment vertical="center"/>
    </xf>
    <xf numFmtId="37" fontId="11" fillId="7" borderId="0" xfId="2" applyNumberFormat="1" applyFont="1" applyFill="1" applyBorder="1" applyAlignment="1" applyProtection="1">
      <alignment horizontal="right" vertical="center"/>
    </xf>
    <xf numFmtId="43" fontId="3" fillId="0" borderId="0" xfId="2" applyFont="1" applyFill="1" applyBorder="1" applyAlignment="1" applyProtection="1">
      <alignment horizontal="center" vertical="center"/>
    </xf>
    <xf numFmtId="165" fontId="11" fillId="10" borderId="0" xfId="2" applyNumberFormat="1" applyFont="1" applyFill="1" applyBorder="1" applyAlignment="1" applyProtection="1">
      <alignment vertical="center"/>
    </xf>
    <xf numFmtId="37" fontId="11" fillId="10" borderId="0" xfId="2" applyNumberFormat="1" applyFont="1" applyFill="1" applyBorder="1" applyAlignment="1" applyProtection="1">
      <alignment horizontal="right" vertical="center"/>
    </xf>
    <xf numFmtId="43" fontId="4" fillId="0" borderId="0" xfId="2" applyFont="1" applyBorder="1" applyAlignment="1" applyProtection="1">
      <alignment horizontal="center"/>
      <protection locked="0"/>
    </xf>
    <xf numFmtId="0" fontId="6" fillId="10" borderId="0" xfId="0" applyFont="1" applyFill="1" applyAlignment="1" applyProtection="1">
      <alignment horizontal="left" vertical="center"/>
      <protection locked="0"/>
    </xf>
    <xf numFmtId="0" fontId="13" fillId="0" borderId="0" xfId="0" applyFont="1" applyAlignment="1" applyProtection="1">
      <alignment horizontal="left" vertical="center"/>
      <protection locked="0"/>
    </xf>
    <xf numFmtId="2" fontId="8" fillId="0" borderId="0" xfId="0" applyNumberFormat="1" applyFont="1" applyAlignment="1" applyProtection="1">
      <alignment horizontal="center" vertical="top"/>
      <protection locked="0"/>
    </xf>
    <xf numFmtId="2" fontId="0" fillId="0" borderId="0" xfId="0" applyNumberFormat="1" applyAlignment="1" applyProtection="1">
      <alignment horizontal="center"/>
      <protection locked="0"/>
    </xf>
    <xf numFmtId="43" fontId="3" fillId="0" borderId="0" xfId="2" applyFont="1" applyFill="1" applyBorder="1" applyAlignment="1" applyProtection="1">
      <alignment horizontal="center"/>
    </xf>
    <xf numFmtId="3" fontId="3" fillId="0" borderId="0" xfId="0" applyNumberFormat="1" applyFont="1"/>
    <xf numFmtId="9" fontId="4" fillId="0" borderId="0" xfId="1" applyFont="1" applyBorder="1" applyAlignment="1" applyProtection="1">
      <alignment horizontal="center"/>
    </xf>
    <xf numFmtId="165" fontId="3" fillId="0" borderId="0" xfId="2" applyNumberFormat="1" applyFont="1" applyBorder="1" applyAlignment="1" applyProtection="1"/>
    <xf numFmtId="3" fontId="6" fillId="7" borderId="0" xfId="0" applyNumberFormat="1" applyFont="1" applyFill="1" applyAlignment="1">
      <alignment horizontal="right" vertical="center"/>
    </xf>
    <xf numFmtId="0" fontId="4" fillId="0" borderId="0" xfId="0" applyFont="1" applyAlignment="1">
      <alignment horizontal="left"/>
    </xf>
    <xf numFmtId="0" fontId="6" fillId="10" borderId="0" xfId="0" applyFont="1" applyFill="1" applyAlignment="1">
      <alignment horizontal="left" vertical="center"/>
    </xf>
    <xf numFmtId="165" fontId="5" fillId="0" borderId="0" xfId="2" applyNumberFormat="1" applyFont="1" applyFill="1" applyBorder="1" applyAlignment="1" applyProtection="1">
      <alignment horizontal="center" vertical="center"/>
    </xf>
    <xf numFmtId="43" fontId="6" fillId="7" borderId="0" xfId="2" applyFont="1" applyFill="1" applyBorder="1" applyAlignment="1" applyProtection="1">
      <alignment horizontal="center" vertical="center"/>
    </xf>
    <xf numFmtId="3" fontId="0" fillId="0" borderId="0" xfId="0" applyNumberFormat="1"/>
    <xf numFmtId="4" fontId="0" fillId="0" borderId="0" xfId="0" applyNumberFormat="1" applyProtection="1">
      <protection locked="0"/>
    </xf>
    <xf numFmtId="165" fontId="0" fillId="0" borderId="0" xfId="0" applyNumberFormat="1" applyAlignment="1" applyProtection="1">
      <alignment horizontal="center"/>
      <protection locked="0"/>
    </xf>
    <xf numFmtId="9" fontId="8" fillId="0" borderId="0" xfId="1" applyFont="1" applyBorder="1" applyAlignment="1" applyProtection="1">
      <alignment horizontal="center" vertical="top"/>
    </xf>
    <xf numFmtId="164" fontId="8" fillId="0" borderId="0" xfId="1" applyNumberFormat="1" applyFont="1" applyBorder="1" applyAlignment="1" applyProtection="1">
      <alignment horizontal="center" vertical="top"/>
    </xf>
    <xf numFmtId="3" fontId="15" fillId="0" borderId="0" xfId="0" applyNumberFormat="1" applyFont="1" applyAlignment="1">
      <alignment horizontal="center" vertical="center"/>
    </xf>
    <xf numFmtId="3" fontId="16" fillId="7" borderId="0" xfId="0" applyNumberFormat="1" applyFont="1" applyFill="1" applyAlignment="1">
      <alignment horizontal="center" vertical="center"/>
    </xf>
    <xf numFmtId="165" fontId="0" fillId="12" borderId="0" xfId="0" applyNumberFormat="1" applyFill="1" applyProtection="1">
      <protection locked="0"/>
    </xf>
    <xf numFmtId="10" fontId="8" fillId="0" borderId="0" xfId="1" applyNumberFormat="1" applyFont="1" applyBorder="1" applyAlignment="1" applyProtection="1">
      <alignment horizontal="center" vertical="top"/>
    </xf>
    <xf numFmtId="10" fontId="0" fillId="0" borderId="0" xfId="1" applyNumberFormat="1" applyFont="1" applyProtection="1">
      <protection locked="0"/>
    </xf>
    <xf numFmtId="0" fontId="5" fillId="0" borderId="0" xfId="0" applyFont="1" applyAlignment="1">
      <alignment vertical="center"/>
    </xf>
    <xf numFmtId="0" fontId="5" fillId="0" borderId="0" xfId="0" applyFont="1" applyAlignment="1">
      <alignment horizontal="left" vertical="center"/>
    </xf>
    <xf numFmtId="0" fontId="4" fillId="0" borderId="0" xfId="0" applyFont="1"/>
    <xf numFmtId="0" fontId="3" fillId="5" borderId="0" xfId="0" applyFont="1" applyFill="1" applyAlignment="1">
      <alignment horizontal="left" vertical="center"/>
    </xf>
    <xf numFmtId="10" fontId="6" fillId="7" borderId="0" xfId="1" applyNumberFormat="1" applyFont="1" applyFill="1" applyBorder="1" applyAlignment="1" applyProtection="1">
      <alignment horizontal="center" vertical="center"/>
    </xf>
    <xf numFmtId="3" fontId="8" fillId="0" borderId="4" xfId="0" applyNumberFormat="1" applyFont="1" applyBorder="1" applyAlignment="1" applyProtection="1">
      <alignment horizontal="center" vertical="top"/>
      <protection locked="0"/>
    </xf>
    <xf numFmtId="9" fontId="0" fillId="0" borderId="5" xfId="1" applyFont="1" applyBorder="1" applyAlignment="1" applyProtection="1">
      <alignment horizontal="center"/>
    </xf>
    <xf numFmtId="164" fontId="0" fillId="0" borderId="5" xfId="1" applyNumberFormat="1" applyFont="1" applyBorder="1" applyAlignment="1" applyProtection="1">
      <alignment horizontal="center"/>
    </xf>
    <xf numFmtId="3" fontId="6" fillId="7" borderId="6" xfId="0" applyNumberFormat="1" applyFont="1" applyFill="1" applyBorder="1" applyAlignment="1">
      <alignment horizontal="center" vertical="center"/>
    </xf>
    <xf numFmtId="9" fontId="6" fillId="7" borderId="7" xfId="1" applyFont="1" applyFill="1" applyBorder="1" applyAlignment="1" applyProtection="1">
      <alignment horizontal="center" vertical="center"/>
    </xf>
    <xf numFmtId="3" fontId="6" fillId="7" borderId="7" xfId="0" applyNumberFormat="1" applyFont="1" applyFill="1" applyBorder="1" applyAlignment="1">
      <alignment horizontal="center" vertical="center"/>
    </xf>
    <xf numFmtId="9" fontId="6" fillId="7" borderId="8" xfId="1" applyFont="1" applyFill="1" applyBorder="1" applyAlignment="1" applyProtection="1">
      <alignment horizontal="center" vertical="center"/>
    </xf>
    <xf numFmtId="0" fontId="2" fillId="0" borderId="10" xfId="0" applyFont="1" applyBorder="1" applyAlignment="1">
      <alignment horizontal="left" vertical="top"/>
    </xf>
    <xf numFmtId="0" fontId="2" fillId="0" borderId="10" xfId="0" applyFont="1" applyBorder="1" applyAlignment="1">
      <alignment vertical="top"/>
    </xf>
    <xf numFmtId="0" fontId="6" fillId="7" borderId="11" xfId="0" applyFont="1" applyFill="1" applyBorder="1" applyAlignment="1">
      <alignment horizontal="center" vertical="center"/>
    </xf>
    <xf numFmtId="9" fontId="0" fillId="0" borderId="0" xfId="0" applyNumberFormat="1"/>
    <xf numFmtId="10" fontId="0" fillId="0" borderId="0" xfId="0" applyNumberFormat="1"/>
    <xf numFmtId="4" fontId="0" fillId="0" borderId="0" xfId="0" applyNumberFormat="1"/>
    <xf numFmtId="0" fontId="2" fillId="0" borderId="10" xfId="0" applyFont="1" applyBorder="1" applyAlignment="1">
      <alignment horizontal="left" vertical="center"/>
    </xf>
    <xf numFmtId="14" fontId="0" fillId="0" borderId="0" xfId="0" applyNumberFormat="1"/>
    <xf numFmtId="166" fontId="0" fillId="0" borderId="0" xfId="0" applyNumberFormat="1" applyProtection="1">
      <protection locked="0"/>
    </xf>
    <xf numFmtId="0" fontId="2" fillId="0" borderId="4" xfId="0" applyFont="1" applyBorder="1" applyAlignment="1" applyProtection="1">
      <alignment horizontal="center" vertical="center"/>
      <protection locked="0"/>
    </xf>
    <xf numFmtId="0" fontId="2" fillId="0" borderId="0" xfId="0" applyFont="1" applyAlignment="1">
      <alignment horizontal="center" vertical="center"/>
    </xf>
    <xf numFmtId="0" fontId="2" fillId="0" borderId="0" xfId="0" applyFont="1" applyAlignment="1" applyProtection="1">
      <alignment horizontal="center" vertical="center"/>
      <protection locked="0"/>
    </xf>
    <xf numFmtId="0" fontId="2" fillId="0" borderId="5" xfId="0" applyFont="1" applyBorder="1" applyAlignment="1">
      <alignment horizontal="center" vertical="center"/>
    </xf>
    <xf numFmtId="0" fontId="2" fillId="0" borderId="0" xfId="0" applyFont="1" applyAlignment="1">
      <alignment horizontal="center" vertical="center" wrapText="1"/>
    </xf>
    <xf numFmtId="0" fontId="2" fillId="0" borderId="5" xfId="0" applyFont="1" applyBorder="1" applyAlignment="1">
      <alignment horizontal="center" vertical="center" wrapText="1"/>
    </xf>
    <xf numFmtId="43" fontId="0" fillId="0" borderId="0" xfId="2" applyFont="1" applyProtection="1">
      <protection locked="0"/>
    </xf>
    <xf numFmtId="165" fontId="4" fillId="0" borderId="0" xfId="2" applyNumberFormat="1" applyFont="1" applyBorder="1" applyAlignment="1" applyProtection="1">
      <alignment horizontal="center"/>
    </xf>
    <xf numFmtId="165" fontId="20" fillId="0" borderId="0" xfId="2" applyNumberFormat="1" applyFont="1" applyFill="1" applyBorder="1" applyAlignment="1" applyProtection="1">
      <alignment horizontal="center" vertical="center"/>
    </xf>
    <xf numFmtId="165" fontId="15" fillId="0" borderId="0" xfId="2" applyNumberFormat="1" applyFont="1" applyFill="1" applyBorder="1" applyAlignment="1" applyProtection="1">
      <alignment horizontal="center"/>
    </xf>
    <xf numFmtId="0" fontId="3" fillId="0" borderId="0" xfId="0" applyFont="1" applyAlignment="1">
      <alignment vertical="center" wrapText="1"/>
    </xf>
    <xf numFmtId="0" fontId="3" fillId="0" borderId="0" xfId="0" applyFont="1" applyAlignment="1">
      <alignment horizontal="center" vertical="center" wrapText="1"/>
    </xf>
    <xf numFmtId="3" fontId="17" fillId="0" borderId="0" xfId="0" applyNumberFormat="1" applyFont="1" applyAlignment="1">
      <alignment horizontal="center" vertical="center"/>
    </xf>
    <xf numFmtId="167" fontId="5" fillId="0" borderId="0" xfId="2" applyNumberFormat="1" applyFont="1" applyFill="1" applyBorder="1" applyAlignment="1" applyProtection="1">
      <alignment vertical="center"/>
    </xf>
    <xf numFmtId="0" fontId="6" fillId="7" borderId="0" xfId="0" applyFont="1" applyFill="1" applyAlignment="1">
      <alignment vertical="center"/>
    </xf>
    <xf numFmtId="3" fontId="0" fillId="0" borderId="0" xfId="0" applyNumberFormat="1" applyAlignment="1">
      <alignment horizontal="center"/>
    </xf>
    <xf numFmtId="3" fontId="5" fillId="0" borderId="0" xfId="0" applyNumberFormat="1" applyFont="1" applyAlignment="1">
      <alignment horizontal="center" vertical="center"/>
    </xf>
    <xf numFmtId="43" fontId="5" fillId="0" borderId="0" xfId="2" applyFont="1" applyFill="1" applyBorder="1" applyAlignment="1" applyProtection="1">
      <alignment horizontal="center" vertical="center"/>
    </xf>
    <xf numFmtId="0" fontId="6" fillId="10" borderId="0" xfId="0" applyFont="1" applyFill="1" applyAlignment="1">
      <alignment vertical="center"/>
    </xf>
    <xf numFmtId="0" fontId="23" fillId="0" borderId="0" xfId="0" applyFont="1"/>
    <xf numFmtId="0" fontId="13" fillId="0" borderId="0" xfId="0" applyFont="1"/>
    <xf numFmtId="3" fontId="0" fillId="0" borderId="0" xfId="0" applyNumberFormat="1" applyAlignment="1">
      <alignment horizontal="center" vertical="center"/>
    </xf>
    <xf numFmtId="0" fontId="6" fillId="7" borderId="0" xfId="0" applyFont="1" applyFill="1" applyAlignment="1">
      <alignment horizontal="left" vertical="center" wrapText="1"/>
    </xf>
    <xf numFmtId="0" fontId="19" fillId="0" borderId="0" xfId="0" applyFont="1"/>
    <xf numFmtId="0" fontId="3" fillId="0" borderId="0" xfId="0" applyFont="1" applyAlignment="1">
      <alignment horizontal="left" vertical="center"/>
    </xf>
    <xf numFmtId="0" fontId="3" fillId="0" borderId="0" xfId="0" applyFont="1" applyAlignment="1">
      <alignment horizontal="center" vertical="center"/>
    </xf>
    <xf numFmtId="3" fontId="4" fillId="0" borderId="0" xfId="0" applyNumberFormat="1" applyFont="1" applyAlignment="1">
      <alignment horizontal="center"/>
    </xf>
    <xf numFmtId="9" fontId="0" fillId="0" borderId="0" xfId="1" applyFont="1" applyProtection="1"/>
    <xf numFmtId="0" fontId="2" fillId="9" borderId="0" xfId="0" applyFont="1" applyFill="1" applyAlignment="1">
      <alignment horizontal="left"/>
    </xf>
    <xf numFmtId="0" fontId="18" fillId="0" borderId="0" xfId="0" applyFont="1"/>
    <xf numFmtId="10" fontId="0" fillId="0" borderId="0" xfId="1" applyNumberFormat="1" applyFont="1" applyAlignment="1" applyProtection="1">
      <alignment horizontal="center" vertical="center"/>
    </xf>
    <xf numFmtId="43" fontId="0" fillId="0" borderId="0" xfId="2" applyFont="1" applyBorder="1" applyAlignment="1" applyProtection="1">
      <alignment horizontal="center"/>
    </xf>
    <xf numFmtId="0" fontId="0" fillId="0" borderId="0" xfId="0" applyAlignment="1">
      <alignment horizontal="center"/>
    </xf>
    <xf numFmtId="0" fontId="2" fillId="5" borderId="0" xfId="0" applyFont="1" applyFill="1" applyAlignment="1">
      <alignment horizontal="center"/>
    </xf>
    <xf numFmtId="0" fontId="3" fillId="0" borderId="0" xfId="0" applyFont="1" applyAlignment="1">
      <alignment horizontal="left" vertical="center" wrapText="1"/>
    </xf>
    <xf numFmtId="3" fontId="22" fillId="0" borderId="0" xfId="0" applyNumberFormat="1" applyFont="1" applyAlignment="1">
      <alignment horizontal="center"/>
    </xf>
    <xf numFmtId="165" fontId="4" fillId="0" borderId="0" xfId="2" applyNumberFormat="1" applyFont="1" applyBorder="1" applyAlignment="1" applyProtection="1"/>
    <xf numFmtId="165" fontId="4" fillId="0" borderId="0" xfId="2" applyNumberFormat="1" applyFont="1" applyBorder="1" applyAlignment="1" applyProtection="1">
      <alignment horizontal="center" vertical="center"/>
    </xf>
    <xf numFmtId="0" fontId="4" fillId="5" borderId="0" xfId="0" applyFont="1" applyFill="1"/>
    <xf numFmtId="3" fontId="4" fillId="0" borderId="0" xfId="0" applyNumberFormat="1" applyFont="1" applyAlignment="1">
      <alignment horizontal="center" vertical="center"/>
    </xf>
    <xf numFmtId="0" fontId="3" fillId="6" borderId="9" xfId="0" applyFont="1" applyFill="1" applyBorder="1" applyAlignment="1">
      <alignment vertical="center"/>
    </xf>
    <xf numFmtId="0" fontId="3" fillId="0" borderId="0" xfId="0" applyFont="1" applyAlignment="1">
      <alignment vertical="center"/>
    </xf>
    <xf numFmtId="0" fontId="2" fillId="0" borderId="4" xfId="0" applyFont="1" applyBorder="1" applyAlignment="1">
      <alignment horizontal="center" vertical="center"/>
    </xf>
    <xf numFmtId="0" fontId="2" fillId="0" borderId="4" xfId="0" applyFont="1" applyBorder="1" applyAlignment="1">
      <alignment horizontal="center" vertical="center" wrapText="1"/>
    </xf>
    <xf numFmtId="3" fontId="8" fillId="0" borderId="4" xfId="0" applyNumberFormat="1" applyFont="1" applyBorder="1" applyAlignment="1">
      <alignment horizontal="center" vertical="top"/>
    </xf>
    <xf numFmtId="3" fontId="8" fillId="0" borderId="0" xfId="0" applyNumberFormat="1" applyFont="1" applyAlignment="1">
      <alignment horizontal="center" vertical="top"/>
    </xf>
    <xf numFmtId="0" fontId="0" fillId="0" borderId="4" xfId="0" applyBorder="1"/>
    <xf numFmtId="0" fontId="13" fillId="0" borderId="0" xfId="0" applyFont="1" applyAlignment="1">
      <alignment horizontal="left" vertical="top" wrapText="1"/>
    </xf>
    <xf numFmtId="4" fontId="8" fillId="0" borderId="0" xfId="0" applyNumberFormat="1" applyFont="1" applyAlignment="1">
      <alignment horizontal="center" vertical="top"/>
    </xf>
    <xf numFmtId="165" fontId="3" fillId="0" borderId="0" xfId="0" applyNumberFormat="1" applyFont="1" applyAlignment="1">
      <alignment horizontal="center" vertical="center"/>
    </xf>
    <xf numFmtId="39" fontId="4" fillId="0" borderId="0" xfId="2" applyNumberFormat="1" applyFont="1" applyBorder="1" applyAlignment="1" applyProtection="1">
      <alignment horizontal="center" vertical="center"/>
    </xf>
    <xf numFmtId="43" fontId="4" fillId="0" borderId="0" xfId="2" applyFont="1" applyBorder="1" applyAlignment="1" applyProtection="1">
      <alignment horizontal="center" vertical="center"/>
    </xf>
    <xf numFmtId="10" fontId="2" fillId="9" borderId="0" xfId="1" applyNumberFormat="1" applyFont="1" applyFill="1" applyBorder="1" applyAlignment="1" applyProtection="1">
      <alignment horizontal="center"/>
    </xf>
    <xf numFmtId="165" fontId="0" fillId="0" borderId="0" xfId="0" applyNumberFormat="1"/>
    <xf numFmtId="43" fontId="4" fillId="0" borderId="0" xfId="2" applyFont="1" applyBorder="1" applyAlignment="1" applyProtection="1">
      <alignment horizontal="center"/>
    </xf>
    <xf numFmtId="0" fontId="4" fillId="0" borderId="0" xfId="2" applyNumberFormat="1" applyFont="1" applyBorder="1" applyAlignment="1" applyProtection="1">
      <alignment horizontal="center" vertical="center"/>
    </xf>
    <xf numFmtId="0" fontId="4" fillId="0" borderId="0" xfId="2" applyNumberFormat="1" applyFont="1" applyBorder="1" applyAlignment="1" applyProtection="1">
      <alignment horizontal="center"/>
    </xf>
    <xf numFmtId="0" fontId="13" fillId="0" borderId="0" xfId="0" applyFont="1" applyAlignment="1">
      <alignment horizontal="left" vertical="center"/>
    </xf>
    <xf numFmtId="0" fontId="3" fillId="5" borderId="0" xfId="0" applyFont="1" applyFill="1" applyAlignment="1">
      <alignment horizontal="center" vertical="center"/>
    </xf>
    <xf numFmtId="0" fontId="4" fillId="0" borderId="0" xfId="0" applyFont="1" applyAlignment="1">
      <alignment horizontal="center"/>
    </xf>
    <xf numFmtId="3" fontId="20" fillId="0" borderId="0" xfId="2" applyNumberFormat="1" applyFont="1" applyBorder="1" applyAlignment="1" applyProtection="1"/>
    <xf numFmtId="3" fontId="4" fillId="0" borderId="0" xfId="2" applyNumberFormat="1" applyFont="1" applyBorder="1" applyAlignment="1" applyProtection="1"/>
    <xf numFmtId="0" fontId="20" fillId="0" borderId="0" xfId="0" applyFont="1" applyAlignment="1">
      <alignment horizontal="center"/>
    </xf>
    <xf numFmtId="0" fontId="9" fillId="5" borderId="0" xfId="0" applyFont="1" applyFill="1"/>
    <xf numFmtId="0" fontId="4" fillId="0" borderId="0" xfId="0" applyFont="1" applyAlignment="1">
      <alignment vertical="center" wrapText="1"/>
    </xf>
    <xf numFmtId="0" fontId="4" fillId="0" borderId="0" xfId="0" applyFont="1" applyAlignment="1">
      <alignment horizontal="left" vertical="center" wrapText="1"/>
    </xf>
    <xf numFmtId="165" fontId="25" fillId="0" borderId="0" xfId="2" applyNumberFormat="1" applyFont="1" applyBorder="1" applyAlignment="1" applyProtection="1">
      <protection locked="0"/>
    </xf>
    <xf numFmtId="165" fontId="25" fillId="0" borderId="0" xfId="2" applyNumberFormat="1" applyFont="1" applyBorder="1" applyAlignment="1" applyProtection="1">
      <alignment horizontal="center"/>
      <protection locked="0"/>
    </xf>
    <xf numFmtId="165" fontId="20" fillId="0" borderId="0" xfId="2" applyNumberFormat="1" applyFont="1" applyBorder="1" applyAlignment="1" applyProtection="1">
      <alignment horizontal="center"/>
      <protection locked="0"/>
    </xf>
    <xf numFmtId="0" fontId="24" fillId="13" borderId="0" xfId="0" applyFont="1" applyFill="1" applyProtection="1">
      <protection locked="0"/>
    </xf>
    <xf numFmtId="0" fontId="20" fillId="13" borderId="0" xfId="0" applyFont="1" applyFill="1" applyAlignment="1">
      <alignment horizontal="left" vertical="center" wrapText="1"/>
    </xf>
    <xf numFmtId="165" fontId="20" fillId="0" borderId="0" xfId="2" applyNumberFormat="1" applyFont="1" applyBorder="1" applyAlignment="1" applyProtection="1">
      <protection locked="0"/>
    </xf>
    <xf numFmtId="165" fontId="15" fillId="13" borderId="0" xfId="0" applyNumberFormat="1" applyFont="1" applyFill="1" applyAlignment="1">
      <alignment horizontal="center" vertical="center" wrapText="1"/>
    </xf>
    <xf numFmtId="165" fontId="4" fillId="0" borderId="0" xfId="2" applyNumberFormat="1" applyFont="1" applyBorder="1" applyAlignment="1" applyProtection="1">
      <alignment horizontal="center" vertical="center"/>
      <protection locked="0"/>
    </xf>
    <xf numFmtId="165" fontId="3" fillId="0" borderId="0" xfId="0" applyNumberFormat="1" applyFont="1" applyAlignment="1">
      <alignment horizontal="center" vertical="center" wrapText="1"/>
    </xf>
    <xf numFmtId="165" fontId="4" fillId="0" borderId="0" xfId="2" applyNumberFormat="1" applyFont="1" applyBorder="1" applyAlignment="1" applyProtection="1">
      <alignment horizontal="right"/>
      <protection locked="0"/>
    </xf>
    <xf numFmtId="0" fontId="3" fillId="13" borderId="0" xfId="0" applyFont="1" applyFill="1" applyAlignment="1">
      <alignment horizontal="center" vertical="center" wrapText="1"/>
    </xf>
    <xf numFmtId="165" fontId="11" fillId="7" borderId="0" xfId="2" applyNumberFormat="1" applyFont="1" applyFill="1" applyBorder="1" applyAlignment="1" applyProtection="1">
      <alignment horizontal="right"/>
    </xf>
    <xf numFmtId="3" fontId="4" fillId="0" borderId="0" xfId="0" applyNumberFormat="1" applyFont="1" applyAlignment="1" applyProtection="1">
      <alignment horizontal="center" vertical="center"/>
      <protection locked="0"/>
    </xf>
    <xf numFmtId="3" fontId="11" fillId="7" borderId="0" xfId="0" applyNumberFormat="1" applyFont="1" applyFill="1" applyAlignment="1" applyProtection="1">
      <alignment horizontal="center" vertical="center"/>
      <protection locked="0"/>
    </xf>
    <xf numFmtId="3" fontId="11" fillId="13" borderId="0" xfId="0" applyNumberFormat="1" applyFont="1" applyFill="1" applyAlignment="1" applyProtection="1">
      <alignment horizontal="center" vertical="center"/>
      <protection locked="0"/>
    </xf>
    <xf numFmtId="9" fontId="0" fillId="0" borderId="0" xfId="0" applyNumberFormat="1" applyProtection="1">
      <protection locked="0"/>
    </xf>
    <xf numFmtId="0" fontId="0" fillId="13" borderId="0" xfId="0" applyFill="1"/>
    <xf numFmtId="0" fontId="13" fillId="13" borderId="0" xfId="0" applyFont="1" applyFill="1"/>
    <xf numFmtId="0" fontId="13" fillId="13" borderId="0" xfId="0" applyFont="1" applyFill="1" applyProtection="1">
      <protection locked="0"/>
    </xf>
    <xf numFmtId="0" fontId="19" fillId="13" borderId="0" xfId="0" applyFont="1" applyFill="1"/>
    <xf numFmtId="9" fontId="0" fillId="0" borderId="0" xfId="1" applyFont="1" applyFill="1" applyBorder="1" applyAlignment="1" applyProtection="1">
      <alignment horizontal="center" vertical="center"/>
    </xf>
    <xf numFmtId="3" fontId="0" fillId="0" borderId="0" xfId="0" applyNumberFormat="1" applyAlignment="1">
      <alignment horizontal="left" vertical="center"/>
    </xf>
    <xf numFmtId="164" fontId="0" fillId="0" borderId="0" xfId="0" applyNumberFormat="1"/>
    <xf numFmtId="0" fontId="0" fillId="0" borderId="0" xfId="0" applyAlignment="1">
      <alignment horizontal="left"/>
    </xf>
    <xf numFmtId="0" fontId="12" fillId="5" borderId="0" xfId="0" applyFont="1" applyFill="1" applyAlignment="1">
      <alignment horizontal="center" vertical="center" wrapText="1"/>
    </xf>
    <xf numFmtId="1" fontId="0" fillId="0" borderId="0" xfId="0" applyNumberFormat="1" applyProtection="1">
      <protection locked="0"/>
    </xf>
    <xf numFmtId="3" fontId="4" fillId="0" borderId="0" xfId="2" applyNumberFormat="1" applyFont="1" applyBorder="1" applyAlignment="1" applyProtection="1">
      <alignment horizontal="center"/>
      <protection locked="0"/>
    </xf>
    <xf numFmtId="3" fontId="8" fillId="0" borderId="0" xfId="0" applyNumberFormat="1" applyFont="1" applyAlignment="1">
      <alignment horizontal="center"/>
    </xf>
    <xf numFmtId="0" fontId="27" fillId="0" borderId="0" xfId="0" applyFont="1"/>
    <xf numFmtId="0" fontId="2" fillId="0" borderId="0" xfId="0" applyFont="1" applyAlignment="1" applyProtection="1">
      <alignment horizontal="center"/>
      <protection locked="0"/>
    </xf>
    <xf numFmtId="0" fontId="3" fillId="0" borderId="0" xfId="0" applyFont="1" applyAlignment="1">
      <alignment horizontal="left"/>
    </xf>
    <xf numFmtId="0" fontId="3" fillId="9" borderId="0" xfId="0" applyFont="1" applyFill="1" applyAlignment="1">
      <alignment horizontal="left"/>
    </xf>
    <xf numFmtId="0" fontId="3" fillId="9" borderId="0" xfId="0" applyFont="1" applyFill="1"/>
    <xf numFmtId="9" fontId="4" fillId="0" borderId="0" xfId="1" applyFont="1" applyFill="1" applyBorder="1" applyAlignment="1" applyProtection="1">
      <alignment horizontal="center" vertical="center" wrapText="1"/>
    </xf>
    <xf numFmtId="4" fontId="0" fillId="0" borderId="0" xfId="0" applyNumberFormat="1" applyAlignment="1" applyProtection="1">
      <alignment horizontal="center"/>
      <protection locked="0"/>
    </xf>
    <xf numFmtId="4" fontId="4" fillId="0" borderId="0" xfId="0" applyNumberFormat="1" applyFont="1" applyAlignment="1">
      <alignment horizontal="center" vertical="center" wrapText="1"/>
    </xf>
    <xf numFmtId="4" fontId="5" fillId="0" borderId="0" xfId="0" applyNumberFormat="1" applyFont="1" applyAlignment="1">
      <alignment horizontal="center" vertical="center"/>
    </xf>
    <xf numFmtId="4" fontId="5" fillId="0" borderId="0" xfId="2" applyNumberFormat="1" applyFont="1" applyFill="1" applyBorder="1" applyAlignment="1" applyProtection="1">
      <alignment horizontal="center" vertical="center"/>
    </xf>
    <xf numFmtId="10" fontId="20" fillId="0" borderId="0" xfId="1" applyNumberFormat="1" applyFont="1" applyFill="1" applyBorder="1" applyAlignment="1" applyProtection="1">
      <alignment horizontal="center" vertical="center" wrapText="1"/>
    </xf>
    <xf numFmtId="4" fontId="16" fillId="7" borderId="0" xfId="0" applyNumberFormat="1" applyFont="1" applyFill="1" applyAlignment="1">
      <alignment horizontal="center" vertical="center"/>
    </xf>
    <xf numFmtId="4" fontId="6" fillId="7" borderId="0" xfId="0" applyNumberFormat="1" applyFont="1" applyFill="1" applyAlignment="1">
      <alignment horizontal="center" vertical="center"/>
    </xf>
    <xf numFmtId="10" fontId="4" fillId="0" borderId="0" xfId="1" applyNumberFormat="1" applyFont="1" applyFill="1" applyBorder="1" applyAlignment="1" applyProtection="1">
      <alignment horizontal="center" vertical="center" wrapText="1"/>
    </xf>
    <xf numFmtId="10" fontId="3" fillId="7" borderId="0" xfId="1" applyNumberFormat="1" applyFont="1" applyFill="1" applyAlignment="1">
      <alignment horizontal="center" vertical="center"/>
    </xf>
    <xf numFmtId="10" fontId="15" fillId="7" borderId="0" xfId="1" applyNumberFormat="1" applyFont="1" applyFill="1" applyAlignment="1">
      <alignment horizontal="center" vertical="center"/>
    </xf>
    <xf numFmtId="43" fontId="20" fillId="0" borderId="0" xfId="2" applyFont="1" applyBorder="1" applyAlignment="1" applyProtection="1">
      <alignment horizontal="center"/>
      <protection locked="0"/>
    </xf>
    <xf numFmtId="43" fontId="25" fillId="0" borderId="0" xfId="2" applyFont="1" applyBorder="1" applyAlignment="1" applyProtection="1">
      <alignment horizontal="center"/>
      <protection locked="0"/>
    </xf>
    <xf numFmtId="43" fontId="15" fillId="13" borderId="0" xfId="0" applyNumberFormat="1" applyFont="1" applyFill="1" applyAlignment="1">
      <alignment horizontal="center" vertical="center" wrapText="1"/>
    </xf>
    <xf numFmtId="43" fontId="4" fillId="0" borderId="0" xfId="2" applyFont="1" applyBorder="1" applyAlignment="1" applyProtection="1">
      <alignment horizontal="center" vertical="center"/>
      <protection locked="0"/>
    </xf>
    <xf numFmtId="4" fontId="4" fillId="0" borderId="0" xfId="2" applyNumberFormat="1" applyFont="1" applyBorder="1" applyAlignment="1" applyProtection="1">
      <alignment horizontal="center"/>
      <protection locked="0"/>
    </xf>
    <xf numFmtId="4" fontId="11" fillId="7" borderId="0" xfId="0" applyNumberFormat="1" applyFont="1" applyFill="1" applyAlignment="1" applyProtection="1">
      <alignment horizontal="center" vertical="center"/>
      <protection locked="0"/>
    </xf>
    <xf numFmtId="4" fontId="11" fillId="13" borderId="0" xfId="0" applyNumberFormat="1" applyFont="1" applyFill="1" applyAlignment="1" applyProtection="1">
      <alignment horizontal="center" vertical="center"/>
      <protection locked="0"/>
    </xf>
    <xf numFmtId="43" fontId="11" fillId="7" borderId="0" xfId="0" applyNumberFormat="1" applyFont="1" applyFill="1" applyAlignment="1" applyProtection="1">
      <alignment horizontal="center" vertical="center"/>
      <protection locked="0"/>
    </xf>
    <xf numFmtId="10" fontId="6" fillId="7" borderId="7" xfId="1" applyNumberFormat="1" applyFont="1" applyFill="1" applyBorder="1" applyAlignment="1" applyProtection="1">
      <alignment horizontal="center" vertical="center"/>
    </xf>
    <xf numFmtId="10" fontId="6" fillId="7" borderId="8" xfId="1" applyNumberFormat="1" applyFont="1" applyFill="1" applyBorder="1" applyAlignment="1" applyProtection="1">
      <alignment horizontal="center" vertical="center"/>
    </xf>
    <xf numFmtId="4" fontId="16" fillId="7" borderId="7" xfId="0" applyNumberFormat="1" applyFont="1" applyFill="1" applyBorder="1" applyAlignment="1">
      <alignment horizontal="center" vertical="center"/>
    </xf>
    <xf numFmtId="4" fontId="6" fillId="7" borderId="7" xfId="0" applyNumberFormat="1" applyFont="1" applyFill="1" applyBorder="1" applyAlignment="1">
      <alignment horizontal="center" vertical="center"/>
    </xf>
    <xf numFmtId="43" fontId="4" fillId="0" borderId="0" xfId="2" applyFont="1" applyBorder="1" applyAlignment="1" applyProtection="1">
      <alignment horizontal="right" vertical="center"/>
      <protection locked="0"/>
    </xf>
    <xf numFmtId="43" fontId="11" fillId="7" borderId="0" xfId="2" applyFont="1" applyFill="1" applyBorder="1" applyAlignment="1" applyProtection="1">
      <alignment vertical="center"/>
    </xf>
    <xf numFmtId="43" fontId="20" fillId="0" borderId="0" xfId="2" applyFont="1" applyBorder="1" applyAlignment="1" applyProtection="1">
      <alignment horizontal="center" vertical="center"/>
      <protection locked="0"/>
    </xf>
    <xf numFmtId="39" fontId="11" fillId="7" borderId="0" xfId="2" applyNumberFormat="1" applyFont="1" applyFill="1" applyBorder="1" applyAlignment="1" applyProtection="1">
      <alignment horizontal="right" vertical="center"/>
    </xf>
    <xf numFmtId="39" fontId="4" fillId="0" borderId="0" xfId="2" applyNumberFormat="1" applyFont="1" applyBorder="1" applyAlignment="1" applyProtection="1">
      <alignment horizontal="right" vertical="center"/>
      <protection locked="0"/>
    </xf>
    <xf numFmtId="39" fontId="11" fillId="7" borderId="0" xfId="2" applyNumberFormat="1" applyFont="1" applyFill="1" applyBorder="1" applyAlignment="1" applyProtection="1">
      <alignment vertical="center"/>
    </xf>
    <xf numFmtId="43" fontId="3" fillId="0" borderId="0" xfId="0" applyNumberFormat="1" applyFont="1" applyAlignment="1">
      <alignment horizontal="center" vertical="center"/>
    </xf>
    <xf numFmtId="0" fontId="3" fillId="13" borderId="0" xfId="0" applyFont="1" applyFill="1" applyAlignment="1">
      <alignment horizontal="left" vertical="center"/>
    </xf>
    <xf numFmtId="43" fontId="11" fillId="7" borderId="0" xfId="2" applyFont="1" applyFill="1" applyBorder="1" applyAlignment="1" applyProtection="1">
      <alignment horizontal="center" vertical="center"/>
    </xf>
    <xf numFmtId="4" fontId="4" fillId="0" borderId="0" xfId="2" applyNumberFormat="1" applyFont="1" applyBorder="1" applyAlignment="1" applyProtection="1">
      <alignment horizontal="right"/>
    </xf>
    <xf numFmtId="43" fontId="3" fillId="0" borderId="0" xfId="2" applyFont="1" applyBorder="1" applyAlignment="1" applyProtection="1">
      <alignment vertical="center"/>
    </xf>
    <xf numFmtId="10" fontId="4" fillId="0" borderId="0" xfId="1" applyNumberFormat="1" applyFont="1" applyBorder="1" applyAlignment="1" applyProtection="1">
      <alignment horizontal="center"/>
    </xf>
    <xf numFmtId="43" fontId="5" fillId="0" borderId="0" xfId="2" applyFont="1" applyFill="1" applyBorder="1" applyAlignment="1" applyProtection="1">
      <alignment horizontal="left" vertical="center" indent="1"/>
    </xf>
    <xf numFmtId="43" fontId="4" fillId="0" borderId="0" xfId="2" applyFont="1" applyBorder="1" applyAlignment="1" applyProtection="1">
      <alignment vertical="center"/>
      <protection locked="0"/>
    </xf>
    <xf numFmtId="43" fontId="0" fillId="0" borderId="0" xfId="0" applyNumberFormat="1" applyAlignment="1">
      <alignment horizontal="right" vertical="center"/>
    </xf>
    <xf numFmtId="165" fontId="0" fillId="0" borderId="0" xfId="0" applyNumberFormat="1" applyAlignment="1">
      <alignment horizontal="right" vertical="center"/>
    </xf>
    <xf numFmtId="37" fontId="2" fillId="10" borderId="0" xfId="2" applyNumberFormat="1" applyFont="1" applyFill="1" applyBorder="1" applyAlignment="1" applyProtection="1">
      <alignment horizontal="right" vertical="center"/>
      <protection locked="0"/>
    </xf>
    <xf numFmtId="39" fontId="2" fillId="10" borderId="0" xfId="2" applyNumberFormat="1" applyFont="1" applyFill="1" applyBorder="1" applyAlignment="1" applyProtection="1">
      <alignment horizontal="right" vertical="center"/>
      <protection locked="0"/>
    </xf>
    <xf numFmtId="43" fontId="2" fillId="10" borderId="0" xfId="2" applyFont="1" applyFill="1" applyBorder="1" applyAlignment="1" applyProtection="1">
      <alignment horizontal="right" vertical="center"/>
      <protection locked="0"/>
    </xf>
    <xf numFmtId="0" fontId="19" fillId="0" borderId="0" xfId="0" applyFont="1" applyAlignment="1">
      <alignment wrapText="1"/>
    </xf>
    <xf numFmtId="165" fontId="30" fillId="0" borderId="0" xfId="0" applyNumberFormat="1" applyFont="1" applyAlignment="1" applyProtection="1">
      <alignment horizontal="center"/>
      <protection locked="0"/>
    </xf>
    <xf numFmtId="43" fontId="30" fillId="0" borderId="0" xfId="0" applyNumberFormat="1" applyFont="1" applyProtection="1">
      <protection locked="0"/>
    </xf>
    <xf numFmtId="0" fontId="30" fillId="0" borderId="0" xfId="0" applyFont="1" applyAlignment="1" applyProtection="1">
      <alignment horizontal="center"/>
      <protection locked="0"/>
    </xf>
    <xf numFmtId="0" fontId="24" fillId="0" borderId="0" xfId="0" applyFont="1" applyProtection="1">
      <protection locked="0"/>
    </xf>
    <xf numFmtId="43" fontId="24" fillId="0" borderId="0" xfId="0" applyNumberFormat="1" applyFont="1" applyProtection="1">
      <protection locked="0"/>
    </xf>
    <xf numFmtId="3" fontId="4" fillId="0" borderId="0" xfId="2" applyNumberFormat="1" applyFont="1" applyBorder="1" applyAlignment="1" applyProtection="1">
      <alignment horizontal="center"/>
    </xf>
    <xf numFmtId="39" fontId="4" fillId="0" borderId="0" xfId="2" applyNumberFormat="1" applyFont="1" applyBorder="1" applyAlignment="1" applyProtection="1">
      <alignment horizontal="right" vertical="center"/>
    </xf>
    <xf numFmtId="37" fontId="4" fillId="0" borderId="0" xfId="2" applyNumberFormat="1" applyFont="1" applyBorder="1" applyAlignment="1" applyProtection="1">
      <alignment horizontal="center"/>
    </xf>
    <xf numFmtId="43" fontId="4" fillId="0" borderId="0" xfId="2" applyFont="1" applyBorder="1" applyAlignment="1" applyProtection="1">
      <alignment horizontal="right"/>
    </xf>
    <xf numFmtId="10" fontId="0" fillId="0" borderId="0" xfId="1" applyNumberFormat="1" applyFont="1" applyFill="1" applyAlignment="1" applyProtection="1">
      <alignment horizontal="center" vertical="center"/>
      <protection locked="0"/>
    </xf>
    <xf numFmtId="9" fontId="3" fillId="9" borderId="0" xfId="1" applyFont="1" applyFill="1" applyAlignment="1" applyProtection="1">
      <alignment vertical="center"/>
    </xf>
    <xf numFmtId="0" fontId="3" fillId="0" borderId="0" xfId="0" applyFont="1" applyAlignment="1">
      <alignment horizontal="right" vertical="center" wrapText="1"/>
    </xf>
    <xf numFmtId="0" fontId="3" fillId="0" borderId="0" xfId="0" applyFont="1" applyAlignment="1">
      <alignment horizontal="right" vertical="center"/>
    </xf>
    <xf numFmtId="10" fontId="16" fillId="7" borderId="0" xfId="1" applyNumberFormat="1" applyFont="1" applyFill="1" applyBorder="1" applyAlignment="1" applyProtection="1">
      <alignment horizontal="center" vertical="center"/>
    </xf>
    <xf numFmtId="4" fontId="11" fillId="7" borderId="0" xfId="0" applyNumberFormat="1" applyFont="1" applyFill="1" applyAlignment="1">
      <alignment horizontal="right" vertical="center"/>
    </xf>
    <xf numFmtId="4" fontId="11" fillId="7" borderId="0" xfId="0" applyNumberFormat="1" applyFont="1" applyFill="1" applyAlignment="1" applyProtection="1">
      <alignment horizontal="right" vertical="center"/>
      <protection locked="0"/>
    </xf>
    <xf numFmtId="3" fontId="11" fillId="7" borderId="0" xfId="0" applyNumberFormat="1" applyFont="1" applyFill="1" applyAlignment="1" applyProtection="1">
      <alignment horizontal="right" vertical="center"/>
      <protection locked="0"/>
    </xf>
    <xf numFmtId="3" fontId="4" fillId="0" borderId="0" xfId="2" applyNumberFormat="1" applyFont="1" applyBorder="1" applyAlignment="1" applyProtection="1">
      <alignment horizontal="right"/>
    </xf>
    <xf numFmtId="37" fontId="4" fillId="0" borderId="0" xfId="2" applyNumberFormat="1" applyFont="1" applyBorder="1" applyAlignment="1" applyProtection="1">
      <alignment horizontal="right" vertical="center"/>
    </xf>
    <xf numFmtId="37" fontId="4" fillId="0" borderId="0" xfId="2" applyNumberFormat="1" applyFont="1" applyBorder="1" applyAlignment="1" applyProtection="1">
      <alignment horizontal="right"/>
    </xf>
    <xf numFmtId="165" fontId="4" fillId="0" borderId="0" xfId="2" applyNumberFormat="1" applyFont="1" applyBorder="1" applyAlignment="1" applyProtection="1">
      <alignment horizontal="right"/>
    </xf>
    <xf numFmtId="165" fontId="4" fillId="0" borderId="0" xfId="2" applyNumberFormat="1" applyFont="1" applyBorder="1" applyAlignment="1" applyProtection="1">
      <alignment vertical="center"/>
      <protection locked="0"/>
    </xf>
    <xf numFmtId="165" fontId="4" fillId="0" borderId="0" xfId="2" applyNumberFormat="1" applyFont="1" applyBorder="1" applyAlignment="1" applyProtection="1">
      <alignment horizontal="right" vertical="center"/>
      <protection locked="0"/>
    </xf>
    <xf numFmtId="10" fontId="24" fillId="0" borderId="0" xfId="1" applyNumberFormat="1" applyFont="1" applyFill="1" applyAlignment="1" applyProtection="1">
      <alignment horizontal="center" vertical="center"/>
      <protection locked="0"/>
    </xf>
    <xf numFmtId="0" fontId="11" fillId="7" borderId="0" xfId="2" applyNumberFormat="1" applyFont="1" applyFill="1" applyBorder="1" applyAlignment="1" applyProtection="1">
      <alignment horizontal="center" vertical="center"/>
    </xf>
    <xf numFmtId="0" fontId="0" fillId="0" borderId="0" xfId="0" applyAlignment="1">
      <alignment horizontal="center" vertical="center"/>
    </xf>
    <xf numFmtId="0" fontId="2" fillId="10" borderId="0" xfId="2" applyNumberFormat="1" applyFont="1" applyFill="1" applyBorder="1" applyAlignment="1" applyProtection="1">
      <alignment horizontal="center" vertical="center"/>
      <protection locked="0"/>
    </xf>
    <xf numFmtId="1" fontId="0" fillId="0" borderId="0" xfId="2" applyNumberFormat="1" applyFont="1"/>
    <xf numFmtId="0" fontId="0" fillId="0" borderId="0" xfId="0" applyAlignment="1" applyProtection="1">
      <alignment horizontal="right"/>
      <protection locked="0"/>
    </xf>
    <xf numFmtId="3" fontId="34" fillId="7" borderId="0" xfId="0" applyNumberFormat="1" applyFont="1" applyFill="1" applyAlignment="1">
      <alignment horizontal="center" vertical="center"/>
    </xf>
    <xf numFmtId="3" fontId="33" fillId="7" borderId="0" xfId="0" applyNumberFormat="1" applyFont="1" applyFill="1" applyAlignment="1">
      <alignment horizontal="center" vertical="center"/>
    </xf>
    <xf numFmtId="43" fontId="34" fillId="7" borderId="0" xfId="2" applyFont="1" applyFill="1" applyAlignment="1">
      <alignment horizontal="right" vertical="center"/>
    </xf>
    <xf numFmtId="0" fontId="34" fillId="7" borderId="0" xfId="0" applyFont="1" applyFill="1" applyAlignment="1">
      <alignment horizontal="left" vertical="center"/>
    </xf>
    <xf numFmtId="0" fontId="13" fillId="0" borderId="0" xfId="0" applyFont="1" applyAlignment="1">
      <alignment horizontal="left"/>
    </xf>
    <xf numFmtId="165" fontId="11" fillId="7" borderId="0" xfId="2" applyNumberFormat="1" applyFont="1" applyFill="1" applyBorder="1" applyAlignment="1" applyProtection="1">
      <alignment horizontal="left" vertical="center"/>
    </xf>
    <xf numFmtId="43" fontId="11" fillId="7" borderId="0" xfId="2" applyFont="1" applyFill="1" applyBorder="1" applyAlignment="1" applyProtection="1">
      <alignment horizontal="left" vertical="center"/>
    </xf>
    <xf numFmtId="40" fontId="4" fillId="0" borderId="0" xfId="2" applyNumberFormat="1" applyFont="1" applyBorder="1" applyAlignment="1" applyProtection="1">
      <protection locked="0"/>
    </xf>
    <xf numFmtId="37" fontId="31" fillId="0" borderId="0" xfId="2" applyNumberFormat="1" applyFont="1" applyFill="1" applyBorder="1" applyAlignment="1" applyProtection="1"/>
    <xf numFmtId="43" fontId="31" fillId="0" borderId="0" xfId="2" applyFont="1" applyFill="1" applyBorder="1" applyAlignment="1" applyProtection="1"/>
    <xf numFmtId="165" fontId="3" fillId="0" borderId="0" xfId="2" applyNumberFormat="1" applyFont="1" applyFill="1" applyBorder="1" applyAlignment="1" applyProtection="1"/>
    <xf numFmtId="165" fontId="3" fillId="0" borderId="0" xfId="2" applyNumberFormat="1" applyFont="1" applyFill="1" applyBorder="1" applyAlignment="1" applyProtection="1">
      <alignment vertical="center"/>
    </xf>
    <xf numFmtId="43" fontId="15" fillId="0" borderId="0" xfId="2" applyFont="1" applyFill="1" applyBorder="1" applyAlignment="1" applyProtection="1"/>
    <xf numFmtId="37" fontId="31" fillId="0" borderId="0" xfId="2" applyNumberFormat="1" applyFont="1" applyFill="1" applyBorder="1" applyAlignment="1" applyProtection="1">
      <alignment vertical="center"/>
    </xf>
    <xf numFmtId="165" fontId="11" fillId="7" borderId="0" xfId="2" applyNumberFormat="1" applyFont="1" applyFill="1" applyBorder="1" applyAlignment="1" applyProtection="1"/>
    <xf numFmtId="43" fontId="11" fillId="7" borderId="0" xfId="2" applyFont="1" applyFill="1" applyBorder="1" applyAlignment="1" applyProtection="1"/>
    <xf numFmtId="43" fontId="16" fillId="7" borderId="0" xfId="2" applyFont="1" applyFill="1" applyBorder="1" applyAlignment="1" applyProtection="1"/>
    <xf numFmtId="4" fontId="4" fillId="0" borderId="0" xfId="0" applyNumberFormat="1" applyFont="1" applyAlignment="1">
      <alignment horizontal="center" vertical="center"/>
    </xf>
    <xf numFmtId="4" fontId="15" fillId="0" borderId="0" xfId="0" applyNumberFormat="1" applyFont="1" applyAlignment="1">
      <alignment horizontal="center" vertical="center"/>
    </xf>
    <xf numFmtId="40" fontId="4" fillId="0" borderId="0" xfId="0" applyNumberFormat="1" applyFont="1" applyAlignment="1">
      <alignment horizontal="center" vertical="center"/>
    </xf>
    <xf numFmtId="168" fontId="3" fillId="0" borderId="0" xfId="0" applyNumberFormat="1" applyFont="1" applyAlignment="1">
      <alignment horizontal="center" vertical="center"/>
    </xf>
    <xf numFmtId="4" fontId="3" fillId="0" borderId="0" xfId="0" applyNumberFormat="1" applyFont="1" applyAlignment="1">
      <alignment horizontal="center" vertical="center"/>
    </xf>
    <xf numFmtId="0" fontId="4" fillId="0" borderId="0" xfId="0" applyFont="1" applyAlignment="1" applyProtection="1">
      <alignment horizontal="center"/>
      <protection locked="0"/>
    </xf>
    <xf numFmtId="40" fontId="3" fillId="0" borderId="0" xfId="2" applyNumberFormat="1" applyFont="1" applyBorder="1" applyAlignment="1" applyProtection="1">
      <protection locked="0"/>
    </xf>
    <xf numFmtId="4" fontId="16" fillId="7" borderId="0" xfId="0" applyNumberFormat="1" applyFont="1" applyFill="1" applyAlignment="1">
      <alignment horizontal="right"/>
    </xf>
    <xf numFmtId="4" fontId="6" fillId="7" borderId="0" xfId="0" applyNumberFormat="1" applyFont="1" applyFill="1" applyAlignment="1">
      <alignment horizontal="right" vertical="center"/>
    </xf>
    <xf numFmtId="165" fontId="6" fillId="7" borderId="0" xfId="0" applyNumberFormat="1" applyFont="1" applyFill="1" applyAlignment="1">
      <alignment horizontal="right" vertical="center"/>
    </xf>
    <xf numFmtId="43" fontId="6" fillId="7" borderId="0" xfId="0" applyNumberFormat="1" applyFont="1" applyFill="1" applyAlignment="1">
      <alignment vertical="center"/>
    </xf>
    <xf numFmtId="9" fontId="5" fillId="0" borderId="0" xfId="1" applyFont="1" applyAlignment="1">
      <alignment horizontal="center" vertical="center"/>
    </xf>
    <xf numFmtId="9" fontId="4" fillId="0" borderId="0" xfId="1" applyFont="1" applyAlignment="1">
      <alignment horizontal="center" vertical="center"/>
    </xf>
    <xf numFmtId="4" fontId="4" fillId="0" borderId="0" xfId="0" applyNumberFormat="1" applyFont="1"/>
    <xf numFmtId="10" fontId="7" fillId="7" borderId="0" xfId="0" applyNumberFormat="1" applyFont="1" applyFill="1" applyAlignment="1">
      <alignment horizontal="center" vertical="center"/>
    </xf>
    <xf numFmtId="43" fontId="16" fillId="7" borderId="0" xfId="2" applyFont="1" applyFill="1" applyBorder="1" applyAlignment="1" applyProtection="1">
      <alignment horizontal="left" vertical="center"/>
    </xf>
    <xf numFmtId="10" fontId="3" fillId="7" borderId="0" xfId="0" applyNumberFormat="1" applyFont="1" applyFill="1" applyAlignment="1">
      <alignment horizontal="center" vertical="center"/>
    </xf>
    <xf numFmtId="10" fontId="4" fillId="0" borderId="0" xfId="1" applyNumberFormat="1" applyFont="1" applyFill="1" applyBorder="1" applyAlignment="1" applyProtection="1">
      <alignment horizontal="center" vertical="center"/>
    </xf>
    <xf numFmtId="3" fontId="15" fillId="7" borderId="0" xfId="0" applyNumberFormat="1" applyFont="1" applyFill="1" applyAlignment="1">
      <alignment horizontal="center" vertical="center"/>
    </xf>
    <xf numFmtId="10" fontId="15" fillId="7" borderId="0" xfId="1" applyNumberFormat="1" applyFont="1" applyFill="1" applyBorder="1" applyAlignment="1" applyProtection="1">
      <alignment horizontal="center" vertical="center"/>
    </xf>
    <xf numFmtId="43" fontId="4" fillId="0" borderId="0" xfId="2" applyFont="1" applyProtection="1"/>
    <xf numFmtId="43" fontId="3" fillId="0" borderId="0" xfId="2" applyFont="1" applyAlignment="1" applyProtection="1">
      <alignment horizontal="center"/>
    </xf>
    <xf numFmtId="43" fontId="4" fillId="0" borderId="0" xfId="2" applyFont="1" applyAlignment="1" applyProtection="1">
      <alignment horizontal="center"/>
    </xf>
    <xf numFmtId="43" fontId="16" fillId="7" borderId="0" xfId="2" applyFont="1" applyFill="1" applyAlignment="1">
      <alignment horizontal="center" vertical="center"/>
    </xf>
    <xf numFmtId="9" fontId="2" fillId="0" borderId="0" xfId="1" applyFont="1"/>
    <xf numFmtId="0" fontId="2" fillId="0" borderId="0" xfId="0" applyFont="1"/>
    <xf numFmtId="9" fontId="2" fillId="0" borderId="0" xfId="1" applyFont="1" applyProtection="1"/>
    <xf numFmtId="165" fontId="4" fillId="0" borderId="0" xfId="0" applyNumberFormat="1" applyFont="1" applyAlignment="1" applyProtection="1">
      <alignment vertical="center"/>
      <protection locked="0"/>
    </xf>
    <xf numFmtId="3" fontId="11" fillId="7" borderId="0" xfId="0" applyNumberFormat="1" applyFont="1" applyFill="1" applyAlignment="1" applyProtection="1">
      <alignment vertical="center"/>
      <protection locked="0"/>
    </xf>
    <xf numFmtId="3" fontId="11" fillId="7" borderId="0" xfId="0" applyNumberFormat="1" applyFont="1" applyFill="1" applyAlignment="1" applyProtection="1">
      <alignment horizontal="left" vertical="center" indent="4"/>
      <protection locked="0"/>
    </xf>
    <xf numFmtId="43" fontId="4" fillId="0" borderId="0" xfId="2" applyFont="1" applyAlignment="1" applyProtection="1">
      <alignment horizontal="center" vertical="center"/>
    </xf>
    <xf numFmtId="44" fontId="4" fillId="0" borderId="0" xfId="4" applyFont="1" applyAlignment="1" applyProtection="1">
      <alignment horizontal="center" vertical="center"/>
    </xf>
    <xf numFmtId="10" fontId="4" fillId="0" borderId="0" xfId="1" applyNumberFormat="1" applyFont="1" applyAlignment="1" applyProtection="1">
      <alignment horizontal="center" vertical="center"/>
    </xf>
    <xf numFmtId="4" fontId="16" fillId="7" borderId="7" xfId="0" applyNumberFormat="1" applyFont="1" applyFill="1" applyBorder="1" applyAlignment="1">
      <alignment horizontal="right" vertical="center"/>
    </xf>
    <xf numFmtId="40" fontId="4" fillId="0" borderId="0" xfId="2" applyNumberFormat="1" applyFont="1" applyBorder="1" applyAlignment="1" applyProtection="1"/>
    <xf numFmtId="4" fontId="4" fillId="0" borderId="0" xfId="0" applyNumberFormat="1" applyFont="1" applyAlignment="1">
      <alignment horizontal="right" vertical="center"/>
    </xf>
    <xf numFmtId="10" fontId="4" fillId="0" borderId="0" xfId="0" applyNumberFormat="1" applyFont="1" applyAlignment="1">
      <alignment horizontal="center" vertical="center"/>
    </xf>
    <xf numFmtId="4" fontId="4" fillId="0" borderId="0" xfId="0" applyNumberFormat="1" applyFont="1" applyAlignment="1">
      <alignment horizontal="center"/>
    </xf>
    <xf numFmtId="4" fontId="8" fillId="0" borderId="0" xfId="0" applyNumberFormat="1" applyFont="1" applyAlignment="1">
      <alignment horizontal="right" vertical="top"/>
    </xf>
    <xf numFmtId="10" fontId="36" fillId="0" borderId="5" xfId="1" applyNumberFormat="1" applyFont="1" applyBorder="1" applyAlignment="1" applyProtection="1">
      <alignment horizontal="center"/>
    </xf>
    <xf numFmtId="165" fontId="0" fillId="0" borderId="0" xfId="0" applyNumberFormat="1" applyAlignment="1">
      <alignment horizontal="center" vertical="center"/>
    </xf>
    <xf numFmtId="37" fontId="2" fillId="10" borderId="0" xfId="2" applyNumberFormat="1" applyFont="1" applyFill="1" applyBorder="1" applyAlignment="1" applyProtection="1">
      <alignment horizontal="center" vertical="center"/>
      <protection locked="0"/>
    </xf>
    <xf numFmtId="164" fontId="4" fillId="0" borderId="0" xfId="1" applyNumberFormat="1" applyFont="1" applyBorder="1" applyAlignment="1" applyProtection="1">
      <alignment horizontal="center"/>
    </xf>
    <xf numFmtId="0" fontId="3" fillId="0" borderId="0" xfId="0" applyFont="1" applyAlignment="1">
      <alignment horizontal="center"/>
    </xf>
    <xf numFmtId="164" fontId="4" fillId="0" borderId="0" xfId="1" applyNumberFormat="1" applyFont="1" applyFill="1" applyBorder="1" applyAlignment="1" applyProtection="1">
      <alignment horizontal="center"/>
    </xf>
    <xf numFmtId="0" fontId="3" fillId="5" borderId="0" xfId="0" applyFont="1" applyFill="1" applyAlignment="1" applyProtection="1">
      <alignment horizontal="center" vertical="center" wrapText="1"/>
      <protection locked="0"/>
    </xf>
    <xf numFmtId="0" fontId="3" fillId="0" borderId="0" xfId="0" applyFont="1" applyAlignment="1" applyProtection="1">
      <alignment horizontal="center"/>
      <protection locked="0"/>
    </xf>
    <xf numFmtId="0" fontId="13" fillId="0" borderId="0" xfId="0" applyFont="1" applyAlignment="1">
      <alignment horizontal="left" wrapText="1"/>
    </xf>
    <xf numFmtId="0" fontId="13" fillId="0" borderId="0" xfId="0" applyFont="1" applyAlignment="1">
      <alignment horizontal="left"/>
    </xf>
    <xf numFmtId="0" fontId="29" fillId="13" borderId="0" xfId="0" applyFont="1" applyFill="1" applyAlignment="1">
      <alignment horizontal="left" vertical="center" wrapText="1"/>
    </xf>
    <xf numFmtId="0" fontId="28" fillId="13" borderId="0" xfId="0" applyFont="1" applyFill="1" applyAlignment="1">
      <alignment horizontal="left" vertical="center" wrapText="1"/>
    </xf>
    <xf numFmtId="0" fontId="3" fillId="5" borderId="0" xfId="0" applyFont="1" applyFill="1" applyAlignment="1">
      <alignment horizontal="center" vertical="center" wrapText="1"/>
    </xf>
    <xf numFmtId="0" fontId="13" fillId="0" borderId="0" xfId="0" applyFont="1" applyAlignment="1">
      <alignment horizontal="left" vertical="center" wrapText="1"/>
    </xf>
    <xf numFmtId="0" fontId="12" fillId="0" borderId="0" xfId="0" applyFont="1" applyAlignment="1" applyProtection="1">
      <alignment horizontal="center"/>
      <protection locked="0"/>
    </xf>
    <xf numFmtId="0" fontId="2" fillId="5" borderId="0" xfId="0" applyFont="1" applyFill="1" applyAlignment="1">
      <alignment horizontal="center"/>
    </xf>
    <xf numFmtId="0" fontId="2" fillId="0" borderId="0" xfId="0" applyFont="1" applyAlignment="1" applyProtection="1">
      <alignment horizontal="center"/>
      <protection locked="0"/>
    </xf>
    <xf numFmtId="0" fontId="3" fillId="5" borderId="0" xfId="0" applyFont="1" applyFill="1" applyAlignment="1">
      <alignment horizontal="left" vertical="center" wrapText="1"/>
    </xf>
    <xf numFmtId="0" fontId="0" fillId="0" borderId="0" xfId="0" applyAlignment="1" applyProtection="1">
      <alignment horizontal="center"/>
      <protection locked="0"/>
    </xf>
    <xf numFmtId="0" fontId="2" fillId="2" borderId="0" xfId="0" applyFont="1" applyFill="1" applyAlignment="1">
      <alignment horizontal="center"/>
    </xf>
    <xf numFmtId="0" fontId="2" fillId="3" borderId="0" xfId="0" applyFont="1" applyFill="1" applyAlignment="1">
      <alignment horizontal="center"/>
    </xf>
    <xf numFmtId="0" fontId="2" fillId="4" borderId="0" xfId="0" applyFont="1" applyFill="1" applyAlignment="1">
      <alignment horizontal="center"/>
    </xf>
    <xf numFmtId="0" fontId="2" fillId="11" borderId="0" xfId="0" applyFont="1" applyFill="1" applyAlignment="1">
      <alignment horizontal="center"/>
    </xf>
    <xf numFmtId="3" fontId="4" fillId="0" borderId="0" xfId="0" applyNumberFormat="1" applyFont="1" applyAlignment="1" applyProtection="1">
      <alignment horizontal="center" vertical="center"/>
      <protection locked="0"/>
    </xf>
    <xf numFmtId="3" fontId="11" fillId="7" borderId="0" xfId="0" applyNumberFormat="1" applyFont="1" applyFill="1" applyAlignment="1" applyProtection="1">
      <alignment horizontal="center" vertical="center"/>
      <protection locked="0"/>
    </xf>
    <xf numFmtId="3" fontId="3" fillId="5" borderId="0" xfId="0" applyNumberFormat="1" applyFont="1" applyFill="1" applyAlignment="1">
      <alignment horizontal="center" vertical="center" wrapText="1"/>
    </xf>
    <xf numFmtId="0" fontId="12" fillId="5" borderId="0" xfId="0" applyFont="1" applyFill="1" applyAlignment="1">
      <alignment horizontal="center" vertical="center" wrapText="1"/>
    </xf>
    <xf numFmtId="0" fontId="2" fillId="11" borderId="0" xfId="0" applyFont="1" applyFill="1" applyAlignment="1">
      <alignment horizontal="center" vertical="center" wrapText="1"/>
    </xf>
    <xf numFmtId="0" fontId="2" fillId="2" borderId="0" xfId="0" applyFont="1" applyFill="1" applyAlignment="1">
      <alignment horizontal="center" wrapText="1"/>
    </xf>
    <xf numFmtId="0" fontId="2" fillId="14" borderId="0" xfId="0" applyFont="1" applyFill="1" applyAlignment="1">
      <alignment horizontal="center" vertical="center"/>
    </xf>
    <xf numFmtId="0" fontId="2" fillId="2" borderId="0" xfId="0" applyFont="1" applyFill="1" applyAlignment="1">
      <alignment horizontal="center" vertical="center" wrapText="1"/>
    </xf>
    <xf numFmtId="0" fontId="2" fillId="3" borderId="0" xfId="0" applyFont="1" applyFill="1" applyAlignment="1">
      <alignment horizontal="center" vertical="center" wrapText="1"/>
    </xf>
    <xf numFmtId="0" fontId="2" fillId="15" borderId="0" xfId="0" applyFont="1" applyFill="1" applyAlignment="1">
      <alignment horizontal="center" vertical="center" wrapText="1"/>
    </xf>
    <xf numFmtId="0" fontId="2" fillId="3" borderId="0" xfId="0" applyFont="1" applyFill="1" applyAlignment="1">
      <alignment horizontal="center" wrapText="1"/>
    </xf>
    <xf numFmtId="0" fontId="3" fillId="5" borderId="0" xfId="0" applyFont="1" applyFill="1" applyAlignment="1">
      <alignment horizontal="center" vertical="center"/>
    </xf>
    <xf numFmtId="0" fontId="3" fillId="6" borderId="1"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protection locked="0"/>
    </xf>
    <xf numFmtId="0" fontId="3" fillId="6" borderId="3" xfId="0" applyFont="1" applyFill="1" applyBorder="1" applyAlignment="1" applyProtection="1">
      <alignment horizontal="center" vertical="center"/>
      <protection locked="0"/>
    </xf>
    <xf numFmtId="0" fontId="13" fillId="0" borderId="0" xfId="0" applyFont="1" applyAlignment="1">
      <alignment horizontal="left" vertical="top" wrapText="1"/>
    </xf>
    <xf numFmtId="0" fontId="2" fillId="0" borderId="0" xfId="0" applyFont="1" applyAlignment="1">
      <alignment horizontal="center"/>
    </xf>
    <xf numFmtId="0" fontId="3" fillId="6" borderId="1"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10" fillId="8" borderId="7" xfId="0" applyFont="1" applyFill="1" applyBorder="1" applyAlignment="1">
      <alignment horizontal="center" vertical="center" wrapText="1"/>
    </xf>
    <xf numFmtId="0" fontId="3" fillId="5" borderId="0" xfId="0" applyFont="1" applyFill="1" applyAlignment="1">
      <alignment horizontal="center"/>
    </xf>
    <xf numFmtId="0" fontId="3" fillId="4" borderId="0" xfId="0" applyFont="1" applyFill="1" applyAlignment="1">
      <alignment horizontal="center"/>
    </xf>
    <xf numFmtId="0" fontId="3" fillId="3" borderId="0" xfId="0" applyFont="1" applyFill="1" applyAlignment="1">
      <alignment horizontal="center"/>
    </xf>
    <xf numFmtId="0" fontId="3" fillId="2" borderId="0" xfId="0" applyFont="1" applyFill="1" applyAlignment="1">
      <alignment horizontal="center"/>
    </xf>
    <xf numFmtId="0" fontId="3" fillId="11" borderId="0" xfId="0" applyFont="1" applyFill="1" applyAlignment="1">
      <alignment horizontal="center"/>
    </xf>
    <xf numFmtId="0" fontId="3" fillId="16" borderId="0" xfId="0" applyFont="1" applyFill="1" applyAlignment="1">
      <alignment horizontal="center"/>
    </xf>
    <xf numFmtId="0" fontId="3" fillId="17" borderId="0" xfId="0" applyFont="1" applyFill="1" applyAlignment="1">
      <alignment horizontal="center"/>
    </xf>
    <xf numFmtId="0" fontId="3" fillId="18" borderId="0" xfId="0" applyFont="1" applyFill="1" applyAlignment="1">
      <alignment horizontal="center"/>
    </xf>
    <xf numFmtId="0" fontId="32" fillId="13" borderId="0" xfId="0" applyFont="1" applyFill="1" applyAlignment="1" applyProtection="1">
      <alignment horizontal="center"/>
      <protection locked="0"/>
    </xf>
    <xf numFmtId="0" fontId="19" fillId="0" borderId="0" xfId="0" applyFont="1" applyAlignment="1">
      <alignment horizontal="left" wrapText="1"/>
    </xf>
    <xf numFmtId="0" fontId="10" fillId="0" borderId="0" xfId="0" applyFont="1" applyAlignment="1">
      <alignment horizontal="center"/>
    </xf>
  </cellXfs>
  <cellStyles count="5">
    <cellStyle name="Millares" xfId="2" builtinId="3"/>
    <cellStyle name="Moneda" xfId="4" builtinId="4"/>
    <cellStyle name="Normal" xfId="0" builtinId="0"/>
    <cellStyle name="Normal 2" xfId="3" xr:uid="{00000000-0005-0000-0000-000002000000}"/>
    <cellStyle name="Porcentaje" xfId="1" builtinId="5"/>
  </cellStyles>
  <dxfs count="0"/>
  <tableStyles count="1" defaultTableStyle="TableStyleMedium2" defaultPivotStyle="PivotStyleLight16">
    <tableStyle name="Invisible" pivot="0" table="0" count="0" xr9:uid="{EB55D738-EBA8-42B6-A2D2-EFAB11F34F90}"/>
  </tableStyles>
  <colors>
    <mruColors>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2.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1.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22.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3.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9.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6615130463804834"/>
          <c:y val="5.1400554097404488E-2"/>
          <c:w val="0.74836611939844222"/>
          <c:h val="0.72112459900845727"/>
        </c:manualLayout>
      </c:layout>
      <c:barChart>
        <c:barDir val="col"/>
        <c:grouping val="clustered"/>
        <c:varyColors val="0"/>
        <c:ser>
          <c:idx val="0"/>
          <c:order val="0"/>
          <c:tx>
            <c:v>Programado</c:v>
          </c:tx>
          <c:spPr>
            <a:solidFill>
              <a:schemeClr val="accent3">
                <a:lumMod val="60000"/>
                <a:lumOff val="40000"/>
              </a:schemeClr>
            </a:solidFill>
            <a:ln>
              <a:solidFill>
                <a:schemeClr val="accent3">
                  <a:lumMod val="60000"/>
                  <a:lumOff val="40000"/>
                </a:schemeClr>
              </a:solidFill>
            </a:ln>
          </c:spPr>
          <c:invertIfNegative val="0"/>
          <c:dPt>
            <c:idx val="0"/>
            <c:invertIfNegative val="0"/>
            <c:bubble3D val="0"/>
            <c:extLst>
              <c:ext xmlns:c16="http://schemas.microsoft.com/office/drawing/2014/chart" uri="{C3380CC4-5D6E-409C-BE32-E72D297353CC}">
                <c16:uniqueId val="{00000000-AEF6-4BD7-9E37-17072C6B37A1}"/>
              </c:ext>
            </c:extLst>
          </c:dPt>
          <c:dLbls>
            <c:spPr>
              <a:noFill/>
              <a:ln>
                <a:noFill/>
              </a:ln>
              <a:effectLst/>
            </c:spPr>
            <c:txPr>
              <a:bodyPr rot="-5400000" vert="horz"/>
              <a:lstStyle/>
              <a:p>
                <a:pPr>
                  <a:defRPr sz="1050"/>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Adm.'!$B$10:$B$13</c:f>
              <c:strCache>
                <c:ptCount val="3"/>
                <c:pt idx="0">
                  <c:v>Marzo</c:v>
                </c:pt>
                <c:pt idx="1">
                  <c:v>Febrero</c:v>
                </c:pt>
                <c:pt idx="2">
                  <c:v>Enero</c:v>
                </c:pt>
              </c:strCache>
            </c:strRef>
          </c:cat>
          <c:val>
            <c:numRef>
              <c:f>'Presupuesto Adm.'!$C$10:$C$13</c:f>
              <c:numCache>
                <c:formatCode>#,##0.00</c:formatCode>
                <c:ptCount val="3"/>
                <c:pt idx="0">
                  <c:v>43616888.210000001</c:v>
                </c:pt>
                <c:pt idx="1">
                  <c:v>45112641.289999999</c:v>
                </c:pt>
                <c:pt idx="2">
                  <c:v>40231452.039999999</c:v>
                </c:pt>
              </c:numCache>
            </c:numRef>
          </c:val>
          <c:extLst>
            <c:ext xmlns:c16="http://schemas.microsoft.com/office/drawing/2014/chart" uri="{C3380CC4-5D6E-409C-BE32-E72D297353CC}">
              <c16:uniqueId val="{00000004-B26F-49E2-B71B-8A084CE8A512}"/>
            </c:ext>
          </c:extLst>
        </c:ser>
        <c:ser>
          <c:idx val="1"/>
          <c:order val="1"/>
          <c:tx>
            <c:v>Ejecutado</c:v>
          </c:tx>
          <c:spPr>
            <a:solidFill>
              <a:schemeClr val="bg1">
                <a:lumMod val="75000"/>
              </a:schemeClr>
            </a:solidFill>
          </c:spPr>
          <c:invertIfNegative val="0"/>
          <c:dLbls>
            <c:spPr>
              <a:noFill/>
              <a:ln>
                <a:noFill/>
              </a:ln>
              <a:effectLst/>
            </c:spPr>
            <c:txPr>
              <a:bodyPr rot="-5400000" vert="horz"/>
              <a:lstStyle/>
              <a:p>
                <a:pPr>
                  <a:defRPr sz="1050" b="0"/>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Adm.'!$B$10:$B$13</c:f>
              <c:strCache>
                <c:ptCount val="3"/>
                <c:pt idx="0">
                  <c:v>Marzo</c:v>
                </c:pt>
                <c:pt idx="1">
                  <c:v>Febrero</c:v>
                </c:pt>
                <c:pt idx="2">
                  <c:v>Enero</c:v>
                </c:pt>
              </c:strCache>
            </c:strRef>
          </c:cat>
          <c:val>
            <c:numRef>
              <c:f>'Presupuesto Adm.'!$D$11:$D$13</c:f>
              <c:numCache>
                <c:formatCode>#,##0.00</c:formatCode>
                <c:ptCount val="3"/>
                <c:pt idx="0">
                  <c:v>46948015.82</c:v>
                </c:pt>
                <c:pt idx="1">
                  <c:v>40059326.869999997</c:v>
                </c:pt>
                <c:pt idx="2">
                  <c:v>41104010.780000001</c:v>
                </c:pt>
              </c:numCache>
            </c:numRef>
          </c:val>
          <c:extLst>
            <c:ext xmlns:c16="http://schemas.microsoft.com/office/drawing/2014/chart" uri="{C3380CC4-5D6E-409C-BE32-E72D297353CC}">
              <c16:uniqueId val="{00000008-B26F-49E2-B71B-8A084CE8A512}"/>
            </c:ext>
          </c:extLst>
        </c:ser>
        <c:dLbls>
          <c:showLegendKey val="0"/>
          <c:showVal val="1"/>
          <c:showCatName val="0"/>
          <c:showSerName val="0"/>
          <c:showPercent val="0"/>
          <c:showBubbleSize val="0"/>
        </c:dLbls>
        <c:gapWidth val="75"/>
        <c:axId val="1578264528"/>
        <c:axId val="1578266160"/>
      </c:barChart>
      <c:lineChart>
        <c:grouping val="standard"/>
        <c:varyColors val="0"/>
        <c:ser>
          <c:idx val="2"/>
          <c:order val="2"/>
          <c:tx>
            <c:strRef>
              <c:f>'Presupuesto Adm.'!$E$9</c:f>
              <c:strCache>
                <c:ptCount val="1"/>
                <c:pt idx="0">
                  <c:v>Relativo</c:v>
                </c:pt>
              </c:strCache>
            </c:strRef>
          </c:tx>
          <c:spPr>
            <a:ln>
              <a:solidFill>
                <a:schemeClr val="tx2">
                  <a:lumMod val="60000"/>
                  <a:lumOff val="40000"/>
                </a:schemeClr>
              </a:solidFill>
            </a:ln>
          </c:spPr>
          <c:marker>
            <c:spPr>
              <a:solidFill>
                <a:schemeClr val="tx2">
                  <a:lumMod val="60000"/>
                  <a:lumOff val="40000"/>
                </a:schemeClr>
              </a:solidFill>
              <a:ln>
                <a:solidFill>
                  <a:schemeClr val="accent5">
                    <a:lumMod val="75000"/>
                  </a:schemeClr>
                </a:solidFill>
              </a:ln>
            </c:spPr>
          </c:marker>
          <c:dLbls>
            <c:spPr>
              <a:noFill/>
              <a:ln>
                <a:noFill/>
              </a:ln>
              <a:effectLst/>
            </c:spPr>
            <c:txPr>
              <a:bodyPr wrap="square" lIns="38100" tIns="19050" rIns="38100" bIns="19050" anchor="ctr">
                <a:spAutoFit/>
              </a:bodyPr>
              <a:lstStyle/>
              <a:p>
                <a:pPr>
                  <a:defRPr sz="1050" b="1"/>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Adm.'!$B$10:$B$13</c:f>
              <c:strCache>
                <c:ptCount val="3"/>
                <c:pt idx="0">
                  <c:v>Marzo</c:v>
                </c:pt>
                <c:pt idx="1">
                  <c:v>Febrero</c:v>
                </c:pt>
                <c:pt idx="2">
                  <c:v>Enero</c:v>
                </c:pt>
              </c:strCache>
            </c:strRef>
          </c:cat>
          <c:val>
            <c:numRef>
              <c:f>'Presupuesto Adm.'!$E$11:$E$13</c:f>
              <c:numCache>
                <c:formatCode>0%</c:formatCode>
                <c:ptCount val="3"/>
                <c:pt idx="0">
                  <c:v>1.0763724269819934</c:v>
                </c:pt>
                <c:pt idx="1">
                  <c:v>0.88798451441768811</c:v>
                </c:pt>
                <c:pt idx="2">
                  <c:v>1.0216884724700581</c:v>
                </c:pt>
              </c:numCache>
            </c:numRef>
          </c:val>
          <c:smooth val="0"/>
          <c:extLst>
            <c:ext xmlns:c16="http://schemas.microsoft.com/office/drawing/2014/chart" uri="{C3380CC4-5D6E-409C-BE32-E72D297353CC}">
              <c16:uniqueId val="{00000009-B26F-49E2-B71B-8A084CE8A512}"/>
            </c:ext>
          </c:extLst>
        </c:ser>
        <c:dLbls>
          <c:showLegendKey val="0"/>
          <c:showVal val="1"/>
          <c:showCatName val="0"/>
          <c:showSerName val="0"/>
          <c:showPercent val="0"/>
          <c:showBubbleSize val="0"/>
        </c:dLbls>
        <c:marker val="1"/>
        <c:smooth val="0"/>
        <c:axId val="1578270512"/>
        <c:axId val="1578269424"/>
      </c:lineChart>
      <c:catAx>
        <c:axId val="1578264528"/>
        <c:scaling>
          <c:orientation val="minMax"/>
        </c:scaling>
        <c:delete val="0"/>
        <c:axPos val="b"/>
        <c:numFmt formatCode="General" sourceLinked="0"/>
        <c:majorTickMark val="none"/>
        <c:minorTickMark val="none"/>
        <c:tickLblPos val="nextTo"/>
        <c:crossAx val="1578266160"/>
        <c:crosses val="autoZero"/>
        <c:auto val="1"/>
        <c:lblAlgn val="ctr"/>
        <c:lblOffset val="100"/>
        <c:noMultiLvlLbl val="0"/>
      </c:catAx>
      <c:valAx>
        <c:axId val="1578266160"/>
        <c:scaling>
          <c:orientation val="minMax"/>
          <c:min val="6000000"/>
        </c:scaling>
        <c:delete val="0"/>
        <c:axPos val="l"/>
        <c:numFmt formatCode="#,##0.00" sourceLinked="1"/>
        <c:majorTickMark val="none"/>
        <c:minorTickMark val="none"/>
        <c:tickLblPos val="nextTo"/>
        <c:crossAx val="1578264528"/>
        <c:crosses val="autoZero"/>
        <c:crossBetween val="between"/>
        <c:majorUnit val="12000000"/>
      </c:valAx>
      <c:valAx>
        <c:axId val="1578269424"/>
        <c:scaling>
          <c:orientation val="minMax"/>
          <c:max val="1.2"/>
          <c:min val="0.5"/>
        </c:scaling>
        <c:delete val="0"/>
        <c:axPos val="r"/>
        <c:numFmt formatCode="0%" sourceLinked="1"/>
        <c:majorTickMark val="out"/>
        <c:minorTickMark val="none"/>
        <c:tickLblPos val="nextTo"/>
        <c:crossAx val="1578270512"/>
        <c:crosses val="max"/>
        <c:crossBetween val="between"/>
      </c:valAx>
      <c:catAx>
        <c:axId val="1578270512"/>
        <c:scaling>
          <c:orientation val="minMax"/>
        </c:scaling>
        <c:delete val="1"/>
        <c:axPos val="b"/>
        <c:numFmt formatCode="General" sourceLinked="1"/>
        <c:majorTickMark val="out"/>
        <c:minorTickMark val="none"/>
        <c:tickLblPos val="nextTo"/>
        <c:crossAx val="1578269424"/>
        <c:crosses val="autoZero"/>
        <c:auto val="1"/>
        <c:lblAlgn val="ctr"/>
        <c:lblOffset val="100"/>
        <c:noMultiLvlLbl val="0"/>
      </c:catAx>
    </c:plotArea>
    <c:legend>
      <c:legendPos val="b"/>
      <c:overlay val="0"/>
      <c:txPr>
        <a:bodyPr/>
        <a:lstStyle/>
        <a:p>
          <a:pPr>
            <a:defRPr sz="800"/>
          </a:pPr>
          <a:endParaRPr lang="es-ES"/>
        </a:p>
      </c:txPr>
    </c:legend>
    <c:plotVisOnly val="1"/>
    <c:dispBlanksAs val="gap"/>
    <c:showDLblsOverMax val="0"/>
  </c:chart>
  <c:spPr>
    <a:ln>
      <a:noFill/>
    </a:ln>
  </c:sp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ES" sz="800">
                <a:solidFill>
                  <a:schemeClr val="accent1">
                    <a:lumMod val="75000"/>
                  </a:schemeClr>
                </a:solidFill>
              </a:rPr>
              <a:t>Distribución de</a:t>
            </a:r>
            <a:r>
              <a:rPr lang="es-ES" sz="800" baseline="0">
                <a:solidFill>
                  <a:schemeClr val="accent1">
                    <a:lumMod val="75000"/>
                  </a:schemeClr>
                </a:solidFill>
              </a:rPr>
              <a:t> Aportes</a:t>
            </a:r>
            <a:endParaRPr lang="es-ES" sz="800">
              <a:solidFill>
                <a:schemeClr val="accent1">
                  <a:lumMod val="75000"/>
                </a:schemeClr>
              </a:solidFill>
            </a:endParaRPr>
          </a:p>
        </c:rich>
      </c:tx>
      <c:layout>
        <c:manualLayout>
          <c:xMode val="edge"/>
          <c:yMode val="edge"/>
          <c:x val="0.36509152799625716"/>
          <c:y val="1.4417744497132913E-2"/>
        </c:manualLayout>
      </c:layout>
      <c:overlay val="0"/>
    </c:title>
    <c:autoTitleDeleted val="0"/>
    <c:plotArea>
      <c:layout/>
      <c:barChart>
        <c:barDir val="col"/>
        <c:grouping val="clustered"/>
        <c:varyColors val="0"/>
        <c:ser>
          <c:idx val="0"/>
          <c:order val="0"/>
          <c:spPr>
            <a:solidFill>
              <a:schemeClr val="bg1">
                <a:lumMod val="75000"/>
              </a:schemeClr>
            </a:solidFill>
            <a:ln>
              <a:solidFill>
                <a:schemeClr val="bg1">
                  <a:lumMod val="75000"/>
                </a:schemeClr>
              </a:solidFill>
            </a:ln>
          </c:spPr>
          <c:invertIfNegative val="0"/>
          <c:dPt>
            <c:idx val="1"/>
            <c:invertIfNegative val="0"/>
            <c:bubble3D val="0"/>
            <c:spPr>
              <a:solidFill>
                <a:schemeClr val="accent3">
                  <a:lumMod val="60000"/>
                  <a:lumOff val="40000"/>
                </a:schemeClr>
              </a:solidFill>
              <a:ln>
                <a:solidFill>
                  <a:schemeClr val="accent3">
                    <a:lumMod val="60000"/>
                    <a:lumOff val="40000"/>
                  </a:schemeClr>
                </a:solidFill>
              </a:ln>
            </c:spPr>
            <c:extLst>
              <c:ext xmlns:c16="http://schemas.microsoft.com/office/drawing/2014/chart" uri="{C3380CC4-5D6E-409C-BE32-E72D297353CC}">
                <c16:uniqueId val="{00000001-96C4-4E72-86CD-26E8823546DB}"/>
              </c:ext>
            </c:extLst>
          </c:dPt>
          <c:dPt>
            <c:idx val="2"/>
            <c:invertIfNegative val="0"/>
            <c:bubble3D val="0"/>
            <c:spPr>
              <a:solidFill>
                <a:schemeClr val="accent1">
                  <a:lumMod val="60000"/>
                  <a:lumOff val="40000"/>
                </a:schemeClr>
              </a:solidFill>
              <a:ln>
                <a:solidFill>
                  <a:schemeClr val="accent1">
                    <a:lumMod val="60000"/>
                    <a:lumOff val="40000"/>
                  </a:schemeClr>
                </a:solidFill>
              </a:ln>
            </c:spPr>
            <c:extLst>
              <c:ext xmlns:c16="http://schemas.microsoft.com/office/drawing/2014/chart" uri="{C3380CC4-5D6E-409C-BE32-E72D297353CC}">
                <c16:uniqueId val="{00000003-96C4-4E72-86CD-26E8823546DB}"/>
              </c:ext>
            </c:extLst>
          </c:dPt>
          <c:dLbls>
            <c:dLbl>
              <c:idx val="0"/>
              <c:layout>
                <c:manualLayout>
                  <c:x val="-2.7579408140791677E-3"/>
                  <c:y val="0.2277682320286147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6C4-4E72-86CD-26E8823546DB}"/>
                </c:ext>
              </c:extLst>
            </c:dLbl>
            <c:dLbl>
              <c:idx val="1"/>
              <c:layout>
                <c:manualLayout>
                  <c:x val="3.645867423629125E-3"/>
                  <c:y val="0.216660274489001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6C4-4E72-86CD-26E8823546DB}"/>
                </c:ext>
              </c:extLst>
            </c:dLbl>
            <c:dLbl>
              <c:idx val="2"/>
              <c:layout>
                <c:manualLayout>
                  <c:x val="6.423616493789394E-3"/>
                  <c:y val="0.209249867382357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6C4-4E72-86CD-26E8823546DB}"/>
                </c:ext>
              </c:extLst>
            </c:dLbl>
            <c:spPr>
              <a:noFill/>
              <a:ln>
                <a:noFill/>
              </a:ln>
              <a:effectLst/>
            </c:spPr>
            <c:txPr>
              <a:bodyPr rot="-5400000" vert="horz"/>
              <a:lstStyle/>
              <a:p>
                <a:pPr>
                  <a:defRPr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Aportes!$A$8:$A$10</c:f>
              <c:strCache>
                <c:ptCount val="3"/>
                <c:pt idx="0">
                  <c:v>Marzo</c:v>
                </c:pt>
                <c:pt idx="1">
                  <c:v>Febrero</c:v>
                </c:pt>
                <c:pt idx="2">
                  <c:v>Enero</c:v>
                </c:pt>
              </c:strCache>
            </c:strRef>
          </c:cat>
          <c:val>
            <c:numRef>
              <c:f>Aportes!$B$8:$B$10</c:f>
              <c:numCache>
                <c:formatCode>#,##0</c:formatCode>
                <c:ptCount val="3"/>
                <c:pt idx="0">
                  <c:v>24700</c:v>
                </c:pt>
                <c:pt idx="1">
                  <c:v>24693</c:v>
                </c:pt>
                <c:pt idx="2">
                  <c:v>25197</c:v>
                </c:pt>
              </c:numCache>
            </c:numRef>
          </c:val>
          <c:extLst>
            <c:ext xmlns:c16="http://schemas.microsoft.com/office/drawing/2014/chart" uri="{C3380CC4-5D6E-409C-BE32-E72D297353CC}">
              <c16:uniqueId val="{00000005-96C4-4E72-86CD-26E8823546DB}"/>
            </c:ext>
          </c:extLst>
        </c:ser>
        <c:dLbls>
          <c:showLegendKey val="0"/>
          <c:showVal val="1"/>
          <c:showCatName val="0"/>
          <c:showSerName val="0"/>
          <c:showPercent val="0"/>
          <c:showBubbleSize val="0"/>
        </c:dLbls>
        <c:gapWidth val="75"/>
        <c:axId val="1667765120"/>
        <c:axId val="1667765664"/>
      </c:barChart>
      <c:catAx>
        <c:axId val="1667765120"/>
        <c:scaling>
          <c:orientation val="minMax"/>
        </c:scaling>
        <c:delete val="0"/>
        <c:axPos val="b"/>
        <c:numFmt formatCode="General" sourceLinked="0"/>
        <c:majorTickMark val="none"/>
        <c:minorTickMark val="none"/>
        <c:tickLblPos val="nextTo"/>
        <c:crossAx val="1667765664"/>
        <c:crosses val="autoZero"/>
        <c:auto val="1"/>
        <c:lblAlgn val="ctr"/>
        <c:lblOffset val="100"/>
        <c:noMultiLvlLbl val="0"/>
      </c:catAx>
      <c:valAx>
        <c:axId val="1667765664"/>
        <c:scaling>
          <c:orientation val="minMax"/>
          <c:max val="30000"/>
        </c:scaling>
        <c:delete val="0"/>
        <c:axPos val="l"/>
        <c:numFmt formatCode="#,##0" sourceLinked="1"/>
        <c:majorTickMark val="none"/>
        <c:minorTickMark val="none"/>
        <c:tickLblPos val="nextTo"/>
        <c:crossAx val="1667765120"/>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es-ES" sz="1000">
                <a:solidFill>
                  <a:schemeClr val="accent1">
                    <a:lumMod val="75000"/>
                  </a:schemeClr>
                </a:solidFill>
              </a:rPr>
              <a:t>Cantidad de Traspasos</a:t>
            </a:r>
          </a:p>
        </c:rich>
      </c:tx>
      <c:layout>
        <c:manualLayout>
          <c:xMode val="edge"/>
          <c:yMode val="edge"/>
          <c:x val="0.32264602856201913"/>
          <c:y val="2.5118352932241364E-2"/>
        </c:manualLayout>
      </c:layout>
      <c:overlay val="0"/>
    </c:title>
    <c:autoTitleDeleted val="0"/>
    <c:plotArea>
      <c:layout>
        <c:manualLayout>
          <c:layoutTarget val="inner"/>
          <c:xMode val="edge"/>
          <c:yMode val="edge"/>
          <c:x val="0.12016285132106767"/>
          <c:y val="0.18401209406649208"/>
          <c:w val="0.83717921431840892"/>
          <c:h val="0.61610024514896233"/>
        </c:manualLayout>
      </c:layout>
      <c:barChart>
        <c:barDir val="col"/>
        <c:grouping val="clustered"/>
        <c:varyColors val="0"/>
        <c:ser>
          <c:idx val="1"/>
          <c:order val="1"/>
          <c:tx>
            <c:strRef>
              <c:f>Traspaso!$D$7</c:f>
              <c:strCache>
                <c:ptCount val="1"/>
                <c:pt idx="0">
                  <c:v>Cedidos (Reparto a SCI)</c:v>
                </c:pt>
              </c:strCache>
            </c:strRef>
          </c:tx>
          <c:spPr>
            <a:solidFill>
              <a:schemeClr val="accent3">
                <a:lumMod val="60000"/>
                <a:lumOff val="40000"/>
              </a:schemeClr>
            </a:solidFill>
            <a:ln>
              <a:solidFill>
                <a:schemeClr val="accent3">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Traspaso!$B$8:$B$10</c:f>
              <c:strCache>
                <c:ptCount val="3"/>
                <c:pt idx="0">
                  <c:v>Marzo</c:v>
                </c:pt>
                <c:pt idx="1">
                  <c:v>Febrero</c:v>
                </c:pt>
                <c:pt idx="2">
                  <c:v>Enero</c:v>
                </c:pt>
              </c:strCache>
            </c:strRef>
          </c:cat>
          <c:val>
            <c:numRef>
              <c:f>Traspaso!$D$8:$D$10</c:f>
              <c:numCache>
                <c:formatCode>General</c:formatCode>
                <c:ptCount val="3"/>
                <c:pt idx="0">
                  <c:v>5</c:v>
                </c:pt>
                <c:pt idx="1">
                  <c:v>1</c:v>
                </c:pt>
                <c:pt idx="2">
                  <c:v>7</c:v>
                </c:pt>
              </c:numCache>
            </c:numRef>
          </c:val>
          <c:extLst>
            <c:ext xmlns:c16="http://schemas.microsoft.com/office/drawing/2014/chart" uri="{C3380CC4-5D6E-409C-BE32-E72D297353CC}">
              <c16:uniqueId val="{00000004-FB1B-4846-AF71-C6243F490D5B}"/>
            </c:ext>
          </c:extLst>
        </c:ser>
        <c:dLbls>
          <c:showLegendKey val="0"/>
          <c:showVal val="0"/>
          <c:showCatName val="0"/>
          <c:showSerName val="0"/>
          <c:showPercent val="0"/>
          <c:showBubbleSize val="0"/>
        </c:dLbls>
        <c:gapWidth val="75"/>
        <c:axId val="1665019632"/>
        <c:axId val="1665020176"/>
      </c:barChart>
      <c:lineChart>
        <c:grouping val="standard"/>
        <c:varyColors val="0"/>
        <c:ser>
          <c:idx val="0"/>
          <c:order val="0"/>
          <c:tx>
            <c:strRef>
              <c:f>Traspaso!$C$7</c:f>
              <c:strCache>
                <c:ptCount val="1"/>
                <c:pt idx="0">
                  <c:v>Recibidos (SCI a Reparto)</c:v>
                </c:pt>
              </c:strCache>
            </c:strRef>
          </c:tx>
          <c:spPr>
            <a:ln>
              <a:solidFill>
                <a:schemeClr val="bg1">
                  <a:lumMod val="75000"/>
                </a:schemeClr>
              </a:solidFill>
            </a:ln>
          </c:spPr>
          <c:dLbls>
            <c:dLbl>
              <c:idx val="1"/>
              <c:layout>
                <c:manualLayout>
                  <c:x val="-8.0743091524205866E-3"/>
                  <c:y val="-1.777588258376476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3A7-4275-A789-0D686E766E43}"/>
                </c:ext>
              </c:extLst>
            </c:dLbl>
            <c:dLbl>
              <c:idx val="2"/>
              <c:layout>
                <c:manualLayout>
                  <c:x val="-2.1238585671087832E-2"/>
                  <c:y val="2.46033278059771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B1B-4846-AF71-C6243F490D5B}"/>
                </c:ext>
              </c:extLst>
            </c:dLbl>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Traspaso!$B$8:$B$10</c:f>
              <c:strCache>
                <c:ptCount val="3"/>
                <c:pt idx="0">
                  <c:v>Marzo</c:v>
                </c:pt>
                <c:pt idx="1">
                  <c:v>Febrero</c:v>
                </c:pt>
                <c:pt idx="2">
                  <c:v>Enero</c:v>
                </c:pt>
              </c:strCache>
            </c:strRef>
          </c:cat>
          <c:val>
            <c:numRef>
              <c:f>Traspaso!$C$8:$C$10</c:f>
              <c:numCache>
                <c:formatCode>General</c:formatCode>
                <c:ptCount val="3"/>
                <c:pt idx="0">
                  <c:v>27</c:v>
                </c:pt>
                <c:pt idx="1">
                  <c:v>320</c:v>
                </c:pt>
                <c:pt idx="2">
                  <c:v>128</c:v>
                </c:pt>
              </c:numCache>
            </c:numRef>
          </c:val>
          <c:smooth val="0"/>
          <c:extLst>
            <c:ext xmlns:c16="http://schemas.microsoft.com/office/drawing/2014/chart" uri="{C3380CC4-5D6E-409C-BE32-E72D297353CC}">
              <c16:uniqueId val="{00000002-FB1B-4846-AF71-C6243F490D5B}"/>
            </c:ext>
          </c:extLst>
        </c:ser>
        <c:dLbls>
          <c:showLegendKey val="0"/>
          <c:showVal val="1"/>
          <c:showCatName val="0"/>
          <c:showSerName val="0"/>
          <c:showPercent val="0"/>
          <c:showBubbleSize val="0"/>
        </c:dLbls>
        <c:marker val="1"/>
        <c:smooth val="0"/>
        <c:axId val="1862418912"/>
        <c:axId val="1862406848"/>
      </c:lineChart>
      <c:catAx>
        <c:axId val="1665019632"/>
        <c:scaling>
          <c:orientation val="minMax"/>
        </c:scaling>
        <c:delete val="0"/>
        <c:axPos val="b"/>
        <c:numFmt formatCode="General" sourceLinked="0"/>
        <c:majorTickMark val="none"/>
        <c:minorTickMark val="none"/>
        <c:tickLblPos val="nextTo"/>
        <c:crossAx val="1665020176"/>
        <c:crosses val="autoZero"/>
        <c:auto val="1"/>
        <c:lblAlgn val="ctr"/>
        <c:lblOffset val="100"/>
        <c:noMultiLvlLbl val="0"/>
      </c:catAx>
      <c:valAx>
        <c:axId val="1665020176"/>
        <c:scaling>
          <c:orientation val="minMax"/>
        </c:scaling>
        <c:delete val="0"/>
        <c:axPos val="l"/>
        <c:numFmt formatCode="General" sourceLinked="1"/>
        <c:majorTickMark val="none"/>
        <c:minorTickMark val="none"/>
        <c:tickLblPos val="nextTo"/>
        <c:crossAx val="1665019632"/>
        <c:crosses val="autoZero"/>
        <c:crossBetween val="between"/>
      </c:valAx>
      <c:valAx>
        <c:axId val="1862406848"/>
        <c:scaling>
          <c:orientation val="minMax"/>
        </c:scaling>
        <c:delete val="0"/>
        <c:axPos val="r"/>
        <c:numFmt formatCode="General" sourceLinked="1"/>
        <c:majorTickMark val="out"/>
        <c:minorTickMark val="none"/>
        <c:tickLblPos val="nextTo"/>
        <c:crossAx val="1862418912"/>
        <c:crosses val="max"/>
        <c:crossBetween val="between"/>
      </c:valAx>
      <c:catAx>
        <c:axId val="1862418912"/>
        <c:scaling>
          <c:orientation val="minMax"/>
        </c:scaling>
        <c:delete val="1"/>
        <c:axPos val="b"/>
        <c:numFmt formatCode="General" sourceLinked="1"/>
        <c:majorTickMark val="out"/>
        <c:minorTickMark val="none"/>
        <c:tickLblPos val="nextTo"/>
        <c:crossAx val="1862406848"/>
        <c:crosses val="autoZero"/>
        <c:auto val="1"/>
        <c:lblAlgn val="ctr"/>
        <c:lblOffset val="100"/>
        <c:noMultiLvlLbl val="0"/>
      </c:catAx>
    </c:plotArea>
    <c:legend>
      <c:legendPos val="b"/>
      <c:layout>
        <c:manualLayout>
          <c:xMode val="edge"/>
          <c:yMode val="edge"/>
          <c:x val="6.4975526654232419E-3"/>
          <c:y val="0.89408638814698549"/>
          <c:w val="0.97827692204584993"/>
          <c:h val="8.4775034493234272E-2"/>
        </c:manualLayout>
      </c:layout>
      <c:overlay val="0"/>
      <c:txPr>
        <a:bodyPr/>
        <a:lstStyle/>
        <a:p>
          <a:pPr>
            <a:defRPr sz="900"/>
          </a:pPr>
          <a:endParaRPr lang="es-ES"/>
        </a:p>
      </c:txPr>
    </c:legend>
    <c:plotVisOnly val="1"/>
    <c:dispBlanksAs val="gap"/>
    <c:showDLblsOverMax val="0"/>
  </c:chart>
  <c:spPr>
    <a:ln>
      <a:noFill/>
    </a:ln>
  </c:sp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lang="es-DO" sz="1100" b="1" i="0" u="none" strike="noStrike" kern="1200" spc="0" baseline="0">
                <a:solidFill>
                  <a:schemeClr val="accent1">
                    <a:lumMod val="75000"/>
                  </a:schemeClr>
                </a:solidFill>
                <a:latin typeface="+mn-lt"/>
                <a:ea typeface="+mn-ea"/>
                <a:cs typeface="+mn-cs"/>
              </a:defRPr>
            </a:pPr>
            <a:r>
              <a:rPr lang="es-DO" sz="1100" b="1" i="0" u="none" strike="noStrike" kern="1200" baseline="0">
                <a:solidFill>
                  <a:schemeClr val="accent1">
                    <a:lumMod val="75000"/>
                  </a:schemeClr>
                </a:solidFill>
                <a:latin typeface="+mn-lt"/>
                <a:ea typeface="+mn-ea"/>
                <a:cs typeface="+mn-cs"/>
              </a:rPr>
              <a:t>Monto Traspasado</a:t>
            </a:r>
          </a:p>
        </c:rich>
      </c:tx>
      <c:layout>
        <c:manualLayout>
          <c:xMode val="edge"/>
          <c:yMode val="edge"/>
          <c:x val="0.40124417233232712"/>
          <c:y val="5.0031259688632229E-3"/>
        </c:manualLayout>
      </c:layout>
      <c:overlay val="0"/>
      <c:spPr>
        <a:noFill/>
        <a:ln>
          <a:noFill/>
        </a:ln>
        <a:effectLst/>
      </c:spPr>
      <c:txPr>
        <a:bodyPr rot="0" spcFirstLastPara="1" vertOverflow="ellipsis" vert="horz" wrap="square" anchor="ctr" anchorCtr="1"/>
        <a:lstStyle/>
        <a:p>
          <a:pPr>
            <a:defRPr lang="es-DO" sz="1100" b="1" i="0" u="none" strike="noStrike" kern="1200" spc="0" baseline="0">
              <a:solidFill>
                <a:schemeClr val="accent1">
                  <a:lumMod val="75000"/>
                </a:schemeClr>
              </a:solidFill>
              <a:latin typeface="+mn-lt"/>
              <a:ea typeface="+mn-ea"/>
              <a:cs typeface="+mn-cs"/>
            </a:defRPr>
          </a:pPr>
          <a:endParaRPr lang="es-ES"/>
        </a:p>
      </c:txPr>
    </c:title>
    <c:autoTitleDeleted val="0"/>
    <c:plotArea>
      <c:layout/>
      <c:barChart>
        <c:barDir val="col"/>
        <c:grouping val="clustered"/>
        <c:varyColors val="0"/>
        <c:ser>
          <c:idx val="0"/>
          <c:order val="0"/>
          <c:tx>
            <c:strRef>
              <c:f>Traspaso!$B$8</c:f>
              <c:strCache>
                <c:ptCount val="1"/>
                <c:pt idx="0">
                  <c:v>Marzo</c:v>
                </c:pt>
              </c:strCache>
            </c:strRef>
          </c:tx>
          <c:spPr>
            <a:solidFill>
              <a:schemeClr val="bg1">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Traspaso!$E$7</c:f>
              <c:strCache>
                <c:ptCount val="1"/>
                <c:pt idx="0">
                  <c:v>Monto Traspasado (RD$)</c:v>
                </c:pt>
              </c:strCache>
            </c:strRef>
          </c:cat>
          <c:val>
            <c:numRef>
              <c:f>Traspaso!$E$8</c:f>
              <c:numCache>
                <c:formatCode>_(* #,##0.00_);_(* \(#,##0.00\);_(* "-"??_);_(@_)</c:formatCode>
                <c:ptCount val="1"/>
                <c:pt idx="0">
                  <c:v>0</c:v>
                </c:pt>
              </c:numCache>
            </c:numRef>
          </c:val>
          <c:extLst>
            <c:ext xmlns:c16="http://schemas.microsoft.com/office/drawing/2014/chart" uri="{C3380CC4-5D6E-409C-BE32-E72D297353CC}">
              <c16:uniqueId val="{00000000-3626-45AA-AADE-47CA6C4D53AA}"/>
            </c:ext>
          </c:extLst>
        </c:ser>
        <c:ser>
          <c:idx val="1"/>
          <c:order val="1"/>
          <c:tx>
            <c:strRef>
              <c:f>Traspaso!$B$9</c:f>
              <c:strCache>
                <c:ptCount val="1"/>
                <c:pt idx="0">
                  <c:v>Febrero</c:v>
                </c:pt>
              </c:strCache>
            </c:strRef>
          </c:tx>
          <c:spPr>
            <a:solidFill>
              <a:schemeClr val="accent3">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Traspaso!$E$7</c:f>
              <c:strCache>
                <c:ptCount val="1"/>
                <c:pt idx="0">
                  <c:v>Monto Traspasado (RD$)</c:v>
                </c:pt>
              </c:strCache>
            </c:strRef>
          </c:cat>
          <c:val>
            <c:numRef>
              <c:f>Traspaso!$E$9</c:f>
              <c:numCache>
                <c:formatCode>_("$"* #,##0.00_);_("$"* \(#,##0.00\);_("$"* "-"??_);_(@_)</c:formatCode>
                <c:ptCount val="1"/>
                <c:pt idx="0">
                  <c:v>445043750.19999999</c:v>
                </c:pt>
              </c:numCache>
            </c:numRef>
          </c:val>
          <c:extLst>
            <c:ext xmlns:c16="http://schemas.microsoft.com/office/drawing/2014/chart" uri="{C3380CC4-5D6E-409C-BE32-E72D297353CC}">
              <c16:uniqueId val="{00000001-3626-45AA-AADE-47CA6C4D53AA}"/>
            </c:ext>
          </c:extLst>
        </c:ser>
        <c:ser>
          <c:idx val="2"/>
          <c:order val="2"/>
          <c:tx>
            <c:strRef>
              <c:f>Traspaso!$B$10</c:f>
              <c:strCache>
                <c:ptCount val="1"/>
                <c:pt idx="0">
                  <c:v>Enero</c:v>
                </c:pt>
              </c:strCache>
            </c:strRef>
          </c:tx>
          <c:spPr>
            <a:solidFill>
              <a:schemeClr val="accent1">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Traspaso!$E$7</c:f>
              <c:strCache>
                <c:ptCount val="1"/>
                <c:pt idx="0">
                  <c:v>Monto Traspasado (RD$)</c:v>
                </c:pt>
              </c:strCache>
            </c:strRef>
          </c:cat>
          <c:val>
            <c:numRef>
              <c:f>Traspaso!$E$10</c:f>
              <c:numCache>
                <c:formatCode>_("$"* #,##0.00_);_("$"* \(#,##0.00\);_("$"* "-"??_);_(@_)</c:formatCode>
                <c:ptCount val="1"/>
                <c:pt idx="0">
                  <c:v>106151667.39</c:v>
                </c:pt>
              </c:numCache>
            </c:numRef>
          </c:val>
          <c:extLst>
            <c:ext xmlns:c16="http://schemas.microsoft.com/office/drawing/2014/chart" uri="{C3380CC4-5D6E-409C-BE32-E72D297353CC}">
              <c16:uniqueId val="{00000002-3626-45AA-AADE-47CA6C4D53AA}"/>
            </c:ext>
          </c:extLst>
        </c:ser>
        <c:dLbls>
          <c:dLblPos val="outEnd"/>
          <c:showLegendKey val="0"/>
          <c:showVal val="1"/>
          <c:showCatName val="0"/>
          <c:showSerName val="0"/>
          <c:showPercent val="0"/>
          <c:showBubbleSize val="0"/>
        </c:dLbls>
        <c:gapWidth val="219"/>
        <c:overlap val="-27"/>
        <c:axId val="204719503"/>
        <c:axId val="204723247"/>
      </c:barChart>
      <c:catAx>
        <c:axId val="204719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ES"/>
          </a:p>
        </c:txPr>
        <c:crossAx val="204723247"/>
        <c:crosses val="autoZero"/>
        <c:auto val="1"/>
        <c:lblAlgn val="ctr"/>
        <c:lblOffset val="100"/>
        <c:noMultiLvlLbl val="0"/>
      </c:catAx>
      <c:valAx>
        <c:axId val="204723247"/>
        <c:scaling>
          <c:orientation val="minMax"/>
        </c:scaling>
        <c:delete val="0"/>
        <c:axPos val="l"/>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ES"/>
          </a:p>
        </c:txPr>
        <c:crossAx val="204719503"/>
        <c:crosses val="autoZero"/>
        <c:crossBetween val="between"/>
      </c:valAx>
      <c:spPr>
        <a:noFill/>
        <a:ln>
          <a:noFill/>
        </a:ln>
        <a:effectLst/>
      </c:spPr>
    </c:plotArea>
    <c:legend>
      <c:legendPos val="b"/>
      <c:layout>
        <c:manualLayout>
          <c:xMode val="edge"/>
          <c:yMode val="edge"/>
          <c:x val="0.24552822872449589"/>
          <c:y val="0.88555290254186381"/>
          <c:w val="0.60496527440242809"/>
          <c:h val="8.4428341644956911E-2"/>
        </c:manualLayout>
      </c:layout>
      <c:overlay val="0"/>
      <c:spPr>
        <a:noFill/>
        <a:ln>
          <a:noFill/>
        </a:ln>
        <a:effectLst/>
      </c:spPr>
      <c:txPr>
        <a:bodyPr rot="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barChart>
        <c:barDir val="col"/>
        <c:grouping val="clustered"/>
        <c:varyColors val="0"/>
        <c:ser>
          <c:idx val="0"/>
          <c:order val="0"/>
          <c:tx>
            <c:v>Programación</c:v>
          </c:tx>
          <c:spPr>
            <a:solidFill>
              <a:schemeClr val="accent3">
                <a:lumMod val="60000"/>
                <a:lumOff val="40000"/>
              </a:schemeClr>
            </a:solidFill>
          </c:spPr>
          <c:invertIfNegative val="0"/>
          <c:dLbls>
            <c:dLbl>
              <c:idx val="0"/>
              <c:layout>
                <c:manualLayout>
                  <c:x val="3.8648063785239606E-3"/>
                  <c:y val="0.4313640147444595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2A6-4785-8F6A-565385A8559A}"/>
                </c:ext>
              </c:extLst>
            </c:dLbl>
            <c:dLbl>
              <c:idx val="1"/>
              <c:layout>
                <c:manualLayout>
                  <c:x val="-2.2996177383459568E-3"/>
                  <c:y val="0.4420300134311038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F06-4ACA-948D-D00822954ED6}"/>
                </c:ext>
              </c:extLst>
            </c:dLbl>
            <c:spPr>
              <a:noFill/>
              <a:ln>
                <a:noFill/>
              </a:ln>
              <a:effectLst/>
            </c:spPr>
            <c:txPr>
              <a:bodyPr rot="-5400000" vert="horz" anchor="ctr" anchorCtr="0"/>
              <a:lstStyle/>
              <a:p>
                <a:pPr>
                  <a:defRPr/>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de Pensiones'!$B$10:$B$13</c:f>
              <c:strCache>
                <c:ptCount val="3"/>
                <c:pt idx="0">
                  <c:v>Marzo </c:v>
                </c:pt>
                <c:pt idx="1">
                  <c:v>Febrero</c:v>
                </c:pt>
                <c:pt idx="2">
                  <c:v>Enero</c:v>
                </c:pt>
              </c:strCache>
            </c:strRef>
          </c:cat>
          <c:val>
            <c:numRef>
              <c:f>'Presupuesto de Pensiones'!$E$10:$E$13</c:f>
              <c:numCache>
                <c:formatCode>#,##0.00</c:formatCode>
                <c:ptCount val="3"/>
                <c:pt idx="0">
                  <c:v>4333836083.96</c:v>
                </c:pt>
                <c:pt idx="1">
                  <c:v>4259009605.8799996</c:v>
                </c:pt>
                <c:pt idx="2">
                  <c:v>4257335791.1199999</c:v>
                </c:pt>
              </c:numCache>
            </c:numRef>
          </c:val>
          <c:extLst>
            <c:ext xmlns:c16="http://schemas.microsoft.com/office/drawing/2014/chart" uri="{C3380CC4-5D6E-409C-BE32-E72D297353CC}">
              <c16:uniqueId val="{00000000-1C01-44D8-A584-F0F60B69051B}"/>
            </c:ext>
          </c:extLst>
        </c:ser>
        <c:ser>
          <c:idx val="1"/>
          <c:order val="1"/>
          <c:tx>
            <c:v>Ejecutado</c:v>
          </c:tx>
          <c:spPr>
            <a:solidFill>
              <a:schemeClr val="bg1">
                <a:lumMod val="75000"/>
              </a:schemeClr>
            </a:solidFill>
          </c:spPr>
          <c:invertIfNegative val="0"/>
          <c:dLbls>
            <c:dLbl>
              <c:idx val="0"/>
              <c:layout>
                <c:manualLayout>
                  <c:x val="1.6631054675137952E-2"/>
                  <c:y val="0.46183291432720841"/>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2A6-4785-8F6A-565385A8559A}"/>
                </c:ext>
              </c:extLst>
            </c:dLbl>
            <c:spPr>
              <a:noFill/>
              <a:ln>
                <a:noFill/>
              </a:ln>
              <a:effectLst/>
            </c:spPr>
            <c:txPr>
              <a:bodyPr rot="-5400000" vert="horz"/>
              <a:lstStyle/>
              <a:p>
                <a:pPr>
                  <a:defRPr/>
                </a:pPr>
                <a:endParaRPr lang="es-E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de Pensiones'!$B$10:$B$13</c:f>
              <c:strCache>
                <c:ptCount val="3"/>
                <c:pt idx="0">
                  <c:v>Marzo </c:v>
                </c:pt>
                <c:pt idx="1">
                  <c:v>Febrero</c:v>
                </c:pt>
                <c:pt idx="2">
                  <c:v>Enero</c:v>
                </c:pt>
              </c:strCache>
            </c:strRef>
          </c:cat>
          <c:val>
            <c:numRef>
              <c:f>'Presupuesto de Pensiones'!$F$10:$F$13</c:f>
              <c:numCache>
                <c:formatCode>#,##0.00</c:formatCode>
                <c:ptCount val="3"/>
                <c:pt idx="0">
                  <c:v>4265237045.3099999</c:v>
                </c:pt>
                <c:pt idx="1">
                  <c:v>4205806974.71</c:v>
                </c:pt>
                <c:pt idx="2">
                  <c:v>4145649507.4100003</c:v>
                </c:pt>
              </c:numCache>
            </c:numRef>
          </c:val>
          <c:extLst>
            <c:ext xmlns:c16="http://schemas.microsoft.com/office/drawing/2014/chart" uri="{C3380CC4-5D6E-409C-BE32-E72D297353CC}">
              <c16:uniqueId val="{00000001-1C01-44D8-A584-F0F60B69051B}"/>
            </c:ext>
          </c:extLst>
        </c:ser>
        <c:dLbls>
          <c:showLegendKey val="0"/>
          <c:showVal val="1"/>
          <c:showCatName val="0"/>
          <c:showSerName val="0"/>
          <c:showPercent val="0"/>
          <c:showBubbleSize val="0"/>
        </c:dLbls>
        <c:gapWidth val="75"/>
        <c:axId val="1665021264"/>
        <c:axId val="1665032144"/>
      </c:barChart>
      <c:lineChart>
        <c:grouping val="standard"/>
        <c:varyColors val="0"/>
        <c:ser>
          <c:idx val="2"/>
          <c:order val="2"/>
          <c:tx>
            <c:v>% Ejecutado</c:v>
          </c:tx>
          <c:spPr>
            <a:ln>
              <a:solidFill>
                <a:schemeClr val="tx2">
                  <a:lumMod val="60000"/>
                  <a:lumOff val="40000"/>
                </a:schemeClr>
              </a:solidFill>
            </a:ln>
          </c:spPr>
          <c:marker>
            <c:spPr>
              <a:solidFill>
                <a:schemeClr val="tx2">
                  <a:lumMod val="60000"/>
                  <a:lumOff val="40000"/>
                </a:schemeClr>
              </a:solidFill>
              <a:ln>
                <a:solidFill>
                  <a:schemeClr val="tx2">
                    <a:lumMod val="60000"/>
                    <a:lumOff val="40000"/>
                  </a:schemeClr>
                </a:solidFill>
              </a:ln>
            </c:spPr>
          </c:marker>
          <c:dPt>
            <c:idx val="0"/>
            <c:bubble3D val="0"/>
            <c:extLst>
              <c:ext xmlns:c16="http://schemas.microsoft.com/office/drawing/2014/chart" uri="{C3380CC4-5D6E-409C-BE32-E72D297353CC}">
                <c16:uniqueId val="{00000002-A2A6-4785-8F6A-565385A8559A}"/>
              </c:ext>
            </c:extLst>
          </c:dPt>
          <c:dPt>
            <c:idx val="1"/>
            <c:bubble3D val="0"/>
            <c:extLst>
              <c:ext xmlns:c16="http://schemas.microsoft.com/office/drawing/2014/chart" uri="{C3380CC4-5D6E-409C-BE32-E72D297353CC}">
                <c16:uniqueId val="{00000002-1C01-44D8-A584-F0F60B69051B}"/>
              </c:ext>
            </c:extLst>
          </c:dPt>
          <c:dLbls>
            <c:spPr>
              <a:noFill/>
              <a:ln>
                <a:noFill/>
              </a:ln>
              <a:effectLst/>
            </c:spPr>
            <c:txPr>
              <a:bodyPr rot="0" vert="horz" wrap="square" lIns="38100" tIns="19050" rIns="38100" bIns="19050" anchor="ctr">
                <a:spAutoFit/>
              </a:bodyPr>
              <a:lstStyle/>
              <a:p>
                <a:pPr>
                  <a:defRPr sz="1050" b="1"/>
                </a:pPr>
                <a:endParaRPr lang="es-E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'Presupuesto de Pensiones'!$B$10:$B$13</c:f>
              <c:strCache>
                <c:ptCount val="3"/>
                <c:pt idx="0">
                  <c:v>Marzo </c:v>
                </c:pt>
                <c:pt idx="1">
                  <c:v>Febrero</c:v>
                </c:pt>
                <c:pt idx="2">
                  <c:v>Enero</c:v>
                </c:pt>
              </c:strCache>
            </c:strRef>
          </c:cat>
          <c:val>
            <c:numRef>
              <c:f>'Presupuesto de Pensiones'!$G$10:$G$13</c:f>
              <c:numCache>
                <c:formatCode>0%</c:formatCode>
                <c:ptCount val="3"/>
                <c:pt idx="0">
                  <c:v>0.9841656326694036</c:v>
                </c:pt>
                <c:pt idx="1">
                  <c:v>0.9875053181418455</c:v>
                </c:pt>
                <c:pt idx="2">
                  <c:v>0.97376615583319592</c:v>
                </c:pt>
              </c:numCache>
            </c:numRef>
          </c:val>
          <c:smooth val="0"/>
          <c:extLst>
            <c:ext xmlns:c16="http://schemas.microsoft.com/office/drawing/2014/chart" uri="{C3380CC4-5D6E-409C-BE32-E72D297353CC}">
              <c16:uniqueId val="{00000004-1C01-44D8-A584-F0F60B69051B}"/>
            </c:ext>
          </c:extLst>
        </c:ser>
        <c:dLbls>
          <c:showLegendKey val="0"/>
          <c:showVal val="1"/>
          <c:showCatName val="0"/>
          <c:showSerName val="0"/>
          <c:showPercent val="0"/>
          <c:showBubbleSize val="0"/>
        </c:dLbls>
        <c:marker val="1"/>
        <c:smooth val="0"/>
        <c:axId val="1665032688"/>
        <c:axId val="1665026160"/>
      </c:lineChart>
      <c:catAx>
        <c:axId val="1665021264"/>
        <c:scaling>
          <c:orientation val="minMax"/>
        </c:scaling>
        <c:delete val="0"/>
        <c:axPos val="b"/>
        <c:numFmt formatCode="General" sourceLinked="0"/>
        <c:majorTickMark val="none"/>
        <c:minorTickMark val="none"/>
        <c:tickLblPos val="nextTo"/>
        <c:crossAx val="1665032144"/>
        <c:crosses val="autoZero"/>
        <c:auto val="1"/>
        <c:lblAlgn val="ctr"/>
        <c:lblOffset val="100"/>
        <c:noMultiLvlLbl val="0"/>
      </c:catAx>
      <c:valAx>
        <c:axId val="1665032144"/>
        <c:scaling>
          <c:orientation val="minMax"/>
          <c:max val="4500000000"/>
          <c:min val="3000000000"/>
        </c:scaling>
        <c:delete val="0"/>
        <c:axPos val="l"/>
        <c:numFmt formatCode="#,##0.00" sourceLinked="1"/>
        <c:majorTickMark val="none"/>
        <c:minorTickMark val="none"/>
        <c:tickLblPos val="nextTo"/>
        <c:crossAx val="1665021264"/>
        <c:crosses val="autoZero"/>
        <c:crossBetween val="between"/>
        <c:majorUnit val="200000000"/>
      </c:valAx>
      <c:valAx>
        <c:axId val="1665026160"/>
        <c:scaling>
          <c:orientation val="minMax"/>
          <c:max val="1"/>
          <c:min val="0.88000000000000012"/>
        </c:scaling>
        <c:delete val="0"/>
        <c:axPos val="r"/>
        <c:numFmt formatCode="0%" sourceLinked="1"/>
        <c:majorTickMark val="out"/>
        <c:minorTickMark val="none"/>
        <c:tickLblPos val="nextTo"/>
        <c:crossAx val="1665032688"/>
        <c:crosses val="max"/>
        <c:crossBetween val="between"/>
        <c:majorUnit val="2.0000000000000004E-2"/>
        <c:minorUnit val="5.000000000000001E-3"/>
      </c:valAx>
      <c:catAx>
        <c:axId val="1665032688"/>
        <c:scaling>
          <c:orientation val="minMax"/>
        </c:scaling>
        <c:delete val="1"/>
        <c:axPos val="b"/>
        <c:numFmt formatCode="General" sourceLinked="1"/>
        <c:majorTickMark val="out"/>
        <c:minorTickMark val="none"/>
        <c:tickLblPos val="nextTo"/>
        <c:crossAx val="1665026160"/>
        <c:crosses val="autoZero"/>
        <c:auto val="1"/>
        <c:lblAlgn val="ctr"/>
        <c:lblOffset val="100"/>
        <c:noMultiLvlLbl val="0"/>
      </c:catAx>
    </c:plotArea>
    <c:legend>
      <c:legendPos val="b"/>
      <c:overlay val="0"/>
    </c:legend>
    <c:plotVisOnly val="1"/>
    <c:dispBlanksAs val="gap"/>
    <c:showDLblsOverMax val="0"/>
  </c:chart>
  <c:spPr>
    <a:ln>
      <a:solidFill>
        <a:schemeClr val="bg1"/>
      </a:solidFill>
    </a:ln>
  </c:sp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31471526098266"/>
          <c:y val="0.13154844993940878"/>
          <c:w val="0.82866557875303415"/>
          <c:h val="0.69190263993496037"/>
        </c:manualLayout>
      </c:layout>
      <c:barChart>
        <c:barDir val="col"/>
        <c:grouping val="clustered"/>
        <c:varyColors val="0"/>
        <c:ser>
          <c:idx val="0"/>
          <c:order val="0"/>
          <c:tx>
            <c:v>PC</c:v>
          </c:tx>
          <c:spPr>
            <a:solidFill>
              <a:schemeClr val="accent3"/>
            </a:solidFill>
          </c:spPr>
          <c:invertIfNegative val="0"/>
          <c:dLbls>
            <c:dLbl>
              <c:idx val="0"/>
              <c:layout>
                <c:manualLayout>
                  <c:x val="8.2366115236005497E-3"/>
                  <c:y val="0.2794206104604114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3D9-494F-9FD7-D7A98F07ECC5}"/>
                </c:ext>
              </c:extLst>
            </c:dLbl>
            <c:dLbl>
              <c:idx val="1"/>
              <c:layout>
                <c:manualLayout>
                  <c:x val="-1.9338092923303063E-4"/>
                  <c:y val="0.28115330922095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3D9-494F-9FD7-D7A98F07ECC5}"/>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Nómina!$B$9:$B$11</c:f>
              <c:strCache>
                <c:ptCount val="3"/>
                <c:pt idx="0">
                  <c:v>Marzo</c:v>
                </c:pt>
                <c:pt idx="1">
                  <c:v>Febrero</c:v>
                </c:pt>
                <c:pt idx="2">
                  <c:v>Enero</c:v>
                </c:pt>
              </c:strCache>
            </c:strRef>
          </c:cat>
          <c:val>
            <c:numRef>
              <c:f>Nómina!$C$9:$C$11</c:f>
              <c:numCache>
                <c:formatCode>#,##0_);\(#,##0\)</c:formatCode>
                <c:ptCount val="3"/>
                <c:pt idx="0">
                  <c:v>164813</c:v>
                </c:pt>
                <c:pt idx="1">
                  <c:v>164545</c:v>
                </c:pt>
                <c:pt idx="2">
                  <c:v>163421</c:v>
                </c:pt>
              </c:numCache>
            </c:numRef>
          </c:val>
          <c:extLst>
            <c:ext xmlns:c16="http://schemas.microsoft.com/office/drawing/2014/chart" uri="{C3380CC4-5D6E-409C-BE32-E72D297353CC}">
              <c16:uniqueId val="{00000003-53D9-494F-9FD7-D7A98F07ECC5}"/>
            </c:ext>
          </c:extLst>
        </c:ser>
        <c:ser>
          <c:idx val="1"/>
          <c:order val="1"/>
          <c:tx>
            <c:v>PS</c:v>
          </c:tx>
          <c:spPr>
            <a:solidFill>
              <a:schemeClr val="accent6">
                <a:lumMod val="60000"/>
                <a:lumOff val="40000"/>
              </a:schemeClr>
            </a:solidFill>
          </c:spPr>
          <c:invertIfNegative val="0"/>
          <c:dLbls>
            <c:dLbl>
              <c:idx val="0"/>
              <c:layout>
                <c:manualLayout>
                  <c:x val="1.388888888888888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3D9-494F-9FD7-D7A98F07ECC5}"/>
                </c:ext>
              </c:extLst>
            </c:dLbl>
            <c:dLbl>
              <c:idx val="1"/>
              <c:layout>
                <c:manualLayout>
                  <c:x val="1.666666666666666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3D9-494F-9FD7-D7A98F07ECC5}"/>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Nómina!$B$9:$B$11</c:f>
              <c:strCache>
                <c:ptCount val="3"/>
                <c:pt idx="0">
                  <c:v>Marzo</c:v>
                </c:pt>
                <c:pt idx="1">
                  <c:v>Febrero</c:v>
                </c:pt>
                <c:pt idx="2">
                  <c:v>Enero</c:v>
                </c:pt>
              </c:strCache>
            </c:strRef>
          </c:cat>
          <c:val>
            <c:numRef>
              <c:f>Nómina!$F$9:$F$11</c:f>
              <c:numCache>
                <c:formatCode>#,##0_);\(#,##0\)</c:formatCode>
                <c:ptCount val="3"/>
                <c:pt idx="0">
                  <c:v>62570</c:v>
                </c:pt>
                <c:pt idx="1">
                  <c:v>61663</c:v>
                </c:pt>
                <c:pt idx="2">
                  <c:v>60355</c:v>
                </c:pt>
              </c:numCache>
            </c:numRef>
          </c:val>
          <c:extLst>
            <c:ext xmlns:c16="http://schemas.microsoft.com/office/drawing/2014/chart" uri="{C3380CC4-5D6E-409C-BE32-E72D297353CC}">
              <c16:uniqueId val="{00000007-53D9-494F-9FD7-D7A98F07ECC5}"/>
            </c:ext>
          </c:extLst>
        </c:ser>
        <c:ser>
          <c:idx val="2"/>
          <c:order val="2"/>
          <c:tx>
            <c:v>PN</c:v>
          </c:tx>
          <c:spPr>
            <a:solidFill>
              <a:schemeClr val="tx2">
                <a:lumMod val="60000"/>
                <a:lumOff val="40000"/>
              </a:schemeClr>
            </a:solidFill>
          </c:spPr>
          <c:invertIfNegative val="0"/>
          <c:dLbls>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Nómina!$I$9:$I$11</c:f>
              <c:numCache>
                <c:formatCode>#,##0_);\(#,##0\)</c:formatCode>
                <c:ptCount val="3"/>
                <c:pt idx="0">
                  <c:v>26828</c:v>
                </c:pt>
                <c:pt idx="1">
                  <c:v>26345</c:v>
                </c:pt>
                <c:pt idx="2">
                  <c:v>26351</c:v>
                </c:pt>
              </c:numCache>
            </c:numRef>
          </c:val>
          <c:extLst>
            <c:ext xmlns:c16="http://schemas.microsoft.com/office/drawing/2014/chart" uri="{C3380CC4-5D6E-409C-BE32-E72D297353CC}">
              <c16:uniqueId val="{00000000-C68F-40C1-B7CC-955B6C3781D2}"/>
            </c:ext>
          </c:extLst>
        </c:ser>
        <c:dLbls>
          <c:showLegendKey val="0"/>
          <c:showVal val="1"/>
          <c:showCatName val="0"/>
          <c:showSerName val="0"/>
          <c:showPercent val="0"/>
          <c:showBubbleSize val="0"/>
        </c:dLbls>
        <c:gapWidth val="75"/>
        <c:axId val="1665033232"/>
        <c:axId val="1665027248"/>
      </c:barChart>
      <c:catAx>
        <c:axId val="1665033232"/>
        <c:scaling>
          <c:orientation val="minMax"/>
        </c:scaling>
        <c:delete val="0"/>
        <c:axPos val="b"/>
        <c:numFmt formatCode="General" sourceLinked="0"/>
        <c:majorTickMark val="none"/>
        <c:minorTickMark val="none"/>
        <c:tickLblPos val="nextTo"/>
        <c:crossAx val="1665027248"/>
        <c:crosses val="autoZero"/>
        <c:auto val="1"/>
        <c:lblAlgn val="ctr"/>
        <c:lblOffset val="100"/>
        <c:noMultiLvlLbl val="0"/>
      </c:catAx>
      <c:valAx>
        <c:axId val="1665027248"/>
        <c:scaling>
          <c:orientation val="minMax"/>
        </c:scaling>
        <c:delete val="0"/>
        <c:axPos val="l"/>
        <c:numFmt formatCode="#,##0_);\(#,##0\)" sourceLinked="1"/>
        <c:majorTickMark val="none"/>
        <c:minorTickMark val="none"/>
        <c:tickLblPos val="nextTo"/>
        <c:crossAx val="1665033232"/>
        <c:crosses val="autoZero"/>
        <c:crossBetween val="between"/>
      </c:valAx>
    </c:plotArea>
    <c:legend>
      <c:legendPos val="b"/>
      <c:layout>
        <c:manualLayout>
          <c:xMode val="edge"/>
          <c:yMode val="edge"/>
          <c:x val="0.41335770283434614"/>
          <c:y val="0.93137511312911292"/>
          <c:w val="0.22633816425502665"/>
          <c:h val="6.5109557839156396E-2"/>
        </c:manualLayout>
      </c:layout>
      <c:overlay val="0"/>
    </c:legend>
    <c:plotVisOnly val="1"/>
    <c:dispBlanksAs val="gap"/>
    <c:showDLblsOverMax val="0"/>
  </c:chart>
  <c:spPr>
    <a:ln>
      <a:solidFill>
        <a:schemeClr val="bg1"/>
      </a:solidFill>
    </a:ln>
  </c:spPr>
  <c:printSettings>
    <c:headerFooter/>
    <c:pageMargins b="0.75" l="0.7" r="0.7" t="0.75" header="0.3" footer="0.3"/>
    <c:pageSetup orientation="portrait"/>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PC</c:v>
          </c:tx>
          <c:spPr>
            <a:solidFill>
              <a:schemeClr val="accent3"/>
            </a:solidFill>
          </c:spPr>
          <c:invertIfNegative val="0"/>
          <c:dLbls>
            <c:dLbl>
              <c:idx val="0"/>
              <c:layout>
                <c:manualLayout>
                  <c:x val="-9.5208122101056675E-4"/>
                  <c:y val="0.1782414984419148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CBD-4A0D-BE09-D21C77B6043E}"/>
                </c:ext>
              </c:extLst>
            </c:dLbl>
            <c:dLbl>
              <c:idx val="1"/>
              <c:layout>
                <c:manualLayout>
                  <c:x val="1.8258793274707537E-3"/>
                  <c:y val="0.1886208852676180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CBD-4A0D-BE09-D21C77B6043E}"/>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Nómina!$B$9:$B$11</c:f>
              <c:strCache>
                <c:ptCount val="3"/>
                <c:pt idx="0">
                  <c:v>Marzo</c:v>
                </c:pt>
                <c:pt idx="1">
                  <c:v>Febrero</c:v>
                </c:pt>
                <c:pt idx="2">
                  <c:v>Enero</c:v>
                </c:pt>
              </c:strCache>
            </c:strRef>
          </c:cat>
          <c:val>
            <c:numRef>
              <c:f>Nómina!$D$9:$D$11</c:f>
              <c:numCache>
                <c:formatCode>#,##0_);\(#,##0\)</c:formatCode>
                <c:ptCount val="3"/>
                <c:pt idx="0">
                  <c:v>177660</c:v>
                </c:pt>
                <c:pt idx="1">
                  <c:v>177432</c:v>
                </c:pt>
                <c:pt idx="2">
                  <c:v>176300</c:v>
                </c:pt>
              </c:numCache>
            </c:numRef>
          </c:val>
          <c:extLst>
            <c:ext xmlns:c16="http://schemas.microsoft.com/office/drawing/2014/chart" uri="{C3380CC4-5D6E-409C-BE32-E72D297353CC}">
              <c16:uniqueId val="{00000003-9CBD-4A0D-BE09-D21C77B6043E}"/>
            </c:ext>
          </c:extLst>
        </c:ser>
        <c:ser>
          <c:idx val="1"/>
          <c:order val="1"/>
          <c:tx>
            <c:v>PS</c:v>
          </c:tx>
          <c:spPr>
            <a:solidFill>
              <a:schemeClr val="accent6">
                <a:lumMod val="60000"/>
                <a:lumOff val="40000"/>
              </a:schemeClr>
            </a:solidFill>
          </c:spPr>
          <c:invertIfNegative val="0"/>
          <c:dLbls>
            <c:dLbl>
              <c:idx val="0"/>
              <c:layout>
                <c:manualLayout>
                  <c:x val="-9.5208122101056675E-4"/>
                  <c:y val="1.72491772685724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CBD-4A0D-BE09-D21C77B6043E}"/>
                </c:ext>
              </c:extLst>
            </c:dLbl>
            <c:dLbl>
              <c:idx val="1"/>
              <c:layout>
                <c:manualLayout>
                  <c:x val="1.304057958836161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CBD-4A0D-BE09-D21C77B6043E}"/>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Nómina!$B$9:$B$11</c:f>
              <c:strCache>
                <c:ptCount val="3"/>
                <c:pt idx="0">
                  <c:v>Marzo</c:v>
                </c:pt>
                <c:pt idx="1">
                  <c:v>Febrero</c:v>
                </c:pt>
                <c:pt idx="2">
                  <c:v>Enero</c:v>
                </c:pt>
              </c:strCache>
            </c:strRef>
          </c:cat>
          <c:val>
            <c:numRef>
              <c:f>Nómina!$G$9:$G$11</c:f>
              <c:numCache>
                <c:formatCode>#,##0_);\(#,##0\)</c:formatCode>
                <c:ptCount val="3"/>
                <c:pt idx="0">
                  <c:v>62570</c:v>
                </c:pt>
                <c:pt idx="1">
                  <c:v>61663</c:v>
                </c:pt>
                <c:pt idx="2">
                  <c:v>60355</c:v>
                </c:pt>
              </c:numCache>
            </c:numRef>
          </c:val>
          <c:extLst>
            <c:ext xmlns:c16="http://schemas.microsoft.com/office/drawing/2014/chart" uri="{C3380CC4-5D6E-409C-BE32-E72D297353CC}">
              <c16:uniqueId val="{00000007-9CBD-4A0D-BE09-D21C77B6043E}"/>
            </c:ext>
          </c:extLst>
        </c:ser>
        <c:ser>
          <c:idx val="2"/>
          <c:order val="2"/>
          <c:tx>
            <c:v>PN</c:v>
          </c:tx>
          <c:spPr>
            <a:solidFill>
              <a:schemeClr val="tx2">
                <a:lumMod val="60000"/>
                <a:lumOff val="40000"/>
              </a:schemeClr>
            </a:solidFill>
          </c:spPr>
          <c:invertIfNegative val="0"/>
          <c:dLbls>
            <c:dLbl>
              <c:idx val="0"/>
              <c:layout>
                <c:manualLayout>
                  <c:x val="2.5169507716138687E-3"/>
                  <c:y val="1.72491772685723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9A7-42AB-9E5A-58FEC411AE86}"/>
                </c:ext>
              </c:extLst>
            </c:dLbl>
            <c:dLbl>
              <c:idx val="1"/>
              <c:layout>
                <c:manualLayout>
                  <c:x val="0"/>
                  <c:y val="5.749725756190749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9A7-42AB-9E5A-58FEC411AE86}"/>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Nómina!$J$9:$J$11</c:f>
              <c:numCache>
                <c:formatCode>#,##0_);\(#,##0\)</c:formatCode>
                <c:ptCount val="3"/>
                <c:pt idx="0">
                  <c:v>26940</c:v>
                </c:pt>
                <c:pt idx="1">
                  <c:v>26457</c:v>
                </c:pt>
                <c:pt idx="2">
                  <c:v>26461</c:v>
                </c:pt>
              </c:numCache>
            </c:numRef>
          </c:val>
          <c:extLst>
            <c:ext xmlns:c16="http://schemas.microsoft.com/office/drawing/2014/chart" uri="{C3380CC4-5D6E-409C-BE32-E72D297353CC}">
              <c16:uniqueId val="{00000000-B4C7-4C8F-829E-12F6B5EA66FC}"/>
            </c:ext>
          </c:extLst>
        </c:ser>
        <c:dLbls>
          <c:showLegendKey val="0"/>
          <c:showVal val="1"/>
          <c:showCatName val="0"/>
          <c:showSerName val="0"/>
          <c:showPercent val="0"/>
          <c:showBubbleSize val="0"/>
        </c:dLbls>
        <c:gapWidth val="75"/>
        <c:axId val="1665028880"/>
        <c:axId val="1665018544"/>
      </c:barChart>
      <c:catAx>
        <c:axId val="1665028880"/>
        <c:scaling>
          <c:orientation val="minMax"/>
        </c:scaling>
        <c:delete val="0"/>
        <c:axPos val="b"/>
        <c:numFmt formatCode="General" sourceLinked="0"/>
        <c:majorTickMark val="none"/>
        <c:minorTickMark val="none"/>
        <c:tickLblPos val="nextTo"/>
        <c:crossAx val="1665018544"/>
        <c:crosses val="autoZero"/>
        <c:auto val="1"/>
        <c:lblAlgn val="ctr"/>
        <c:lblOffset val="100"/>
        <c:noMultiLvlLbl val="0"/>
      </c:catAx>
      <c:valAx>
        <c:axId val="1665018544"/>
        <c:scaling>
          <c:orientation val="minMax"/>
        </c:scaling>
        <c:delete val="0"/>
        <c:axPos val="l"/>
        <c:numFmt formatCode="#,##0_);\(#,##0\)" sourceLinked="1"/>
        <c:majorTickMark val="none"/>
        <c:minorTickMark val="none"/>
        <c:tickLblPos val="nextTo"/>
        <c:crossAx val="1665028880"/>
        <c:crosses val="autoZero"/>
        <c:crossBetween val="between"/>
      </c:valAx>
    </c:plotArea>
    <c:legend>
      <c:legendPos val="b"/>
      <c:overlay val="0"/>
    </c:legend>
    <c:plotVisOnly val="1"/>
    <c:dispBlanksAs val="gap"/>
    <c:showDLblsOverMax val="0"/>
  </c:chart>
  <c:spPr>
    <a:ln>
      <a:solidFill>
        <a:schemeClr val="bg1"/>
      </a:solidFill>
    </a:ln>
  </c:spPr>
  <c:printSettings>
    <c:headerFooter/>
    <c:pageMargins b="0.75" l="0.7" r="0.7" t="0.75"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3337994475336546"/>
          <c:y val="7.2398304229332799E-2"/>
          <c:w val="0.74678873081085129"/>
          <c:h val="0.66715845292252429"/>
        </c:manualLayout>
      </c:layout>
      <c:barChart>
        <c:barDir val="col"/>
        <c:grouping val="clustered"/>
        <c:varyColors val="0"/>
        <c:ser>
          <c:idx val="0"/>
          <c:order val="0"/>
          <c:tx>
            <c:v>PC</c:v>
          </c:tx>
          <c:spPr>
            <a:solidFill>
              <a:schemeClr val="accent3"/>
            </a:solidFill>
          </c:spPr>
          <c:invertIfNegative val="0"/>
          <c:dLbls>
            <c:dLbl>
              <c:idx val="0"/>
              <c:layout>
                <c:manualLayout>
                  <c:x val="-2.8154707518661961E-3"/>
                  <c:y val="0.23723951716480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DAB-4ACC-9DB2-E039C3656B7D}"/>
                </c:ext>
              </c:extLst>
            </c:dLbl>
            <c:dLbl>
              <c:idx val="1"/>
              <c:layout>
                <c:manualLayout>
                  <c:x val="-5.5544341463445307E-3"/>
                  <c:y val="0.2151374158988942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DAB-4ACC-9DB2-E039C3656B7D}"/>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Nómina!$B$9:$B$11</c:f>
              <c:strCache>
                <c:ptCount val="3"/>
                <c:pt idx="0">
                  <c:v>Marzo</c:v>
                </c:pt>
                <c:pt idx="1">
                  <c:v>Febrero</c:v>
                </c:pt>
                <c:pt idx="2">
                  <c:v>Enero</c:v>
                </c:pt>
              </c:strCache>
            </c:strRef>
          </c:cat>
          <c:val>
            <c:numRef>
              <c:f>Nómina!$E$9:$E$11</c:f>
              <c:numCache>
                <c:formatCode>_(* #,##0.00_);_(* \(#,##0.00\);_(* "-"??_);_(@_)</c:formatCode>
                <c:ptCount val="3"/>
                <c:pt idx="0">
                  <c:v>3019754762.5</c:v>
                </c:pt>
                <c:pt idx="1">
                  <c:v>2985141277.8299999</c:v>
                </c:pt>
                <c:pt idx="2">
                  <c:v>2955772958.3200002</c:v>
                </c:pt>
              </c:numCache>
            </c:numRef>
          </c:val>
          <c:extLst>
            <c:ext xmlns:c16="http://schemas.microsoft.com/office/drawing/2014/chart" uri="{C3380CC4-5D6E-409C-BE32-E72D297353CC}">
              <c16:uniqueId val="{00000000-0F53-4019-BFDC-2A350F855EE7}"/>
            </c:ext>
          </c:extLst>
        </c:ser>
        <c:ser>
          <c:idx val="1"/>
          <c:order val="1"/>
          <c:tx>
            <c:v>PS</c:v>
          </c:tx>
          <c:spPr>
            <a:solidFill>
              <a:schemeClr val="accent6">
                <a:lumMod val="60000"/>
                <a:lumOff val="40000"/>
              </a:schemeClr>
            </a:solidFill>
          </c:spPr>
          <c:invertIfNegative val="0"/>
          <c:dLbls>
            <c:dLbl>
              <c:idx val="0"/>
              <c:layout>
                <c:manualLayout>
                  <c:x val="6.2974987543972412E-3"/>
                  <c:y val="5.52552531647767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45C-498E-B306-189846393CDE}"/>
                </c:ext>
              </c:extLst>
            </c:dLbl>
            <c:dLbl>
              <c:idx val="1"/>
              <c:layout>
                <c:manualLayout>
                  <c:x val="9.1129695062634377E-3"/>
                  <c:y val="1.65765759494330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45C-498E-B306-189846393CDE}"/>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Nómina!$B$9:$B$11</c:f>
              <c:strCache>
                <c:ptCount val="3"/>
                <c:pt idx="0">
                  <c:v>Marzo</c:v>
                </c:pt>
                <c:pt idx="1">
                  <c:v>Febrero</c:v>
                </c:pt>
                <c:pt idx="2">
                  <c:v>Enero</c:v>
                </c:pt>
              </c:strCache>
            </c:strRef>
          </c:cat>
          <c:val>
            <c:numRef>
              <c:f>Nómina!$H$9:$H$11</c:f>
              <c:numCache>
                <c:formatCode>_(* #,##0.00_);_(* \(#,##0.00\);_(* "-"??_);_(@_)</c:formatCode>
                <c:ptCount val="3"/>
                <c:pt idx="0">
                  <c:v>375420000</c:v>
                </c:pt>
                <c:pt idx="1">
                  <c:v>369978000</c:v>
                </c:pt>
                <c:pt idx="2">
                  <c:v>362130000</c:v>
                </c:pt>
              </c:numCache>
            </c:numRef>
          </c:val>
          <c:extLst>
            <c:ext xmlns:c16="http://schemas.microsoft.com/office/drawing/2014/chart" uri="{C3380CC4-5D6E-409C-BE32-E72D297353CC}">
              <c16:uniqueId val="{00000001-0F53-4019-BFDC-2A350F855EE7}"/>
            </c:ext>
          </c:extLst>
        </c:ser>
        <c:ser>
          <c:idx val="2"/>
          <c:order val="2"/>
          <c:tx>
            <c:v>PN</c:v>
          </c:tx>
          <c:spPr>
            <a:solidFill>
              <a:schemeClr val="tx2">
                <a:lumMod val="60000"/>
                <a:lumOff val="40000"/>
              </a:schemeClr>
            </a:solidFill>
          </c:spPr>
          <c:invertIfNegative val="0"/>
          <c:dLbls>
            <c:dLbl>
              <c:idx val="0"/>
              <c:layout>
                <c:manualLayout>
                  <c:x val="7.4488820807821271E-3"/>
                  <c:y val="5.52552531647772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45C-498E-B306-189846393CDE}"/>
                </c:ext>
              </c:extLst>
            </c:dLbl>
            <c:dLbl>
              <c:idx val="1"/>
              <c:layout>
                <c:manualLayout>
                  <c:x val="4.6332017197177064E-3"/>
                  <c:y val="5.52552531647770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45C-498E-B306-189846393CDE}"/>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Nómina!$K$9:$K$11</c:f>
              <c:numCache>
                <c:formatCode>_(* #,##0.00_);_(* \(#,##0.00\);_(* "-"??_);_(@_)</c:formatCode>
                <c:ptCount val="3"/>
                <c:pt idx="0">
                  <c:v>861226297.13</c:v>
                </c:pt>
                <c:pt idx="1">
                  <c:v>827916727.58000004</c:v>
                </c:pt>
                <c:pt idx="2">
                  <c:v>827746549.09000003</c:v>
                </c:pt>
              </c:numCache>
            </c:numRef>
          </c:val>
          <c:extLst>
            <c:ext xmlns:c16="http://schemas.microsoft.com/office/drawing/2014/chart" uri="{C3380CC4-5D6E-409C-BE32-E72D297353CC}">
              <c16:uniqueId val="{00000000-281D-447F-87D6-9DFFE7E603D8}"/>
            </c:ext>
          </c:extLst>
        </c:ser>
        <c:dLbls>
          <c:showLegendKey val="0"/>
          <c:showVal val="1"/>
          <c:showCatName val="0"/>
          <c:showSerName val="0"/>
          <c:showPercent val="0"/>
          <c:showBubbleSize val="0"/>
        </c:dLbls>
        <c:gapWidth val="75"/>
        <c:axId val="1665023984"/>
        <c:axId val="1665028336"/>
      </c:barChart>
      <c:catAx>
        <c:axId val="1665023984"/>
        <c:scaling>
          <c:orientation val="minMax"/>
        </c:scaling>
        <c:delete val="0"/>
        <c:axPos val="b"/>
        <c:numFmt formatCode="General" sourceLinked="0"/>
        <c:majorTickMark val="none"/>
        <c:minorTickMark val="none"/>
        <c:tickLblPos val="nextTo"/>
        <c:crossAx val="1665028336"/>
        <c:crosses val="autoZero"/>
        <c:auto val="1"/>
        <c:lblAlgn val="ctr"/>
        <c:lblOffset val="100"/>
        <c:noMultiLvlLbl val="0"/>
      </c:catAx>
      <c:valAx>
        <c:axId val="1665028336"/>
        <c:scaling>
          <c:orientation val="minMax"/>
        </c:scaling>
        <c:delete val="0"/>
        <c:axPos val="l"/>
        <c:numFmt formatCode="_(* #,##0.00_);_(* \(#,##0.00\);_(* &quot;-&quot;??_);_(@_)" sourceLinked="1"/>
        <c:majorTickMark val="none"/>
        <c:minorTickMark val="none"/>
        <c:tickLblPos val="nextTo"/>
        <c:crossAx val="1665023984"/>
        <c:crosses val="autoZero"/>
        <c:crossBetween val="between"/>
      </c:valAx>
    </c:plotArea>
    <c:legend>
      <c:legendPos val="b"/>
      <c:overlay val="0"/>
    </c:legend>
    <c:plotVisOnly val="1"/>
    <c:dispBlanksAs val="gap"/>
    <c:showDLblsOverMax val="0"/>
  </c:chart>
  <c:spPr>
    <a:ln>
      <a:solidFill>
        <a:schemeClr val="bg1"/>
      </a:solid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chemeClr val="accent1"/>
                </a:solidFill>
                <a:latin typeface="+mn-lt"/>
                <a:ea typeface="+mn-ea"/>
                <a:cs typeface="+mn-cs"/>
              </a:defRPr>
            </a:pPr>
            <a:r>
              <a:rPr lang="es-DO" sz="1100" b="1">
                <a:solidFill>
                  <a:schemeClr val="accent1"/>
                </a:solidFill>
              </a:rPr>
              <a:t>%</a:t>
            </a:r>
            <a:r>
              <a:rPr lang="es-DO" sz="1100" b="1" baseline="0">
                <a:solidFill>
                  <a:schemeClr val="accent1"/>
                </a:solidFill>
              </a:rPr>
              <a:t> Pagado</a:t>
            </a:r>
            <a:endParaRPr lang="es-DO" sz="1100" b="1">
              <a:solidFill>
                <a:schemeClr val="accent1"/>
              </a:solidFill>
            </a:endParaRPr>
          </a:p>
        </c:rich>
      </c:tx>
      <c:overlay val="0"/>
      <c:spPr>
        <a:noFill/>
        <a:ln>
          <a:noFill/>
        </a:ln>
        <a:effectLst/>
      </c:spPr>
      <c:txPr>
        <a:bodyPr rot="0" spcFirstLastPara="1" vertOverflow="ellipsis" vert="horz" wrap="square" anchor="ctr" anchorCtr="1"/>
        <a:lstStyle/>
        <a:p>
          <a:pPr>
            <a:defRPr sz="1100" b="1" i="0" u="none" strike="noStrike" kern="1200" spc="0" baseline="0">
              <a:solidFill>
                <a:schemeClr val="accent1"/>
              </a:solidFill>
              <a:latin typeface="+mn-lt"/>
              <a:ea typeface="+mn-ea"/>
              <a:cs typeface="+mn-cs"/>
            </a:defRPr>
          </a:pPr>
          <a:endParaRPr lang="es-D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4-1658-4F4E-82BB-972C8E917EE2}"/>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A4D0-4DBE-942D-0C0D9047517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A4D0-4DBE-942D-0C0D9047517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A4D0-4DBE-942D-0C0D90475171}"/>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A4D0-4DBE-942D-0C0D90475171}"/>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A4D0-4DBE-942D-0C0D90475171}"/>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A4D0-4DBE-942D-0C0D9047517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2"/>
                    </a:solidFill>
                    <a:latin typeface="+mn-lt"/>
                    <a:ea typeface="+mn-ea"/>
                    <a:cs typeface="+mn-cs"/>
                  </a:defRPr>
                </a:pPr>
                <a:endParaRPr lang="es-E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Nómina!$E$27:$K$27</c:f>
              <c:numCache>
                <c:formatCode>General</c:formatCode>
                <c:ptCount val="7"/>
                <c:pt idx="0" formatCode="0%">
                  <c:v>0.71200694147514176</c:v>
                </c:pt>
                <c:pt idx="3" formatCode="0%">
                  <c:v>8.8003208688646473E-2</c:v>
                </c:pt>
                <c:pt idx="6" formatCode="0%">
                  <c:v>0.19998984983621174</c:v>
                </c:pt>
              </c:numCache>
            </c:numRef>
          </c:val>
          <c:extLst>
            <c:ext xmlns:c16="http://schemas.microsoft.com/office/drawing/2014/chart" uri="{C3380CC4-5D6E-409C-BE32-E72D297353CC}">
              <c16:uniqueId val="{00000000-1658-4F4E-82BB-972C8E917EE2}"/>
            </c:ext>
          </c:extLst>
        </c:ser>
        <c:dLbls>
          <c:dLblPos val="bestFit"/>
          <c:showLegendKey val="0"/>
          <c:showVal val="1"/>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DO">
                <a:solidFill>
                  <a:schemeClr val="accent1"/>
                </a:solidFill>
              </a:rPr>
              <a:t>Nóminas Autoseguro</a:t>
            </a:r>
          </a:p>
          <a:p>
            <a:pPr>
              <a:defRPr/>
            </a:pPr>
            <a:endParaRPr lang="es-DO"/>
          </a:p>
        </c:rich>
      </c:tx>
      <c:layout>
        <c:manualLayout>
          <c:xMode val="edge"/>
          <c:yMode val="edge"/>
          <c:x val="0.37009135504037877"/>
          <c:y val="1.3082895352795982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E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8832881884700847E-2"/>
          <c:y val="0.19432888597258677"/>
          <c:w val="0.93897689989547006"/>
          <c:h val="0.64884186351706041"/>
        </c:manualLayout>
      </c:layout>
      <c:pie3DChart>
        <c:varyColors val="1"/>
        <c:ser>
          <c:idx val="0"/>
          <c:order val="0"/>
          <c:explosion val="19"/>
          <c:dPt>
            <c:idx val="0"/>
            <c:bubble3D val="0"/>
            <c:explosion val="24"/>
            <c:spPr>
              <a:gradFill rotWithShape="1">
                <a:gsLst>
                  <a:gs pos="0">
                    <a:schemeClr val="accent3">
                      <a:tint val="58000"/>
                      <a:shade val="51000"/>
                      <a:satMod val="130000"/>
                    </a:schemeClr>
                  </a:gs>
                  <a:gs pos="80000">
                    <a:schemeClr val="accent3">
                      <a:tint val="58000"/>
                      <a:shade val="93000"/>
                      <a:satMod val="130000"/>
                    </a:schemeClr>
                  </a:gs>
                  <a:gs pos="100000">
                    <a:schemeClr val="accent3">
                      <a:tint val="58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2-D226-4742-8E7F-C6FD6D3E0DFF}"/>
              </c:ext>
            </c:extLst>
          </c:dPt>
          <c:dPt>
            <c:idx val="1"/>
            <c:bubble3D val="0"/>
            <c:spPr>
              <a:gradFill rotWithShape="1">
                <a:gsLst>
                  <a:gs pos="0">
                    <a:schemeClr val="accent3">
                      <a:tint val="86000"/>
                      <a:shade val="51000"/>
                      <a:satMod val="130000"/>
                    </a:schemeClr>
                  </a:gs>
                  <a:gs pos="80000">
                    <a:schemeClr val="accent3">
                      <a:tint val="86000"/>
                      <a:shade val="93000"/>
                      <a:satMod val="130000"/>
                    </a:schemeClr>
                  </a:gs>
                  <a:gs pos="100000">
                    <a:schemeClr val="accent3">
                      <a:tint val="8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226-4742-8E7F-C6FD6D3E0DFF}"/>
              </c:ext>
            </c:extLst>
          </c:dPt>
          <c:dPt>
            <c:idx val="2"/>
            <c:bubble3D val="0"/>
            <c:explosion val="25"/>
            <c:spPr>
              <a:gradFill rotWithShape="1">
                <a:gsLst>
                  <a:gs pos="0">
                    <a:schemeClr val="accent3">
                      <a:shade val="86000"/>
                      <a:shade val="51000"/>
                      <a:satMod val="130000"/>
                    </a:schemeClr>
                  </a:gs>
                  <a:gs pos="80000">
                    <a:schemeClr val="accent3">
                      <a:shade val="86000"/>
                      <a:shade val="93000"/>
                      <a:satMod val="130000"/>
                    </a:schemeClr>
                  </a:gs>
                  <a:gs pos="100000">
                    <a:schemeClr val="accent3">
                      <a:shade val="86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D226-4742-8E7F-C6FD6D3E0DFF}"/>
              </c:ext>
            </c:extLst>
          </c:dPt>
          <c:dPt>
            <c:idx val="3"/>
            <c:bubble3D val="0"/>
            <c:explosion val="0"/>
            <c:spPr>
              <a:gradFill rotWithShape="1">
                <a:gsLst>
                  <a:gs pos="0">
                    <a:schemeClr val="accent3">
                      <a:shade val="58000"/>
                      <a:shade val="51000"/>
                      <a:satMod val="130000"/>
                    </a:schemeClr>
                  </a:gs>
                  <a:gs pos="80000">
                    <a:schemeClr val="accent3">
                      <a:shade val="58000"/>
                      <a:shade val="93000"/>
                      <a:satMod val="130000"/>
                    </a:schemeClr>
                  </a:gs>
                  <a:gs pos="100000">
                    <a:schemeClr val="accent3">
                      <a:shade val="58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01D9-4A72-A45E-89353466D714}"/>
              </c:ext>
            </c:extLst>
          </c:dPt>
          <c:dLbls>
            <c:dLbl>
              <c:idx val="0"/>
              <c:layout>
                <c:manualLayout>
                  <c:x val="-8.4845186503906461E-2"/>
                  <c:y val="3.6464782010798405E-2"/>
                </c:manualLayout>
              </c:layout>
              <c:tx>
                <c:rich>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fld id="{DECF9C51-46E0-4294-B195-1D220E9FC5C4}" type="PERCENTAGE">
                      <a:rPr lang="en-US"/>
                      <a:pPr>
                        <a:defRPr b="1"/>
                      </a:pPr>
                      <a:t>[PORCENTAJE]</a:t>
                    </a:fld>
                    <a:r>
                      <a:rPr lang="en-US"/>
                      <a:t> Discapacidad Civil</a:t>
                    </a:r>
                  </a:p>
                </c:rich>
              </c:tx>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0"/>
              <c:showCatName val="0"/>
              <c:showSerName val="0"/>
              <c:showPercent val="1"/>
              <c:showBubbleSize val="0"/>
              <c:extLst>
                <c:ext xmlns:c15="http://schemas.microsoft.com/office/drawing/2012/chart" uri="{CE6537A1-D6FC-4f65-9D91-7224C49458BB}">
                  <c15:layout>
                    <c:manualLayout>
                      <c:w val="0.2541947429462203"/>
                      <c:h val="6.3250841541369757E-2"/>
                    </c:manualLayout>
                  </c15:layout>
                  <c15:dlblFieldTable/>
                  <c15:showDataLabelsRange val="0"/>
                </c:ext>
                <c:ext xmlns:c16="http://schemas.microsoft.com/office/drawing/2014/chart" uri="{C3380CC4-5D6E-409C-BE32-E72D297353CC}">
                  <c16:uniqueId val="{00000002-D226-4742-8E7F-C6FD6D3E0DFF}"/>
                </c:ext>
              </c:extLst>
            </c:dLbl>
            <c:dLbl>
              <c:idx val="2"/>
              <c:layout>
                <c:manualLayout>
                  <c:x val="-0.12866057567188771"/>
                  <c:y val="-0.13140378095157329"/>
                </c:manualLayout>
              </c:layout>
              <c:tx>
                <c:rich>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fld id="{1231C39E-1E62-4572-8675-95EF26C6BE38}" type="PERCENTAGE">
                      <a:rPr lang="en-US"/>
                      <a:pPr>
                        <a:defRPr b="1"/>
                      </a:pPr>
                      <a:t>[PORCENTAJE]</a:t>
                    </a:fld>
                    <a:r>
                      <a:rPr lang="en-US"/>
                      <a:t> Sobrevivencia</a:t>
                    </a:r>
                    <a:r>
                      <a:rPr lang="en-US" baseline="0"/>
                      <a:t> Civil</a:t>
                    </a:r>
                  </a:p>
                </c:rich>
              </c:tx>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0"/>
              <c:showCatName val="0"/>
              <c:showSerName val="0"/>
              <c:showPercent val="1"/>
              <c:showBubbleSize val="0"/>
              <c:extLst>
                <c:ext xmlns:c15="http://schemas.microsoft.com/office/drawing/2012/chart" uri="{CE6537A1-D6FC-4f65-9D91-7224C49458BB}">
                  <c15:layout>
                    <c:manualLayout>
                      <c:w val="0.254792695237817"/>
                      <c:h val="5.9025675552119947E-2"/>
                    </c:manualLayout>
                  </c15:layout>
                  <c15:dlblFieldTable/>
                  <c15:showDataLabelsRange val="0"/>
                </c:ext>
                <c:ext xmlns:c16="http://schemas.microsoft.com/office/drawing/2014/chart" uri="{C3380CC4-5D6E-409C-BE32-E72D297353CC}">
                  <c16:uniqueId val="{00000001-D226-4742-8E7F-C6FD6D3E0DFF}"/>
                </c:ext>
              </c:extLst>
            </c:dLbl>
            <c:dLbl>
              <c:idx val="3"/>
              <c:layout>
                <c:manualLayout>
                  <c:x val="0.16631050205232611"/>
                  <c:y val="4.1080808735863832E-2"/>
                </c:manualLayout>
              </c:layout>
              <c:tx>
                <c:rich>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fld id="{6F7D688D-08E1-4C3E-B88A-5A6FCB65F87E}" type="PERCENTAGE">
                      <a:rPr lang="en-US"/>
                      <a:pPr>
                        <a:defRPr b="1"/>
                      </a:pPr>
                      <a:t>[PORCENTAJE]</a:t>
                    </a:fld>
                    <a:r>
                      <a:rPr lang="en-US"/>
                      <a:t> Sobrevivencia PN</a:t>
                    </a:r>
                  </a:p>
                </c:rich>
              </c:tx>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0"/>
              <c:showCatName val="0"/>
              <c:showSerName val="0"/>
              <c:showPercent val="1"/>
              <c:showBubbleSize val="0"/>
              <c:extLst>
                <c:ext xmlns:c15="http://schemas.microsoft.com/office/drawing/2012/chart" uri="{CE6537A1-D6FC-4f65-9D91-7224C49458BB}">
                  <c15:layout>
                    <c:manualLayout>
                      <c:w val="0.23471364109388787"/>
                      <c:h val="6.7476014657025726E-2"/>
                    </c:manualLayout>
                  </c15:layout>
                  <c15:dlblFieldTable/>
                  <c15:showDataLabelsRange val="0"/>
                </c:ext>
                <c:ext xmlns:c16="http://schemas.microsoft.com/office/drawing/2014/chart" uri="{C3380CC4-5D6E-409C-BE32-E72D297353CC}">
                  <c16:uniqueId val="{00000007-01D9-4A72-A45E-89353466D71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dLblPos val="inEnd"/>
            <c:showLegendKey val="0"/>
            <c:showVal val="0"/>
            <c:showCatName val="0"/>
            <c:showSerName val="0"/>
            <c:showPercent val="1"/>
            <c:showBubbleSize val="0"/>
            <c:showLeaderLines val="1"/>
            <c:leaderLines>
              <c:spPr>
                <a:ln w="2540" cap="flat" cmpd="sng" algn="ctr">
                  <a:solidFill>
                    <a:srgbClr val="0070C0">
                      <a:alpha val="99000"/>
                    </a:srgbClr>
                  </a:solidFill>
                  <a:round/>
                </a:ln>
                <a:effectLst/>
              </c:spPr>
            </c:leaderLines>
            <c:extLst>
              <c:ext xmlns:c15="http://schemas.microsoft.com/office/drawing/2012/chart" uri="{CE6537A1-D6FC-4f65-9D91-7224C49458BB}"/>
            </c:extLst>
          </c:dLbls>
          <c:val>
            <c:numRef>
              <c:f>(Autoseguro!$D$13,Autoseguro!$I$13,Autoseguro!$N$13,Autoseguro!$P$13)</c:f>
              <c:numCache>
                <c:formatCode>0.00%</c:formatCode>
                <c:ptCount val="4"/>
                <c:pt idx="0">
                  <c:v>9.8485508710184425E-2</c:v>
                </c:pt>
                <c:pt idx="1">
                  <c:v>9.1661057145424037E-4</c:v>
                </c:pt>
                <c:pt idx="2">
                  <c:v>0.46283301624781437</c:v>
                </c:pt>
                <c:pt idx="3">
                  <c:v>0.45065731822698474</c:v>
                </c:pt>
              </c:numCache>
            </c:numRef>
          </c:val>
          <c:extLst>
            <c:ext xmlns:c16="http://schemas.microsoft.com/office/drawing/2014/chart" uri="{C3380CC4-5D6E-409C-BE32-E72D297353CC}">
              <c16:uniqueId val="{00000000-D226-4742-8E7F-C6FD6D3E0DFF}"/>
            </c:ext>
          </c:extLst>
        </c:ser>
        <c:dLbls>
          <c:dLblPos val="inEnd"/>
          <c:showLegendKey val="0"/>
          <c:showVal val="0"/>
          <c:showCatName val="0"/>
          <c:showSerName val="0"/>
          <c:showPercent val="1"/>
          <c:showBubbleSize val="0"/>
          <c:showLeaderLines val="1"/>
        </c:dLbls>
      </c:pie3D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983544853544371"/>
          <c:y val="4.8999027385089912E-2"/>
          <c:w val="0.71898084254210293"/>
          <c:h val="0.83940945825033841"/>
        </c:manualLayout>
      </c:layout>
      <c:barChart>
        <c:barDir val="bar"/>
        <c:grouping val="clustered"/>
        <c:varyColors val="0"/>
        <c:ser>
          <c:idx val="0"/>
          <c:order val="0"/>
          <c:tx>
            <c:strRef>
              <c:f>Movimientos!$C$7</c:f>
              <c:strCache>
                <c:ptCount val="1"/>
                <c:pt idx="0">
                  <c:v>Inclusiones</c:v>
                </c:pt>
              </c:strCache>
            </c:strRef>
          </c:tx>
          <c:spPr>
            <a:solidFill>
              <a:schemeClr val="bg1">
                <a:lumMod val="75000"/>
              </a:schemeClr>
            </a:solidFill>
            <a:ln>
              <a:solidFill>
                <a:schemeClr val="bg1">
                  <a:lumMod val="75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Movimientos!$B$9:$B$11</c:f>
              <c:strCache>
                <c:ptCount val="3"/>
                <c:pt idx="0">
                  <c:v>Marzo</c:v>
                </c:pt>
                <c:pt idx="1">
                  <c:v>Febrero</c:v>
                </c:pt>
                <c:pt idx="2">
                  <c:v>Enero</c:v>
                </c:pt>
              </c:strCache>
            </c:strRef>
          </c:cat>
          <c:val>
            <c:numRef>
              <c:f>Movimientos!$C$9:$C$11</c:f>
              <c:numCache>
                <c:formatCode>#,##0</c:formatCode>
                <c:ptCount val="3"/>
                <c:pt idx="0">
                  <c:v>2798</c:v>
                </c:pt>
                <c:pt idx="1">
                  <c:v>2824</c:v>
                </c:pt>
                <c:pt idx="2">
                  <c:v>2790</c:v>
                </c:pt>
              </c:numCache>
            </c:numRef>
          </c:val>
          <c:extLst>
            <c:ext xmlns:c16="http://schemas.microsoft.com/office/drawing/2014/chart" uri="{C3380CC4-5D6E-409C-BE32-E72D297353CC}">
              <c16:uniqueId val="{00000000-565D-4375-BB21-8C6D1E025F82}"/>
            </c:ext>
          </c:extLst>
        </c:ser>
        <c:ser>
          <c:idx val="1"/>
          <c:order val="1"/>
          <c:tx>
            <c:strRef>
              <c:f>Movimientos!$I$7</c:f>
              <c:strCache>
                <c:ptCount val="1"/>
                <c:pt idx="0">
                  <c:v>Aumentos</c:v>
                </c:pt>
              </c:strCache>
            </c:strRef>
          </c:tx>
          <c:spPr>
            <a:solidFill>
              <a:schemeClr val="accent3">
                <a:lumMod val="20000"/>
                <a:lumOff val="80000"/>
              </a:schemeClr>
            </a:solidFill>
            <a:ln>
              <a:solidFill>
                <a:schemeClr val="accent3">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Movimientos!$B$9:$B$11</c:f>
              <c:strCache>
                <c:ptCount val="3"/>
                <c:pt idx="0">
                  <c:v>Marzo</c:v>
                </c:pt>
                <c:pt idx="1">
                  <c:v>Febrero</c:v>
                </c:pt>
                <c:pt idx="2">
                  <c:v>Enero</c:v>
                </c:pt>
              </c:strCache>
            </c:strRef>
          </c:cat>
          <c:val>
            <c:numRef>
              <c:f>Movimientos!$I$9:$I$11</c:f>
              <c:numCache>
                <c:formatCode>#,##0</c:formatCode>
                <c:ptCount val="3"/>
                <c:pt idx="0">
                  <c:v>1525</c:v>
                </c:pt>
                <c:pt idx="1">
                  <c:v>19</c:v>
                </c:pt>
                <c:pt idx="2">
                  <c:v>1277</c:v>
                </c:pt>
              </c:numCache>
            </c:numRef>
          </c:val>
          <c:extLst>
            <c:ext xmlns:c16="http://schemas.microsoft.com/office/drawing/2014/chart" uri="{C3380CC4-5D6E-409C-BE32-E72D297353CC}">
              <c16:uniqueId val="{00000001-565D-4375-BB21-8C6D1E025F82}"/>
            </c:ext>
          </c:extLst>
        </c:ser>
        <c:ser>
          <c:idx val="2"/>
          <c:order val="2"/>
          <c:tx>
            <c:strRef>
              <c:f>Movimientos!$K$7</c:f>
              <c:strCache>
                <c:ptCount val="1"/>
                <c:pt idx="0">
                  <c:v>Exclusiones</c:v>
                </c:pt>
              </c:strCache>
            </c:strRef>
          </c:tx>
          <c:spPr>
            <a:solidFill>
              <a:schemeClr val="accent1">
                <a:lumMod val="60000"/>
                <a:lumOff val="40000"/>
              </a:schemeClr>
            </a:solidFill>
            <a:ln>
              <a:solidFill>
                <a:schemeClr val="accent1">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Movimientos!$B$9:$B$11</c:f>
              <c:strCache>
                <c:ptCount val="3"/>
                <c:pt idx="0">
                  <c:v>Marzo</c:v>
                </c:pt>
                <c:pt idx="1">
                  <c:v>Febrero</c:v>
                </c:pt>
                <c:pt idx="2">
                  <c:v>Enero</c:v>
                </c:pt>
              </c:strCache>
            </c:strRef>
          </c:cat>
          <c:val>
            <c:numRef>
              <c:f>Movimientos!$K$9:$K$11</c:f>
              <c:numCache>
                <c:formatCode>#,##0</c:formatCode>
                <c:ptCount val="3"/>
                <c:pt idx="0">
                  <c:v>1168</c:v>
                </c:pt>
                <c:pt idx="1">
                  <c:v>338</c:v>
                </c:pt>
                <c:pt idx="2">
                  <c:v>120</c:v>
                </c:pt>
              </c:numCache>
            </c:numRef>
          </c:val>
          <c:extLst>
            <c:ext xmlns:c16="http://schemas.microsoft.com/office/drawing/2014/chart" uri="{C3380CC4-5D6E-409C-BE32-E72D297353CC}">
              <c16:uniqueId val="{00000002-565D-4375-BB21-8C6D1E025F82}"/>
            </c:ext>
          </c:extLst>
        </c:ser>
        <c:ser>
          <c:idx val="3"/>
          <c:order val="3"/>
          <c:tx>
            <c:strRef>
              <c:f>Movimientos!$M$7</c:f>
              <c:strCache>
                <c:ptCount val="1"/>
                <c:pt idx="0">
                  <c:v>Suspensiones</c:v>
                </c:pt>
              </c:strCache>
            </c:strRef>
          </c:tx>
          <c:spPr>
            <a:solidFill>
              <a:schemeClr val="accent6">
                <a:lumMod val="60000"/>
                <a:lumOff val="40000"/>
              </a:schemeClr>
            </a:solidFill>
            <a:ln>
              <a:solidFill>
                <a:schemeClr val="accent6">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Movimientos!$B$9:$B$11</c:f>
              <c:strCache>
                <c:ptCount val="3"/>
                <c:pt idx="0">
                  <c:v>Marzo</c:v>
                </c:pt>
                <c:pt idx="1">
                  <c:v>Febrero</c:v>
                </c:pt>
                <c:pt idx="2">
                  <c:v>Enero</c:v>
                </c:pt>
              </c:strCache>
            </c:strRef>
          </c:cat>
          <c:val>
            <c:numRef>
              <c:f>Movimientos!$M$9:$M$11</c:f>
              <c:numCache>
                <c:formatCode>#,##0</c:formatCode>
                <c:ptCount val="3"/>
                <c:pt idx="0">
                  <c:v>173</c:v>
                </c:pt>
                <c:pt idx="1">
                  <c:v>213</c:v>
                </c:pt>
                <c:pt idx="2">
                  <c:v>174</c:v>
                </c:pt>
              </c:numCache>
            </c:numRef>
          </c:val>
          <c:extLst>
            <c:ext xmlns:c16="http://schemas.microsoft.com/office/drawing/2014/chart" uri="{C3380CC4-5D6E-409C-BE32-E72D297353CC}">
              <c16:uniqueId val="{00000003-565D-4375-BB21-8C6D1E025F82}"/>
            </c:ext>
          </c:extLst>
        </c:ser>
        <c:ser>
          <c:idx val="4"/>
          <c:order val="4"/>
          <c:tx>
            <c:strRef>
              <c:f>Movimientos!$E$7</c:f>
              <c:strCache>
                <c:ptCount val="1"/>
                <c:pt idx="0">
                  <c:v> Sobrevivencia</c:v>
                </c:pt>
              </c:strCache>
            </c:strRef>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Movimientos!$E$9:$E$11</c:f>
              <c:numCache>
                <c:formatCode>#,##0</c:formatCode>
                <c:ptCount val="3"/>
                <c:pt idx="0">
                  <c:v>102</c:v>
                </c:pt>
                <c:pt idx="1">
                  <c:v>95</c:v>
                </c:pt>
                <c:pt idx="2">
                  <c:v>93</c:v>
                </c:pt>
              </c:numCache>
            </c:numRef>
          </c:val>
          <c:extLst>
            <c:ext xmlns:c16="http://schemas.microsoft.com/office/drawing/2014/chart" uri="{C3380CC4-5D6E-409C-BE32-E72D297353CC}">
              <c16:uniqueId val="{00000004-565D-4375-BB21-8C6D1E025F82}"/>
            </c:ext>
          </c:extLst>
        </c:ser>
        <c:ser>
          <c:idx val="5"/>
          <c:order val="5"/>
          <c:tx>
            <c:strRef>
              <c:f>Movimientos!$G$7</c:f>
              <c:strCache>
                <c:ptCount val="1"/>
                <c:pt idx="0">
                  <c:v>Reinclusiones</c:v>
                </c:pt>
              </c:strCache>
            </c:strRef>
          </c:tx>
          <c:spPr>
            <a:solidFill>
              <a:srgbClr val="FFC000"/>
            </a:solidFill>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Movimientos!$G$9:$G$11</c:f>
              <c:numCache>
                <c:formatCode>#,##0</c:formatCode>
                <c:ptCount val="3"/>
                <c:pt idx="0">
                  <c:v>60</c:v>
                </c:pt>
                <c:pt idx="1">
                  <c:v>71</c:v>
                </c:pt>
                <c:pt idx="2">
                  <c:v>70</c:v>
                </c:pt>
              </c:numCache>
            </c:numRef>
          </c:val>
          <c:extLst>
            <c:ext xmlns:c16="http://schemas.microsoft.com/office/drawing/2014/chart" uri="{C3380CC4-5D6E-409C-BE32-E72D297353CC}">
              <c16:uniqueId val="{00000005-565D-4375-BB21-8C6D1E025F82}"/>
            </c:ext>
          </c:extLst>
        </c:ser>
        <c:dLbls>
          <c:dLblPos val="inEnd"/>
          <c:showLegendKey val="0"/>
          <c:showVal val="1"/>
          <c:showCatName val="0"/>
          <c:showSerName val="0"/>
          <c:showPercent val="0"/>
          <c:showBubbleSize val="0"/>
        </c:dLbls>
        <c:gapWidth val="150"/>
        <c:axId val="1665022896"/>
        <c:axId val="1665031056"/>
      </c:barChart>
      <c:catAx>
        <c:axId val="1665022896"/>
        <c:scaling>
          <c:orientation val="minMax"/>
        </c:scaling>
        <c:delete val="0"/>
        <c:axPos val="l"/>
        <c:numFmt formatCode="General" sourceLinked="0"/>
        <c:majorTickMark val="none"/>
        <c:minorTickMark val="none"/>
        <c:tickLblPos val="nextTo"/>
        <c:txPr>
          <a:bodyPr/>
          <a:lstStyle/>
          <a:p>
            <a:pPr>
              <a:defRPr b="1"/>
            </a:pPr>
            <a:endParaRPr lang="es-ES"/>
          </a:p>
        </c:txPr>
        <c:crossAx val="1665031056"/>
        <c:crosses val="autoZero"/>
        <c:auto val="1"/>
        <c:lblAlgn val="ctr"/>
        <c:lblOffset val="100"/>
        <c:noMultiLvlLbl val="0"/>
      </c:catAx>
      <c:valAx>
        <c:axId val="1665031056"/>
        <c:scaling>
          <c:logBase val="10"/>
          <c:orientation val="minMax"/>
        </c:scaling>
        <c:delete val="0"/>
        <c:axPos val="b"/>
        <c:numFmt formatCode="#,##0" sourceLinked="1"/>
        <c:majorTickMark val="none"/>
        <c:minorTickMark val="none"/>
        <c:tickLblPos val="nextTo"/>
        <c:txPr>
          <a:bodyPr/>
          <a:lstStyle/>
          <a:p>
            <a:pPr>
              <a:defRPr b="1"/>
            </a:pPr>
            <a:endParaRPr lang="es-ES"/>
          </a:p>
        </c:txPr>
        <c:crossAx val="1665022896"/>
        <c:crosses val="autoZero"/>
        <c:crossBetween val="between"/>
      </c:valAx>
    </c:plotArea>
    <c:legend>
      <c:legendPos val="r"/>
      <c:layout>
        <c:manualLayout>
          <c:xMode val="edge"/>
          <c:yMode val="edge"/>
          <c:x val="0.80456806178005758"/>
          <c:y val="0.28951890721039719"/>
          <c:w val="0.19543193821994245"/>
          <c:h val="0.48329736446963728"/>
        </c:manualLayout>
      </c:layout>
      <c:overlay val="0"/>
      <c:txPr>
        <a:bodyPr/>
        <a:lstStyle/>
        <a:p>
          <a:pPr>
            <a:defRPr b="1"/>
          </a:pPr>
          <a:endParaRPr lang="es-ES"/>
        </a:p>
      </c:txPr>
    </c:legend>
    <c:plotVisOnly val="1"/>
    <c:dispBlanksAs val="gap"/>
    <c:showDLblsOverMax val="0"/>
  </c:chart>
  <c:spPr>
    <a:ln>
      <a:solidFill>
        <a:schemeClr val="bg1"/>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barChart>
        <c:barDir val="col"/>
        <c:grouping val="clustered"/>
        <c:varyColors val="0"/>
        <c:ser>
          <c:idx val="0"/>
          <c:order val="0"/>
          <c:tx>
            <c:strRef>
              <c:f>'Afiliados y Cotizantes'!$C$6</c:f>
              <c:strCache>
                <c:ptCount val="1"/>
                <c:pt idx="0">
                  <c:v>Afiliados al Sistema de Reparto</c:v>
                </c:pt>
              </c:strCache>
            </c:strRef>
          </c:tx>
          <c:spPr>
            <a:solidFill>
              <a:schemeClr val="bg1">
                <a:lumMod val="75000"/>
              </a:schemeClr>
            </a:solidFill>
            <a:ln>
              <a:solidFill>
                <a:schemeClr val="bg1">
                  <a:lumMod val="75000"/>
                </a:schemeClr>
              </a:solidFill>
            </a:ln>
          </c:spPr>
          <c:invertIfNegative val="0"/>
          <c:dLbls>
            <c:dLbl>
              <c:idx val="0"/>
              <c:layout>
                <c:manualLayout>
                  <c:x val="2.3665036994507917E-17"/>
                  <c:y val="0.222501366029986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854-4B02-BE0A-FF69FF46AF7C}"/>
                </c:ext>
              </c:extLst>
            </c:dLbl>
            <c:dLbl>
              <c:idx val="1"/>
              <c:layout>
                <c:manualLayout>
                  <c:x val="-2.5815682552329557E-3"/>
                  <c:y val="0.2212310553139308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854-4B02-BE0A-FF69FF46AF7C}"/>
                </c:ext>
              </c:extLst>
            </c:dLbl>
            <c:dLbl>
              <c:idx val="2"/>
              <c:layout>
                <c:manualLayout>
                  <c:x val="0"/>
                  <c:y val="0.2389227043801463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854-4B02-BE0A-FF69FF46AF7C}"/>
                </c:ext>
              </c:extLst>
            </c:dLbl>
            <c:spPr>
              <a:noFill/>
              <a:ln>
                <a:noFill/>
              </a:ln>
              <a:effectLst/>
            </c:spPr>
            <c:txPr>
              <a:bodyPr rot="-5400000" vert="horz"/>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'Afiliados y Cotizantes'!$B$7:$B$9</c:f>
              <c:strCache>
                <c:ptCount val="3"/>
                <c:pt idx="0">
                  <c:v>Marzo</c:v>
                </c:pt>
                <c:pt idx="1">
                  <c:v>Febrero</c:v>
                </c:pt>
                <c:pt idx="2">
                  <c:v>Enero</c:v>
                </c:pt>
              </c:strCache>
            </c:strRef>
          </c:cat>
          <c:val>
            <c:numRef>
              <c:f>'Afiliados y Cotizantes'!$C$7:$C$9</c:f>
              <c:numCache>
                <c:formatCode>#,##0</c:formatCode>
                <c:ptCount val="3"/>
                <c:pt idx="0">
                  <c:v>92519</c:v>
                </c:pt>
                <c:pt idx="1">
                  <c:v>92539</c:v>
                </c:pt>
                <c:pt idx="2">
                  <c:v>92222</c:v>
                </c:pt>
              </c:numCache>
            </c:numRef>
          </c:val>
          <c:extLst>
            <c:ext xmlns:c16="http://schemas.microsoft.com/office/drawing/2014/chart" uri="{C3380CC4-5D6E-409C-BE32-E72D297353CC}">
              <c16:uniqueId val="{00000003-6854-4B02-BE0A-FF69FF46AF7C}"/>
            </c:ext>
          </c:extLst>
        </c:ser>
        <c:ser>
          <c:idx val="1"/>
          <c:order val="1"/>
          <c:tx>
            <c:strRef>
              <c:f>'Afiliados y Cotizantes'!$D$6</c:f>
              <c:strCache>
                <c:ptCount val="1"/>
                <c:pt idx="0">
                  <c:v>Cotizantes</c:v>
                </c:pt>
              </c:strCache>
            </c:strRef>
          </c:tx>
          <c:spPr>
            <a:solidFill>
              <a:schemeClr val="accent3">
                <a:lumMod val="60000"/>
                <a:lumOff val="40000"/>
              </a:schemeClr>
            </a:solidFill>
          </c:spPr>
          <c:invertIfNegative val="0"/>
          <c:dLbls>
            <c:dLbl>
              <c:idx val="0"/>
              <c:layout>
                <c:manualLayout>
                  <c:x val="-8.530960556695397E-3"/>
                  <c:y val="0.1196187807316435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854-4B02-BE0A-FF69FF46AF7C}"/>
                </c:ext>
              </c:extLst>
            </c:dLbl>
            <c:dLbl>
              <c:idx val="1"/>
              <c:layout>
                <c:manualLayout>
                  <c:x val="-1.133877001513437E-16"/>
                  <c:y val="0.1218187436843571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854-4B02-BE0A-FF69FF46AF7C}"/>
                </c:ext>
              </c:extLst>
            </c:dLbl>
            <c:dLbl>
              <c:idx val="2"/>
              <c:layout>
                <c:manualLayout>
                  <c:x val="2.5859512234080533E-3"/>
                  <c:y val="0.1306535796155603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854-4B02-BE0A-FF69FF46AF7C}"/>
                </c:ext>
              </c:extLst>
            </c:dLbl>
            <c:spPr>
              <a:noFill/>
              <a:ln>
                <a:noFill/>
              </a:ln>
              <a:effectLst/>
            </c:spPr>
            <c:txPr>
              <a:bodyPr rot="-5400000" vert="horz"/>
              <a:lstStyle/>
              <a:p>
                <a:pPr>
                  <a:defRPr sz="800" baseline="0"/>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'Afiliados y Cotizantes'!$B$7:$B$9</c:f>
              <c:strCache>
                <c:ptCount val="3"/>
                <c:pt idx="0">
                  <c:v>Marzo</c:v>
                </c:pt>
                <c:pt idx="1">
                  <c:v>Febrero</c:v>
                </c:pt>
                <c:pt idx="2">
                  <c:v>Enero</c:v>
                </c:pt>
              </c:strCache>
            </c:strRef>
          </c:cat>
          <c:val>
            <c:numRef>
              <c:f>'Afiliados y Cotizantes'!$D$7:$D$9</c:f>
              <c:numCache>
                <c:formatCode>#,##0</c:formatCode>
                <c:ptCount val="3"/>
                <c:pt idx="0">
                  <c:v>22364</c:v>
                </c:pt>
                <c:pt idx="1">
                  <c:v>22369</c:v>
                </c:pt>
                <c:pt idx="2">
                  <c:v>22154</c:v>
                </c:pt>
              </c:numCache>
            </c:numRef>
          </c:val>
          <c:extLst>
            <c:ext xmlns:c16="http://schemas.microsoft.com/office/drawing/2014/chart" uri="{C3380CC4-5D6E-409C-BE32-E72D297353CC}">
              <c16:uniqueId val="{00000007-6854-4B02-BE0A-FF69FF46AF7C}"/>
            </c:ext>
          </c:extLst>
        </c:ser>
        <c:dLbls>
          <c:showLegendKey val="0"/>
          <c:showVal val="1"/>
          <c:showCatName val="0"/>
          <c:showSerName val="0"/>
          <c:showPercent val="0"/>
          <c:showBubbleSize val="0"/>
        </c:dLbls>
        <c:gapWidth val="75"/>
        <c:axId val="1578271600"/>
        <c:axId val="1578260720"/>
      </c:barChart>
      <c:lineChart>
        <c:grouping val="standard"/>
        <c:varyColors val="0"/>
        <c:ser>
          <c:idx val="2"/>
          <c:order val="2"/>
          <c:tx>
            <c:strRef>
              <c:f>'Afiliados y Cotizantes'!$E$6</c:f>
              <c:strCache>
                <c:ptCount val="1"/>
                <c:pt idx="0">
                  <c:v>% Cotizantes</c:v>
                </c:pt>
              </c:strCache>
            </c:strRef>
          </c:tx>
          <c:spPr>
            <a:ln>
              <a:solidFill>
                <a:schemeClr val="tx2">
                  <a:lumMod val="60000"/>
                  <a:lumOff val="40000"/>
                </a:schemeClr>
              </a:solidFill>
            </a:ln>
          </c:spPr>
          <c:marker>
            <c:spPr>
              <a:solidFill>
                <a:schemeClr val="tx2">
                  <a:lumMod val="60000"/>
                  <a:lumOff val="40000"/>
                </a:schemeClr>
              </a:solidFill>
              <a:ln>
                <a:solidFill>
                  <a:schemeClr val="tx2">
                    <a:lumMod val="60000"/>
                    <a:lumOff val="40000"/>
                  </a:schemeClr>
                </a:solidFill>
              </a:ln>
            </c:spPr>
          </c:marker>
          <c:dLbls>
            <c:dLbl>
              <c:idx val="0"/>
              <c:layout>
                <c:manualLayout>
                  <c:x val="-7.7272093495421197E-3"/>
                  <c:y val="-8.149012618054586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854-4B02-BE0A-FF69FF46AF7C}"/>
                </c:ext>
              </c:extLst>
            </c:dLbl>
            <c:dLbl>
              <c:idx val="1"/>
              <c:layout>
                <c:manualLayout>
                  <c:x val="-2.3235032004579517E-2"/>
                  <c:y val="-0.1137374118837468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854-4B02-BE0A-FF69FF46AF7C}"/>
                </c:ext>
              </c:extLst>
            </c:dLbl>
            <c:dLbl>
              <c:idx val="2"/>
              <c:layout>
                <c:manualLayout>
                  <c:x val="-3.4707750987020197E-2"/>
                  <c:y val="-0.26902564291170145"/>
                </c:manualLayout>
              </c:layout>
              <c:spPr>
                <a:noFill/>
                <a:ln>
                  <a:noFill/>
                </a:ln>
                <a:effectLst/>
              </c:spPr>
              <c:txPr>
                <a:bodyPr wrap="square" lIns="38100" tIns="19050" rIns="38100" bIns="19050" anchor="ctr">
                  <a:noAutofit/>
                </a:bodyPr>
                <a:lstStyle/>
                <a:p>
                  <a:pPr>
                    <a:defRPr sz="900" b="1"/>
                  </a:pPr>
                  <a:endParaRPr lang="es-ES"/>
                </a:p>
              </c:txPr>
              <c:showLegendKey val="0"/>
              <c:showVal val="1"/>
              <c:showCatName val="0"/>
              <c:showSerName val="0"/>
              <c:showPercent val="0"/>
              <c:showBubbleSize val="0"/>
              <c:extLst>
                <c:ext xmlns:c15="http://schemas.microsoft.com/office/drawing/2012/chart" uri="{CE6537A1-D6FC-4f65-9D91-7224C49458BB}">
                  <c15:layout>
                    <c:manualLayout>
                      <c:w val="0.13795129235811132"/>
                      <c:h val="0.13217897696564784"/>
                    </c:manualLayout>
                  </c15:layout>
                </c:ext>
                <c:ext xmlns:c16="http://schemas.microsoft.com/office/drawing/2014/chart" uri="{C3380CC4-5D6E-409C-BE32-E72D297353CC}">
                  <c16:uniqueId val="{0000000A-6854-4B02-BE0A-FF69FF46AF7C}"/>
                </c:ext>
              </c:extLst>
            </c:dLbl>
            <c:spPr>
              <a:noFill/>
              <a:ln>
                <a:noFill/>
              </a:ln>
              <a:effectLst/>
            </c:spPr>
            <c:txPr>
              <a:bodyPr wrap="square" lIns="38100" tIns="19050" rIns="38100" bIns="19050" anchor="ctr">
                <a:spAutoFit/>
              </a:bodyPr>
              <a:lstStyle/>
              <a:p>
                <a:pPr>
                  <a:defRPr sz="900"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'Afiliados y Cotizantes'!$B$7:$B$9</c:f>
              <c:strCache>
                <c:ptCount val="3"/>
                <c:pt idx="0">
                  <c:v>Marzo</c:v>
                </c:pt>
                <c:pt idx="1">
                  <c:v>Febrero</c:v>
                </c:pt>
                <c:pt idx="2">
                  <c:v>Enero</c:v>
                </c:pt>
              </c:strCache>
            </c:strRef>
          </c:cat>
          <c:val>
            <c:numRef>
              <c:f>'Afiliados y Cotizantes'!$E$7:$E$9</c:f>
              <c:numCache>
                <c:formatCode>0.00%</c:formatCode>
                <c:ptCount val="3"/>
                <c:pt idx="0">
                  <c:v>0.24172332169608404</c:v>
                </c:pt>
                <c:pt idx="1">
                  <c:v>0.2417251104939539</c:v>
                </c:pt>
                <c:pt idx="2">
                  <c:v>0.24022467524018129</c:v>
                </c:pt>
              </c:numCache>
            </c:numRef>
          </c:val>
          <c:smooth val="0"/>
          <c:extLst>
            <c:ext xmlns:c16="http://schemas.microsoft.com/office/drawing/2014/chart" uri="{C3380CC4-5D6E-409C-BE32-E72D297353CC}">
              <c16:uniqueId val="{0000000B-6854-4B02-BE0A-FF69FF46AF7C}"/>
            </c:ext>
          </c:extLst>
        </c:ser>
        <c:dLbls>
          <c:showLegendKey val="0"/>
          <c:showVal val="1"/>
          <c:showCatName val="0"/>
          <c:showSerName val="0"/>
          <c:showPercent val="0"/>
          <c:showBubbleSize val="0"/>
        </c:dLbls>
        <c:marker val="1"/>
        <c:smooth val="0"/>
        <c:axId val="1578262352"/>
        <c:axId val="1578258544"/>
      </c:lineChart>
      <c:catAx>
        <c:axId val="1578271600"/>
        <c:scaling>
          <c:orientation val="minMax"/>
        </c:scaling>
        <c:delete val="0"/>
        <c:axPos val="b"/>
        <c:numFmt formatCode="General" sourceLinked="0"/>
        <c:majorTickMark val="none"/>
        <c:minorTickMark val="none"/>
        <c:tickLblPos val="nextTo"/>
        <c:crossAx val="1578260720"/>
        <c:crosses val="autoZero"/>
        <c:auto val="1"/>
        <c:lblAlgn val="ctr"/>
        <c:lblOffset val="100"/>
        <c:noMultiLvlLbl val="0"/>
      </c:catAx>
      <c:valAx>
        <c:axId val="1578260720"/>
        <c:scaling>
          <c:orientation val="minMax"/>
        </c:scaling>
        <c:delete val="0"/>
        <c:axPos val="l"/>
        <c:numFmt formatCode="#,##0" sourceLinked="1"/>
        <c:majorTickMark val="none"/>
        <c:minorTickMark val="none"/>
        <c:tickLblPos val="nextTo"/>
        <c:crossAx val="1578271600"/>
        <c:crosses val="autoZero"/>
        <c:crossBetween val="between"/>
      </c:valAx>
      <c:valAx>
        <c:axId val="1578258544"/>
        <c:scaling>
          <c:orientation val="minMax"/>
        </c:scaling>
        <c:delete val="0"/>
        <c:axPos val="r"/>
        <c:numFmt formatCode="0.00%" sourceLinked="1"/>
        <c:majorTickMark val="out"/>
        <c:minorTickMark val="none"/>
        <c:tickLblPos val="nextTo"/>
        <c:crossAx val="1578262352"/>
        <c:crosses val="max"/>
        <c:crossBetween val="between"/>
      </c:valAx>
      <c:catAx>
        <c:axId val="1578262352"/>
        <c:scaling>
          <c:orientation val="minMax"/>
        </c:scaling>
        <c:delete val="1"/>
        <c:axPos val="b"/>
        <c:numFmt formatCode="General" sourceLinked="1"/>
        <c:majorTickMark val="out"/>
        <c:minorTickMark val="none"/>
        <c:tickLblPos val="nextTo"/>
        <c:crossAx val="1578258544"/>
        <c:crosses val="autoZero"/>
        <c:auto val="1"/>
        <c:lblAlgn val="ctr"/>
        <c:lblOffset val="100"/>
        <c:noMultiLvlLbl val="0"/>
      </c:catAx>
    </c:plotArea>
    <c:legend>
      <c:legendPos val="b"/>
      <c:overlay val="0"/>
    </c:legend>
    <c:plotVisOnly val="1"/>
    <c:dispBlanksAs val="gap"/>
    <c:showDLblsOverMax val="0"/>
  </c:chart>
  <c:spPr>
    <a:ln>
      <a:noFill/>
    </a:ln>
  </c:spPr>
  <c:printSettings>
    <c:headerFooter/>
    <c:pageMargins b="0.75" l="0.7" r="0.7" t="0.75" header="0.3" footer="0.3"/>
    <c:pageSetup orientation="portrait"/>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barChart>
        <c:barDir val="bar"/>
        <c:grouping val="clustered"/>
        <c:varyColors val="0"/>
        <c:ser>
          <c:idx val="0"/>
          <c:order val="0"/>
          <c:tx>
            <c:strRef>
              <c:f>Movimientos!$C$7</c:f>
              <c:strCache>
                <c:ptCount val="1"/>
                <c:pt idx="0">
                  <c:v>Inclusiones</c:v>
                </c:pt>
              </c:strCache>
            </c:strRef>
          </c:tx>
          <c:spPr>
            <a:solidFill>
              <a:schemeClr val="bg1">
                <a:lumMod val="75000"/>
              </a:schemeClr>
            </a:solidFill>
            <a:ln>
              <a:solidFill>
                <a:schemeClr val="bg1">
                  <a:lumMod val="75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Movimientos!$B$9:$B$11</c:f>
              <c:strCache>
                <c:ptCount val="3"/>
                <c:pt idx="0">
                  <c:v>Marzo</c:v>
                </c:pt>
                <c:pt idx="1">
                  <c:v>Febrero</c:v>
                </c:pt>
                <c:pt idx="2">
                  <c:v>Enero</c:v>
                </c:pt>
              </c:strCache>
            </c:strRef>
          </c:cat>
          <c:val>
            <c:numRef>
              <c:f>Movimientos!$D$9:$D$11</c:f>
              <c:numCache>
                <c:formatCode>#,##0.00_);[Red]\(#,##0.00\)</c:formatCode>
                <c:ptCount val="3"/>
                <c:pt idx="0" formatCode="#,##0.00">
                  <c:v>61705054.899999999</c:v>
                </c:pt>
                <c:pt idx="1">
                  <c:v>41839462.329999998</c:v>
                </c:pt>
                <c:pt idx="2" formatCode="#,##0.00">
                  <c:v>40117077.280000001</c:v>
                </c:pt>
              </c:numCache>
            </c:numRef>
          </c:val>
          <c:extLst>
            <c:ext xmlns:c16="http://schemas.microsoft.com/office/drawing/2014/chart" uri="{C3380CC4-5D6E-409C-BE32-E72D297353CC}">
              <c16:uniqueId val="{00000000-5149-49A7-9ED4-8922C1B4A086}"/>
            </c:ext>
          </c:extLst>
        </c:ser>
        <c:ser>
          <c:idx val="1"/>
          <c:order val="1"/>
          <c:tx>
            <c:strRef>
              <c:f>Movimientos!$I$7</c:f>
              <c:strCache>
                <c:ptCount val="1"/>
                <c:pt idx="0">
                  <c:v>Aumentos</c:v>
                </c:pt>
              </c:strCache>
            </c:strRef>
          </c:tx>
          <c:spPr>
            <a:solidFill>
              <a:schemeClr val="accent3">
                <a:lumMod val="20000"/>
                <a:lumOff val="80000"/>
              </a:schemeClr>
            </a:solidFill>
            <a:ln>
              <a:solidFill>
                <a:schemeClr val="accent3">
                  <a:lumMod val="60000"/>
                  <a:lumOff val="40000"/>
                </a:schemeClr>
              </a:solidFill>
            </a:ln>
          </c:spPr>
          <c:invertIfNegative val="0"/>
          <c:dLbls>
            <c:dLbl>
              <c:idx val="1"/>
              <c:layout>
                <c:manualLayout>
                  <c:x val="-4.2077392613223727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DC2-4BA6-AC98-4A03A25A03FB}"/>
                </c:ext>
              </c:extLst>
            </c:dLbl>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Movimientos!$B$9:$B$11</c:f>
              <c:strCache>
                <c:ptCount val="3"/>
                <c:pt idx="0">
                  <c:v>Marzo</c:v>
                </c:pt>
                <c:pt idx="1">
                  <c:v>Febrero</c:v>
                </c:pt>
                <c:pt idx="2">
                  <c:v>Enero</c:v>
                </c:pt>
              </c:strCache>
            </c:strRef>
          </c:cat>
          <c:val>
            <c:numRef>
              <c:f>Movimientos!$J$9:$J$11</c:f>
              <c:numCache>
                <c:formatCode>#,##0.00_);[Red]\(#,##0.00\)</c:formatCode>
                <c:ptCount val="3"/>
                <c:pt idx="0" formatCode="#,##0.00">
                  <c:v>24359140.050000001</c:v>
                </c:pt>
                <c:pt idx="1">
                  <c:v>274015.65000000002</c:v>
                </c:pt>
                <c:pt idx="2" formatCode="#,##0.00">
                  <c:v>19041118.620000001</c:v>
                </c:pt>
              </c:numCache>
            </c:numRef>
          </c:val>
          <c:extLst>
            <c:ext xmlns:c16="http://schemas.microsoft.com/office/drawing/2014/chart" uri="{C3380CC4-5D6E-409C-BE32-E72D297353CC}">
              <c16:uniqueId val="{00000001-5149-49A7-9ED4-8922C1B4A086}"/>
            </c:ext>
          </c:extLst>
        </c:ser>
        <c:ser>
          <c:idx val="2"/>
          <c:order val="2"/>
          <c:tx>
            <c:strRef>
              <c:f>Movimientos!$K$7</c:f>
              <c:strCache>
                <c:ptCount val="1"/>
                <c:pt idx="0">
                  <c:v>Exclusiones</c:v>
                </c:pt>
              </c:strCache>
            </c:strRef>
          </c:tx>
          <c:spPr>
            <a:solidFill>
              <a:schemeClr val="accent1">
                <a:lumMod val="60000"/>
                <a:lumOff val="40000"/>
              </a:schemeClr>
            </a:solidFill>
            <a:ln>
              <a:solidFill>
                <a:schemeClr val="accent1">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Movimientos!$B$9:$B$11</c:f>
              <c:strCache>
                <c:ptCount val="3"/>
                <c:pt idx="0">
                  <c:v>Marzo</c:v>
                </c:pt>
                <c:pt idx="1">
                  <c:v>Febrero</c:v>
                </c:pt>
                <c:pt idx="2">
                  <c:v>Enero</c:v>
                </c:pt>
              </c:strCache>
            </c:strRef>
          </c:cat>
          <c:val>
            <c:numRef>
              <c:f>Movimientos!$L$9:$L$11</c:f>
              <c:numCache>
                <c:formatCode>#,##0.00_);[Red]\(#,##0.00\)</c:formatCode>
                <c:ptCount val="3"/>
                <c:pt idx="0" formatCode="#,##0.00">
                  <c:v>13172388.09</c:v>
                </c:pt>
                <c:pt idx="1">
                  <c:v>4372799.84</c:v>
                </c:pt>
                <c:pt idx="2" formatCode="#,##0.00">
                  <c:v>1908591.82</c:v>
                </c:pt>
              </c:numCache>
            </c:numRef>
          </c:val>
          <c:extLst>
            <c:ext xmlns:c16="http://schemas.microsoft.com/office/drawing/2014/chart" uri="{C3380CC4-5D6E-409C-BE32-E72D297353CC}">
              <c16:uniqueId val="{00000002-5149-49A7-9ED4-8922C1B4A086}"/>
            </c:ext>
          </c:extLst>
        </c:ser>
        <c:ser>
          <c:idx val="3"/>
          <c:order val="3"/>
          <c:tx>
            <c:strRef>
              <c:f>Movimientos!$M$7</c:f>
              <c:strCache>
                <c:ptCount val="1"/>
                <c:pt idx="0">
                  <c:v>Suspensiones</c:v>
                </c:pt>
              </c:strCache>
            </c:strRef>
          </c:tx>
          <c:spPr>
            <a:solidFill>
              <a:schemeClr val="accent6">
                <a:lumMod val="60000"/>
                <a:lumOff val="40000"/>
              </a:schemeClr>
            </a:solidFill>
            <a:ln>
              <a:solidFill>
                <a:schemeClr val="accent6">
                  <a:lumMod val="60000"/>
                  <a:lumOff val="40000"/>
                </a:schemeClr>
              </a:solidFill>
            </a:ln>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Movimientos!$B$9:$B$11</c:f>
              <c:strCache>
                <c:ptCount val="3"/>
                <c:pt idx="0">
                  <c:v>Marzo</c:v>
                </c:pt>
                <c:pt idx="1">
                  <c:v>Febrero</c:v>
                </c:pt>
                <c:pt idx="2">
                  <c:v>Enero</c:v>
                </c:pt>
              </c:strCache>
            </c:strRef>
          </c:cat>
          <c:val>
            <c:numRef>
              <c:f>Movimientos!$N$9:$N$11</c:f>
              <c:numCache>
                <c:formatCode>#,##0.00_);[Red]\(#,##0.00\)</c:formatCode>
                <c:ptCount val="3"/>
                <c:pt idx="0" formatCode="#,##0.00">
                  <c:v>2260373.0300000003</c:v>
                </c:pt>
                <c:pt idx="1">
                  <c:v>3164322.3</c:v>
                </c:pt>
                <c:pt idx="2" formatCode="#,##0.00">
                  <c:v>2552942.64</c:v>
                </c:pt>
              </c:numCache>
            </c:numRef>
          </c:val>
          <c:extLst>
            <c:ext xmlns:c16="http://schemas.microsoft.com/office/drawing/2014/chart" uri="{C3380CC4-5D6E-409C-BE32-E72D297353CC}">
              <c16:uniqueId val="{00000003-5149-49A7-9ED4-8922C1B4A086}"/>
            </c:ext>
          </c:extLst>
        </c:ser>
        <c:ser>
          <c:idx val="4"/>
          <c:order val="4"/>
          <c:tx>
            <c:v>Sobrevivencia</c:v>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Movimientos!$F$9:$F$11</c:f>
              <c:numCache>
                <c:formatCode>#,##0.00_);[Red]\(#,##0.00\)</c:formatCode>
                <c:ptCount val="3"/>
                <c:pt idx="0" formatCode="#,##0.00">
                  <c:v>1996974.31</c:v>
                </c:pt>
                <c:pt idx="1">
                  <c:v>1769788.3800000001</c:v>
                </c:pt>
                <c:pt idx="2" formatCode="#,##0.00">
                  <c:v>1263404.7999999998</c:v>
                </c:pt>
              </c:numCache>
            </c:numRef>
          </c:val>
          <c:extLst>
            <c:ext xmlns:c16="http://schemas.microsoft.com/office/drawing/2014/chart" uri="{C3380CC4-5D6E-409C-BE32-E72D297353CC}">
              <c16:uniqueId val="{00000004-5149-49A7-9ED4-8922C1B4A086}"/>
            </c:ext>
          </c:extLst>
        </c:ser>
        <c:ser>
          <c:idx val="5"/>
          <c:order val="5"/>
          <c:tx>
            <c:v>Reinclusiones</c:v>
          </c:tx>
          <c:spPr>
            <a:solidFill>
              <a:srgbClr val="FFC000"/>
            </a:solidFill>
          </c:spPr>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val>
            <c:numRef>
              <c:f>Movimientos!$H$9:$H$11</c:f>
              <c:numCache>
                <c:formatCode>#,##0.00_);[Red]\(#,##0.00\)</c:formatCode>
                <c:ptCount val="3"/>
                <c:pt idx="0" formatCode="#,##0.00">
                  <c:v>736646.08</c:v>
                </c:pt>
                <c:pt idx="1">
                  <c:v>1040353.78</c:v>
                </c:pt>
                <c:pt idx="2" formatCode="#,##0.00">
                  <c:v>853505.15</c:v>
                </c:pt>
              </c:numCache>
            </c:numRef>
          </c:val>
          <c:extLst>
            <c:ext xmlns:c16="http://schemas.microsoft.com/office/drawing/2014/chart" uri="{C3380CC4-5D6E-409C-BE32-E72D297353CC}">
              <c16:uniqueId val="{00000005-5149-49A7-9ED4-8922C1B4A086}"/>
            </c:ext>
          </c:extLst>
        </c:ser>
        <c:dLbls>
          <c:dLblPos val="inEnd"/>
          <c:showLegendKey val="0"/>
          <c:showVal val="1"/>
          <c:showCatName val="0"/>
          <c:showSerName val="0"/>
          <c:showPercent val="0"/>
          <c:showBubbleSize val="0"/>
        </c:dLbls>
        <c:gapWidth val="150"/>
        <c:axId val="1665025616"/>
        <c:axId val="1670809952"/>
      </c:barChart>
      <c:catAx>
        <c:axId val="1665025616"/>
        <c:scaling>
          <c:orientation val="minMax"/>
        </c:scaling>
        <c:delete val="0"/>
        <c:axPos val="l"/>
        <c:numFmt formatCode="General" sourceLinked="0"/>
        <c:majorTickMark val="none"/>
        <c:minorTickMark val="none"/>
        <c:tickLblPos val="nextTo"/>
        <c:txPr>
          <a:bodyPr/>
          <a:lstStyle/>
          <a:p>
            <a:pPr>
              <a:defRPr b="1"/>
            </a:pPr>
            <a:endParaRPr lang="es-ES"/>
          </a:p>
        </c:txPr>
        <c:crossAx val="1670809952"/>
        <c:crosses val="autoZero"/>
        <c:auto val="1"/>
        <c:lblAlgn val="ctr"/>
        <c:lblOffset val="100"/>
        <c:noMultiLvlLbl val="0"/>
      </c:catAx>
      <c:valAx>
        <c:axId val="1670809952"/>
        <c:scaling>
          <c:logBase val="10"/>
          <c:orientation val="minMax"/>
          <c:max val="51000000"/>
          <c:min val="50000"/>
        </c:scaling>
        <c:delete val="0"/>
        <c:axPos val="b"/>
        <c:numFmt formatCode="#,##0.00" sourceLinked="1"/>
        <c:majorTickMark val="none"/>
        <c:minorTickMark val="none"/>
        <c:tickLblPos val="nextTo"/>
        <c:txPr>
          <a:bodyPr/>
          <a:lstStyle/>
          <a:p>
            <a:pPr>
              <a:defRPr b="1"/>
            </a:pPr>
            <a:endParaRPr lang="es-ES"/>
          </a:p>
        </c:txPr>
        <c:crossAx val="1665025616"/>
        <c:crosses val="autoZero"/>
        <c:crossBetween val="between"/>
        <c:majorUnit val="10"/>
      </c:valAx>
    </c:plotArea>
    <c:legend>
      <c:legendPos val="r"/>
      <c:overlay val="0"/>
      <c:txPr>
        <a:bodyPr/>
        <a:lstStyle/>
        <a:p>
          <a:pPr>
            <a:defRPr b="1"/>
          </a:pPr>
          <a:endParaRPr lang="es-ES"/>
        </a:p>
      </c:txPr>
    </c:legend>
    <c:plotVisOnly val="1"/>
    <c:dispBlanksAs val="gap"/>
    <c:showDLblsOverMax val="0"/>
  </c:chart>
  <c:spPr>
    <a:ln>
      <a:solidFill>
        <a:schemeClr val="bg1"/>
      </a:solid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DO"/>
              <a:t>Cantidad</a:t>
            </a:r>
            <a:r>
              <a:rPr lang="es-DO" baseline="0"/>
              <a:t> de Pensiones por Tipo de Pensión</a:t>
            </a:r>
            <a:endParaRPr lang="es-D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barChart>
        <c:barDir val="col"/>
        <c:grouping val="clustered"/>
        <c:varyColors val="0"/>
        <c:ser>
          <c:idx val="0"/>
          <c:order val="0"/>
          <c:tx>
            <c:v>Enero-Marzo 2025</c:v>
          </c:tx>
          <c:spPr>
            <a:solidFill>
              <a:schemeClr val="bg1">
                <a:lumMod val="75000"/>
              </a:schemeClr>
            </a:solidFill>
            <a:ln>
              <a:noFill/>
            </a:ln>
            <a:effectLst/>
          </c:spPr>
          <c:invertIfNegative val="0"/>
          <c:cat>
            <c:strRef>
              <c:f>'Tipo de Pension'!$B$11:$B$19</c:f>
              <c:strCache>
                <c:ptCount val="9"/>
                <c:pt idx="0">
                  <c:v>PENSIÓN CIVIL</c:v>
                </c:pt>
                <c:pt idx="1">
                  <c:v>IDSS</c:v>
                </c:pt>
                <c:pt idx="2">
                  <c:v>GLORIAS DEL DEPORTE</c:v>
                </c:pt>
                <c:pt idx="3">
                  <c:v>PABELLÓN DE LA FAMA</c:v>
                </c:pt>
                <c:pt idx="4">
                  <c:v>PODER LEGISLATIVO</c:v>
                </c:pt>
                <c:pt idx="5">
                  <c:v>PODER EJECUTIVO</c:v>
                </c:pt>
                <c:pt idx="6">
                  <c:v>POLICÍA NACIONAL</c:v>
                </c:pt>
                <c:pt idx="7">
                  <c:v>PENSIÓN SOLIDARIA</c:v>
                </c:pt>
                <c:pt idx="8">
                  <c:v>PENSION POR SOBREVIVENCIA</c:v>
                </c:pt>
              </c:strCache>
            </c:strRef>
          </c:cat>
          <c:val>
            <c:numRef>
              <c:f>'Tipo de Pension'!$C$11:$C$19</c:f>
              <c:numCache>
                <c:formatCode>#,##0</c:formatCode>
                <c:ptCount val="9"/>
                <c:pt idx="0">
                  <c:v>39336</c:v>
                </c:pt>
                <c:pt idx="1">
                  <c:v>78934</c:v>
                </c:pt>
                <c:pt idx="2">
                  <c:v>248</c:v>
                </c:pt>
                <c:pt idx="3">
                  <c:v>184</c:v>
                </c:pt>
                <c:pt idx="4">
                  <c:v>222</c:v>
                </c:pt>
                <c:pt idx="5">
                  <c:v>27763</c:v>
                </c:pt>
                <c:pt idx="6">
                  <c:v>25769</c:v>
                </c:pt>
                <c:pt idx="7">
                  <c:v>51921</c:v>
                </c:pt>
                <c:pt idx="8">
                  <c:v>20670</c:v>
                </c:pt>
              </c:numCache>
            </c:numRef>
          </c:val>
          <c:extLst>
            <c:ext xmlns:c16="http://schemas.microsoft.com/office/drawing/2014/chart" uri="{C3380CC4-5D6E-409C-BE32-E72D297353CC}">
              <c16:uniqueId val="{00000000-B4F9-4047-9F40-71C6BD8AD3E7}"/>
            </c:ext>
          </c:extLst>
        </c:ser>
        <c:ser>
          <c:idx val="1"/>
          <c:order val="1"/>
          <c:tx>
            <c:v>Enero-Marzo 2026</c:v>
          </c:tx>
          <c:spPr>
            <a:solidFill>
              <a:schemeClr val="accent3"/>
            </a:solidFill>
            <a:ln>
              <a:noFill/>
            </a:ln>
            <a:effectLst/>
          </c:spPr>
          <c:invertIfNegative val="0"/>
          <c:cat>
            <c:strRef>
              <c:f>'Tipo de Pension'!$B$11:$B$19</c:f>
              <c:strCache>
                <c:ptCount val="9"/>
                <c:pt idx="0">
                  <c:v>PENSIÓN CIVIL</c:v>
                </c:pt>
                <c:pt idx="1">
                  <c:v>IDSS</c:v>
                </c:pt>
                <c:pt idx="2">
                  <c:v>GLORIAS DEL DEPORTE</c:v>
                </c:pt>
                <c:pt idx="3">
                  <c:v>PABELLÓN DE LA FAMA</c:v>
                </c:pt>
                <c:pt idx="4">
                  <c:v>PODER LEGISLATIVO</c:v>
                </c:pt>
                <c:pt idx="5">
                  <c:v>PODER EJECUTIVO</c:v>
                </c:pt>
                <c:pt idx="6">
                  <c:v>POLICÍA NACIONAL</c:v>
                </c:pt>
                <c:pt idx="7">
                  <c:v>PENSIÓN SOLIDARIA</c:v>
                </c:pt>
                <c:pt idx="8">
                  <c:v>PENSION POR SOBREVIVENCIA</c:v>
                </c:pt>
              </c:strCache>
            </c:strRef>
          </c:cat>
          <c:val>
            <c:numRef>
              <c:f>'Tipo de Pension'!$G$11:$G$19</c:f>
              <c:numCache>
                <c:formatCode>#,##0</c:formatCode>
                <c:ptCount val="9"/>
                <c:pt idx="0">
                  <c:v>41482</c:v>
                </c:pt>
                <c:pt idx="1">
                  <c:v>85463</c:v>
                </c:pt>
                <c:pt idx="2">
                  <c:v>240</c:v>
                </c:pt>
                <c:pt idx="3">
                  <c:v>193</c:v>
                </c:pt>
                <c:pt idx="4">
                  <c:v>206</c:v>
                </c:pt>
                <c:pt idx="5">
                  <c:v>28849</c:v>
                </c:pt>
                <c:pt idx="6">
                  <c:v>26940</c:v>
                </c:pt>
                <c:pt idx="7">
                  <c:v>62570</c:v>
                </c:pt>
                <c:pt idx="8">
                  <c:v>21227</c:v>
                </c:pt>
              </c:numCache>
            </c:numRef>
          </c:val>
          <c:extLst>
            <c:ext xmlns:c16="http://schemas.microsoft.com/office/drawing/2014/chart" uri="{C3380CC4-5D6E-409C-BE32-E72D297353CC}">
              <c16:uniqueId val="{00000001-B4F9-4047-9F40-71C6BD8AD3E7}"/>
            </c:ext>
          </c:extLst>
        </c:ser>
        <c:dLbls>
          <c:showLegendKey val="0"/>
          <c:showVal val="0"/>
          <c:showCatName val="0"/>
          <c:showSerName val="0"/>
          <c:showPercent val="0"/>
          <c:showBubbleSize val="0"/>
        </c:dLbls>
        <c:gapWidth val="50"/>
        <c:overlap val="-10"/>
        <c:axId val="1670801792"/>
        <c:axId val="1670802336"/>
      </c:barChart>
      <c:catAx>
        <c:axId val="1670801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0802336"/>
        <c:crosses val="autoZero"/>
        <c:auto val="1"/>
        <c:lblAlgn val="ctr"/>
        <c:lblOffset val="100"/>
        <c:noMultiLvlLbl val="0"/>
      </c:catAx>
      <c:valAx>
        <c:axId val="1670802336"/>
        <c:scaling>
          <c:orientation val="minMax"/>
          <c:max val="700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0801792"/>
        <c:crosses val="autoZero"/>
        <c:crossBetween val="between"/>
        <c:majorUnit val="10000"/>
      </c:valAx>
      <c:spPr>
        <a:noFill/>
        <a:ln>
          <a:noFill/>
        </a:ln>
        <a:effectLst/>
      </c:spPr>
    </c:plotArea>
    <c:legend>
      <c:legendPos val="b"/>
      <c:layout>
        <c:manualLayout>
          <c:xMode val="edge"/>
          <c:yMode val="edge"/>
          <c:x val="0.20097366905261974"/>
          <c:y val="0.8993319686340091"/>
          <c:w val="0.64265757475713148"/>
          <c:h val="6.8292536811192239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DO" baseline="0"/>
              <a:t>Total Pagado por Tipo de Pensión</a:t>
            </a:r>
            <a:endParaRPr lang="es-D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barChart>
        <c:barDir val="col"/>
        <c:grouping val="clustered"/>
        <c:varyColors val="0"/>
        <c:ser>
          <c:idx val="0"/>
          <c:order val="0"/>
          <c:tx>
            <c:v>Enero-Marzo 2025</c:v>
          </c:tx>
          <c:spPr>
            <a:solidFill>
              <a:schemeClr val="bg1">
                <a:lumMod val="75000"/>
              </a:schemeClr>
            </a:solidFill>
            <a:ln>
              <a:noFill/>
            </a:ln>
            <a:effectLst/>
          </c:spPr>
          <c:invertIfNegative val="0"/>
          <c:cat>
            <c:strRef>
              <c:f>'Tipo de Pension'!$B$11:$B$19</c:f>
              <c:strCache>
                <c:ptCount val="9"/>
                <c:pt idx="0">
                  <c:v>PENSIÓN CIVIL</c:v>
                </c:pt>
                <c:pt idx="1">
                  <c:v>IDSS</c:v>
                </c:pt>
                <c:pt idx="2">
                  <c:v>GLORIAS DEL DEPORTE</c:v>
                </c:pt>
                <c:pt idx="3">
                  <c:v>PABELLÓN DE LA FAMA</c:v>
                </c:pt>
                <c:pt idx="4">
                  <c:v>PODER LEGISLATIVO</c:v>
                </c:pt>
                <c:pt idx="5">
                  <c:v>PODER EJECUTIVO</c:v>
                </c:pt>
                <c:pt idx="6">
                  <c:v>POLICÍA NACIONAL</c:v>
                </c:pt>
                <c:pt idx="7">
                  <c:v>PENSIÓN SOLIDARIA</c:v>
                </c:pt>
                <c:pt idx="8">
                  <c:v>PENSION POR SOBREVIVENCIA</c:v>
                </c:pt>
              </c:strCache>
            </c:strRef>
          </c:cat>
          <c:val>
            <c:numRef>
              <c:f>'Tipo de Pension'!$E$11:$E$19</c:f>
              <c:numCache>
                <c:formatCode>#,##0.00</c:formatCode>
                <c:ptCount val="9"/>
                <c:pt idx="0">
                  <c:v>2449601897.5599999</c:v>
                </c:pt>
                <c:pt idx="1">
                  <c:v>2423836090.4899998</c:v>
                </c:pt>
                <c:pt idx="2">
                  <c:v>22410000</c:v>
                </c:pt>
                <c:pt idx="3">
                  <c:v>26625587.5</c:v>
                </c:pt>
                <c:pt idx="4">
                  <c:v>21629281.969999999</c:v>
                </c:pt>
                <c:pt idx="5">
                  <c:v>2450685367.5</c:v>
                </c:pt>
                <c:pt idx="6">
                  <c:v>2304728695.4000001</c:v>
                </c:pt>
                <c:pt idx="7">
                  <c:v>935682000</c:v>
                </c:pt>
                <c:pt idx="8">
                  <c:v>786955963.40999997</c:v>
                </c:pt>
              </c:numCache>
            </c:numRef>
          </c:val>
          <c:extLst>
            <c:ext xmlns:c16="http://schemas.microsoft.com/office/drawing/2014/chart" uri="{C3380CC4-5D6E-409C-BE32-E72D297353CC}">
              <c16:uniqueId val="{00000000-4569-44D0-B52B-F7CCBE23C12D}"/>
            </c:ext>
          </c:extLst>
        </c:ser>
        <c:ser>
          <c:idx val="1"/>
          <c:order val="1"/>
          <c:tx>
            <c:v>Enero-Marzo 2026</c:v>
          </c:tx>
          <c:spPr>
            <a:solidFill>
              <a:schemeClr val="accent3"/>
            </a:solidFill>
            <a:ln>
              <a:noFill/>
            </a:ln>
            <a:effectLst/>
          </c:spPr>
          <c:invertIfNegative val="0"/>
          <c:cat>
            <c:strRef>
              <c:f>'Tipo de Pension'!$B$11:$B$19</c:f>
              <c:strCache>
                <c:ptCount val="9"/>
                <c:pt idx="0">
                  <c:v>PENSIÓN CIVIL</c:v>
                </c:pt>
                <c:pt idx="1">
                  <c:v>IDSS</c:v>
                </c:pt>
                <c:pt idx="2">
                  <c:v>GLORIAS DEL DEPORTE</c:v>
                </c:pt>
                <c:pt idx="3">
                  <c:v>PABELLÓN DE LA FAMA</c:v>
                </c:pt>
                <c:pt idx="4">
                  <c:v>PODER LEGISLATIVO</c:v>
                </c:pt>
                <c:pt idx="5">
                  <c:v>PODER EJECUTIVO</c:v>
                </c:pt>
                <c:pt idx="6">
                  <c:v>POLICÍA NACIONAL</c:v>
                </c:pt>
                <c:pt idx="7">
                  <c:v>PENSIÓN SOLIDARIA</c:v>
                </c:pt>
                <c:pt idx="8">
                  <c:v>PENSION POR SOBREVIVENCIA</c:v>
                </c:pt>
              </c:strCache>
            </c:strRef>
          </c:cat>
          <c:val>
            <c:numRef>
              <c:f>'Tipo de Pension'!$I$11:$I$19</c:f>
              <c:numCache>
                <c:formatCode>#,##0.00</c:formatCode>
                <c:ptCount val="9"/>
                <c:pt idx="0">
                  <c:v>2815154459.9200001</c:v>
                </c:pt>
                <c:pt idx="1">
                  <c:v>2618512144.0799999</c:v>
                </c:pt>
                <c:pt idx="2">
                  <c:v>21630000</c:v>
                </c:pt>
                <c:pt idx="3">
                  <c:v>28450000</c:v>
                </c:pt>
                <c:pt idx="4">
                  <c:v>20419831.990000002</c:v>
                </c:pt>
                <c:pt idx="5">
                  <c:v>2633923135.4200001</c:v>
                </c:pt>
                <c:pt idx="6">
                  <c:v>2516889573.8000002</c:v>
                </c:pt>
                <c:pt idx="7">
                  <c:v>1107528000</c:v>
                </c:pt>
                <c:pt idx="8">
                  <c:v>822579427.24000001</c:v>
                </c:pt>
              </c:numCache>
            </c:numRef>
          </c:val>
          <c:extLst>
            <c:ext xmlns:c16="http://schemas.microsoft.com/office/drawing/2014/chart" uri="{C3380CC4-5D6E-409C-BE32-E72D297353CC}">
              <c16:uniqueId val="{00000001-4569-44D0-B52B-F7CCBE23C12D}"/>
            </c:ext>
          </c:extLst>
        </c:ser>
        <c:dLbls>
          <c:showLegendKey val="0"/>
          <c:showVal val="0"/>
          <c:showCatName val="0"/>
          <c:showSerName val="0"/>
          <c:showPercent val="0"/>
          <c:showBubbleSize val="0"/>
        </c:dLbls>
        <c:gapWidth val="50"/>
        <c:overlap val="-10"/>
        <c:axId val="1670808864"/>
        <c:axId val="1670811040"/>
      </c:barChart>
      <c:catAx>
        <c:axId val="1670808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0811040"/>
        <c:crosses val="autoZero"/>
        <c:auto val="1"/>
        <c:lblAlgn val="ctr"/>
        <c:lblOffset val="100"/>
        <c:noMultiLvlLbl val="0"/>
      </c:catAx>
      <c:valAx>
        <c:axId val="1670811040"/>
        <c:scaling>
          <c:orientation val="minMax"/>
          <c:max val="2200000000"/>
          <c:min val="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0808864"/>
        <c:crosses val="autoZero"/>
        <c:crossBetween val="between"/>
        <c:majorUnit val="300000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baseline="0">
                <a:solidFill>
                  <a:schemeClr val="accent1"/>
                </a:solidFill>
                <a:latin typeface="+mn-lt"/>
                <a:ea typeface="+mn-ea"/>
                <a:cs typeface="+mn-cs"/>
              </a:defRPr>
            </a:pPr>
            <a:r>
              <a:rPr lang="es-ES" sz="1400">
                <a:solidFill>
                  <a:schemeClr val="accent1"/>
                </a:solidFill>
              </a:rPr>
              <a:t>Porcentaje Modalidad</a:t>
            </a:r>
            <a:r>
              <a:rPr lang="es-ES" sz="1400" baseline="0">
                <a:solidFill>
                  <a:schemeClr val="accent1"/>
                </a:solidFill>
              </a:rPr>
              <a:t> de Pago</a:t>
            </a:r>
            <a:endParaRPr lang="es-ES" sz="1400">
              <a:solidFill>
                <a:schemeClr val="accent1"/>
              </a:solidFill>
            </a:endParaRPr>
          </a:p>
        </c:rich>
      </c:tx>
      <c:layout>
        <c:manualLayout>
          <c:xMode val="edge"/>
          <c:yMode val="edge"/>
          <c:x val="0.24317598335221177"/>
          <c:y val="3.2352237248844695E-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accent1"/>
              </a:solidFill>
              <a:latin typeface="+mn-lt"/>
              <a:ea typeface="+mn-ea"/>
              <a:cs typeface="+mn-cs"/>
            </a:defRPr>
          </a:pPr>
          <a:endParaRPr lang="es-E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3"/>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1-1882-47C0-9C20-76A0642EBB7A}"/>
              </c:ext>
            </c:extLst>
          </c:dPt>
          <c:dPt>
            <c:idx val="1"/>
            <c:bubble3D val="0"/>
            <c:spPr>
              <a:solidFill>
                <a:schemeClr val="bg1">
                  <a:lumMod val="75000"/>
                </a:schemeClr>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2-1882-47C0-9C20-76A0642EBB7A}"/>
              </c:ext>
            </c:extLst>
          </c:dPt>
          <c:dLbls>
            <c:dLbl>
              <c:idx val="0"/>
              <c:layout>
                <c:manualLayout>
                  <c:x val="-1.8055555555555554E-2"/>
                  <c:y val="-0.35532407407407407"/>
                </c:manualLayout>
              </c:layout>
              <c:tx>
                <c:rich>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r>
                      <a:rPr lang="en-US" sz="1000" b="1" baseline="0">
                        <a:solidFill>
                          <a:schemeClr val="tx1">
                            <a:lumMod val="75000"/>
                            <a:lumOff val="25000"/>
                          </a:schemeClr>
                        </a:solidFill>
                      </a:rPr>
                      <a:t>Electrónico</a:t>
                    </a:r>
                  </a:p>
                  <a:p>
                    <a:pPr>
                      <a:defRPr sz="1000" b="1">
                        <a:solidFill>
                          <a:schemeClr val="tx1">
                            <a:lumMod val="75000"/>
                            <a:lumOff val="25000"/>
                          </a:schemeClr>
                        </a:solidFill>
                      </a:defRPr>
                    </a:pPr>
                    <a:r>
                      <a:rPr lang="en-US" sz="1000" b="1" baseline="0">
                        <a:solidFill>
                          <a:schemeClr val="tx1">
                            <a:lumMod val="75000"/>
                            <a:lumOff val="25000"/>
                          </a:schemeClr>
                        </a:solidFill>
                      </a:rPr>
                      <a:t> </a:t>
                    </a:r>
                    <a:fld id="{6A789905-C907-4699-A041-A6FD64461BF5}" type="VALUE">
                      <a:rPr lang="en-US" sz="1000" b="1" baseline="0">
                        <a:solidFill>
                          <a:schemeClr val="tx1">
                            <a:lumMod val="75000"/>
                            <a:lumOff val="25000"/>
                          </a:schemeClr>
                        </a:solidFill>
                      </a:rPr>
                      <a:pPr>
                        <a:defRPr sz="1000" b="1">
                          <a:solidFill>
                            <a:schemeClr val="tx1">
                              <a:lumMod val="75000"/>
                              <a:lumOff val="25000"/>
                            </a:schemeClr>
                          </a:solidFill>
                        </a:defRPr>
                      </a:pPr>
                      <a:t>[VALOR]</a:t>
                    </a:fld>
                    <a:endParaRPr lang="en-US" sz="1000" b="1"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1"/>
              <c:showCatName val="1"/>
              <c:showSerName val="0"/>
              <c:showPercent val="0"/>
              <c:showBubbleSize val="0"/>
              <c:extLst>
                <c:ext xmlns:c15="http://schemas.microsoft.com/office/drawing/2012/chart" uri="{CE6537A1-D6FC-4f65-9D91-7224C49458BB}">
                  <c15:layout>
                    <c:manualLayout>
                      <c:w val="0.23541666666666666"/>
                      <c:h val="0.21064814814814814"/>
                    </c:manualLayout>
                  </c15:layout>
                  <c15:dlblFieldTable/>
                  <c15:showDataLabelsRange val="0"/>
                </c:ext>
                <c:ext xmlns:c16="http://schemas.microsoft.com/office/drawing/2014/chart" uri="{C3380CC4-5D6E-409C-BE32-E72D297353CC}">
                  <c16:uniqueId val="{00000001-1882-47C0-9C20-76A0642EBB7A}"/>
                </c:ext>
              </c:extLst>
            </c:dLbl>
            <c:dLbl>
              <c:idx val="1"/>
              <c:layout>
                <c:manualLayout>
                  <c:x val="-4.6721964522656895E-2"/>
                  <c:y val="5.2783916405700331E-3"/>
                </c:manualLayout>
              </c:layout>
              <c:tx>
                <c:rich>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r>
                      <a:rPr lang="en-US" sz="1000" b="1" baseline="0">
                        <a:solidFill>
                          <a:schemeClr val="tx1">
                            <a:lumMod val="75000"/>
                            <a:lumOff val="25000"/>
                          </a:schemeClr>
                        </a:solidFill>
                      </a:rPr>
                      <a:t>Cheque</a:t>
                    </a:r>
                  </a:p>
                  <a:p>
                    <a:pPr>
                      <a:defRPr sz="1000" b="1">
                        <a:solidFill>
                          <a:schemeClr val="tx1">
                            <a:lumMod val="75000"/>
                            <a:lumOff val="25000"/>
                          </a:schemeClr>
                        </a:solidFill>
                      </a:defRPr>
                    </a:pPr>
                    <a:r>
                      <a:rPr lang="en-US" sz="1000" b="1" baseline="0">
                        <a:solidFill>
                          <a:schemeClr val="tx1">
                            <a:lumMod val="75000"/>
                            <a:lumOff val="25000"/>
                          </a:schemeClr>
                        </a:solidFill>
                      </a:rPr>
                      <a:t> </a:t>
                    </a:r>
                    <a:fld id="{928CA2D4-AB57-4300-BD4F-83CC6382AA06}" type="VALUE">
                      <a:rPr lang="en-US" sz="1000" b="1" baseline="0">
                        <a:solidFill>
                          <a:schemeClr val="tx1">
                            <a:lumMod val="75000"/>
                            <a:lumOff val="25000"/>
                          </a:schemeClr>
                        </a:solidFill>
                      </a:rPr>
                      <a:pPr>
                        <a:defRPr sz="1000" b="1">
                          <a:solidFill>
                            <a:schemeClr val="tx1">
                              <a:lumMod val="75000"/>
                              <a:lumOff val="25000"/>
                            </a:schemeClr>
                          </a:solidFill>
                        </a:defRPr>
                      </a:pPr>
                      <a:t>[VALOR]</a:t>
                    </a:fld>
                    <a:endParaRPr lang="en-US" sz="1000" b="1"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1"/>
              <c:showCatName val="1"/>
              <c:showSerName val="0"/>
              <c:showPercent val="0"/>
              <c:showBubbleSize val="0"/>
              <c:extLst>
                <c:ext xmlns:c15="http://schemas.microsoft.com/office/drawing/2012/chart" uri="{CE6537A1-D6FC-4f65-9D91-7224C49458BB}">
                  <c15:layout>
                    <c:manualLayout>
                      <c:w val="0.18002209762708696"/>
                      <c:h val="0.14416160985114215"/>
                    </c:manualLayout>
                  </c15:layout>
                  <c15:dlblFieldTable/>
                  <c15:showDataLabelsRange val="0"/>
                </c:ext>
                <c:ext xmlns:c16="http://schemas.microsoft.com/office/drawing/2014/chart" uri="{C3380CC4-5D6E-409C-BE32-E72D297353CC}">
                  <c16:uniqueId val="{00000002-1882-47C0-9C20-76A0642EBB7A}"/>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(Modalidad!$P$9,Modalidad!$R$9)</c:f>
              <c:strCache>
                <c:ptCount val="2"/>
                <c:pt idx="0">
                  <c:v>Monto</c:v>
                </c:pt>
                <c:pt idx="1">
                  <c:v>Monto</c:v>
                </c:pt>
              </c:strCache>
            </c:strRef>
          </c:cat>
          <c:val>
            <c:numRef>
              <c:f>(Modalidad!$P$29,Modalidad!$R$29)</c:f>
              <c:numCache>
                <c:formatCode>0.00%</c:formatCode>
                <c:ptCount val="2"/>
                <c:pt idx="0">
                  <c:v>0.99952528247258321</c:v>
                </c:pt>
                <c:pt idx="1">
                  <c:v>4.7471752741681312E-4</c:v>
                </c:pt>
              </c:numCache>
            </c:numRef>
          </c:val>
          <c:extLst>
            <c:ext xmlns:c16="http://schemas.microsoft.com/office/drawing/2014/chart" uri="{C3380CC4-5D6E-409C-BE32-E72D297353CC}">
              <c16:uniqueId val="{00000000-1882-47C0-9C20-76A0642EBB7A}"/>
            </c:ext>
          </c:extLst>
        </c:ser>
        <c:dLbls>
          <c:showLegendKey val="0"/>
          <c:showVal val="0"/>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10597950039618"/>
          <c:y val="4.2299470680314477E-2"/>
          <c:w val="0.65858516691985691"/>
          <c:h val="0.72007785017025605"/>
        </c:manualLayout>
      </c:layout>
      <c:barChart>
        <c:barDir val="col"/>
        <c:grouping val="clustered"/>
        <c:varyColors val="0"/>
        <c:ser>
          <c:idx val="0"/>
          <c:order val="0"/>
          <c:tx>
            <c:strRef>
              <c:f>Retroactivos!$D$7</c:f>
              <c:strCache>
                <c:ptCount val="1"/>
                <c:pt idx="0">
                  <c:v>Pensiones Civiles</c:v>
                </c:pt>
              </c:strCache>
            </c:strRef>
          </c:tx>
          <c:spPr>
            <a:solidFill>
              <a:schemeClr val="accent3"/>
            </a:solidFill>
            <a:ln>
              <a:noFill/>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Retroactivos!$C$10:$C$12</c:f>
              <c:strCache>
                <c:ptCount val="3"/>
                <c:pt idx="0">
                  <c:v>Marzo</c:v>
                </c:pt>
                <c:pt idx="1">
                  <c:v>Febrero </c:v>
                </c:pt>
                <c:pt idx="2">
                  <c:v>Enero</c:v>
                </c:pt>
              </c:strCache>
            </c:strRef>
          </c:cat>
          <c:val>
            <c:numRef>
              <c:f>Retroactivos!$E$10:$E$12</c:f>
              <c:numCache>
                <c:formatCode>#,##0_);\(#,##0\)</c:formatCode>
                <c:ptCount val="3"/>
                <c:pt idx="0">
                  <c:v>5</c:v>
                </c:pt>
                <c:pt idx="1">
                  <c:v>195</c:v>
                </c:pt>
                <c:pt idx="2" formatCode="General">
                  <c:v>0</c:v>
                </c:pt>
              </c:numCache>
            </c:numRef>
          </c:val>
          <c:extLst>
            <c:ext xmlns:c16="http://schemas.microsoft.com/office/drawing/2014/chart" uri="{C3380CC4-5D6E-409C-BE32-E72D297353CC}">
              <c16:uniqueId val="{00000002-6B88-4F3E-9D80-50FAAA1EC586}"/>
            </c:ext>
          </c:extLst>
        </c:ser>
        <c:ser>
          <c:idx val="1"/>
          <c:order val="1"/>
          <c:tx>
            <c:strRef>
              <c:f>Retroactivos!$J$7</c:f>
              <c:strCache>
                <c:ptCount val="1"/>
                <c:pt idx="0">
                  <c:v>PN</c:v>
                </c:pt>
              </c:strCache>
            </c:strRef>
          </c:tx>
          <c:spPr>
            <a:solidFill>
              <a:schemeClr val="bg1">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Retroactivos!$C$10:$C$12</c:f>
              <c:strCache>
                <c:ptCount val="3"/>
                <c:pt idx="0">
                  <c:v>Marzo</c:v>
                </c:pt>
                <c:pt idx="1">
                  <c:v>Febrero </c:v>
                </c:pt>
                <c:pt idx="2">
                  <c:v>Enero</c:v>
                </c:pt>
              </c:strCache>
            </c:strRef>
          </c:cat>
          <c:val>
            <c:numRef>
              <c:f>Retroactivos!$K$10:$K$12</c:f>
              <c:numCache>
                <c:formatCode>#,##0_);\(#,##0\)</c:formatCode>
                <c:ptCount val="3"/>
                <c:pt idx="0">
                  <c:v>2</c:v>
                </c:pt>
                <c:pt idx="1">
                  <c:v>53</c:v>
                </c:pt>
                <c:pt idx="2" formatCode="_(* #,##0_);_(* \(#,##0\);_(* &quot;-&quot;??_);_(@_)">
                  <c:v>0</c:v>
                </c:pt>
              </c:numCache>
            </c:numRef>
          </c:val>
          <c:extLst>
            <c:ext xmlns:c16="http://schemas.microsoft.com/office/drawing/2014/chart" uri="{C3380CC4-5D6E-409C-BE32-E72D297353CC}">
              <c16:uniqueId val="{00000005-6B88-4F3E-9D80-50FAAA1EC586}"/>
            </c:ext>
          </c:extLst>
        </c:ser>
        <c:dLbls>
          <c:showLegendKey val="0"/>
          <c:showVal val="1"/>
          <c:showCatName val="0"/>
          <c:showSerName val="0"/>
          <c:showPercent val="0"/>
          <c:showBubbleSize val="0"/>
        </c:dLbls>
        <c:gapWidth val="75"/>
        <c:axId val="1672051440"/>
        <c:axId val="1672050896"/>
      </c:barChart>
      <c:catAx>
        <c:axId val="1672051440"/>
        <c:scaling>
          <c:orientation val="minMax"/>
        </c:scaling>
        <c:delete val="0"/>
        <c:axPos val="b"/>
        <c:numFmt formatCode="General" sourceLinked="0"/>
        <c:majorTickMark val="none"/>
        <c:minorTickMark val="none"/>
        <c:tickLblPos val="nextTo"/>
        <c:crossAx val="1672050896"/>
        <c:crosses val="autoZero"/>
        <c:auto val="1"/>
        <c:lblAlgn val="ctr"/>
        <c:lblOffset val="100"/>
        <c:noMultiLvlLbl val="0"/>
      </c:catAx>
      <c:valAx>
        <c:axId val="1672050896"/>
        <c:scaling>
          <c:orientation val="minMax"/>
        </c:scaling>
        <c:delete val="0"/>
        <c:axPos val="l"/>
        <c:numFmt formatCode="#,##0_);\(#,##0\)" sourceLinked="1"/>
        <c:majorTickMark val="none"/>
        <c:minorTickMark val="none"/>
        <c:tickLblPos val="nextTo"/>
        <c:crossAx val="1672051440"/>
        <c:crosses val="autoZero"/>
        <c:crossBetween val="between"/>
      </c:valAx>
    </c:plotArea>
    <c:legend>
      <c:legendPos val="b"/>
      <c:layout>
        <c:manualLayout>
          <c:xMode val="edge"/>
          <c:yMode val="edge"/>
          <c:x val="0.24932899446490744"/>
          <c:y val="0.87879252468585134"/>
          <c:w val="0.51212458447537823"/>
          <c:h val="8.4031421083945429E-2"/>
        </c:manualLayout>
      </c:layout>
      <c:overlay val="0"/>
      <c:txPr>
        <a:bodyPr/>
        <a:lstStyle/>
        <a:p>
          <a:pPr>
            <a:defRPr sz="900"/>
          </a:pPr>
          <a:endParaRPr lang="es-ES"/>
        </a:p>
      </c:txPr>
    </c:legend>
    <c:plotVisOnly val="1"/>
    <c:dispBlanksAs val="gap"/>
    <c:showDLblsOverMax val="0"/>
  </c:chart>
  <c:spPr>
    <a:ln>
      <a:noFill/>
    </a:ln>
  </c:spPr>
  <c:printSettings>
    <c:headerFooter/>
    <c:pageMargins b="0.75" l="0.7" r="0.7" t="0.75" header="0.3" footer="0.3"/>
    <c:pageSetup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DO" sz="1100" b="1">
                <a:solidFill>
                  <a:schemeClr val="tx2">
                    <a:lumMod val="60000"/>
                    <a:lumOff val="40000"/>
                  </a:schemeClr>
                </a:solidFill>
              </a:rPr>
              <a:t>Reintegro</a:t>
            </a:r>
            <a:r>
              <a:rPr lang="es-DO" sz="1100" b="1" baseline="0">
                <a:solidFill>
                  <a:schemeClr val="tx2">
                    <a:lumMod val="60000"/>
                    <a:lumOff val="40000"/>
                  </a:schemeClr>
                </a:solidFill>
              </a:rPr>
              <a:t> de Cheques</a:t>
            </a:r>
            <a:endParaRPr lang="es-DO" sz="1100" b="1">
              <a:solidFill>
                <a:schemeClr val="tx2">
                  <a:lumMod val="60000"/>
                  <a:lumOff val="40000"/>
                </a:schemeClr>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barChart>
        <c:barDir val="col"/>
        <c:grouping val="clustered"/>
        <c:varyColors val="0"/>
        <c:ser>
          <c:idx val="0"/>
          <c:order val="0"/>
          <c:tx>
            <c:strRef>
              <c:f>Reintegros!$H$7</c:f>
              <c:strCache>
                <c:ptCount val="1"/>
                <c:pt idx="0">
                  <c:v>Cantidad 
de Cheques</c:v>
                </c:pt>
              </c:strCache>
            </c:strRef>
          </c:tx>
          <c:spPr>
            <a:solidFill>
              <a:schemeClr val="bg1">
                <a:lumMod val="65000"/>
              </a:schemeClr>
            </a:solidFill>
            <a:ln>
              <a:noFill/>
            </a:ln>
            <a:effectLst/>
          </c:spPr>
          <c:invertIfNegative val="0"/>
          <c:cat>
            <c:strRef>
              <c:f>Reintegros!$A$8:$A$10</c:f>
              <c:strCache>
                <c:ptCount val="3"/>
                <c:pt idx="0">
                  <c:v>Abril</c:v>
                </c:pt>
                <c:pt idx="1">
                  <c:v>Mayo</c:v>
                </c:pt>
                <c:pt idx="2">
                  <c:v>Junio</c:v>
                </c:pt>
              </c:strCache>
            </c:strRef>
          </c:cat>
          <c:val>
            <c:numRef>
              <c:f>Reintegros!$H$8:$H$10</c:f>
              <c:numCache>
                <c:formatCode>_(* #,##0_);_(* \(#,##0\);_(* "-"??_);_(@_)</c:formatCode>
                <c:ptCount val="3"/>
                <c:pt idx="0">
                  <c:v>0</c:v>
                </c:pt>
                <c:pt idx="1">
                  <c:v>80</c:v>
                </c:pt>
                <c:pt idx="2">
                  <c:v>2996</c:v>
                </c:pt>
              </c:numCache>
            </c:numRef>
          </c:val>
          <c:extLst>
            <c:ext xmlns:c16="http://schemas.microsoft.com/office/drawing/2014/chart" uri="{C3380CC4-5D6E-409C-BE32-E72D297353CC}">
              <c16:uniqueId val="{00000000-8DE3-4894-8909-6FB7CBDC635F}"/>
            </c:ext>
          </c:extLst>
        </c:ser>
        <c:ser>
          <c:idx val="1"/>
          <c:order val="1"/>
          <c:tx>
            <c:strRef>
              <c:f>Reintegros!$I$7</c:f>
              <c:strCache>
                <c:ptCount val="1"/>
                <c:pt idx="0">
                  <c:v>Monto</c:v>
                </c:pt>
              </c:strCache>
            </c:strRef>
          </c:tx>
          <c:spPr>
            <a:solidFill>
              <a:schemeClr val="accent3"/>
            </a:solidFill>
            <a:ln>
              <a:noFill/>
            </a:ln>
            <a:effectLst/>
          </c:spPr>
          <c:invertIfNegative val="0"/>
          <c:cat>
            <c:strRef>
              <c:f>Reintegros!$A$8:$A$10</c:f>
              <c:strCache>
                <c:ptCount val="3"/>
                <c:pt idx="0">
                  <c:v>Abril</c:v>
                </c:pt>
                <c:pt idx="1">
                  <c:v>Mayo</c:v>
                </c:pt>
                <c:pt idx="2">
                  <c:v>Junio</c:v>
                </c:pt>
              </c:strCache>
            </c:strRef>
          </c:cat>
          <c:val>
            <c:numRef>
              <c:f>Reintegros!$I$8:$I$10</c:f>
              <c:numCache>
                <c:formatCode>_(* #,##0.00_);_(* \(#,##0.00\);_(* "-"??_);_(@_)</c:formatCode>
                <c:ptCount val="3"/>
                <c:pt idx="0">
                  <c:v>0</c:v>
                </c:pt>
                <c:pt idx="1">
                  <c:v>797212.89</c:v>
                </c:pt>
                <c:pt idx="2" formatCode="_(* #,##0_);_(* \(#,##0\);_(* &quot;-&quot;??_);_(@_)">
                  <c:v>20744930.620000001</c:v>
                </c:pt>
              </c:numCache>
            </c:numRef>
          </c:val>
          <c:extLst>
            <c:ext xmlns:c16="http://schemas.microsoft.com/office/drawing/2014/chart" uri="{C3380CC4-5D6E-409C-BE32-E72D297353CC}">
              <c16:uniqueId val="{00000001-8DE3-4894-8909-6FB7CBDC635F}"/>
            </c:ext>
          </c:extLst>
        </c:ser>
        <c:dLbls>
          <c:showLegendKey val="0"/>
          <c:showVal val="0"/>
          <c:showCatName val="0"/>
          <c:showSerName val="0"/>
          <c:showPercent val="0"/>
          <c:showBubbleSize val="0"/>
        </c:dLbls>
        <c:gapWidth val="219"/>
        <c:overlap val="-27"/>
        <c:axId val="1672047088"/>
        <c:axId val="1672050352"/>
      </c:barChart>
      <c:catAx>
        <c:axId val="1672047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2050352"/>
        <c:crosses val="autoZero"/>
        <c:auto val="1"/>
        <c:lblAlgn val="ctr"/>
        <c:lblOffset val="100"/>
        <c:noMultiLvlLbl val="0"/>
      </c:catAx>
      <c:valAx>
        <c:axId val="1672050352"/>
        <c:scaling>
          <c:orientation val="minMax"/>
        </c:scaling>
        <c:delete val="0"/>
        <c:axPos val="l"/>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2047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DO" sz="1100" b="1">
                <a:solidFill>
                  <a:schemeClr val="tx2">
                    <a:lumMod val="60000"/>
                    <a:lumOff val="40000"/>
                  </a:schemeClr>
                </a:solidFill>
              </a:rPr>
              <a:t>Créditos</a:t>
            </a:r>
            <a:r>
              <a:rPr lang="es-DO" sz="1100" b="1" baseline="0">
                <a:solidFill>
                  <a:schemeClr val="tx2">
                    <a:lumMod val="60000"/>
                    <a:lumOff val="40000"/>
                  </a:schemeClr>
                </a:solidFill>
              </a:rPr>
              <a:t> Rechazados</a:t>
            </a:r>
            <a:endParaRPr lang="es-DO" sz="1100" b="1">
              <a:solidFill>
                <a:schemeClr val="tx2">
                  <a:lumMod val="60000"/>
                  <a:lumOff val="40000"/>
                </a:schemeClr>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barChart>
        <c:barDir val="col"/>
        <c:grouping val="clustered"/>
        <c:varyColors val="0"/>
        <c:ser>
          <c:idx val="0"/>
          <c:order val="0"/>
          <c:tx>
            <c:strRef>
              <c:f>'Créditos Rechazados'!$H$7</c:f>
              <c:strCache>
                <c:ptCount val="1"/>
                <c:pt idx="0">
                  <c:v>Cantidad 
</c:v>
                </c:pt>
              </c:strCache>
            </c:strRef>
          </c:tx>
          <c:spPr>
            <a:solidFill>
              <a:schemeClr val="bg1">
                <a:lumMod val="75000"/>
              </a:schemeClr>
            </a:solidFill>
            <a:ln>
              <a:solidFill>
                <a:schemeClr val="accent3">
                  <a:lumMod val="60000"/>
                  <a:lumOff val="40000"/>
                </a:schemeClr>
              </a:solidFill>
            </a:ln>
            <a:effectLst/>
          </c:spPr>
          <c:invertIfNegative val="0"/>
          <c:cat>
            <c:strRef>
              <c:f>'Créditos Rechazados'!$A$8:$A$10</c:f>
              <c:strCache>
                <c:ptCount val="3"/>
                <c:pt idx="0">
                  <c:v>Abril</c:v>
                </c:pt>
                <c:pt idx="1">
                  <c:v>Mayo</c:v>
                </c:pt>
                <c:pt idx="2">
                  <c:v>Junio</c:v>
                </c:pt>
              </c:strCache>
            </c:strRef>
          </c:cat>
          <c:val>
            <c:numRef>
              <c:f>'Créditos Rechazados'!$H$8:$H$10</c:f>
              <c:numCache>
                <c:formatCode>_(* #,##0_);_(* \(#,##0\);_(* "-"??_);_(@_)</c:formatCode>
                <c:ptCount val="3"/>
                <c:pt idx="0">
                  <c:v>0</c:v>
                </c:pt>
                <c:pt idx="1">
                  <c:v>40</c:v>
                </c:pt>
                <c:pt idx="2">
                  <c:v>142</c:v>
                </c:pt>
              </c:numCache>
            </c:numRef>
          </c:val>
          <c:extLst>
            <c:ext xmlns:c16="http://schemas.microsoft.com/office/drawing/2014/chart" uri="{C3380CC4-5D6E-409C-BE32-E72D297353CC}">
              <c16:uniqueId val="{00000000-1AA9-4FB4-B4A2-1D086BEA9BB5}"/>
            </c:ext>
          </c:extLst>
        </c:ser>
        <c:ser>
          <c:idx val="1"/>
          <c:order val="1"/>
          <c:tx>
            <c:strRef>
              <c:f>'Créditos Rechazados'!$I$7</c:f>
              <c:strCache>
                <c:ptCount val="1"/>
                <c:pt idx="0">
                  <c:v>Monto</c:v>
                </c:pt>
              </c:strCache>
            </c:strRef>
          </c:tx>
          <c:spPr>
            <a:solidFill>
              <a:schemeClr val="accent3"/>
            </a:solidFill>
            <a:ln>
              <a:noFill/>
            </a:ln>
            <a:effectLst/>
          </c:spPr>
          <c:invertIfNegative val="0"/>
          <c:cat>
            <c:strRef>
              <c:f>'Créditos Rechazados'!$A$8:$A$10</c:f>
              <c:strCache>
                <c:ptCount val="3"/>
                <c:pt idx="0">
                  <c:v>Abril</c:v>
                </c:pt>
                <c:pt idx="1">
                  <c:v>Mayo</c:v>
                </c:pt>
                <c:pt idx="2">
                  <c:v>Junio</c:v>
                </c:pt>
              </c:strCache>
            </c:strRef>
          </c:cat>
          <c:val>
            <c:numRef>
              <c:f>'Créditos Rechazados'!$I$8:$I$10</c:f>
              <c:numCache>
                <c:formatCode>_(* #,##0.00_);_(* \(#,##0.00\);_(* "-"??_);_(@_)</c:formatCode>
                <c:ptCount val="3"/>
                <c:pt idx="0">
                  <c:v>0</c:v>
                </c:pt>
                <c:pt idx="1">
                  <c:v>414032.22</c:v>
                </c:pt>
                <c:pt idx="2" formatCode="_(* #,##0_);_(* \(#,##0\);_(* &quot;-&quot;??_);_(@_)">
                  <c:v>1591442.78</c:v>
                </c:pt>
              </c:numCache>
            </c:numRef>
          </c:val>
          <c:extLst>
            <c:ext xmlns:c16="http://schemas.microsoft.com/office/drawing/2014/chart" uri="{C3380CC4-5D6E-409C-BE32-E72D297353CC}">
              <c16:uniqueId val="{00000001-1AA9-4FB4-B4A2-1D086BEA9BB5}"/>
            </c:ext>
          </c:extLst>
        </c:ser>
        <c:dLbls>
          <c:showLegendKey val="0"/>
          <c:showVal val="0"/>
          <c:showCatName val="0"/>
          <c:showSerName val="0"/>
          <c:showPercent val="0"/>
          <c:showBubbleSize val="0"/>
        </c:dLbls>
        <c:gapWidth val="219"/>
        <c:overlap val="-27"/>
        <c:axId val="1672047632"/>
        <c:axId val="1672049264"/>
      </c:barChart>
      <c:catAx>
        <c:axId val="1672047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2049264"/>
        <c:crosses val="autoZero"/>
        <c:auto val="1"/>
        <c:lblAlgn val="ctr"/>
        <c:lblOffset val="100"/>
        <c:noMultiLvlLbl val="0"/>
      </c:catAx>
      <c:valAx>
        <c:axId val="1672049264"/>
        <c:scaling>
          <c:orientation val="minMax"/>
        </c:scaling>
        <c:delete val="0"/>
        <c:axPos val="l"/>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16720476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816805319017807"/>
          <c:y val="0.1147686611742301"/>
          <c:w val="0.71680195964278259"/>
          <c:h val="0.69625725323778975"/>
        </c:manualLayout>
      </c:layout>
      <c:barChart>
        <c:barDir val="col"/>
        <c:grouping val="clustered"/>
        <c:varyColors val="0"/>
        <c:ser>
          <c:idx val="0"/>
          <c:order val="0"/>
          <c:tx>
            <c:strRef>
              <c:f>'Recuperación Fondos'!$D$7</c:f>
              <c:strCache>
                <c:ptCount val="1"/>
                <c:pt idx="0">
                  <c:v>Monto 
Solicitado</c:v>
                </c:pt>
              </c:strCache>
            </c:strRef>
          </c:tx>
          <c:spPr>
            <a:solidFill>
              <a:schemeClr val="bg1">
                <a:lumMod val="75000"/>
              </a:schemeClr>
            </a:solidFill>
            <a:ln>
              <a:solidFill>
                <a:schemeClr val="bg1">
                  <a:lumMod val="75000"/>
                </a:schemeClr>
              </a:solidFill>
            </a:ln>
          </c:spPr>
          <c:invertIfNegative val="0"/>
          <c:dLbls>
            <c:dLbl>
              <c:idx val="1"/>
              <c:layout>
                <c:manualLayout>
                  <c:x val="1.9182306332050394E-2"/>
                  <c:y val="-4.014939585169238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953-4937-ACFC-AC9F032F728F}"/>
                </c:ext>
              </c:extLst>
            </c:dLbl>
            <c:dLbl>
              <c:idx val="2"/>
              <c:layout>
                <c:manualLayout>
                  <c:x val="1.1568720852990166E-2"/>
                  <c:y val="-2.00406905565971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80E-4AAE-A1A5-DCAEA2966225}"/>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'Recuperación Fondos'!$B$8:$B$10</c:f>
              <c:strCache>
                <c:ptCount val="3"/>
                <c:pt idx="0">
                  <c:v>Marzo</c:v>
                </c:pt>
                <c:pt idx="1">
                  <c:v>Febrero</c:v>
                </c:pt>
                <c:pt idx="2">
                  <c:v>Enero</c:v>
                </c:pt>
              </c:strCache>
            </c:strRef>
          </c:cat>
          <c:val>
            <c:numRef>
              <c:f>'Recuperación Fondos'!$D$8:$D$10</c:f>
              <c:numCache>
                <c:formatCode>#,##0.00_);[Red]\(#,##0.00\)</c:formatCode>
                <c:ptCount val="3"/>
                <c:pt idx="0">
                  <c:v>5598631.419999999</c:v>
                </c:pt>
                <c:pt idx="1">
                  <c:v>9473249.959999999</c:v>
                </c:pt>
                <c:pt idx="2">
                  <c:v>4685870.3</c:v>
                </c:pt>
              </c:numCache>
            </c:numRef>
          </c:val>
          <c:extLst>
            <c:ext xmlns:c16="http://schemas.microsoft.com/office/drawing/2014/chart" uri="{C3380CC4-5D6E-409C-BE32-E72D297353CC}">
              <c16:uniqueId val="{00000003-F953-4937-ACFC-AC9F032F728F}"/>
            </c:ext>
          </c:extLst>
        </c:ser>
        <c:ser>
          <c:idx val="1"/>
          <c:order val="1"/>
          <c:tx>
            <c:strRef>
              <c:f>'Recuperación Fondos'!$G$7</c:f>
              <c:strCache>
                <c:ptCount val="1"/>
                <c:pt idx="0">
                  <c:v>Total 
Recuperado</c:v>
                </c:pt>
              </c:strCache>
            </c:strRef>
          </c:tx>
          <c:spPr>
            <a:solidFill>
              <a:schemeClr val="accent3">
                <a:lumMod val="60000"/>
                <a:lumOff val="40000"/>
              </a:schemeClr>
            </a:solidFill>
            <a:ln>
              <a:solidFill>
                <a:schemeClr val="accent3">
                  <a:lumMod val="60000"/>
                  <a:lumOff val="40000"/>
                </a:schemeClr>
              </a:solidFill>
            </a:ln>
          </c:spPr>
          <c:invertIfNegative val="0"/>
          <c:dLbls>
            <c:dLbl>
              <c:idx val="0"/>
              <c:layout>
                <c:manualLayout>
                  <c:x val="1.4354024410601823E-2"/>
                  <c:y val="1.2011107102512995E-2"/>
                </c:manualLayout>
              </c:layout>
              <c:spPr>
                <a:noFill/>
                <a:ln>
                  <a:noFill/>
                </a:ln>
                <a:effectLst/>
              </c:spPr>
              <c:txPr>
                <a:bodyPr wrap="square" lIns="38100" tIns="19050" rIns="38100" bIns="19050" anchor="ctr">
                  <a:noAutofit/>
                </a:bodyPr>
                <a:lstStyle/>
                <a:p>
                  <a:pPr>
                    <a:defRPr/>
                  </a:pPr>
                  <a:endParaRPr lang="es-ES"/>
                </a:p>
              </c:txPr>
              <c:showLegendKey val="0"/>
              <c:showVal val="1"/>
              <c:showCatName val="0"/>
              <c:showSerName val="0"/>
              <c:showPercent val="0"/>
              <c:showBubbleSize val="0"/>
              <c:extLst>
                <c:ext xmlns:c15="http://schemas.microsoft.com/office/drawing/2012/chart" uri="{CE6537A1-D6FC-4f65-9D91-7224C49458BB}">
                  <c15:layout>
                    <c:manualLayout>
                      <c:w val="0.13107200811714922"/>
                      <c:h val="4.5837202287660944E-2"/>
                    </c:manualLayout>
                  </c15:layout>
                </c:ext>
                <c:ext xmlns:c16="http://schemas.microsoft.com/office/drawing/2014/chart" uri="{C3380CC4-5D6E-409C-BE32-E72D297353CC}">
                  <c16:uniqueId val="{00000004-F953-4937-ACFC-AC9F032F728F}"/>
                </c:ext>
              </c:extLst>
            </c:dLbl>
            <c:dLbl>
              <c:idx val="1"/>
              <c:layout>
                <c:manualLayout>
                  <c:x val="4.004152379754003E-3"/>
                  <c:y val="1.85186389955110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953-4937-ACFC-AC9F032F728F}"/>
                </c:ext>
              </c:extLst>
            </c:dLbl>
            <c:dLbl>
              <c:idx val="2"/>
              <c:layout>
                <c:manualLayout>
                  <c:x val="-1.598692580187087E-3"/>
                  <c:y val="2.3407715828508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953-4937-ACFC-AC9F032F728F}"/>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'Recuperación Fondos'!$B$8:$B$10</c:f>
              <c:strCache>
                <c:ptCount val="3"/>
                <c:pt idx="0">
                  <c:v>Marzo</c:v>
                </c:pt>
                <c:pt idx="1">
                  <c:v>Febrero</c:v>
                </c:pt>
                <c:pt idx="2">
                  <c:v>Enero</c:v>
                </c:pt>
              </c:strCache>
            </c:strRef>
          </c:cat>
          <c:val>
            <c:numRef>
              <c:f>'Recuperación Fondos'!$G$8:$G$10</c:f>
              <c:numCache>
                <c:formatCode>#,##0.00_);[Red]\(#,##0.00\)</c:formatCode>
                <c:ptCount val="3"/>
                <c:pt idx="0" formatCode="_(* #,##0.00_);_(* \(#,##0.00\);_(* &quot;-&quot;??_);_(@_)">
                  <c:v>2772187.1199999992</c:v>
                </c:pt>
                <c:pt idx="1">
                  <c:v>1090163.1000000001</c:v>
                </c:pt>
                <c:pt idx="2" formatCode="_(* #,##0_);_(* \(#,##0\);_(* &quot;-&quot;??_);_(@_)">
                  <c:v>0</c:v>
                </c:pt>
              </c:numCache>
            </c:numRef>
          </c:val>
          <c:extLst>
            <c:ext xmlns:c16="http://schemas.microsoft.com/office/drawing/2014/chart" uri="{C3380CC4-5D6E-409C-BE32-E72D297353CC}">
              <c16:uniqueId val="{00000007-F953-4937-ACFC-AC9F032F728F}"/>
            </c:ext>
          </c:extLst>
        </c:ser>
        <c:dLbls>
          <c:showLegendKey val="0"/>
          <c:showVal val="1"/>
          <c:showCatName val="0"/>
          <c:showSerName val="0"/>
          <c:showPercent val="0"/>
          <c:showBubbleSize val="0"/>
        </c:dLbls>
        <c:gapWidth val="75"/>
        <c:axId val="1672048720"/>
        <c:axId val="1672045456"/>
      </c:barChart>
      <c:lineChart>
        <c:grouping val="standard"/>
        <c:varyColors val="0"/>
        <c:ser>
          <c:idx val="2"/>
          <c:order val="2"/>
          <c:tx>
            <c:strRef>
              <c:f>'Recuperación Fondos'!$H$7</c:f>
              <c:strCache>
                <c:ptCount val="1"/>
                <c:pt idx="0">
                  <c:v>% Recuperado</c:v>
                </c:pt>
              </c:strCache>
            </c:strRef>
          </c:tx>
          <c:spPr>
            <a:ln>
              <a:solidFill>
                <a:schemeClr val="tx2">
                  <a:lumMod val="60000"/>
                  <a:lumOff val="40000"/>
                </a:schemeClr>
              </a:solidFill>
            </a:ln>
          </c:spPr>
          <c:marker>
            <c:spPr>
              <a:solidFill>
                <a:schemeClr val="tx2">
                  <a:lumMod val="60000"/>
                  <a:lumOff val="40000"/>
                </a:schemeClr>
              </a:solidFill>
              <a:ln>
                <a:solidFill>
                  <a:schemeClr val="tx2">
                    <a:lumMod val="60000"/>
                    <a:lumOff val="40000"/>
                  </a:schemeClr>
                </a:solidFill>
              </a:ln>
            </c:spPr>
          </c:marker>
          <c:dLbls>
            <c:dLbl>
              <c:idx val="0"/>
              <c:layout>
                <c:manualLayout>
                  <c:x val="-9.6445290055332478E-2"/>
                  <c:y val="-1.2755424914685863E-2"/>
                </c:manualLayout>
              </c:layout>
              <c:spPr>
                <a:noFill/>
                <a:ln>
                  <a:noFill/>
                </a:ln>
                <a:effectLst/>
              </c:spPr>
              <c:txPr>
                <a:bodyPr wrap="square" lIns="38100" tIns="19050" rIns="38100" bIns="19050" anchor="ctr">
                  <a:noAutofit/>
                </a:bodyPr>
                <a:lstStyle/>
                <a:p>
                  <a:pPr>
                    <a:defRPr sz="800" b="1"/>
                  </a:pPr>
                  <a:endParaRPr lang="es-ES"/>
                </a:p>
              </c:txPr>
              <c:showLegendKey val="0"/>
              <c:showVal val="1"/>
              <c:showCatName val="0"/>
              <c:showSerName val="0"/>
              <c:showPercent val="0"/>
              <c:showBubbleSize val="0"/>
              <c:extLst>
                <c:ext xmlns:c15="http://schemas.microsoft.com/office/drawing/2012/chart" uri="{CE6537A1-D6FC-4f65-9D91-7224C49458BB}">
                  <c15:layout>
                    <c:manualLayout>
                      <c:w val="0.1051238097194996"/>
                      <c:h val="7.4435921244847145E-2"/>
                    </c:manualLayout>
                  </c15:layout>
                </c:ext>
                <c:ext xmlns:c16="http://schemas.microsoft.com/office/drawing/2014/chart" uri="{C3380CC4-5D6E-409C-BE32-E72D297353CC}">
                  <c16:uniqueId val="{00000008-F953-4937-ACFC-AC9F032F728F}"/>
                </c:ext>
              </c:extLst>
            </c:dLbl>
            <c:dLbl>
              <c:idx val="1"/>
              <c:layout>
                <c:manualLayout>
                  <c:x val="-8.0756784548152889E-3"/>
                  <c:y val="-1.7063862882287256E-2"/>
                </c:manualLayout>
              </c:layout>
              <c:spPr>
                <a:noFill/>
                <a:ln>
                  <a:noFill/>
                </a:ln>
                <a:effectLst/>
              </c:spPr>
              <c:txPr>
                <a:bodyPr wrap="square" lIns="38100" tIns="19050" rIns="38100" bIns="19050" anchor="ctr">
                  <a:noAutofit/>
                </a:bodyPr>
                <a:lstStyle/>
                <a:p>
                  <a:pPr>
                    <a:defRPr sz="800" b="1"/>
                  </a:pPr>
                  <a:endParaRPr lang="es-ES"/>
                </a:p>
              </c:txPr>
              <c:showLegendKey val="0"/>
              <c:showVal val="1"/>
              <c:showCatName val="0"/>
              <c:showSerName val="0"/>
              <c:showPercent val="0"/>
              <c:showBubbleSize val="0"/>
              <c:extLst>
                <c:ext xmlns:c15="http://schemas.microsoft.com/office/drawing/2012/chart" uri="{CE6537A1-D6FC-4f65-9D91-7224C49458BB}">
                  <c15:layout>
                    <c:manualLayout>
                      <c:w val="0.10912780795442271"/>
                      <c:h val="6.3169131954507005E-2"/>
                    </c:manualLayout>
                  </c15:layout>
                </c:ext>
                <c:ext xmlns:c16="http://schemas.microsoft.com/office/drawing/2014/chart" uri="{C3380CC4-5D6E-409C-BE32-E72D297353CC}">
                  <c16:uniqueId val="{00000009-F953-4937-ACFC-AC9F032F728F}"/>
                </c:ext>
              </c:extLst>
            </c:dLbl>
            <c:dLbl>
              <c:idx val="2"/>
              <c:layout>
                <c:manualLayout>
                  <c:x val="-1.9030230582906038E-2"/>
                  <c:y val="-4.24450411341311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953-4937-ACFC-AC9F032F728F}"/>
                </c:ext>
              </c:extLst>
            </c:dLbl>
            <c:spPr>
              <a:noFill/>
              <a:ln>
                <a:noFill/>
              </a:ln>
              <a:effectLst/>
            </c:spPr>
            <c:txPr>
              <a:bodyPr wrap="square" lIns="38100" tIns="19050" rIns="38100" bIns="19050" anchor="ctr">
                <a:spAutoFit/>
              </a:bodyPr>
              <a:lstStyle/>
              <a:p>
                <a:pPr>
                  <a:defRPr sz="800"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'Recuperación Fondos'!$B$8:$B$10</c:f>
              <c:strCache>
                <c:ptCount val="3"/>
                <c:pt idx="0">
                  <c:v>Marzo</c:v>
                </c:pt>
                <c:pt idx="1">
                  <c:v>Febrero</c:v>
                </c:pt>
                <c:pt idx="2">
                  <c:v>Enero</c:v>
                </c:pt>
              </c:strCache>
            </c:strRef>
          </c:cat>
          <c:val>
            <c:numRef>
              <c:f>'Recuperación Fondos'!$H$8:$H$10</c:f>
              <c:numCache>
                <c:formatCode>0.00%</c:formatCode>
                <c:ptCount val="3"/>
                <c:pt idx="0">
                  <c:v>0.49515442472189025</c:v>
                </c:pt>
                <c:pt idx="1">
                  <c:v>0.11507804656301925</c:v>
                </c:pt>
                <c:pt idx="2">
                  <c:v>0</c:v>
                </c:pt>
              </c:numCache>
            </c:numRef>
          </c:val>
          <c:smooth val="0"/>
          <c:extLst>
            <c:ext xmlns:c16="http://schemas.microsoft.com/office/drawing/2014/chart" uri="{C3380CC4-5D6E-409C-BE32-E72D297353CC}">
              <c16:uniqueId val="{0000000B-F953-4937-ACFC-AC9F032F728F}"/>
            </c:ext>
          </c:extLst>
        </c:ser>
        <c:dLbls>
          <c:showLegendKey val="0"/>
          <c:showVal val="1"/>
          <c:showCatName val="0"/>
          <c:showSerName val="0"/>
          <c:showPercent val="0"/>
          <c:showBubbleSize val="0"/>
        </c:dLbls>
        <c:marker val="1"/>
        <c:smooth val="0"/>
        <c:axId val="1672048176"/>
        <c:axId val="1672052528"/>
      </c:lineChart>
      <c:valAx>
        <c:axId val="1672052528"/>
        <c:scaling>
          <c:orientation val="minMax"/>
        </c:scaling>
        <c:delete val="0"/>
        <c:axPos val="r"/>
        <c:numFmt formatCode="0.00%" sourceLinked="1"/>
        <c:majorTickMark val="none"/>
        <c:minorTickMark val="none"/>
        <c:tickLblPos val="nextTo"/>
        <c:crossAx val="1672048176"/>
        <c:crosses val="max"/>
        <c:crossBetween val="between"/>
      </c:valAx>
      <c:catAx>
        <c:axId val="1672048176"/>
        <c:scaling>
          <c:orientation val="minMax"/>
        </c:scaling>
        <c:delete val="0"/>
        <c:axPos val="b"/>
        <c:numFmt formatCode="General" sourceLinked="0"/>
        <c:majorTickMark val="none"/>
        <c:minorTickMark val="none"/>
        <c:tickLblPos val="nextTo"/>
        <c:crossAx val="1672052528"/>
        <c:crosses val="autoZero"/>
        <c:auto val="1"/>
        <c:lblAlgn val="ctr"/>
        <c:lblOffset val="100"/>
        <c:noMultiLvlLbl val="0"/>
      </c:catAx>
      <c:valAx>
        <c:axId val="1672045456"/>
        <c:scaling>
          <c:orientation val="minMax"/>
          <c:max val="6000000"/>
          <c:min val="0"/>
        </c:scaling>
        <c:delete val="0"/>
        <c:axPos val="l"/>
        <c:numFmt formatCode="#,##0.00_);[Red]\(#,##0.00\)" sourceLinked="1"/>
        <c:majorTickMark val="out"/>
        <c:minorTickMark val="none"/>
        <c:tickLblPos val="nextTo"/>
        <c:crossAx val="1672048720"/>
        <c:crosses val="autoZero"/>
        <c:crossBetween val="between"/>
        <c:majorUnit val="500000"/>
      </c:valAx>
      <c:catAx>
        <c:axId val="1672048720"/>
        <c:scaling>
          <c:orientation val="minMax"/>
        </c:scaling>
        <c:delete val="1"/>
        <c:axPos val="b"/>
        <c:numFmt formatCode="General" sourceLinked="1"/>
        <c:majorTickMark val="out"/>
        <c:minorTickMark val="none"/>
        <c:tickLblPos val="nextTo"/>
        <c:crossAx val="1672045456"/>
        <c:crosses val="autoZero"/>
        <c:auto val="1"/>
        <c:lblAlgn val="ctr"/>
        <c:lblOffset val="100"/>
        <c:noMultiLvlLbl val="0"/>
      </c:catAx>
    </c:plotArea>
    <c:legend>
      <c:legendPos val="b"/>
      <c:overlay val="0"/>
      <c:txPr>
        <a:bodyPr/>
        <a:lstStyle/>
        <a:p>
          <a:pPr>
            <a:defRPr sz="800" baseline="0"/>
          </a:pPr>
          <a:endParaRPr lang="es-ES"/>
        </a:p>
      </c:txPr>
    </c:legend>
    <c:plotVisOnly val="1"/>
    <c:dispBlanksAs val="gap"/>
    <c:showDLblsOverMax val="0"/>
  </c:chart>
  <c:spPr>
    <a:ln>
      <a:noFill/>
    </a:ln>
  </c:spPr>
  <c:printSettings>
    <c:headerFooter/>
    <c:pageMargins b="0.75" l="0.7" r="0.7" t="0.75" header="0.3" footer="0.3"/>
    <c:pageSetup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1"/>
          <c:order val="0"/>
          <c:tx>
            <c:strRef>
              <c:f>Servicios!$L$11</c:f>
              <c:strCache>
                <c:ptCount val="1"/>
                <c:pt idx="0">
                  <c:v>Recibidas</c:v>
                </c:pt>
              </c:strCache>
            </c:strRef>
          </c:tx>
          <c:spPr>
            <a:solidFill>
              <a:schemeClr val="bg1">
                <a:lumMod val="65000"/>
              </a:schemeClr>
            </a:solidFill>
            <a:ln>
              <a:solidFill>
                <a:schemeClr val="bg1">
                  <a:lumMod val="65000"/>
                </a:schemeClr>
              </a:solidFill>
            </a:ln>
          </c:spPr>
          <c:invertIfNegative val="0"/>
          <c:cat>
            <c:strRef>
              <c:f>Servicios!$B$12:$B$24</c:f>
              <c:strCache>
                <c:ptCount val="13"/>
                <c:pt idx="0">
                  <c:v>Modificación Datos Críticos</c:v>
                </c:pt>
                <c:pt idx="1">
                  <c:v>Pensión por sobrevivencia</c:v>
                </c:pt>
                <c:pt idx="2">
                  <c:v>Registro de Poderes</c:v>
                </c:pt>
                <c:pt idx="3">
                  <c:v>Solicitud Aplicación/Suspensión de Descuento 2%</c:v>
                </c:pt>
                <c:pt idx="4">
                  <c:v>Solicitud de actualización de datos  Pensionados</c:v>
                </c:pt>
                <c:pt idx="5">
                  <c:v>Solicitud de Exclusión</c:v>
                </c:pt>
                <c:pt idx="6">
                  <c:v>Solicitud de Inclusión a Nómina</c:v>
                </c:pt>
                <c:pt idx="7">
                  <c:v>Solicitud de Reajuste de Pensión</c:v>
                </c:pt>
                <c:pt idx="8">
                  <c:v>Solicitud de Reclamación de Deuda</c:v>
                </c:pt>
                <c:pt idx="9">
                  <c:v>Solicitud Pago Único Compensatorio</c:v>
                </c:pt>
                <c:pt idx="10">
                  <c:v>Solicitud Pensión</c:v>
                </c:pt>
                <c:pt idx="11">
                  <c:v>Solicitud Re-activación/Re-inclusión Pensión</c:v>
                </c:pt>
                <c:pt idx="12">
                  <c:v>Solicitud Traspaso</c:v>
                </c:pt>
              </c:strCache>
            </c:strRef>
          </c:cat>
          <c:val>
            <c:numRef>
              <c:f>Servicios!$L$12:$L$24</c:f>
              <c:numCache>
                <c:formatCode>#,##0</c:formatCode>
                <c:ptCount val="13"/>
                <c:pt idx="0">
                  <c:v>11</c:v>
                </c:pt>
                <c:pt idx="1">
                  <c:v>499</c:v>
                </c:pt>
                <c:pt idx="2">
                  <c:v>133</c:v>
                </c:pt>
                <c:pt idx="3">
                  <c:v>848</c:v>
                </c:pt>
                <c:pt idx="4">
                  <c:v>19116</c:v>
                </c:pt>
                <c:pt idx="5">
                  <c:v>917</c:v>
                </c:pt>
                <c:pt idx="6">
                  <c:v>9201</c:v>
                </c:pt>
                <c:pt idx="7">
                  <c:v>23</c:v>
                </c:pt>
                <c:pt idx="8">
                  <c:v>330</c:v>
                </c:pt>
                <c:pt idx="9">
                  <c:v>104</c:v>
                </c:pt>
                <c:pt idx="10">
                  <c:v>743</c:v>
                </c:pt>
                <c:pt idx="11">
                  <c:v>192</c:v>
                </c:pt>
                <c:pt idx="12">
                  <c:v>26</c:v>
                </c:pt>
              </c:numCache>
            </c:numRef>
          </c:val>
          <c:extLst>
            <c:ext xmlns:c16="http://schemas.microsoft.com/office/drawing/2014/chart" uri="{C3380CC4-5D6E-409C-BE32-E72D297353CC}">
              <c16:uniqueId val="{00000000-61FA-48FA-A5EB-959BE9802144}"/>
            </c:ext>
          </c:extLst>
        </c:ser>
        <c:ser>
          <c:idx val="22"/>
          <c:order val="1"/>
          <c:tx>
            <c:strRef>
              <c:f>Servicios!$M$11</c:f>
              <c:strCache>
                <c:ptCount val="1"/>
                <c:pt idx="0">
                  <c:v>Procesadas</c:v>
                </c:pt>
              </c:strCache>
            </c:strRef>
          </c:tx>
          <c:spPr>
            <a:solidFill>
              <a:schemeClr val="accent3">
                <a:lumMod val="60000"/>
                <a:lumOff val="40000"/>
              </a:schemeClr>
            </a:solidFill>
            <a:ln>
              <a:solidFill>
                <a:schemeClr val="accent3">
                  <a:lumMod val="60000"/>
                  <a:lumOff val="40000"/>
                </a:schemeClr>
              </a:solidFill>
            </a:ln>
          </c:spPr>
          <c:invertIfNegative val="0"/>
          <c:cat>
            <c:strRef>
              <c:f>Servicios!$B$12:$B$24</c:f>
              <c:strCache>
                <c:ptCount val="13"/>
                <c:pt idx="0">
                  <c:v>Modificación Datos Críticos</c:v>
                </c:pt>
                <c:pt idx="1">
                  <c:v>Pensión por sobrevivencia</c:v>
                </c:pt>
                <c:pt idx="2">
                  <c:v>Registro de Poderes</c:v>
                </c:pt>
                <c:pt idx="3">
                  <c:v>Solicitud Aplicación/Suspensión de Descuento 2%</c:v>
                </c:pt>
                <c:pt idx="4">
                  <c:v>Solicitud de actualización de datos  Pensionados</c:v>
                </c:pt>
                <c:pt idx="5">
                  <c:v>Solicitud de Exclusión</c:v>
                </c:pt>
                <c:pt idx="6">
                  <c:v>Solicitud de Inclusión a Nómina</c:v>
                </c:pt>
                <c:pt idx="7">
                  <c:v>Solicitud de Reajuste de Pensión</c:v>
                </c:pt>
                <c:pt idx="8">
                  <c:v>Solicitud de Reclamación de Deuda</c:v>
                </c:pt>
                <c:pt idx="9">
                  <c:v>Solicitud Pago Único Compensatorio</c:v>
                </c:pt>
                <c:pt idx="10">
                  <c:v>Solicitud Pensión</c:v>
                </c:pt>
                <c:pt idx="11">
                  <c:v>Solicitud Re-activación/Re-inclusión Pensión</c:v>
                </c:pt>
                <c:pt idx="12">
                  <c:v>Solicitud Traspaso</c:v>
                </c:pt>
              </c:strCache>
            </c:strRef>
          </c:cat>
          <c:val>
            <c:numRef>
              <c:f>Servicios!$M$12:$M$24</c:f>
              <c:numCache>
                <c:formatCode>#,##0</c:formatCode>
                <c:ptCount val="13"/>
                <c:pt idx="0">
                  <c:v>10</c:v>
                </c:pt>
                <c:pt idx="1">
                  <c:v>489</c:v>
                </c:pt>
                <c:pt idx="2">
                  <c:v>73</c:v>
                </c:pt>
                <c:pt idx="3">
                  <c:v>846</c:v>
                </c:pt>
                <c:pt idx="4">
                  <c:v>18996</c:v>
                </c:pt>
                <c:pt idx="5">
                  <c:v>914</c:v>
                </c:pt>
                <c:pt idx="6">
                  <c:v>9135</c:v>
                </c:pt>
                <c:pt idx="7">
                  <c:v>22</c:v>
                </c:pt>
                <c:pt idx="8">
                  <c:v>327</c:v>
                </c:pt>
                <c:pt idx="9">
                  <c:v>100</c:v>
                </c:pt>
                <c:pt idx="10">
                  <c:v>717</c:v>
                </c:pt>
                <c:pt idx="11">
                  <c:v>191</c:v>
                </c:pt>
                <c:pt idx="12">
                  <c:v>25</c:v>
                </c:pt>
              </c:numCache>
            </c:numRef>
          </c:val>
          <c:extLst>
            <c:ext xmlns:c16="http://schemas.microsoft.com/office/drawing/2014/chart" uri="{C3380CC4-5D6E-409C-BE32-E72D297353CC}">
              <c16:uniqueId val="{00000001-61FA-48FA-A5EB-959BE9802144}"/>
            </c:ext>
          </c:extLst>
        </c:ser>
        <c:dLbls>
          <c:showLegendKey val="0"/>
          <c:showVal val="0"/>
          <c:showCatName val="0"/>
          <c:showSerName val="0"/>
          <c:showPercent val="0"/>
          <c:showBubbleSize val="0"/>
        </c:dLbls>
        <c:gapWidth val="50"/>
        <c:axId val="1672055248"/>
        <c:axId val="1672041104"/>
      </c:barChart>
      <c:lineChart>
        <c:grouping val="standard"/>
        <c:varyColors val="0"/>
        <c:ser>
          <c:idx val="23"/>
          <c:order val="2"/>
          <c:tx>
            <c:strRef>
              <c:f>Servicios!$N$11</c:f>
              <c:strCache>
                <c:ptCount val="1"/>
                <c:pt idx="0">
                  <c:v>% Eficiencia</c:v>
                </c:pt>
              </c:strCache>
            </c:strRef>
          </c:tx>
          <c:spPr>
            <a:ln>
              <a:solidFill>
                <a:schemeClr val="accent1"/>
              </a:solidFill>
            </a:ln>
          </c:spPr>
          <c:marker>
            <c:symbol val="triangle"/>
            <c:size val="7"/>
            <c:spPr>
              <a:solidFill>
                <a:schemeClr val="accent1"/>
              </a:solidFill>
              <a:ln>
                <a:solidFill>
                  <a:schemeClr val="accent1"/>
                </a:solidFill>
              </a:ln>
            </c:spPr>
          </c:marker>
          <c:cat>
            <c:strRef>
              <c:f>Servicios!$B$12:$B$24</c:f>
              <c:strCache>
                <c:ptCount val="13"/>
                <c:pt idx="0">
                  <c:v>Modificación Datos Críticos</c:v>
                </c:pt>
                <c:pt idx="1">
                  <c:v>Pensión por sobrevivencia</c:v>
                </c:pt>
                <c:pt idx="2">
                  <c:v>Registro de Poderes</c:v>
                </c:pt>
                <c:pt idx="3">
                  <c:v>Solicitud Aplicación/Suspensión de Descuento 2%</c:v>
                </c:pt>
                <c:pt idx="4">
                  <c:v>Solicitud de actualización de datos  Pensionados</c:v>
                </c:pt>
                <c:pt idx="5">
                  <c:v>Solicitud de Exclusión</c:v>
                </c:pt>
                <c:pt idx="6">
                  <c:v>Solicitud de Inclusión a Nómina</c:v>
                </c:pt>
                <c:pt idx="7">
                  <c:v>Solicitud de Reajuste de Pensión</c:v>
                </c:pt>
                <c:pt idx="8">
                  <c:v>Solicitud de Reclamación de Deuda</c:v>
                </c:pt>
                <c:pt idx="9">
                  <c:v>Solicitud Pago Único Compensatorio</c:v>
                </c:pt>
                <c:pt idx="10">
                  <c:v>Solicitud Pensión</c:v>
                </c:pt>
                <c:pt idx="11">
                  <c:v>Solicitud Re-activación/Re-inclusión Pensión</c:v>
                </c:pt>
                <c:pt idx="12">
                  <c:v>Solicitud Traspaso</c:v>
                </c:pt>
              </c:strCache>
            </c:strRef>
          </c:cat>
          <c:val>
            <c:numRef>
              <c:f>Servicios!$N$12:$N$24</c:f>
              <c:numCache>
                <c:formatCode>0.0%</c:formatCode>
                <c:ptCount val="13"/>
                <c:pt idx="0">
                  <c:v>0.90909090909090906</c:v>
                </c:pt>
                <c:pt idx="1">
                  <c:v>0.97995991983967934</c:v>
                </c:pt>
                <c:pt idx="2">
                  <c:v>0.54887218045112784</c:v>
                </c:pt>
                <c:pt idx="3">
                  <c:v>0.99764150943396224</c:v>
                </c:pt>
                <c:pt idx="4">
                  <c:v>0.9937225360954175</c:v>
                </c:pt>
                <c:pt idx="5">
                  <c:v>0.99672846237731738</c:v>
                </c:pt>
                <c:pt idx="6">
                  <c:v>0.99282686664492992</c:v>
                </c:pt>
                <c:pt idx="7">
                  <c:v>0.95652173913043481</c:v>
                </c:pt>
                <c:pt idx="8">
                  <c:v>0.99090909090909096</c:v>
                </c:pt>
                <c:pt idx="9">
                  <c:v>0.96153846153846156</c:v>
                </c:pt>
                <c:pt idx="10">
                  <c:v>0.96500672947510091</c:v>
                </c:pt>
                <c:pt idx="11">
                  <c:v>0.99479166666666663</c:v>
                </c:pt>
                <c:pt idx="12">
                  <c:v>0.96153846153846156</c:v>
                </c:pt>
              </c:numCache>
            </c:numRef>
          </c:val>
          <c:smooth val="0"/>
          <c:extLst>
            <c:ext xmlns:c16="http://schemas.microsoft.com/office/drawing/2014/chart" uri="{C3380CC4-5D6E-409C-BE32-E72D297353CC}">
              <c16:uniqueId val="{00000002-61FA-48FA-A5EB-959BE9802144}"/>
            </c:ext>
          </c:extLst>
        </c:ser>
        <c:dLbls>
          <c:showLegendKey val="0"/>
          <c:showVal val="0"/>
          <c:showCatName val="0"/>
          <c:showSerName val="0"/>
          <c:showPercent val="0"/>
          <c:showBubbleSize val="0"/>
        </c:dLbls>
        <c:marker val="1"/>
        <c:smooth val="0"/>
        <c:axId val="1672042192"/>
        <c:axId val="1672041648"/>
      </c:lineChart>
      <c:catAx>
        <c:axId val="1672055248"/>
        <c:scaling>
          <c:orientation val="minMax"/>
        </c:scaling>
        <c:delete val="0"/>
        <c:axPos val="b"/>
        <c:numFmt formatCode="General" sourceLinked="0"/>
        <c:majorTickMark val="out"/>
        <c:minorTickMark val="none"/>
        <c:tickLblPos val="nextTo"/>
        <c:txPr>
          <a:bodyPr/>
          <a:lstStyle/>
          <a:p>
            <a:pPr>
              <a:defRPr sz="900"/>
            </a:pPr>
            <a:endParaRPr lang="es-ES"/>
          </a:p>
        </c:txPr>
        <c:crossAx val="1672041104"/>
        <c:crosses val="autoZero"/>
        <c:auto val="1"/>
        <c:lblAlgn val="ctr"/>
        <c:lblOffset val="100"/>
        <c:noMultiLvlLbl val="0"/>
      </c:catAx>
      <c:valAx>
        <c:axId val="1672041104"/>
        <c:scaling>
          <c:logBase val="10"/>
          <c:orientation val="minMax"/>
          <c:max val="100000"/>
        </c:scaling>
        <c:delete val="0"/>
        <c:axPos val="l"/>
        <c:majorGridlines>
          <c:spPr>
            <a:ln>
              <a:noFill/>
            </a:ln>
          </c:spPr>
        </c:majorGridlines>
        <c:numFmt formatCode="#,##0" sourceLinked="1"/>
        <c:majorTickMark val="out"/>
        <c:minorTickMark val="none"/>
        <c:tickLblPos val="nextTo"/>
        <c:crossAx val="1672055248"/>
        <c:crosses val="autoZero"/>
        <c:crossBetween val="between"/>
      </c:valAx>
      <c:valAx>
        <c:axId val="1672041648"/>
        <c:scaling>
          <c:orientation val="minMax"/>
          <c:max val="1"/>
          <c:min val="0.5"/>
        </c:scaling>
        <c:delete val="0"/>
        <c:axPos val="r"/>
        <c:numFmt formatCode="0.0%" sourceLinked="1"/>
        <c:majorTickMark val="out"/>
        <c:minorTickMark val="none"/>
        <c:tickLblPos val="nextTo"/>
        <c:crossAx val="1672042192"/>
        <c:crosses val="max"/>
        <c:crossBetween val="between"/>
        <c:majorUnit val="5.000000000000001E-2"/>
      </c:valAx>
      <c:catAx>
        <c:axId val="1672042192"/>
        <c:scaling>
          <c:orientation val="minMax"/>
        </c:scaling>
        <c:delete val="1"/>
        <c:axPos val="b"/>
        <c:numFmt formatCode="General" sourceLinked="1"/>
        <c:majorTickMark val="out"/>
        <c:minorTickMark val="none"/>
        <c:tickLblPos val="nextTo"/>
        <c:crossAx val="1672041648"/>
        <c:crosses val="autoZero"/>
        <c:auto val="1"/>
        <c:lblAlgn val="ctr"/>
        <c:lblOffset val="100"/>
        <c:noMultiLvlLbl val="0"/>
      </c:catAx>
    </c:plotArea>
    <c:legend>
      <c:legendPos val="b"/>
      <c:overlay val="0"/>
    </c:legend>
    <c:plotVisOnly val="1"/>
    <c:dispBlanksAs val="gap"/>
    <c:showDLblsOverMax val="0"/>
  </c:chart>
  <c:spPr>
    <a:ln>
      <a:noFill/>
    </a:ln>
  </c:spPr>
  <c:printSettings>
    <c:headerFooter/>
    <c:pageMargins b="0.75" l="0.7" r="0.7" t="0.75" header="0.3" footer="0.3"/>
    <c:pageSetup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21"/>
          <c:order val="0"/>
          <c:tx>
            <c:strRef>
              <c:f>Servicios!$L$36</c:f>
              <c:strCache>
                <c:ptCount val="1"/>
                <c:pt idx="0">
                  <c:v>Recibidas</c:v>
                </c:pt>
              </c:strCache>
            </c:strRef>
          </c:tx>
          <c:spPr>
            <a:solidFill>
              <a:schemeClr val="bg1">
                <a:lumMod val="65000"/>
              </a:schemeClr>
            </a:solidFill>
            <a:ln>
              <a:solidFill>
                <a:schemeClr val="bg1">
                  <a:lumMod val="65000"/>
                </a:schemeClr>
              </a:solidFill>
            </a:ln>
          </c:spPr>
          <c:invertIfNegative val="0"/>
          <c:cat>
            <c:strRef>
              <c:f>Servicios!$B$37:$B$40</c:f>
              <c:strCache>
                <c:ptCount val="4"/>
                <c:pt idx="0">
                  <c:v>Sobrevivencia Civil</c:v>
                </c:pt>
                <c:pt idx="1">
                  <c:v>Sobrevivencia Policía Nacional</c:v>
                </c:pt>
                <c:pt idx="2">
                  <c:v>Discapacidad Civil</c:v>
                </c:pt>
                <c:pt idx="3">
                  <c:v>Discapacidad Policía Nacional</c:v>
                </c:pt>
              </c:strCache>
            </c:strRef>
          </c:cat>
          <c:val>
            <c:numRef>
              <c:f>Servicios!$L$37:$L$40</c:f>
              <c:numCache>
                <c:formatCode>#,##0</c:formatCode>
                <c:ptCount val="4"/>
                <c:pt idx="0">
                  <c:v>13</c:v>
                </c:pt>
                <c:pt idx="1">
                  <c:v>12</c:v>
                </c:pt>
                <c:pt idx="2">
                  <c:v>0</c:v>
                </c:pt>
                <c:pt idx="3">
                  <c:v>0</c:v>
                </c:pt>
              </c:numCache>
            </c:numRef>
          </c:val>
          <c:extLst>
            <c:ext xmlns:c16="http://schemas.microsoft.com/office/drawing/2014/chart" uri="{C3380CC4-5D6E-409C-BE32-E72D297353CC}">
              <c16:uniqueId val="{00000000-CEA8-447E-A740-F7677EE893DB}"/>
            </c:ext>
          </c:extLst>
        </c:ser>
        <c:ser>
          <c:idx val="22"/>
          <c:order val="1"/>
          <c:tx>
            <c:strRef>
              <c:f>Servicios!$M$36</c:f>
              <c:strCache>
                <c:ptCount val="1"/>
                <c:pt idx="0">
                  <c:v>Otorgadas</c:v>
                </c:pt>
              </c:strCache>
            </c:strRef>
          </c:tx>
          <c:spPr>
            <a:solidFill>
              <a:schemeClr val="accent3">
                <a:lumMod val="60000"/>
                <a:lumOff val="40000"/>
              </a:schemeClr>
            </a:solidFill>
            <a:ln>
              <a:solidFill>
                <a:schemeClr val="accent3">
                  <a:lumMod val="60000"/>
                  <a:lumOff val="40000"/>
                </a:schemeClr>
              </a:solidFill>
            </a:ln>
          </c:spPr>
          <c:invertIfNegative val="0"/>
          <c:cat>
            <c:strRef>
              <c:f>Servicios!$B$37:$B$40</c:f>
              <c:strCache>
                <c:ptCount val="4"/>
                <c:pt idx="0">
                  <c:v>Sobrevivencia Civil</c:v>
                </c:pt>
                <c:pt idx="1">
                  <c:v>Sobrevivencia Policía Nacional</c:v>
                </c:pt>
                <c:pt idx="2">
                  <c:v>Discapacidad Civil</c:v>
                </c:pt>
                <c:pt idx="3">
                  <c:v>Discapacidad Policía Nacional</c:v>
                </c:pt>
              </c:strCache>
            </c:strRef>
          </c:cat>
          <c:val>
            <c:numRef>
              <c:f>Servicios!$M$37:$M$40</c:f>
              <c:numCache>
                <c:formatCode>#,##0</c:formatCode>
                <c:ptCount val="4"/>
                <c:pt idx="0">
                  <c:v>7</c:v>
                </c:pt>
                <c:pt idx="1">
                  <c:v>2</c:v>
                </c:pt>
                <c:pt idx="2">
                  <c:v>3</c:v>
                </c:pt>
                <c:pt idx="3">
                  <c:v>0</c:v>
                </c:pt>
              </c:numCache>
            </c:numRef>
          </c:val>
          <c:extLst>
            <c:ext xmlns:c16="http://schemas.microsoft.com/office/drawing/2014/chart" uri="{C3380CC4-5D6E-409C-BE32-E72D297353CC}">
              <c16:uniqueId val="{00000001-CEA8-447E-A740-F7677EE893DB}"/>
            </c:ext>
          </c:extLst>
        </c:ser>
        <c:dLbls>
          <c:showLegendKey val="0"/>
          <c:showVal val="0"/>
          <c:showCatName val="0"/>
          <c:showSerName val="0"/>
          <c:showPercent val="0"/>
          <c:showBubbleSize val="0"/>
        </c:dLbls>
        <c:gapWidth val="50"/>
        <c:axId val="1672055248"/>
        <c:axId val="1672041104"/>
      </c:barChart>
      <c:catAx>
        <c:axId val="1672055248"/>
        <c:scaling>
          <c:orientation val="minMax"/>
        </c:scaling>
        <c:delete val="0"/>
        <c:axPos val="b"/>
        <c:numFmt formatCode="General" sourceLinked="0"/>
        <c:majorTickMark val="out"/>
        <c:minorTickMark val="none"/>
        <c:tickLblPos val="nextTo"/>
        <c:crossAx val="1672041104"/>
        <c:crosses val="autoZero"/>
        <c:auto val="1"/>
        <c:lblAlgn val="ctr"/>
        <c:lblOffset val="100"/>
        <c:noMultiLvlLbl val="0"/>
      </c:catAx>
      <c:valAx>
        <c:axId val="1672041104"/>
        <c:scaling>
          <c:orientation val="minMax"/>
          <c:max val="30"/>
        </c:scaling>
        <c:delete val="0"/>
        <c:axPos val="l"/>
        <c:majorGridlines>
          <c:spPr>
            <a:ln>
              <a:noFill/>
            </a:ln>
          </c:spPr>
        </c:majorGridlines>
        <c:numFmt formatCode="#,##0" sourceLinked="1"/>
        <c:majorTickMark val="out"/>
        <c:minorTickMark val="none"/>
        <c:tickLblPos val="nextTo"/>
        <c:crossAx val="1672055248"/>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1880942623214082"/>
          <c:y val="3.4863668037853755E-2"/>
          <c:w val="0.78893118039654453"/>
          <c:h val="0.65586379419781204"/>
        </c:manualLayout>
      </c:layout>
      <c:barChart>
        <c:barDir val="col"/>
        <c:grouping val="clustered"/>
        <c:varyColors val="0"/>
        <c:ser>
          <c:idx val="0"/>
          <c:order val="0"/>
          <c:tx>
            <c:strRef>
              <c:f>'Afiliados y Cotizantes'!$C$6</c:f>
              <c:strCache>
                <c:ptCount val="1"/>
                <c:pt idx="0">
                  <c:v>Afiliados al Sistema de Reparto</c:v>
                </c:pt>
              </c:strCache>
            </c:strRef>
          </c:tx>
          <c:spPr>
            <a:solidFill>
              <a:schemeClr val="bg1">
                <a:lumMod val="75000"/>
              </a:schemeClr>
            </a:solidFill>
            <a:ln>
              <a:solidFill>
                <a:schemeClr val="bg1">
                  <a:lumMod val="75000"/>
                </a:schemeClr>
              </a:solidFill>
            </a:ln>
          </c:spPr>
          <c:invertIfNegative val="0"/>
          <c:dLbls>
            <c:dLbl>
              <c:idx val="0"/>
              <c:layout>
                <c:manualLayout>
                  <c:x val="2.3665036994507917E-17"/>
                  <c:y val="0.222501366029986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75C-4406-B71E-65516B4B4A9D}"/>
                </c:ext>
              </c:extLst>
            </c:dLbl>
            <c:dLbl>
              <c:idx val="1"/>
              <c:layout>
                <c:manualLayout>
                  <c:x val="2.5816702227310574E-3"/>
                  <c:y val="0.4723340642622409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75C-4406-B71E-65516B4B4A9D}"/>
                </c:ext>
              </c:extLst>
            </c:dLbl>
            <c:dLbl>
              <c:idx val="2"/>
              <c:layout>
                <c:manualLayout>
                  <c:x val="-5.1633404454622094E-3"/>
                  <c:y val="0.4781602658434335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75C-4406-B71E-65516B4B4A9D}"/>
                </c:ext>
              </c:extLst>
            </c:dLbl>
            <c:spPr>
              <a:noFill/>
              <a:ln>
                <a:noFill/>
              </a:ln>
              <a:effectLst/>
            </c:spPr>
            <c:txPr>
              <a:bodyPr rot="-5400000" vert="horz"/>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'Afiliados y Cotizantes'!$B$7:$B$9</c:f>
              <c:strCache>
                <c:ptCount val="3"/>
                <c:pt idx="0">
                  <c:v>Marzo</c:v>
                </c:pt>
                <c:pt idx="1">
                  <c:v>Febrero</c:v>
                </c:pt>
                <c:pt idx="2">
                  <c:v>Enero</c:v>
                </c:pt>
              </c:strCache>
            </c:strRef>
          </c:cat>
          <c:val>
            <c:numRef>
              <c:f>'Afiliados y Cotizantes'!$C$7:$C$9</c:f>
              <c:numCache>
                <c:formatCode>#,##0</c:formatCode>
                <c:ptCount val="3"/>
                <c:pt idx="0">
                  <c:v>92519</c:v>
                </c:pt>
                <c:pt idx="1">
                  <c:v>92539</c:v>
                </c:pt>
                <c:pt idx="2">
                  <c:v>92222</c:v>
                </c:pt>
              </c:numCache>
            </c:numRef>
          </c:val>
          <c:extLst>
            <c:ext xmlns:c16="http://schemas.microsoft.com/office/drawing/2014/chart" uri="{C3380CC4-5D6E-409C-BE32-E72D297353CC}">
              <c16:uniqueId val="{00000003-C75C-4406-B71E-65516B4B4A9D}"/>
            </c:ext>
          </c:extLst>
        </c:ser>
        <c:ser>
          <c:idx val="1"/>
          <c:order val="1"/>
          <c:tx>
            <c:v>No Cotizantes</c:v>
          </c:tx>
          <c:spPr>
            <a:solidFill>
              <a:schemeClr val="accent3">
                <a:lumMod val="60000"/>
                <a:lumOff val="40000"/>
              </a:schemeClr>
            </a:solidFill>
          </c:spPr>
          <c:invertIfNegative val="0"/>
          <c:dLbls>
            <c:dLbl>
              <c:idx val="0"/>
              <c:layout>
                <c:manualLayout>
                  <c:x val="5.1633404454621149E-3"/>
                  <c:y val="0.3939790075434471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75C-4406-B71E-65516B4B4A9D}"/>
                </c:ext>
              </c:extLst>
            </c:dLbl>
            <c:dLbl>
              <c:idx val="1"/>
              <c:layout>
                <c:manualLayout>
                  <c:x val="2.5816702227310574E-3"/>
                  <c:y val="0.3940301841196313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75C-4406-B71E-65516B4B4A9D}"/>
                </c:ext>
              </c:extLst>
            </c:dLbl>
            <c:dLbl>
              <c:idx val="2"/>
              <c:layout>
                <c:manualLayout>
                  <c:x val="-2.5816702227310574E-3"/>
                  <c:y val="0.3937996477368190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75C-4406-B71E-65516B4B4A9D}"/>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'Afiliados y Cotizantes'!$B$7:$B$9</c:f>
              <c:strCache>
                <c:ptCount val="3"/>
                <c:pt idx="0">
                  <c:v>Marzo</c:v>
                </c:pt>
                <c:pt idx="1">
                  <c:v>Febrero</c:v>
                </c:pt>
                <c:pt idx="2">
                  <c:v>Enero</c:v>
                </c:pt>
              </c:strCache>
            </c:strRef>
          </c:cat>
          <c:val>
            <c:numRef>
              <c:f>'Afiliados y Cotizantes'!$F$7:$F$9</c:f>
              <c:numCache>
                <c:formatCode>#,##0</c:formatCode>
                <c:ptCount val="3"/>
                <c:pt idx="0">
                  <c:v>70155</c:v>
                </c:pt>
                <c:pt idx="1">
                  <c:v>70170</c:v>
                </c:pt>
                <c:pt idx="2">
                  <c:v>70068</c:v>
                </c:pt>
              </c:numCache>
            </c:numRef>
          </c:val>
          <c:extLst>
            <c:ext xmlns:c16="http://schemas.microsoft.com/office/drawing/2014/chart" uri="{C3380CC4-5D6E-409C-BE32-E72D297353CC}">
              <c16:uniqueId val="{00000007-C75C-4406-B71E-65516B4B4A9D}"/>
            </c:ext>
          </c:extLst>
        </c:ser>
        <c:dLbls>
          <c:showLegendKey val="0"/>
          <c:showVal val="1"/>
          <c:showCatName val="0"/>
          <c:showSerName val="0"/>
          <c:showPercent val="0"/>
          <c:showBubbleSize val="0"/>
        </c:dLbls>
        <c:gapWidth val="75"/>
        <c:axId val="1667770560"/>
        <c:axId val="1667758048"/>
      </c:barChart>
      <c:lineChart>
        <c:grouping val="standard"/>
        <c:varyColors val="0"/>
        <c:ser>
          <c:idx val="2"/>
          <c:order val="2"/>
          <c:tx>
            <c:strRef>
              <c:f>'Afiliados y Cotizantes'!$G$6</c:f>
              <c:strCache>
                <c:ptCount val="1"/>
                <c:pt idx="0">
                  <c:v>% No Cotizantes</c:v>
                </c:pt>
              </c:strCache>
            </c:strRef>
          </c:tx>
          <c:spPr>
            <a:ln>
              <a:solidFill>
                <a:schemeClr val="tx2">
                  <a:lumMod val="60000"/>
                  <a:lumOff val="40000"/>
                </a:schemeClr>
              </a:solidFill>
            </a:ln>
          </c:spPr>
          <c:marker>
            <c:spPr>
              <a:solidFill>
                <a:schemeClr val="tx2">
                  <a:lumMod val="60000"/>
                  <a:lumOff val="40000"/>
                </a:schemeClr>
              </a:solidFill>
              <a:ln>
                <a:solidFill>
                  <a:schemeClr val="tx2">
                    <a:lumMod val="60000"/>
                    <a:lumOff val="40000"/>
                  </a:schemeClr>
                </a:solidFill>
              </a:ln>
            </c:spPr>
          </c:marker>
          <c:dLbls>
            <c:dLbl>
              <c:idx val="0"/>
              <c:layout>
                <c:manualLayout>
                  <c:x val="-7.7450106681931728E-3"/>
                  <c:y val="-0.1216164637064420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75C-4406-B71E-65516B4B4A9D}"/>
                </c:ext>
              </c:extLst>
            </c:dLbl>
            <c:dLbl>
              <c:idx val="1"/>
              <c:layout>
                <c:manualLayout>
                  <c:x val="-6.9705096013738546E-2"/>
                  <c:y val="-0.1368426293167826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75C-4406-B71E-65516B4B4A9D}"/>
                </c:ext>
              </c:extLst>
            </c:dLbl>
            <c:dLbl>
              <c:idx val="2"/>
              <c:layout>
                <c:manualLayout>
                  <c:x val="-4.3888393786427976E-2"/>
                  <c:y val="-0.1029996099845748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75C-4406-B71E-65516B4B4A9D}"/>
                </c:ext>
              </c:extLst>
            </c:dLbl>
            <c:spPr>
              <a:noFill/>
              <a:ln>
                <a:noFill/>
              </a:ln>
              <a:effectLst/>
            </c:spPr>
            <c:txPr>
              <a:bodyPr wrap="square" lIns="38100" tIns="19050" rIns="38100" bIns="19050" anchor="ctr">
                <a:spAutoFit/>
              </a:bodyPr>
              <a:lstStyle/>
              <a:p>
                <a:pPr>
                  <a:defRPr sz="1050"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'Afiliados y Cotizantes'!$B$7:$B$9</c:f>
              <c:strCache>
                <c:ptCount val="3"/>
                <c:pt idx="0">
                  <c:v>Marzo</c:v>
                </c:pt>
                <c:pt idx="1">
                  <c:v>Febrero</c:v>
                </c:pt>
                <c:pt idx="2">
                  <c:v>Enero</c:v>
                </c:pt>
              </c:strCache>
            </c:strRef>
          </c:cat>
          <c:val>
            <c:numRef>
              <c:f>'Afiliados y Cotizantes'!$G$7:$G$9</c:f>
              <c:numCache>
                <c:formatCode>0.00%</c:formatCode>
                <c:ptCount val="3"/>
                <c:pt idx="0">
                  <c:v>0.75827667830391599</c:v>
                </c:pt>
                <c:pt idx="1">
                  <c:v>0.75827488950604605</c:v>
                </c:pt>
                <c:pt idx="2">
                  <c:v>0.75977532475981868</c:v>
                </c:pt>
              </c:numCache>
            </c:numRef>
          </c:val>
          <c:smooth val="0"/>
          <c:extLst>
            <c:ext xmlns:c16="http://schemas.microsoft.com/office/drawing/2014/chart" uri="{C3380CC4-5D6E-409C-BE32-E72D297353CC}">
              <c16:uniqueId val="{0000000B-C75C-4406-B71E-65516B4B4A9D}"/>
            </c:ext>
          </c:extLst>
        </c:ser>
        <c:dLbls>
          <c:showLegendKey val="0"/>
          <c:showVal val="1"/>
          <c:showCatName val="0"/>
          <c:showSerName val="0"/>
          <c:showPercent val="0"/>
          <c:showBubbleSize val="0"/>
        </c:dLbls>
        <c:marker val="1"/>
        <c:smooth val="0"/>
        <c:axId val="1667766752"/>
        <c:axId val="1667762944"/>
      </c:lineChart>
      <c:catAx>
        <c:axId val="1667770560"/>
        <c:scaling>
          <c:orientation val="minMax"/>
        </c:scaling>
        <c:delete val="0"/>
        <c:axPos val="b"/>
        <c:numFmt formatCode="General" sourceLinked="0"/>
        <c:majorTickMark val="none"/>
        <c:minorTickMark val="none"/>
        <c:tickLblPos val="nextTo"/>
        <c:crossAx val="1667758048"/>
        <c:crosses val="autoZero"/>
        <c:auto val="1"/>
        <c:lblAlgn val="ctr"/>
        <c:lblOffset val="100"/>
        <c:noMultiLvlLbl val="0"/>
      </c:catAx>
      <c:valAx>
        <c:axId val="1667758048"/>
        <c:scaling>
          <c:orientation val="minMax"/>
        </c:scaling>
        <c:delete val="0"/>
        <c:axPos val="l"/>
        <c:numFmt formatCode="#,##0" sourceLinked="1"/>
        <c:majorTickMark val="none"/>
        <c:minorTickMark val="none"/>
        <c:tickLblPos val="nextTo"/>
        <c:crossAx val="1667770560"/>
        <c:crosses val="autoZero"/>
        <c:crossBetween val="between"/>
      </c:valAx>
      <c:valAx>
        <c:axId val="1667762944"/>
        <c:scaling>
          <c:orientation val="minMax"/>
        </c:scaling>
        <c:delete val="0"/>
        <c:axPos val="r"/>
        <c:numFmt formatCode="0.00%" sourceLinked="1"/>
        <c:majorTickMark val="out"/>
        <c:minorTickMark val="none"/>
        <c:tickLblPos val="nextTo"/>
        <c:crossAx val="1667766752"/>
        <c:crosses val="max"/>
        <c:crossBetween val="between"/>
      </c:valAx>
      <c:catAx>
        <c:axId val="1667766752"/>
        <c:scaling>
          <c:orientation val="minMax"/>
        </c:scaling>
        <c:delete val="1"/>
        <c:axPos val="b"/>
        <c:numFmt formatCode="General" sourceLinked="1"/>
        <c:majorTickMark val="out"/>
        <c:minorTickMark val="none"/>
        <c:tickLblPos val="nextTo"/>
        <c:crossAx val="1667762944"/>
        <c:crosses val="autoZero"/>
        <c:auto val="1"/>
        <c:lblAlgn val="ctr"/>
        <c:lblOffset val="100"/>
        <c:noMultiLvlLbl val="0"/>
      </c:catAx>
    </c:plotArea>
    <c:legend>
      <c:legendPos val="b"/>
      <c:overlay val="0"/>
    </c:legend>
    <c:plotVisOnly val="1"/>
    <c:dispBlanksAs val="gap"/>
    <c:showDLblsOverMax val="0"/>
  </c:chart>
  <c:spPr>
    <a:ln>
      <a:noFill/>
    </a:ln>
  </c:spPr>
  <c:printSettings>
    <c:headerFooter/>
    <c:pageMargins b="0.75" l="0.7" r="0.7" t="0.75" header="0.3" footer="0.3"/>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ES" sz="1100">
                <a:solidFill>
                  <a:schemeClr val="accent1"/>
                </a:solidFill>
              </a:rPr>
              <a:t>Porcentaje de Cotizantes</a:t>
            </a:r>
            <a:r>
              <a:rPr lang="es-ES" sz="1100" baseline="0">
                <a:solidFill>
                  <a:schemeClr val="accent1"/>
                </a:solidFill>
              </a:rPr>
              <a:t> y No Cotizantes</a:t>
            </a:r>
            <a:endParaRPr lang="es-ES" sz="1100">
              <a:solidFill>
                <a:schemeClr val="accent1"/>
              </a:solidFill>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E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9530351020850997E-2"/>
          <c:y val="0.20956886659757182"/>
          <c:w val="0.88390885925355045"/>
          <c:h val="0.68915966464317446"/>
        </c:manualLayout>
      </c:layout>
      <c:pie3DChart>
        <c:varyColors val="1"/>
        <c:ser>
          <c:idx val="0"/>
          <c:order val="0"/>
          <c:explosion val="25"/>
          <c:dPt>
            <c:idx val="0"/>
            <c:bubble3D val="0"/>
            <c:explosion val="0"/>
            <c:spPr>
              <a:solidFill>
                <a:schemeClr val="bg1">
                  <a:lumMod val="75000"/>
                </a:schemeClr>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1-2EA7-43FD-B304-646A53AEE0FB}"/>
              </c:ext>
            </c:extLst>
          </c:dPt>
          <c:dPt>
            <c:idx val="1"/>
            <c:bubble3D val="0"/>
            <c:spPr>
              <a:solidFill>
                <a:schemeClr val="accent3"/>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2EA7-43FD-B304-646A53AEE0FB}"/>
              </c:ext>
            </c:extLst>
          </c:dPt>
          <c:dLbls>
            <c:dLbl>
              <c:idx val="0"/>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EA7-43FD-B304-646A53AEE0FB}"/>
                </c:ext>
              </c:extLst>
            </c:dLbl>
            <c:dLbl>
              <c:idx val="1"/>
              <c:layout>
                <c:manualLayout>
                  <c:x val="0.2221833944938254"/>
                  <c:y val="-0.20192802413384661"/>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1"/>
              <c:showCatName val="1"/>
              <c:showSerName val="0"/>
              <c:showPercent val="0"/>
              <c:showBubbleSize val="0"/>
              <c:extLst>
                <c:ext xmlns:c15="http://schemas.microsoft.com/office/drawing/2012/chart" uri="{CE6537A1-D6FC-4f65-9D91-7224C49458BB}">
                  <c15:layout>
                    <c:manualLayout>
                      <c:w val="0.29511371626771926"/>
                      <c:h val="0.25893283532642436"/>
                    </c:manualLayout>
                  </c15:layout>
                </c:ext>
                <c:ext xmlns:c16="http://schemas.microsoft.com/office/drawing/2014/chart" uri="{C3380CC4-5D6E-409C-BE32-E72D297353CC}">
                  <c16:uniqueId val="{00000003-2EA7-43FD-B304-646A53AEE0FB}"/>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es-ES"/>
              </a:p>
            </c:txPr>
            <c:dLblPos val="bestFit"/>
            <c:showLegendKey val="0"/>
            <c:showVal val="1"/>
            <c:showCatName val="0"/>
            <c:showSerName val="0"/>
            <c:showPercent val="0"/>
            <c:showBubbleSize val="0"/>
            <c:showLeaderLines val="1"/>
            <c:leaderLines>
              <c:spPr>
                <a:ln w="9525">
                  <a:solidFill>
                    <a:schemeClr val="tx2">
                      <a:lumMod val="35000"/>
                      <a:lumOff val="65000"/>
                    </a:schemeClr>
                  </a:solidFill>
                </a:ln>
                <a:effectLst/>
              </c:spPr>
            </c:leaderLines>
            <c:extLst>
              <c:ext xmlns:c15="http://schemas.microsoft.com/office/drawing/2012/chart" uri="{CE6537A1-D6FC-4f65-9D91-7224C49458BB}"/>
            </c:extLst>
          </c:dLbls>
          <c:cat>
            <c:strRef>
              <c:f>('Afiliados y Cotizantes'!$E$6,'Afiliados y Cotizantes'!$G$6)</c:f>
              <c:strCache>
                <c:ptCount val="2"/>
                <c:pt idx="0">
                  <c:v>% Cotizantes</c:v>
                </c:pt>
                <c:pt idx="1">
                  <c:v>% No Cotizantes</c:v>
                </c:pt>
              </c:strCache>
            </c:strRef>
          </c:cat>
          <c:val>
            <c:numRef>
              <c:f>('Afiliados y Cotizantes'!$E$10,'Afiliados y Cotizantes'!$G$10)</c:f>
              <c:numCache>
                <c:formatCode>0.00%</c:formatCode>
                <c:ptCount val="2"/>
                <c:pt idx="0">
                  <c:v>0.24122436914340642</c:v>
                </c:pt>
                <c:pt idx="1">
                  <c:v>0.75877563085659361</c:v>
                </c:pt>
              </c:numCache>
            </c:numRef>
          </c:val>
          <c:extLst>
            <c:ext xmlns:c16="http://schemas.microsoft.com/office/drawing/2014/chart" uri="{C3380CC4-5D6E-409C-BE32-E72D297353CC}">
              <c16:uniqueId val="{00000004-2EA7-43FD-B304-646A53AEE0FB}"/>
            </c:ext>
          </c:extLst>
        </c:ser>
        <c:dLbls>
          <c:dLblPos val="bestFit"/>
          <c:showLegendKey val="0"/>
          <c:showVal val="1"/>
          <c:showCatName val="0"/>
          <c:showSerName val="0"/>
          <c:showPercent val="0"/>
          <c:showBubbleSize val="0"/>
          <c:showLeaderLines val="1"/>
        </c:dLbls>
      </c:pie3D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n-US" sz="1100" b="1">
                <a:solidFill>
                  <a:schemeClr val="accent1"/>
                </a:solidFill>
              </a:rPr>
              <a:t>Afiliados Policía Nacional</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s-ES"/>
        </a:p>
      </c:txPr>
    </c:title>
    <c:autoTitleDeleted val="0"/>
    <c:plotArea>
      <c:layout/>
      <c:barChart>
        <c:barDir val="col"/>
        <c:grouping val="clustered"/>
        <c:varyColors val="0"/>
        <c:ser>
          <c:idx val="0"/>
          <c:order val="0"/>
          <c:tx>
            <c:strRef>
              <c:f>'Afiliados y Cotizantes'!$H$6</c:f>
              <c:strCache>
                <c:ptCount val="1"/>
                <c:pt idx="0">
                  <c:v>Afiliados Policia Nacional</c:v>
                </c:pt>
              </c:strCache>
            </c:strRef>
          </c:tx>
          <c:spPr>
            <a:solidFill>
              <a:schemeClr val="bg1">
                <a:lumMod val="75000"/>
              </a:schemeClr>
            </a:solidFill>
            <a:ln>
              <a:noFill/>
            </a:ln>
            <a:effectLst>
              <a:outerShdw blurRad="76200" dir="18900000" sy="23000" kx="-1200000" algn="bl" rotWithShape="0">
                <a:prstClr val="black">
                  <a:alpha val="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'Afiliados y Cotizantes'!$B$7:$B$9</c:f>
              <c:strCache>
                <c:ptCount val="3"/>
                <c:pt idx="0">
                  <c:v>Marzo</c:v>
                </c:pt>
                <c:pt idx="1">
                  <c:v>Febrero</c:v>
                </c:pt>
                <c:pt idx="2">
                  <c:v>Enero</c:v>
                </c:pt>
              </c:strCache>
            </c:strRef>
          </c:cat>
          <c:val>
            <c:numRef>
              <c:f>'Afiliados y Cotizantes'!$H$7:$H$9</c:f>
              <c:numCache>
                <c:formatCode>#,##0</c:formatCode>
                <c:ptCount val="3"/>
                <c:pt idx="0">
                  <c:v>65210</c:v>
                </c:pt>
                <c:pt idx="1">
                  <c:v>65085</c:v>
                </c:pt>
                <c:pt idx="2">
                  <c:v>64993</c:v>
                </c:pt>
              </c:numCache>
            </c:numRef>
          </c:val>
          <c:extLst>
            <c:ext xmlns:c16="http://schemas.microsoft.com/office/drawing/2014/chart" uri="{C3380CC4-5D6E-409C-BE32-E72D297353CC}">
              <c16:uniqueId val="{00000000-7C7C-4C5D-AA0A-07EE66F30F81}"/>
            </c:ext>
          </c:extLst>
        </c:ser>
        <c:dLbls>
          <c:dLblPos val="inEnd"/>
          <c:showLegendKey val="0"/>
          <c:showVal val="1"/>
          <c:showCatName val="0"/>
          <c:showSerName val="0"/>
          <c:showPercent val="0"/>
          <c:showBubbleSize val="0"/>
        </c:dLbls>
        <c:gapWidth val="41"/>
        <c:axId val="509055728"/>
        <c:axId val="509058352"/>
      </c:barChart>
      <c:catAx>
        <c:axId val="50905572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dk1">
                    <a:lumMod val="65000"/>
                    <a:lumOff val="35000"/>
                  </a:schemeClr>
                </a:solidFill>
                <a:effectLst/>
                <a:latin typeface="+mn-lt"/>
                <a:ea typeface="+mn-ea"/>
                <a:cs typeface="+mn-cs"/>
              </a:defRPr>
            </a:pPr>
            <a:endParaRPr lang="es-ES"/>
          </a:p>
        </c:txPr>
        <c:crossAx val="509058352"/>
        <c:crosses val="autoZero"/>
        <c:auto val="1"/>
        <c:lblAlgn val="ctr"/>
        <c:lblOffset val="100"/>
        <c:noMultiLvlLbl val="0"/>
      </c:catAx>
      <c:valAx>
        <c:axId val="509058352"/>
        <c:scaling>
          <c:orientation val="minMax"/>
        </c:scaling>
        <c:delete val="1"/>
        <c:axPos val="l"/>
        <c:numFmt formatCode="#,##0" sourceLinked="1"/>
        <c:majorTickMark val="none"/>
        <c:minorTickMark val="none"/>
        <c:tickLblPos val="nextTo"/>
        <c:crossAx val="50905572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s-ES"/>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228018372703412"/>
          <c:y val="3.5109750841474434E-2"/>
          <c:w val="0.68917891513560803"/>
          <c:h val="0.8326195683872849"/>
        </c:manualLayout>
      </c:layout>
      <c:barChart>
        <c:barDir val="col"/>
        <c:grouping val="clustered"/>
        <c:varyColors val="0"/>
        <c:ser>
          <c:idx val="0"/>
          <c:order val="0"/>
          <c:tx>
            <c:strRef>
              <c:f>Cotizantes!$C$7</c:f>
              <c:strCache>
                <c:ptCount val="1"/>
                <c:pt idx="0">
                  <c:v>Público 
</c:v>
                </c:pt>
              </c:strCache>
            </c:strRef>
          </c:tx>
          <c:spPr>
            <a:solidFill>
              <a:schemeClr val="bg1">
                <a:lumMod val="75000"/>
              </a:schemeClr>
            </a:solidFill>
            <a:ln>
              <a:solidFill>
                <a:schemeClr val="bg1">
                  <a:lumMod val="75000"/>
                </a:schemeClr>
              </a:solidFill>
            </a:ln>
          </c:spPr>
          <c:invertIfNegative val="0"/>
          <c:dLbls>
            <c:dLbl>
              <c:idx val="0"/>
              <c:layout>
                <c:manualLayout>
                  <c:x val="-2.7771099146605784E-3"/>
                  <c:y val="0.216870195930268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9F8-4A9D-95B2-8DBD0796EA9D}"/>
                </c:ext>
              </c:extLst>
            </c:dLbl>
            <c:dLbl>
              <c:idx val="1"/>
              <c:layout>
                <c:manualLayout>
                  <c:x val="-2.7770361414853994E-3"/>
                  <c:y val="0.2331354606250386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9F8-4A9D-95B2-8DBD0796EA9D}"/>
                </c:ext>
              </c:extLst>
            </c:dLbl>
            <c:dLbl>
              <c:idx val="2"/>
              <c:layout>
                <c:manualLayout>
                  <c:x val="2.7770361414853994E-3"/>
                  <c:y val="0.2222919508285252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9F8-4A9D-95B2-8DBD0796EA9D}"/>
                </c:ext>
              </c:extLst>
            </c:dLbl>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Cotizantes!$B$8:$B$10</c:f>
              <c:strCache>
                <c:ptCount val="3"/>
                <c:pt idx="0">
                  <c:v>Marzo</c:v>
                </c:pt>
                <c:pt idx="1">
                  <c:v>Febrero</c:v>
                </c:pt>
                <c:pt idx="2">
                  <c:v>Enero </c:v>
                </c:pt>
              </c:strCache>
            </c:strRef>
          </c:cat>
          <c:val>
            <c:numRef>
              <c:f>Cotizantes!$C$8:$C$10</c:f>
              <c:numCache>
                <c:formatCode>#,##0</c:formatCode>
                <c:ptCount val="3"/>
                <c:pt idx="0">
                  <c:v>17723.2</c:v>
                </c:pt>
                <c:pt idx="1">
                  <c:v>17895.2</c:v>
                </c:pt>
                <c:pt idx="2">
                  <c:v>17891.2</c:v>
                </c:pt>
              </c:numCache>
            </c:numRef>
          </c:val>
          <c:extLst>
            <c:ext xmlns:c16="http://schemas.microsoft.com/office/drawing/2014/chart" uri="{C3380CC4-5D6E-409C-BE32-E72D297353CC}">
              <c16:uniqueId val="{00000003-C9F8-4A9D-95B2-8DBD0796EA9D}"/>
            </c:ext>
          </c:extLst>
        </c:ser>
        <c:ser>
          <c:idx val="1"/>
          <c:order val="1"/>
          <c:tx>
            <c:strRef>
              <c:f>Cotizantes!$D$7</c:f>
              <c:strCache>
                <c:ptCount val="1"/>
                <c:pt idx="0">
                  <c:v>Privado</c:v>
                </c:pt>
              </c:strCache>
            </c:strRef>
          </c:tx>
          <c:spPr>
            <a:solidFill>
              <a:schemeClr val="accent3">
                <a:lumMod val="60000"/>
                <a:lumOff val="40000"/>
              </a:schemeClr>
            </a:solidFill>
            <a:ln>
              <a:solidFill>
                <a:schemeClr val="accent3">
                  <a:lumMod val="60000"/>
                  <a:lumOff val="40000"/>
                </a:schemeClr>
              </a:solidFill>
            </a:ln>
          </c:spPr>
          <c:invertIfNegative val="0"/>
          <c:dLbls>
            <c:spPr>
              <a:noFill/>
              <a:ln>
                <a:noFill/>
              </a:ln>
              <a:effectLst/>
            </c:spPr>
            <c:txPr>
              <a:bodyPr rot="-5400000" vert="horz" wrap="square" lIns="38100" tIns="19050" rIns="38100" bIns="19050" anchor="ctr">
                <a:spAutoFit/>
              </a:bodyPr>
              <a:lstStyle/>
              <a:p>
                <a:pPr>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Cotizantes!$B$8:$B$10</c:f>
              <c:strCache>
                <c:ptCount val="3"/>
                <c:pt idx="0">
                  <c:v>Marzo</c:v>
                </c:pt>
                <c:pt idx="1">
                  <c:v>Febrero</c:v>
                </c:pt>
                <c:pt idx="2">
                  <c:v>Enero </c:v>
                </c:pt>
              </c:strCache>
            </c:strRef>
          </c:cat>
          <c:val>
            <c:numRef>
              <c:f>Cotizantes!$D$8:$D$10</c:f>
              <c:numCache>
                <c:formatCode>#,##0</c:formatCode>
                <c:ptCount val="3"/>
                <c:pt idx="0">
                  <c:v>4430.8</c:v>
                </c:pt>
                <c:pt idx="1">
                  <c:v>4473.8</c:v>
                </c:pt>
                <c:pt idx="2">
                  <c:v>4472.8</c:v>
                </c:pt>
              </c:numCache>
            </c:numRef>
          </c:val>
          <c:extLst>
            <c:ext xmlns:c16="http://schemas.microsoft.com/office/drawing/2014/chart" uri="{C3380CC4-5D6E-409C-BE32-E72D297353CC}">
              <c16:uniqueId val="{00000004-C9F8-4A9D-95B2-8DBD0796EA9D}"/>
            </c:ext>
          </c:extLst>
        </c:ser>
        <c:dLbls>
          <c:showLegendKey val="0"/>
          <c:showVal val="0"/>
          <c:showCatName val="0"/>
          <c:showSerName val="0"/>
          <c:showPercent val="0"/>
          <c:showBubbleSize val="0"/>
        </c:dLbls>
        <c:gapWidth val="150"/>
        <c:axId val="1667763488"/>
        <c:axId val="1667764032"/>
      </c:barChart>
      <c:catAx>
        <c:axId val="1667763488"/>
        <c:scaling>
          <c:orientation val="minMax"/>
        </c:scaling>
        <c:delete val="0"/>
        <c:axPos val="b"/>
        <c:numFmt formatCode="General" sourceLinked="0"/>
        <c:majorTickMark val="none"/>
        <c:minorTickMark val="none"/>
        <c:tickLblPos val="nextTo"/>
        <c:crossAx val="1667764032"/>
        <c:crosses val="autoZero"/>
        <c:auto val="1"/>
        <c:lblAlgn val="ctr"/>
        <c:lblOffset val="100"/>
        <c:noMultiLvlLbl val="0"/>
      </c:catAx>
      <c:valAx>
        <c:axId val="1667764032"/>
        <c:scaling>
          <c:orientation val="minMax"/>
        </c:scaling>
        <c:delete val="0"/>
        <c:axPos val="l"/>
        <c:numFmt formatCode="#,##0" sourceLinked="1"/>
        <c:majorTickMark val="out"/>
        <c:minorTickMark val="none"/>
        <c:tickLblPos val="nextTo"/>
        <c:crossAx val="1667763488"/>
        <c:crosses val="autoZero"/>
        <c:crossBetween val="between"/>
      </c:valAx>
    </c:plotArea>
    <c:legend>
      <c:legendPos val="r"/>
      <c:layout>
        <c:manualLayout>
          <c:xMode val="edge"/>
          <c:yMode val="edge"/>
          <c:x val="0.83812576552930884"/>
          <c:y val="0.41853966170895307"/>
          <c:w val="0.14242979002624673"/>
          <c:h val="0.16743438320209975"/>
        </c:manualLayout>
      </c:layout>
      <c:overlay val="0"/>
    </c:legend>
    <c:plotVisOnly val="1"/>
    <c:dispBlanksAs val="gap"/>
    <c:showDLblsOverMax val="0"/>
  </c:chart>
  <c:spPr>
    <a:ln>
      <a:noFill/>
    </a:ln>
  </c:sp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ES" sz="1100">
                <a:solidFill>
                  <a:schemeClr val="accent1"/>
                </a:solidFill>
              </a:rPr>
              <a:t>Porcentaje</a:t>
            </a:r>
            <a:r>
              <a:rPr lang="es-ES" sz="1100" baseline="0">
                <a:solidFill>
                  <a:schemeClr val="accent1"/>
                </a:solidFill>
              </a:rPr>
              <a:t> Cotizantes por Tipo de Empleador</a:t>
            </a:r>
            <a:endParaRPr lang="es-ES" sz="1100">
              <a:solidFill>
                <a:schemeClr val="accent1"/>
              </a:solidFill>
            </a:endParaRP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E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solidFill>
              <a:schemeClr val="bg1">
                <a:lumMod val="75000"/>
              </a:schemeClr>
            </a:solidFill>
          </c:spPr>
          <c:explosion val="21"/>
          <c:dPt>
            <c:idx val="0"/>
            <c:bubble3D val="0"/>
            <c:spPr>
              <a:solidFill>
                <a:schemeClr val="accent3"/>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1-6692-44C2-89FB-5359E6B4D4E7}"/>
              </c:ext>
            </c:extLst>
          </c:dPt>
          <c:dPt>
            <c:idx val="1"/>
            <c:bubble3D val="0"/>
            <c:spPr>
              <a:solidFill>
                <a:schemeClr val="bg1">
                  <a:lumMod val="75000"/>
                </a:schemeClr>
              </a:solidFill>
              <a:ln>
                <a:noFill/>
              </a:ln>
              <a:effectLst>
                <a:outerShdw blurRad="40000" dist="23000" dir="5400000" rotWithShape="0">
                  <a:srgbClr val="000000">
                    <a:alpha val="35000"/>
                  </a:srgbClr>
                </a:outerShdw>
              </a:effectLst>
              <a:sp3d/>
            </c:spPr>
            <c:extLst>
              <c:ext xmlns:c16="http://schemas.microsoft.com/office/drawing/2014/chart" uri="{C3380CC4-5D6E-409C-BE32-E72D297353CC}">
                <c16:uniqueId val="{00000003-6692-44C2-89FB-5359E6B4D4E7}"/>
              </c:ext>
            </c:extLst>
          </c:dPt>
          <c:dLbls>
            <c:dLbl>
              <c:idx val="0"/>
              <c:tx>
                <c:rich>
                  <a:bodyPr/>
                  <a:lstStyle/>
                  <a:p>
                    <a:fld id="{1E83FA5F-D0AB-48CE-96D6-99FDB27CB416}" type="CATEGORYNAME">
                      <a:rPr lang="en-US"/>
                      <a:pPr/>
                      <a:t>[NOMBRE DE CATEGORÍA]</a:t>
                    </a:fld>
                    <a:r>
                      <a:rPr lang="en-US" baseline="0"/>
                      <a:t>
</a:t>
                    </a:r>
                    <a:fld id="{C20B6CD3-A00D-42C3-9725-57F7CEEDB32F}" type="VALUE">
                      <a:rPr lang="en-US" baseline="0"/>
                      <a:pPr/>
                      <a:t>[VALOR]</a:t>
                    </a:fld>
                    <a:endParaRPr lang="en-US" baseline="0"/>
                  </a:p>
                </c:rich>
              </c:tx>
              <c:dLblPos val="bestFit"/>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6692-44C2-89FB-5359E6B4D4E7}"/>
                </c:ext>
              </c:extLst>
            </c:dLbl>
            <c:dLbl>
              <c:idx val="1"/>
              <c:layout>
                <c:manualLayout>
                  <c:x val="0.11996024068101704"/>
                  <c:y val="0.1051616494653449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692-44C2-89FB-5359E6B4D4E7}"/>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0"/>
            <c:extLst>
              <c:ext xmlns:c15="http://schemas.microsoft.com/office/drawing/2012/chart" uri="{CE6537A1-D6FC-4f65-9D91-7224C49458BB}"/>
            </c:extLst>
          </c:dLbls>
          <c:cat>
            <c:strRef>
              <c:f>Cotizantes!$F$7:$G$7</c:f>
              <c:strCache>
                <c:ptCount val="2"/>
                <c:pt idx="0">
                  <c:v>% Público</c:v>
                </c:pt>
                <c:pt idx="1">
                  <c:v>% Privado</c:v>
                </c:pt>
              </c:strCache>
            </c:strRef>
          </c:cat>
          <c:val>
            <c:numRef>
              <c:f>Cotizantes!$F$11:$G$11</c:f>
              <c:numCache>
                <c:formatCode>0%</c:formatCode>
                <c:ptCount val="2"/>
                <c:pt idx="0">
                  <c:v>0.80000000000000016</c:v>
                </c:pt>
                <c:pt idx="1">
                  <c:v>0.20000000000000004</c:v>
                </c:pt>
              </c:numCache>
            </c:numRef>
          </c:val>
          <c:extLst>
            <c:ext xmlns:c16="http://schemas.microsoft.com/office/drawing/2014/chart" uri="{C3380CC4-5D6E-409C-BE32-E72D297353CC}">
              <c16:uniqueId val="{00000004-6692-44C2-89FB-5359E6B4D4E7}"/>
            </c:ext>
          </c:extLst>
        </c:ser>
        <c:dLbls>
          <c:showLegendKey val="0"/>
          <c:showVal val="0"/>
          <c:showCatName val="0"/>
          <c:showSerName val="0"/>
          <c:showPercent val="0"/>
          <c:showBubbleSize val="0"/>
          <c:showLeaderLines val="0"/>
        </c:dLbls>
      </c:pie3D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Empleador!$B$7</c:f>
              <c:strCache>
                <c:ptCount val="1"/>
                <c:pt idx="0">
                  <c:v>Público (RD$)</c:v>
                </c:pt>
              </c:strCache>
            </c:strRef>
          </c:tx>
          <c:spPr>
            <a:solidFill>
              <a:schemeClr val="bg1">
                <a:lumMod val="75000"/>
              </a:schemeClr>
            </a:solidFill>
            <a:ln>
              <a:solidFill>
                <a:schemeClr val="bg1">
                  <a:lumMod val="75000"/>
                </a:schemeClr>
              </a:solidFill>
            </a:ln>
          </c:spPr>
          <c:invertIfNegative val="0"/>
          <c:dLbls>
            <c:spPr>
              <a:noFill/>
              <a:ln>
                <a:noFill/>
              </a:ln>
              <a:effectLst/>
            </c:spPr>
            <c:txPr>
              <a:bodyPr wrap="square" lIns="38100" tIns="19050" rIns="38100" bIns="19050" anchor="ctr">
                <a:spAutoFit/>
              </a:bodyPr>
              <a:lstStyle/>
              <a:p>
                <a:pPr>
                  <a:defRPr sz="900"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Empleador!$A$8:$A$10</c:f>
              <c:strCache>
                <c:ptCount val="3"/>
                <c:pt idx="0">
                  <c:v>Marzo</c:v>
                </c:pt>
                <c:pt idx="1">
                  <c:v>Febrero</c:v>
                </c:pt>
                <c:pt idx="2">
                  <c:v>Enero</c:v>
                </c:pt>
              </c:strCache>
            </c:strRef>
          </c:cat>
          <c:val>
            <c:numRef>
              <c:f>Empleador!$B$8:$B$10</c:f>
              <c:numCache>
                <c:formatCode>_(* #,##0.00_);_(* \(#,##0.00\);_(* "-"??_);_(@_)</c:formatCode>
                <c:ptCount val="3"/>
                <c:pt idx="0">
                  <c:v>90382931.652419999</c:v>
                </c:pt>
                <c:pt idx="1">
                  <c:v>82166301.502199993</c:v>
                </c:pt>
                <c:pt idx="2">
                  <c:v>79901969.525000021</c:v>
                </c:pt>
              </c:numCache>
            </c:numRef>
          </c:val>
          <c:extLst>
            <c:ext xmlns:c16="http://schemas.microsoft.com/office/drawing/2014/chart" uri="{C3380CC4-5D6E-409C-BE32-E72D297353CC}">
              <c16:uniqueId val="{00000000-3754-4074-BEFF-2DE0A00E38F1}"/>
            </c:ext>
          </c:extLst>
        </c:ser>
        <c:ser>
          <c:idx val="1"/>
          <c:order val="1"/>
          <c:tx>
            <c:strRef>
              <c:f>Empleador!$C$7</c:f>
              <c:strCache>
                <c:ptCount val="1"/>
                <c:pt idx="0">
                  <c:v>Privado (RD$)</c:v>
                </c:pt>
              </c:strCache>
            </c:strRef>
          </c:tx>
          <c:spPr>
            <a:solidFill>
              <a:schemeClr val="accent3">
                <a:lumMod val="60000"/>
                <a:lumOff val="40000"/>
              </a:schemeClr>
            </a:solidFill>
            <a:ln>
              <a:solidFill>
                <a:schemeClr val="accent3">
                  <a:lumMod val="60000"/>
                  <a:lumOff val="40000"/>
                </a:schemeClr>
              </a:solidFill>
            </a:ln>
          </c:spPr>
          <c:invertIfNegative val="0"/>
          <c:dLbls>
            <c:dLbl>
              <c:idx val="0"/>
              <c:layout>
                <c:manualLayout>
                  <c:x val="3.207668648718028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738-4061-9CFB-E05ABCE275A3}"/>
                </c:ext>
              </c:extLst>
            </c:dLbl>
            <c:dLbl>
              <c:idx val="1"/>
              <c:layout>
                <c:manualLayout>
                  <c:x val="3.849131627010466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738-4061-9CFB-E05ABCE275A3}"/>
                </c:ext>
              </c:extLst>
            </c:dLbl>
            <c:dLbl>
              <c:idx val="2"/>
              <c:layout>
                <c:manualLayout>
                  <c:x val="1.589093084672424E-2"/>
                  <c:y val="1.497395710515443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F4B-423A-9D8D-AF7B1DB209E8}"/>
                </c:ext>
              </c:extLst>
            </c:dLbl>
            <c:spPr>
              <a:noFill/>
              <a:ln>
                <a:noFill/>
              </a:ln>
              <a:effectLst/>
            </c:spPr>
            <c:txPr>
              <a:bodyPr wrap="square" lIns="38100" tIns="19050" rIns="38100" bIns="19050" anchor="ctr">
                <a:spAutoFit/>
              </a:bodyPr>
              <a:lstStyle/>
              <a:p>
                <a:pPr>
                  <a:defRPr sz="900" b="1"/>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Empleador!$A$8:$A$10</c:f>
              <c:strCache>
                <c:ptCount val="3"/>
                <c:pt idx="0">
                  <c:v>Marzo</c:v>
                </c:pt>
                <c:pt idx="1">
                  <c:v>Febrero</c:v>
                </c:pt>
                <c:pt idx="2">
                  <c:v>Enero</c:v>
                </c:pt>
              </c:strCache>
            </c:strRef>
          </c:cat>
          <c:val>
            <c:numRef>
              <c:f>Empleador!$C$8:$C$10</c:f>
              <c:numCache>
                <c:formatCode>_(* #,##0.00_);_(* \(#,##0.00\);_(* "-"??_);_(@_)</c:formatCode>
                <c:ptCount val="3"/>
                <c:pt idx="0">
                  <c:v>19840155.728579998</c:v>
                </c:pt>
                <c:pt idx="1">
                  <c:v>18036505.207799997</c:v>
                </c:pt>
                <c:pt idx="2">
                  <c:v>17539456.725000005</c:v>
                </c:pt>
              </c:numCache>
            </c:numRef>
          </c:val>
          <c:extLst>
            <c:ext xmlns:c16="http://schemas.microsoft.com/office/drawing/2014/chart" uri="{C3380CC4-5D6E-409C-BE32-E72D297353CC}">
              <c16:uniqueId val="{00000001-3754-4074-BEFF-2DE0A00E38F1}"/>
            </c:ext>
          </c:extLst>
        </c:ser>
        <c:dLbls>
          <c:showLegendKey val="0"/>
          <c:showVal val="1"/>
          <c:showCatName val="0"/>
          <c:showSerName val="0"/>
          <c:showPercent val="0"/>
          <c:showBubbleSize val="0"/>
        </c:dLbls>
        <c:gapWidth val="75"/>
        <c:axId val="1667757504"/>
        <c:axId val="1667761312"/>
      </c:barChart>
      <c:catAx>
        <c:axId val="1667757504"/>
        <c:scaling>
          <c:orientation val="minMax"/>
        </c:scaling>
        <c:delete val="0"/>
        <c:axPos val="b"/>
        <c:numFmt formatCode="General" sourceLinked="0"/>
        <c:majorTickMark val="none"/>
        <c:minorTickMark val="none"/>
        <c:tickLblPos val="nextTo"/>
        <c:crossAx val="1667761312"/>
        <c:crosses val="autoZero"/>
        <c:auto val="1"/>
        <c:lblAlgn val="ctr"/>
        <c:lblOffset val="100"/>
        <c:noMultiLvlLbl val="0"/>
      </c:catAx>
      <c:valAx>
        <c:axId val="1667761312"/>
        <c:scaling>
          <c:orientation val="minMax"/>
        </c:scaling>
        <c:delete val="0"/>
        <c:axPos val="l"/>
        <c:numFmt formatCode="_(* #,##0.00_);_(* \(#,##0.00\);_(* &quot;-&quot;??_);_(@_)" sourceLinked="1"/>
        <c:majorTickMark val="none"/>
        <c:minorTickMark val="none"/>
        <c:tickLblPos val="nextTo"/>
        <c:crossAx val="1667757504"/>
        <c:crosses val="autoZero"/>
        <c:crossBetween val="between"/>
      </c:valAx>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100" b="1" i="0" u="none" strike="noStrike" kern="1200" cap="none" spc="20" baseline="0">
                <a:solidFill>
                  <a:schemeClr val="accent1"/>
                </a:solidFill>
                <a:latin typeface="+mn-lt"/>
                <a:ea typeface="+mn-ea"/>
                <a:cs typeface="+mn-cs"/>
              </a:defRPr>
            </a:pPr>
            <a:r>
              <a:rPr lang="en-US" sz="1100" b="1">
                <a:solidFill>
                  <a:schemeClr val="accent1"/>
                </a:solidFill>
              </a:rPr>
              <a:t>Porcentaje Monto Total</a:t>
            </a:r>
            <a:r>
              <a:rPr lang="en-US" sz="1100" b="1" baseline="0">
                <a:solidFill>
                  <a:schemeClr val="accent1"/>
                </a:solidFill>
              </a:rPr>
              <a:t> Individualizado por Tipo de Empleador</a:t>
            </a:r>
            <a:endParaRPr lang="en-US" sz="1100" b="1">
              <a:solidFill>
                <a:schemeClr val="accent1"/>
              </a:solidFill>
            </a:endParaRPr>
          </a:p>
        </c:rich>
      </c:tx>
      <c:overlay val="0"/>
      <c:spPr>
        <a:noFill/>
        <a:ln>
          <a:noFill/>
        </a:ln>
        <a:effectLst/>
      </c:spPr>
      <c:txPr>
        <a:bodyPr rot="0" spcFirstLastPara="1" vertOverflow="ellipsis" vert="horz" wrap="square" anchor="ctr" anchorCtr="1"/>
        <a:lstStyle/>
        <a:p>
          <a:pPr>
            <a:defRPr sz="1100" b="1" i="0" u="none" strike="noStrike" kern="1200" cap="none" spc="20" baseline="0">
              <a:solidFill>
                <a:schemeClr val="accent1"/>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explosion val="14"/>
          <c:dPt>
            <c:idx val="0"/>
            <c:bubble3D val="0"/>
            <c:spPr>
              <a:solidFill>
                <a:schemeClr val="accent3"/>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1-A7F0-4060-96BC-C2830A8E27F4}"/>
              </c:ext>
            </c:extLst>
          </c:dPt>
          <c:dPt>
            <c:idx val="1"/>
            <c:bubble3D val="0"/>
            <c:spPr>
              <a:solidFill>
                <a:schemeClr val="bg1">
                  <a:lumMod val="50000"/>
                </a:schemeClr>
              </a:solidFill>
              <a:ln>
                <a:noFill/>
              </a:ln>
              <a:effectLst>
                <a:outerShdw blurRad="40000" dist="20000" dir="5400000" rotWithShape="0">
                  <a:srgbClr val="000000">
                    <a:alpha val="38000"/>
                  </a:srgbClr>
                </a:outerShdw>
              </a:effectLst>
              <a:sp3d/>
            </c:spPr>
            <c:extLst>
              <c:ext xmlns:c16="http://schemas.microsoft.com/office/drawing/2014/chart" uri="{C3380CC4-5D6E-409C-BE32-E72D297353CC}">
                <c16:uniqueId val="{00000003-A7F0-4060-96BC-C2830A8E27F4}"/>
              </c:ext>
            </c:extLst>
          </c:dPt>
          <c:dLbls>
            <c:dLbl>
              <c:idx val="0"/>
              <c:tx>
                <c:rich>
                  <a:bodyPr/>
                  <a:lstStyle/>
                  <a:p>
                    <a:r>
                      <a:rPr lang="en-US" baseline="0"/>
                      <a:t>
</a:t>
                    </a:r>
                    <a:fld id="{1E0124BD-4345-4E4A-B14D-12CA58C69878}" type="PERCENTAGE">
                      <a:rPr lang="en-US" baseline="0"/>
                      <a:pPr/>
                      <a:t>[PORCENTAJE]</a:t>
                    </a:fld>
                    <a:endParaRPr lang="en-US" baseline="0"/>
                  </a:p>
                </c:rich>
              </c:tx>
              <c:dLblPos val="in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7F0-4060-96BC-C2830A8E27F4}"/>
                </c:ext>
              </c:extLst>
            </c:dLbl>
            <c:dLbl>
              <c:idx val="1"/>
              <c:layout>
                <c:manualLayout>
                  <c:x val="7.4119001557259923E-2"/>
                  <c:y val="9.9428685560682892E-2"/>
                </c:manualLayout>
              </c:layout>
              <c:tx>
                <c:rich>
                  <a:bodyPr/>
                  <a:lstStyle/>
                  <a:p>
                    <a:r>
                      <a:rPr lang="en-US" baseline="0"/>
                      <a:t>
</a:t>
                    </a:r>
                    <a:fld id="{9808AA45-761B-4E95-9508-605747744867}" type="PERCENTAGE">
                      <a:rPr lang="en-US" baseline="0"/>
                      <a:pPr/>
                      <a:t>[PORCENTAJE]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7F0-4060-96BC-C2830A8E27F4}"/>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s-ES"/>
              </a:p>
            </c:txPr>
            <c:dLblPos val="inEnd"/>
            <c:showLegendKey val="0"/>
            <c:showVal val="0"/>
            <c:showCatName val="1"/>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Empleador!$B$7:$C$7</c:f>
              <c:strCache>
                <c:ptCount val="2"/>
                <c:pt idx="0">
                  <c:v>Público (RD$)</c:v>
                </c:pt>
                <c:pt idx="1">
                  <c:v>Privado (RD$)</c:v>
                </c:pt>
              </c:strCache>
            </c:strRef>
          </c:cat>
          <c:val>
            <c:numRef>
              <c:f>Empleador!$B$25:$C$25</c:f>
              <c:numCache>
                <c:formatCode>0%</c:formatCode>
                <c:ptCount val="2"/>
                <c:pt idx="0">
                  <c:v>0.82000000000000006</c:v>
                </c:pt>
                <c:pt idx="1">
                  <c:v>0.18000000000000002</c:v>
                </c:pt>
              </c:numCache>
            </c:numRef>
          </c:val>
          <c:extLst>
            <c:ext xmlns:c16="http://schemas.microsoft.com/office/drawing/2014/chart" uri="{C3380CC4-5D6E-409C-BE32-E72D297353CC}">
              <c16:uniqueId val="{00000004-A7F0-4060-96BC-C2830A8E27F4}"/>
            </c:ext>
          </c:extLst>
        </c:ser>
        <c:dLbls>
          <c:dLblPos val="inEnd"/>
          <c:showLegendKey val="0"/>
          <c:showVal val="0"/>
          <c:showCatName val="1"/>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6">
  <a:schemeClr val="accent3"/>
</cs:colorStyle>
</file>

<file path=xl/charts/colors5.xml><?xml version="1.0" encoding="utf-8"?>
<cs:colorStyle xmlns:cs="http://schemas.microsoft.com/office/drawing/2012/chartStyle" xmlns:a="http://schemas.openxmlformats.org/drawingml/2006/main" meth="withinLinear" id="16">
  <a:schemeClr val="accent3"/>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Reversed" id="23">
  <a:schemeClr val="accent3"/>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66">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4.xml><?xml version="1.0" encoding="utf-8"?>
<cs:chartStyle xmlns:cs="http://schemas.microsoft.com/office/drawing/2012/chartStyle" xmlns:a="http://schemas.openxmlformats.org/drawingml/2006/main" id="26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45">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image" Target="../media/image2.png"/><Relationship Id="rId5" Type="http://schemas.openxmlformats.org/officeDocument/2006/relationships/chart" Target="../charts/chart17.xml"/><Relationship Id="rId4"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8.xml"/><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image" Target="../media/image1.png"/><Relationship Id="rId1" Type="http://schemas.openxmlformats.org/officeDocument/2006/relationships/chart" Target="../charts/chart19.xml"/><Relationship Id="rId4"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chart" Target="../charts/chart21.xml"/><Relationship Id="rId1" Type="http://schemas.openxmlformats.org/officeDocument/2006/relationships/image" Target="../media/image1.png"/><Relationship Id="rId4" Type="http://schemas.openxmlformats.org/officeDocument/2006/relationships/image" Target="../media/image2.png"/></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3.xml"/><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24.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image" Target="../media/image3.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image" Target="../media/image3.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1.png"/><Relationship Id="rId1" Type="http://schemas.openxmlformats.org/officeDocument/2006/relationships/chart" Target="../charts/chart2.xml"/><Relationship Id="rId6" Type="http://schemas.openxmlformats.org/officeDocument/2006/relationships/image" Target="../media/image2.png"/><Relationship Id="rId5" Type="http://schemas.openxmlformats.org/officeDocument/2006/relationships/chart" Target="../charts/chart5.xml"/><Relationship Id="rId4" Type="http://schemas.openxmlformats.org/officeDocument/2006/relationships/chart" Target="../charts/chart4.xml"/></Relationships>
</file>

<file path=xl/drawings/_rels/drawing2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27.xml"/></Relationships>
</file>

<file path=xl/drawings/_rels/drawing2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1.png"/><Relationship Id="rId1" Type="http://schemas.openxmlformats.org/officeDocument/2006/relationships/chart" Target="../charts/chart28.xml"/><Relationship Id="rId4" Type="http://schemas.openxmlformats.org/officeDocument/2006/relationships/chart" Target="../charts/chart29.xml"/></Relationships>
</file>

<file path=xl/drawings/_rels/drawing5.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image" Target="../media/image1.png"/><Relationship Id="rId1" Type="http://schemas.openxmlformats.org/officeDocument/2006/relationships/chart" Target="../charts/chart6.xml"/><Relationship Id="rId4"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image" Target="../media/image1.png"/><Relationship Id="rId1" Type="http://schemas.openxmlformats.org/officeDocument/2006/relationships/chart" Target="../charts/chart8.xml"/><Relationship Id="rId4"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10.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image" Target="../media/image1.png"/><Relationship Id="rId1" Type="http://schemas.openxmlformats.org/officeDocument/2006/relationships/chart" Target="../charts/chart11.xml"/><Relationship Id="rId4"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1</xdr:col>
      <xdr:colOff>131885</xdr:colOff>
      <xdr:row>36</xdr:row>
      <xdr:rowOff>111125</xdr:rowOff>
    </xdr:from>
    <xdr:to>
      <xdr:col>6</xdr:col>
      <xdr:colOff>230187</xdr:colOff>
      <xdr:row>53</xdr:row>
      <xdr:rowOff>45182</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154372</xdr:colOff>
      <xdr:row>3</xdr:row>
      <xdr:rowOff>12211</xdr:rowOff>
    </xdr:from>
    <xdr:to>
      <xdr:col>2</xdr:col>
      <xdr:colOff>88162</xdr:colOff>
      <xdr:row>5</xdr:row>
      <xdr:rowOff>166077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stretch>
          <a:fillRect/>
        </a:stretch>
      </xdr:blipFill>
      <xdr:spPr>
        <a:xfrm>
          <a:off x="281372" y="393211"/>
          <a:ext cx="838665" cy="534866"/>
        </a:xfrm>
        <a:prstGeom prst="rect">
          <a:avLst/>
        </a:prstGeom>
      </xdr:spPr>
    </xdr:pic>
    <xdr:clientData/>
  </xdr:twoCellAnchor>
  <xdr:twoCellAnchor>
    <xdr:from>
      <xdr:col>2</xdr:col>
      <xdr:colOff>615462</xdr:colOff>
      <xdr:row>34</xdr:row>
      <xdr:rowOff>159971</xdr:rowOff>
    </xdr:from>
    <xdr:to>
      <xdr:col>4</xdr:col>
      <xdr:colOff>346198</xdr:colOff>
      <xdr:row>36</xdr:row>
      <xdr:rowOff>28086</xdr:rowOff>
    </xdr:to>
    <xdr:sp macro="" textlink="">
      <xdr:nvSpPr>
        <xdr:cNvPr id="4" name="CuadroTexto 3">
          <a:extLst>
            <a:ext uri="{FF2B5EF4-FFF2-40B4-BE49-F238E27FC236}">
              <a16:creationId xmlns:a16="http://schemas.microsoft.com/office/drawing/2014/main" id="{D505F560-0670-97A6-6B39-0A52AC835241}"/>
            </a:ext>
          </a:extLst>
        </xdr:cNvPr>
        <xdr:cNvSpPr txBox="1"/>
      </xdr:nvSpPr>
      <xdr:spPr>
        <a:xfrm>
          <a:off x="1520337" y="3239721"/>
          <a:ext cx="1762736" cy="249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s-ES" sz="1100" b="1" i="0" baseline="0">
              <a:solidFill>
                <a:schemeClr val="accent1"/>
              </a:solidFill>
              <a:effectLst/>
              <a:latin typeface="+mn-lt"/>
              <a:ea typeface="+mn-ea"/>
              <a:cs typeface="+mn-cs"/>
            </a:rPr>
            <a:t>Programado vs Ejecutado</a:t>
          </a:r>
          <a:endParaRPr lang="es-DO">
            <a:solidFill>
              <a:schemeClr val="accent1"/>
            </a:solidFill>
            <a:effectLst/>
          </a:endParaRPr>
        </a:p>
        <a:p>
          <a:endParaRPr lang="es-DO" sz="1100">
            <a:solidFill>
              <a:schemeClr val="accent1"/>
            </a:solidFill>
          </a:endParaRPr>
        </a:p>
      </xdr:txBody>
    </xdr:sp>
    <xdr:clientData/>
  </xdr:twoCellAnchor>
  <xdr:twoCellAnchor editAs="oneCell">
    <xdr:from>
      <xdr:col>5</xdr:col>
      <xdr:colOff>476250</xdr:colOff>
      <xdr:row>2</xdr:row>
      <xdr:rowOff>15875</xdr:rowOff>
    </xdr:from>
    <xdr:to>
      <xdr:col>6</xdr:col>
      <xdr:colOff>706437</xdr:colOff>
      <xdr:row>5</xdr:row>
      <xdr:rowOff>154668</xdr:rowOff>
    </xdr:to>
    <xdr:pic>
      <xdr:nvPicPr>
        <xdr:cNvPr id="6" name="Imagen 5" descr="Información básica sobre servicios al público - Ministerio de Hacienda y  Economía">
          <a:extLst>
            <a:ext uri="{FF2B5EF4-FFF2-40B4-BE49-F238E27FC236}">
              <a16:creationId xmlns:a16="http://schemas.microsoft.com/office/drawing/2014/main" id="{948D83F9-C212-8CAC-402F-A9EE1E98BA7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310063" y="206375"/>
          <a:ext cx="1182687"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600731</xdr:colOff>
      <xdr:row>30</xdr:row>
      <xdr:rowOff>108918</xdr:rowOff>
    </xdr:from>
    <xdr:to>
      <xdr:col>6</xdr:col>
      <xdr:colOff>379757</xdr:colOff>
      <xdr:row>42</xdr:row>
      <xdr:rowOff>133764</xdr:rowOff>
    </xdr:to>
    <xdr:graphicFrame macro="">
      <xdr:nvGraphicFramePr>
        <xdr:cNvPr id="8" name="1 Gráfico">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736600</xdr:colOff>
      <xdr:row>44</xdr:row>
      <xdr:rowOff>80236</xdr:rowOff>
    </xdr:from>
    <xdr:to>
      <xdr:col>7</xdr:col>
      <xdr:colOff>358797</xdr:colOff>
      <xdr:row>56</xdr:row>
      <xdr:rowOff>3037</xdr:rowOff>
    </xdr:to>
    <xdr:graphicFrame macro="">
      <xdr:nvGraphicFramePr>
        <xdr:cNvPr id="9" name="2 Gráfico">
          <a:extLst>
            <a:ext uri="{FF2B5EF4-FFF2-40B4-BE49-F238E27FC236}">
              <a16:creationId xmlns:a16="http://schemas.microsoft.com/office/drawing/2014/main" id="{00000000-0008-0000-0700-000003000000}"/>
            </a:ext>
            <a:ext uri="{147F2762-F138-4A5C-976F-8EAC2B608ADB}">
              <a16:predDERef xmlns:a16="http://schemas.microsoft.com/office/drawing/2014/main" pre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455544</xdr:colOff>
      <xdr:row>29</xdr:row>
      <xdr:rowOff>37272</xdr:rowOff>
    </xdr:from>
    <xdr:to>
      <xdr:col>13</xdr:col>
      <xdr:colOff>463827</xdr:colOff>
      <xdr:row>41</xdr:row>
      <xdr:rowOff>49696</xdr:rowOff>
    </xdr:to>
    <xdr:graphicFrame macro="">
      <xdr:nvGraphicFramePr>
        <xdr:cNvPr id="4" name="3 Gráfico">
          <a:extLst>
            <a:ext uri="{FF2B5EF4-FFF2-40B4-BE49-F238E27FC236}">
              <a16:creationId xmlns:a16="http://schemas.microsoft.com/office/drawing/2014/main" id="{00000000-0008-0000-07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326334</xdr:colOff>
      <xdr:row>43</xdr:row>
      <xdr:rowOff>27364</xdr:rowOff>
    </xdr:from>
    <xdr:to>
      <xdr:col>4</xdr:col>
      <xdr:colOff>525862</xdr:colOff>
      <xdr:row>44</xdr:row>
      <xdr:rowOff>46414</xdr:rowOff>
    </xdr:to>
    <xdr:sp macro="" textlink="">
      <xdr:nvSpPr>
        <xdr:cNvPr id="12" name="4 CuadroTexto">
          <a:extLst>
            <a:ext uri="{FF2B5EF4-FFF2-40B4-BE49-F238E27FC236}">
              <a16:creationId xmlns:a16="http://schemas.microsoft.com/office/drawing/2014/main" id="{00000000-0008-0000-0700-000005000000}"/>
            </a:ext>
            <a:ext uri="{147F2762-F138-4A5C-976F-8EAC2B608ADB}">
              <a16:predDERef xmlns:a16="http://schemas.microsoft.com/office/drawing/2014/main" pred="{00000000-0008-0000-0700-000004000000}"/>
            </a:ext>
          </a:extLst>
        </xdr:cNvPr>
        <xdr:cNvSpPr txBox="1"/>
      </xdr:nvSpPr>
      <xdr:spPr>
        <a:xfrm>
          <a:off x="2640909" y="5513764"/>
          <a:ext cx="961528" cy="2095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DO" sz="1100" b="1">
              <a:solidFill>
                <a:schemeClr val="accent5">
                  <a:lumMod val="75000"/>
                </a:schemeClr>
              </a:solidFill>
            </a:rPr>
            <a:t>Pensiones</a:t>
          </a:r>
        </a:p>
      </xdr:txBody>
    </xdr:sp>
    <xdr:clientData/>
  </xdr:twoCellAnchor>
  <xdr:twoCellAnchor>
    <xdr:from>
      <xdr:col>7</xdr:col>
      <xdr:colOff>542299</xdr:colOff>
      <xdr:row>28</xdr:row>
      <xdr:rowOff>4141</xdr:rowOff>
    </xdr:from>
    <xdr:to>
      <xdr:col>13</xdr:col>
      <xdr:colOff>324932</xdr:colOff>
      <xdr:row>28</xdr:row>
      <xdr:rowOff>58353</xdr:rowOff>
    </xdr:to>
    <xdr:sp macro="" textlink="">
      <xdr:nvSpPr>
        <xdr:cNvPr id="11" name="1 CuadroTexto">
          <a:extLst>
            <a:ext uri="{FF2B5EF4-FFF2-40B4-BE49-F238E27FC236}">
              <a16:creationId xmlns:a16="http://schemas.microsoft.com/office/drawing/2014/main" id="{00000000-0008-0000-0700-00000B000000}"/>
            </a:ext>
          </a:extLst>
        </xdr:cNvPr>
        <xdr:cNvSpPr txBox="1"/>
      </xdr:nvSpPr>
      <xdr:spPr>
        <a:xfrm>
          <a:off x="7681908" y="2994163"/>
          <a:ext cx="2060350" cy="54212"/>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DO" sz="1100" b="1">
              <a:solidFill>
                <a:schemeClr val="accent5">
                  <a:lumMod val="75000"/>
                </a:schemeClr>
              </a:solidFill>
            </a:rPr>
            <a:t>Monto</a:t>
          </a:r>
        </a:p>
      </xdr:txBody>
    </xdr:sp>
    <xdr:clientData/>
  </xdr:twoCellAnchor>
  <xdr:twoCellAnchor editAs="oneCell">
    <xdr:from>
      <xdr:col>3</xdr:col>
      <xdr:colOff>446942</xdr:colOff>
      <xdr:row>1</xdr:row>
      <xdr:rowOff>36635</xdr:rowOff>
    </xdr:from>
    <xdr:to>
      <xdr:col>4</xdr:col>
      <xdr:colOff>667472</xdr:colOff>
      <xdr:row>4</xdr:row>
      <xdr:rowOff>87923</xdr:rowOff>
    </xdr:to>
    <xdr:pic>
      <xdr:nvPicPr>
        <xdr:cNvPr id="10" name="Picture 9">
          <a:extLst>
            <a:ext uri="{FF2B5EF4-FFF2-40B4-BE49-F238E27FC236}">
              <a16:creationId xmlns:a16="http://schemas.microsoft.com/office/drawing/2014/main" id="{00000000-0008-0000-0700-00000A000000}"/>
            </a:ext>
          </a:extLst>
        </xdr:cNvPr>
        <xdr:cNvPicPr>
          <a:picLocks noChangeAspect="1"/>
        </xdr:cNvPicPr>
      </xdr:nvPicPr>
      <xdr:blipFill>
        <a:blip xmlns:r="http://schemas.openxmlformats.org/officeDocument/2006/relationships" r:embed="rId4"/>
        <a:stretch>
          <a:fillRect/>
        </a:stretch>
      </xdr:blipFill>
      <xdr:spPr>
        <a:xfrm>
          <a:off x="2154115" y="227135"/>
          <a:ext cx="989857" cy="622788"/>
        </a:xfrm>
        <a:prstGeom prst="rect">
          <a:avLst/>
        </a:prstGeom>
      </xdr:spPr>
    </xdr:pic>
    <xdr:clientData/>
  </xdr:twoCellAnchor>
  <xdr:twoCellAnchor>
    <xdr:from>
      <xdr:col>8</xdr:col>
      <xdr:colOff>533400</xdr:colOff>
      <xdr:row>41</xdr:row>
      <xdr:rowOff>42862</xdr:rowOff>
    </xdr:from>
    <xdr:to>
      <xdr:col>13</xdr:col>
      <xdr:colOff>9525</xdr:colOff>
      <xdr:row>53</xdr:row>
      <xdr:rowOff>0</xdr:rowOff>
    </xdr:to>
    <xdr:graphicFrame macro="">
      <xdr:nvGraphicFramePr>
        <xdr:cNvPr id="7" name="Gráfico 6">
          <a:extLst>
            <a:ext uri="{FF2B5EF4-FFF2-40B4-BE49-F238E27FC236}">
              <a16:creationId xmlns:a16="http://schemas.microsoft.com/office/drawing/2014/main" id="{A42BF6BF-17CA-41F1-AC5B-7C97748ADB0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10</xdr:col>
      <xdr:colOff>409575</xdr:colOff>
      <xdr:row>0</xdr:row>
      <xdr:rowOff>114300</xdr:rowOff>
    </xdr:from>
    <xdr:to>
      <xdr:col>11</xdr:col>
      <xdr:colOff>571500</xdr:colOff>
      <xdr:row>4</xdr:row>
      <xdr:rowOff>62593</xdr:rowOff>
    </xdr:to>
    <xdr:pic>
      <xdr:nvPicPr>
        <xdr:cNvPr id="6" name="Imagen 5" descr="Información básica sobre servicios al público - Ministerio de Hacienda y  Economía">
          <a:extLst>
            <a:ext uri="{FF2B5EF4-FFF2-40B4-BE49-F238E27FC236}">
              <a16:creationId xmlns:a16="http://schemas.microsoft.com/office/drawing/2014/main" id="{AEF2E072-8349-40D6-97F0-0C8D1291D993}"/>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7934325" y="114300"/>
          <a:ext cx="1304925"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619125</xdr:colOff>
      <xdr:row>29</xdr:row>
      <xdr:rowOff>161925</xdr:rowOff>
    </xdr:from>
    <xdr:to>
      <xdr:col>4</xdr:col>
      <xdr:colOff>85228</xdr:colOff>
      <xdr:row>30</xdr:row>
      <xdr:rowOff>180975</xdr:rowOff>
    </xdr:to>
    <xdr:sp macro="" textlink="">
      <xdr:nvSpPr>
        <xdr:cNvPr id="16" name="CuadroTexto 7">
          <a:extLst>
            <a:ext uri="{FF2B5EF4-FFF2-40B4-BE49-F238E27FC236}">
              <a16:creationId xmlns:a16="http://schemas.microsoft.com/office/drawing/2014/main" id="{96B11925-D333-4C85-9EEC-800D6BD63D80}"/>
            </a:ext>
            <a:ext uri="{147F2762-F138-4A5C-976F-8EAC2B608ADB}">
              <a16:predDERef xmlns:a16="http://schemas.microsoft.com/office/drawing/2014/main" pred="{AEF2E072-8349-40D6-97F0-0C8D1291D993}"/>
            </a:ext>
          </a:extLst>
        </xdr:cNvPr>
        <xdr:cNvSpPr txBox="1"/>
      </xdr:nvSpPr>
      <xdr:spPr>
        <a:xfrm>
          <a:off x="2200275" y="2981325"/>
          <a:ext cx="961528" cy="2095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lgn="ctr"/>
          <a:r>
            <a:rPr lang="en-US" sz="1100" b="1">
              <a:solidFill>
                <a:schemeClr val="accent5">
                  <a:lumMod val="75000"/>
                </a:schemeClr>
              </a:solidFill>
              <a:latin typeface="+mn-lt"/>
              <a:ea typeface="+mn-lt"/>
              <a:cs typeface="+mn-lt"/>
            </a:rPr>
            <a:t>Pensionados</a:t>
          </a:r>
        </a:p>
      </xdr:txBody>
    </xdr:sp>
    <xdr:clientData/>
  </xdr:twoCellAnchor>
</xdr:wsDr>
</file>

<file path=xl/drawings/drawing11.xml><?xml version="1.0" encoding="utf-8"?>
<c:userShapes xmlns:c="http://schemas.openxmlformats.org/drawingml/2006/chart">
  <cdr:relSizeAnchor xmlns:cdr="http://schemas.openxmlformats.org/drawingml/2006/chartDrawing">
    <cdr:from>
      <cdr:x>0.30281</cdr:x>
      <cdr:y>0</cdr:y>
    </cdr:from>
    <cdr:to>
      <cdr:x>0.71115</cdr:x>
      <cdr:y>0.09722</cdr:y>
    </cdr:to>
    <cdr:sp macro="" textlink="">
      <cdr:nvSpPr>
        <cdr:cNvPr id="2" name="1 CuadroTexto"/>
        <cdr:cNvSpPr txBox="1"/>
      </cdr:nvSpPr>
      <cdr:spPr>
        <a:xfrm xmlns:a="http://schemas.openxmlformats.org/drawingml/2006/main">
          <a:off x="1631919" y="0"/>
          <a:ext cx="2200646" cy="25351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s-DO" sz="1100" b="1">
              <a:solidFill>
                <a:schemeClr val="accent5">
                  <a:lumMod val="75000"/>
                </a:schemeClr>
              </a:solidFill>
            </a:rPr>
            <a:t>Pensionados</a:t>
          </a:r>
        </a:p>
      </cdr:txBody>
    </cdr:sp>
  </cdr:relSizeAnchor>
</c:userShapes>
</file>

<file path=xl/drawings/drawing12.xml><?xml version="1.0" encoding="utf-8"?>
<xdr:wsDr xmlns:xdr="http://schemas.openxmlformats.org/drawingml/2006/spreadsheetDrawing" xmlns:a="http://schemas.openxmlformats.org/drawingml/2006/main">
  <xdr:twoCellAnchor editAs="oneCell">
    <xdr:from>
      <xdr:col>5</xdr:col>
      <xdr:colOff>399317</xdr:colOff>
      <xdr:row>0</xdr:row>
      <xdr:rowOff>74735</xdr:rowOff>
    </xdr:from>
    <xdr:to>
      <xdr:col>6</xdr:col>
      <xdr:colOff>521443</xdr:colOff>
      <xdr:row>3</xdr:row>
      <xdr:rowOff>126023</xdr:rowOff>
    </xdr:to>
    <xdr:pic>
      <xdr:nvPicPr>
        <xdr:cNvPr id="2" name="Picture 7">
          <a:extLst>
            <a:ext uri="{FF2B5EF4-FFF2-40B4-BE49-F238E27FC236}">
              <a16:creationId xmlns:a16="http://schemas.microsoft.com/office/drawing/2014/main" id="{E942B9E2-F9D1-4E35-8E7F-20E9BC51523D}"/>
            </a:ext>
          </a:extLst>
        </xdr:cNvPr>
        <xdr:cNvPicPr>
          <a:picLocks noChangeAspect="1"/>
        </xdr:cNvPicPr>
      </xdr:nvPicPr>
      <xdr:blipFill>
        <a:blip xmlns:r="http://schemas.openxmlformats.org/officeDocument/2006/relationships" r:embed="rId1"/>
        <a:stretch>
          <a:fillRect/>
        </a:stretch>
      </xdr:blipFill>
      <xdr:spPr>
        <a:xfrm>
          <a:off x="3637817" y="74735"/>
          <a:ext cx="988901" cy="622788"/>
        </a:xfrm>
        <a:prstGeom prst="rect">
          <a:avLst/>
        </a:prstGeom>
      </xdr:spPr>
    </xdr:pic>
    <xdr:clientData/>
  </xdr:twoCellAnchor>
  <xdr:twoCellAnchor>
    <xdr:from>
      <xdr:col>3</xdr:col>
      <xdr:colOff>23595</xdr:colOff>
      <xdr:row>15</xdr:row>
      <xdr:rowOff>172726</xdr:rowOff>
    </xdr:from>
    <xdr:to>
      <xdr:col>13</xdr:col>
      <xdr:colOff>33057</xdr:colOff>
      <xdr:row>32</xdr:row>
      <xdr:rowOff>74491</xdr:rowOff>
    </xdr:to>
    <xdr:graphicFrame macro="">
      <xdr:nvGraphicFramePr>
        <xdr:cNvPr id="6" name="Gráfico 5">
          <a:extLst>
            <a:ext uri="{FF2B5EF4-FFF2-40B4-BE49-F238E27FC236}">
              <a16:creationId xmlns:a16="http://schemas.microsoft.com/office/drawing/2014/main" id="{E89759A0-5C3E-1BAD-FEDD-D69933DC8E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13</xdr:col>
      <xdr:colOff>104775</xdr:colOff>
      <xdr:row>0</xdr:row>
      <xdr:rowOff>0</xdr:rowOff>
    </xdr:from>
    <xdr:to>
      <xdr:col>14</xdr:col>
      <xdr:colOff>552450</xdr:colOff>
      <xdr:row>3</xdr:row>
      <xdr:rowOff>138793</xdr:rowOff>
    </xdr:to>
    <xdr:pic>
      <xdr:nvPicPr>
        <xdr:cNvPr id="4" name="Imagen 3" descr="Información básica sobre servicios al público - Ministerio de Hacienda y  Economía">
          <a:extLst>
            <a:ext uri="{FF2B5EF4-FFF2-40B4-BE49-F238E27FC236}">
              <a16:creationId xmlns:a16="http://schemas.microsoft.com/office/drawing/2014/main" id="{C21B697A-8104-4708-96A5-3E5DA10C0F6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820275" y="0"/>
          <a:ext cx="1438275"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7</xdr:col>
      <xdr:colOff>959151</xdr:colOff>
      <xdr:row>30</xdr:row>
      <xdr:rowOff>118027</xdr:rowOff>
    </xdr:from>
    <xdr:to>
      <xdr:col>12</xdr:col>
      <xdr:colOff>776080</xdr:colOff>
      <xdr:row>43</xdr:row>
      <xdr:rowOff>43484</xdr:rowOff>
    </xdr:to>
    <xdr:graphicFrame macro="">
      <xdr:nvGraphicFramePr>
        <xdr:cNvPr id="5" name="1 Gráfico">
          <a:extLst>
            <a:ext uri="{FF2B5EF4-FFF2-40B4-BE49-F238E27FC236}">
              <a16:creationId xmlns:a16="http://schemas.microsoft.com/office/drawing/2014/main" id="{608E5EA0-87A6-489D-A102-39C90570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210252</xdr:colOff>
      <xdr:row>1</xdr:row>
      <xdr:rowOff>124239</xdr:rowOff>
    </xdr:from>
    <xdr:to>
      <xdr:col>6</xdr:col>
      <xdr:colOff>133277</xdr:colOff>
      <xdr:row>4</xdr:row>
      <xdr:rowOff>175527</xdr:rowOff>
    </xdr:to>
    <xdr:pic>
      <xdr:nvPicPr>
        <xdr:cNvPr id="3" name="Picture 2">
          <a:extLst>
            <a:ext uri="{FF2B5EF4-FFF2-40B4-BE49-F238E27FC236}">
              <a16:creationId xmlns:a16="http://schemas.microsoft.com/office/drawing/2014/main" id="{ED303029-753E-46CF-9AE6-8340C7F23165}"/>
            </a:ext>
          </a:extLst>
        </xdr:cNvPr>
        <xdr:cNvPicPr>
          <a:picLocks noChangeAspect="1"/>
        </xdr:cNvPicPr>
      </xdr:nvPicPr>
      <xdr:blipFill>
        <a:blip xmlns:r="http://schemas.openxmlformats.org/officeDocument/2006/relationships" r:embed="rId2"/>
        <a:stretch>
          <a:fillRect/>
        </a:stretch>
      </xdr:blipFill>
      <xdr:spPr>
        <a:xfrm>
          <a:off x="4020252" y="314739"/>
          <a:ext cx="988583" cy="622788"/>
        </a:xfrm>
        <a:prstGeom prst="rect">
          <a:avLst/>
        </a:prstGeom>
      </xdr:spPr>
    </xdr:pic>
    <xdr:clientData/>
  </xdr:twoCellAnchor>
  <xdr:twoCellAnchor>
    <xdr:from>
      <xdr:col>2</xdr:col>
      <xdr:colOff>273327</xdr:colOff>
      <xdr:row>29</xdr:row>
      <xdr:rowOff>92489</xdr:rowOff>
    </xdr:from>
    <xdr:to>
      <xdr:col>7</xdr:col>
      <xdr:colOff>331304</xdr:colOff>
      <xdr:row>43</xdr:row>
      <xdr:rowOff>173935</xdr:rowOff>
    </xdr:to>
    <xdr:graphicFrame macro="">
      <xdr:nvGraphicFramePr>
        <xdr:cNvPr id="4" name="1 Gráfico">
          <a:extLst>
            <a:ext uri="{FF2B5EF4-FFF2-40B4-BE49-F238E27FC236}">
              <a16:creationId xmlns:a16="http://schemas.microsoft.com/office/drawing/2014/main" id="{B882A147-3351-46DD-B052-100241B59C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389282</xdr:colOff>
      <xdr:row>27</xdr:row>
      <xdr:rowOff>49695</xdr:rowOff>
    </xdr:from>
    <xdr:to>
      <xdr:col>11</xdr:col>
      <xdr:colOff>347869</xdr:colOff>
      <xdr:row>28</xdr:row>
      <xdr:rowOff>99391</xdr:rowOff>
    </xdr:to>
    <xdr:sp macro="" textlink="">
      <xdr:nvSpPr>
        <xdr:cNvPr id="6" name="CuadroTexto 2">
          <a:extLst>
            <a:ext uri="{FF2B5EF4-FFF2-40B4-BE49-F238E27FC236}">
              <a16:creationId xmlns:a16="http://schemas.microsoft.com/office/drawing/2014/main" id="{8587D218-959D-45F1-8620-EDEFAA76CF39}"/>
            </a:ext>
          </a:extLst>
        </xdr:cNvPr>
        <xdr:cNvSpPr txBox="1"/>
      </xdr:nvSpPr>
      <xdr:spPr>
        <a:xfrm>
          <a:off x="9384195" y="2791238"/>
          <a:ext cx="853109"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100" b="1">
              <a:solidFill>
                <a:schemeClr val="tx2">
                  <a:lumMod val="60000"/>
                  <a:lumOff val="40000"/>
                </a:schemeClr>
              </a:solidFill>
            </a:rPr>
            <a:t>PENSIONES</a:t>
          </a:r>
        </a:p>
      </xdr:txBody>
    </xdr:sp>
    <xdr:clientData/>
  </xdr:twoCellAnchor>
  <xdr:twoCellAnchor>
    <xdr:from>
      <xdr:col>3</xdr:col>
      <xdr:colOff>376031</xdr:colOff>
      <xdr:row>27</xdr:row>
      <xdr:rowOff>28162</xdr:rowOff>
    </xdr:from>
    <xdr:to>
      <xdr:col>4</xdr:col>
      <xdr:colOff>215350</xdr:colOff>
      <xdr:row>28</xdr:row>
      <xdr:rowOff>77858</xdr:rowOff>
    </xdr:to>
    <xdr:sp macro="" textlink="">
      <xdr:nvSpPr>
        <xdr:cNvPr id="7" name="CuadroTexto 3">
          <a:extLst>
            <a:ext uri="{FF2B5EF4-FFF2-40B4-BE49-F238E27FC236}">
              <a16:creationId xmlns:a16="http://schemas.microsoft.com/office/drawing/2014/main" id="{A921A9C9-820E-4CAF-854C-39006CD45DCB}"/>
            </a:ext>
          </a:extLst>
        </xdr:cNvPr>
        <xdr:cNvSpPr txBox="1"/>
      </xdr:nvSpPr>
      <xdr:spPr>
        <a:xfrm>
          <a:off x="2032553" y="2769705"/>
          <a:ext cx="1098275" cy="2401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100" b="1">
              <a:solidFill>
                <a:schemeClr val="tx2">
                  <a:lumMod val="60000"/>
                  <a:lumOff val="40000"/>
                </a:schemeClr>
              </a:solidFill>
            </a:rPr>
            <a:t>MONTO</a:t>
          </a:r>
        </a:p>
      </xdr:txBody>
    </xdr:sp>
    <xdr:clientData/>
  </xdr:twoCellAnchor>
  <xdr:twoCellAnchor editAs="oneCell">
    <xdr:from>
      <xdr:col>11</xdr:col>
      <xdr:colOff>24848</xdr:colOff>
      <xdr:row>1</xdr:row>
      <xdr:rowOff>33131</xdr:rowOff>
    </xdr:from>
    <xdr:to>
      <xdr:col>12</xdr:col>
      <xdr:colOff>475007</xdr:colOff>
      <xdr:row>4</xdr:row>
      <xdr:rowOff>171924</xdr:rowOff>
    </xdr:to>
    <xdr:pic>
      <xdr:nvPicPr>
        <xdr:cNvPr id="8" name="Imagen 7" descr="Información básica sobre servicios al público - Ministerio de Hacienda y  Economía">
          <a:extLst>
            <a:ext uri="{FF2B5EF4-FFF2-40B4-BE49-F238E27FC236}">
              <a16:creationId xmlns:a16="http://schemas.microsoft.com/office/drawing/2014/main" id="{35358A39-71D1-465B-BC0A-791680D4AC8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914283" y="223631"/>
          <a:ext cx="1515717"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oneCellAnchor>
    <xdr:from>
      <xdr:col>2</xdr:col>
      <xdr:colOff>198783</xdr:colOff>
      <xdr:row>1</xdr:row>
      <xdr:rowOff>82827</xdr:rowOff>
    </xdr:from>
    <xdr:ext cx="989857" cy="622788"/>
    <xdr:pic>
      <xdr:nvPicPr>
        <xdr:cNvPr id="12" name="Picture 9">
          <a:extLst>
            <a:ext uri="{FF2B5EF4-FFF2-40B4-BE49-F238E27FC236}">
              <a16:creationId xmlns:a16="http://schemas.microsoft.com/office/drawing/2014/main" id="{00000000-0008-0000-0900-00000C000000}"/>
            </a:ext>
          </a:extLst>
        </xdr:cNvPr>
        <xdr:cNvPicPr>
          <a:picLocks noChangeAspect="1"/>
        </xdr:cNvPicPr>
      </xdr:nvPicPr>
      <xdr:blipFill>
        <a:blip xmlns:r="http://schemas.openxmlformats.org/officeDocument/2006/relationships" r:embed="rId1"/>
        <a:stretch>
          <a:fillRect/>
        </a:stretch>
      </xdr:blipFill>
      <xdr:spPr>
        <a:xfrm>
          <a:off x="9433892" y="82827"/>
          <a:ext cx="989857" cy="622788"/>
        </a:xfrm>
        <a:prstGeom prst="rect">
          <a:avLst/>
        </a:prstGeom>
      </xdr:spPr>
    </xdr:pic>
    <xdr:clientData/>
  </xdr:oneCellAnchor>
  <xdr:twoCellAnchor>
    <xdr:from>
      <xdr:col>15</xdr:col>
      <xdr:colOff>11538</xdr:colOff>
      <xdr:row>8</xdr:row>
      <xdr:rowOff>349233</xdr:rowOff>
    </xdr:from>
    <xdr:to>
      <xdr:col>19</xdr:col>
      <xdr:colOff>932414</xdr:colOff>
      <xdr:row>23</xdr:row>
      <xdr:rowOff>95044</xdr:rowOff>
    </xdr:to>
    <xdr:graphicFrame macro="">
      <xdr:nvGraphicFramePr>
        <xdr:cNvPr id="3" name="Gráfico 2">
          <a:extLst>
            <a:ext uri="{FF2B5EF4-FFF2-40B4-BE49-F238E27FC236}">
              <a16:creationId xmlns:a16="http://schemas.microsoft.com/office/drawing/2014/main"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637008</xdr:colOff>
      <xdr:row>8</xdr:row>
      <xdr:rowOff>375728</xdr:rowOff>
    </xdr:from>
    <xdr:to>
      <xdr:col>25</xdr:col>
      <xdr:colOff>221371</xdr:colOff>
      <xdr:row>23</xdr:row>
      <xdr:rowOff>115352</xdr:rowOff>
    </xdr:to>
    <xdr:graphicFrame macro="">
      <xdr:nvGraphicFramePr>
        <xdr:cNvPr id="14" name="Gráfico 13">
          <a:extLst>
            <a:ext uri="{FF2B5EF4-FFF2-40B4-BE49-F238E27FC236}">
              <a16:creationId xmlns:a16="http://schemas.microsoft.com/office/drawing/2014/main" id="{00000000-0008-0000-09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16</xdr:col>
      <xdr:colOff>1000125</xdr:colOff>
      <xdr:row>5</xdr:row>
      <xdr:rowOff>57150</xdr:rowOff>
    </xdr:from>
    <xdr:to>
      <xdr:col>18</xdr:col>
      <xdr:colOff>411162</xdr:colOff>
      <xdr:row>8</xdr:row>
      <xdr:rowOff>186418</xdr:rowOff>
    </xdr:to>
    <xdr:pic>
      <xdr:nvPicPr>
        <xdr:cNvPr id="2" name="Imagen 1" descr="Información básica sobre servicios al público - Ministerio de Hacienda y  Economía">
          <a:extLst>
            <a:ext uri="{FF2B5EF4-FFF2-40B4-BE49-F238E27FC236}">
              <a16:creationId xmlns:a16="http://schemas.microsoft.com/office/drawing/2014/main" id="{D6967D4E-830F-4EB0-85CF-46362BE7B4E6}"/>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6173450" y="1009650"/>
          <a:ext cx="1182687"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428625</xdr:colOff>
      <xdr:row>1</xdr:row>
      <xdr:rowOff>95250</xdr:rowOff>
    </xdr:from>
    <xdr:to>
      <xdr:col>13</xdr:col>
      <xdr:colOff>66675</xdr:colOff>
      <xdr:row>5</xdr:row>
      <xdr:rowOff>133350</xdr:rowOff>
    </xdr:to>
    <xdr:pic>
      <xdr:nvPicPr>
        <xdr:cNvPr id="4" name="Imagen 3" descr="Información básica sobre servicios al público - Ministerio de Hacienda y  Economía">
          <a:extLst>
            <a:ext uri="{FF2B5EF4-FFF2-40B4-BE49-F238E27FC236}">
              <a16:creationId xmlns:a16="http://schemas.microsoft.com/office/drawing/2014/main" id="{C092E11E-F6C3-4699-BE31-12B022904C4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0858500" y="285750"/>
          <a:ext cx="1638300" cy="800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1181100</xdr:colOff>
      <xdr:row>5</xdr:row>
      <xdr:rowOff>47625</xdr:rowOff>
    </xdr:from>
    <xdr:to>
      <xdr:col>23</xdr:col>
      <xdr:colOff>287337</xdr:colOff>
      <xdr:row>8</xdr:row>
      <xdr:rowOff>176893</xdr:rowOff>
    </xdr:to>
    <xdr:pic>
      <xdr:nvPicPr>
        <xdr:cNvPr id="5" name="Imagen 4" descr="Información básica sobre servicios al público - Ministerio de Hacienda y  Economía">
          <a:extLst>
            <a:ext uri="{FF2B5EF4-FFF2-40B4-BE49-F238E27FC236}">
              <a16:creationId xmlns:a16="http://schemas.microsoft.com/office/drawing/2014/main" id="{FEE1D343-7F07-4D4B-9E76-C083199EAF0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1450300" y="1000125"/>
          <a:ext cx="1182687"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109904</xdr:colOff>
      <xdr:row>2</xdr:row>
      <xdr:rowOff>73270</xdr:rowOff>
    </xdr:from>
    <xdr:to>
      <xdr:col>5</xdr:col>
      <xdr:colOff>288916</xdr:colOff>
      <xdr:row>5</xdr:row>
      <xdr:rowOff>124559</xdr:rowOff>
    </xdr:to>
    <xdr:pic>
      <xdr:nvPicPr>
        <xdr:cNvPr id="5" name="Picture 4">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1"/>
        <a:stretch>
          <a:fillRect/>
        </a:stretch>
      </xdr:blipFill>
      <xdr:spPr>
        <a:xfrm>
          <a:off x="2718289" y="263770"/>
          <a:ext cx="989857" cy="622788"/>
        </a:xfrm>
        <a:prstGeom prst="rect">
          <a:avLst/>
        </a:prstGeom>
      </xdr:spPr>
    </xdr:pic>
    <xdr:clientData/>
  </xdr:twoCellAnchor>
  <xdr:twoCellAnchor>
    <xdr:from>
      <xdr:col>5</xdr:col>
      <xdr:colOff>325904</xdr:colOff>
      <xdr:row>30</xdr:row>
      <xdr:rowOff>169208</xdr:rowOff>
    </xdr:from>
    <xdr:to>
      <xdr:col>10</xdr:col>
      <xdr:colOff>419660</xdr:colOff>
      <xdr:row>46</xdr:row>
      <xdr:rowOff>100291</xdr:rowOff>
    </xdr:to>
    <xdr:graphicFrame macro="">
      <xdr:nvGraphicFramePr>
        <xdr:cNvPr id="3" name="Gráfico 2">
          <a:extLst>
            <a:ext uri="{FF2B5EF4-FFF2-40B4-BE49-F238E27FC236}">
              <a16:creationId xmlns:a16="http://schemas.microsoft.com/office/drawing/2014/main" id="{00000000-0008-0000-0B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15</xdr:col>
      <xdr:colOff>84667</xdr:colOff>
      <xdr:row>1</xdr:row>
      <xdr:rowOff>31750</xdr:rowOff>
    </xdr:from>
    <xdr:to>
      <xdr:col>15</xdr:col>
      <xdr:colOff>1386416</xdr:colOff>
      <xdr:row>4</xdr:row>
      <xdr:rowOff>170543</xdr:rowOff>
    </xdr:to>
    <xdr:pic>
      <xdr:nvPicPr>
        <xdr:cNvPr id="2" name="Imagen 1" descr="Información básica sobre servicios al público - Ministerio de Hacienda y  Economía">
          <a:extLst>
            <a:ext uri="{FF2B5EF4-FFF2-40B4-BE49-F238E27FC236}">
              <a16:creationId xmlns:a16="http://schemas.microsoft.com/office/drawing/2014/main" id="{E8D19A76-6BA7-444A-9EC9-48DCC8C3C89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5282334" y="222250"/>
          <a:ext cx="1301749"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5</xdr:col>
      <xdr:colOff>419100</xdr:colOff>
      <xdr:row>31</xdr:row>
      <xdr:rowOff>37902</xdr:rowOff>
    </xdr:from>
    <xdr:to>
      <xdr:col>10</xdr:col>
      <xdr:colOff>97491</xdr:colOff>
      <xdr:row>50</xdr:row>
      <xdr:rowOff>123825</xdr:rowOff>
    </xdr:to>
    <xdr:graphicFrame macro="">
      <xdr:nvGraphicFramePr>
        <xdr:cNvPr id="7" name="6 Gráfico">
          <a:extLst>
            <a:ext uri="{FF2B5EF4-FFF2-40B4-BE49-F238E27FC236}">
              <a16:creationId xmlns:a16="http://schemas.microsoft.com/office/drawing/2014/main" id="{00000000-0008-0000-0C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104775</xdr:colOff>
      <xdr:row>29</xdr:row>
      <xdr:rowOff>13065</xdr:rowOff>
    </xdr:from>
    <xdr:to>
      <xdr:col>8</xdr:col>
      <xdr:colOff>571500</xdr:colOff>
      <xdr:row>30</xdr:row>
      <xdr:rowOff>86334</xdr:rowOff>
    </xdr:to>
    <xdr:sp macro="" textlink="">
      <xdr:nvSpPr>
        <xdr:cNvPr id="4" name="3 CuadroTexto">
          <a:extLst>
            <a:ext uri="{FF2B5EF4-FFF2-40B4-BE49-F238E27FC236}">
              <a16:creationId xmlns:a16="http://schemas.microsoft.com/office/drawing/2014/main" id="{00000000-0008-0000-0C00-000004000000}"/>
            </a:ext>
          </a:extLst>
        </xdr:cNvPr>
        <xdr:cNvSpPr txBox="1"/>
      </xdr:nvSpPr>
      <xdr:spPr>
        <a:xfrm>
          <a:off x="3200400" y="3003915"/>
          <a:ext cx="2581275" cy="2637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DO" sz="1100" b="1">
              <a:solidFill>
                <a:schemeClr val="tx2">
                  <a:lumMod val="60000"/>
                  <a:lumOff val="40000"/>
                </a:schemeClr>
              </a:solidFill>
            </a:rPr>
            <a:t>Pago de Retroactivos</a:t>
          </a:r>
        </a:p>
      </xdr:txBody>
    </xdr:sp>
    <xdr:clientData/>
  </xdr:twoCellAnchor>
  <xdr:twoCellAnchor editAs="oneCell">
    <xdr:from>
      <xdr:col>4</xdr:col>
      <xdr:colOff>51288</xdr:colOff>
      <xdr:row>1</xdr:row>
      <xdr:rowOff>46892</xdr:rowOff>
    </xdr:from>
    <xdr:to>
      <xdr:col>5</xdr:col>
      <xdr:colOff>439159</xdr:colOff>
      <xdr:row>4</xdr:row>
      <xdr:rowOff>98180</xdr:rowOff>
    </xdr:to>
    <xdr:pic>
      <xdr:nvPicPr>
        <xdr:cNvPr id="12" name="Picture 11">
          <a:extLst>
            <a:ext uri="{FF2B5EF4-FFF2-40B4-BE49-F238E27FC236}">
              <a16:creationId xmlns:a16="http://schemas.microsoft.com/office/drawing/2014/main" id="{00000000-0008-0000-0C00-00000C000000}"/>
            </a:ext>
          </a:extLst>
        </xdr:cNvPr>
        <xdr:cNvPicPr>
          <a:picLocks noChangeAspect="1"/>
        </xdr:cNvPicPr>
      </xdr:nvPicPr>
      <xdr:blipFill>
        <a:blip xmlns:r="http://schemas.openxmlformats.org/officeDocument/2006/relationships" r:embed="rId2"/>
        <a:stretch>
          <a:fillRect/>
        </a:stretch>
      </xdr:blipFill>
      <xdr:spPr>
        <a:xfrm>
          <a:off x="1584813" y="237392"/>
          <a:ext cx="987946" cy="622788"/>
        </a:xfrm>
        <a:prstGeom prst="rect">
          <a:avLst/>
        </a:prstGeom>
      </xdr:spPr>
    </xdr:pic>
    <xdr:clientData/>
  </xdr:twoCellAnchor>
  <xdr:twoCellAnchor editAs="oneCell">
    <xdr:from>
      <xdr:col>10</xdr:col>
      <xdr:colOff>485775</xdr:colOff>
      <xdr:row>1</xdr:row>
      <xdr:rowOff>38100</xdr:rowOff>
    </xdr:from>
    <xdr:to>
      <xdr:col>11</xdr:col>
      <xdr:colOff>1009650</xdr:colOff>
      <xdr:row>4</xdr:row>
      <xdr:rowOff>176893</xdr:rowOff>
    </xdr:to>
    <xdr:pic>
      <xdr:nvPicPr>
        <xdr:cNvPr id="2" name="Imagen 1" descr="Información básica sobre servicios al público - Ministerio de Hacienda y  Economía">
          <a:extLst>
            <a:ext uri="{FF2B5EF4-FFF2-40B4-BE49-F238E27FC236}">
              <a16:creationId xmlns:a16="http://schemas.microsoft.com/office/drawing/2014/main" id="{0E332AE1-E6A5-4F96-9383-3C44FBE83A5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591425" y="228600"/>
          <a:ext cx="1362075"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222738</xdr:colOff>
      <xdr:row>1</xdr:row>
      <xdr:rowOff>46892</xdr:rowOff>
    </xdr:from>
    <xdr:to>
      <xdr:col>2</xdr:col>
      <xdr:colOff>677730</xdr:colOff>
      <xdr:row>4</xdr:row>
      <xdr:rowOff>98180</xdr:rowOff>
    </xdr:to>
    <xdr:pic>
      <xdr:nvPicPr>
        <xdr:cNvPr id="4" name="Picture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a:stretch>
          <a:fillRect/>
        </a:stretch>
      </xdr:blipFill>
      <xdr:spPr>
        <a:xfrm>
          <a:off x="984738" y="237392"/>
          <a:ext cx="1188417" cy="622788"/>
        </a:xfrm>
        <a:prstGeom prst="rect">
          <a:avLst/>
        </a:prstGeom>
      </xdr:spPr>
    </xdr:pic>
    <xdr:clientData/>
  </xdr:twoCellAnchor>
  <xdr:twoCellAnchor editAs="oneCell">
    <xdr:from>
      <xdr:col>6</xdr:col>
      <xdr:colOff>219808</xdr:colOff>
      <xdr:row>1</xdr:row>
      <xdr:rowOff>14654</xdr:rowOff>
    </xdr:from>
    <xdr:to>
      <xdr:col>9</xdr:col>
      <xdr:colOff>261573</xdr:colOff>
      <xdr:row>4</xdr:row>
      <xdr:rowOff>1092</xdr:rowOff>
    </xdr:to>
    <xdr:pic>
      <xdr:nvPicPr>
        <xdr:cNvPr id="5" name="Picture 4">
          <a:extLst>
            <a:ext uri="{FF2B5EF4-FFF2-40B4-BE49-F238E27FC236}">
              <a16:creationId xmlns:a16="http://schemas.microsoft.com/office/drawing/2014/main" id="{00000000-0008-0000-0D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25233" y="205154"/>
          <a:ext cx="2242040" cy="557938"/>
        </a:xfrm>
        <a:prstGeom prst="rect">
          <a:avLst/>
        </a:prstGeom>
      </xdr:spPr>
    </xdr:pic>
    <xdr:clientData/>
  </xdr:twoCellAnchor>
  <xdr:twoCellAnchor>
    <xdr:from>
      <xdr:col>9</xdr:col>
      <xdr:colOff>247650</xdr:colOff>
      <xdr:row>1</xdr:row>
      <xdr:rowOff>185737</xdr:rowOff>
    </xdr:from>
    <xdr:to>
      <xdr:col>14</xdr:col>
      <xdr:colOff>971550</xdr:colOff>
      <xdr:row>29</xdr:row>
      <xdr:rowOff>14287</xdr:rowOff>
    </xdr:to>
    <xdr:graphicFrame macro="">
      <xdr:nvGraphicFramePr>
        <xdr:cNvPr id="6" name="Chart 5">
          <a:extLst>
            <a:ext uri="{FF2B5EF4-FFF2-40B4-BE49-F238E27FC236}">
              <a16:creationId xmlns:a16="http://schemas.microsoft.com/office/drawing/2014/main" id="{00000000-0008-0000-0D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498230</xdr:colOff>
      <xdr:row>2</xdr:row>
      <xdr:rowOff>109903</xdr:rowOff>
    </xdr:from>
    <xdr:to>
      <xdr:col>13</xdr:col>
      <xdr:colOff>747345</xdr:colOff>
      <xdr:row>3</xdr:row>
      <xdr:rowOff>183172</xdr:rowOff>
    </xdr:to>
    <xdr:sp macro="" textlink="">
      <xdr:nvSpPr>
        <xdr:cNvPr id="3" name="3 CuadroTexto">
          <a:extLst>
            <a:ext uri="{FF2B5EF4-FFF2-40B4-BE49-F238E27FC236}">
              <a16:creationId xmlns:a16="http://schemas.microsoft.com/office/drawing/2014/main" id="{00000000-0008-0000-0E00-000003000000}"/>
            </a:ext>
          </a:extLst>
        </xdr:cNvPr>
        <xdr:cNvSpPr txBox="1"/>
      </xdr:nvSpPr>
      <xdr:spPr>
        <a:xfrm>
          <a:off x="10137530" y="490903"/>
          <a:ext cx="1792165" cy="2637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DO" sz="1100" b="1">
              <a:solidFill>
                <a:schemeClr val="tx2">
                  <a:lumMod val="60000"/>
                  <a:lumOff val="40000"/>
                </a:schemeClr>
              </a:solidFill>
            </a:rPr>
            <a:t>Créditos</a:t>
          </a:r>
          <a:r>
            <a:rPr lang="es-DO" sz="1100" b="1" baseline="0">
              <a:solidFill>
                <a:schemeClr val="tx2">
                  <a:lumMod val="60000"/>
                  <a:lumOff val="40000"/>
                </a:schemeClr>
              </a:solidFill>
            </a:rPr>
            <a:t> Rechazados</a:t>
          </a:r>
          <a:endParaRPr lang="es-DO" sz="1100" b="1">
            <a:solidFill>
              <a:schemeClr val="tx2">
                <a:lumMod val="60000"/>
                <a:lumOff val="40000"/>
              </a:schemeClr>
            </a:solidFill>
          </a:endParaRPr>
        </a:p>
      </xdr:txBody>
    </xdr:sp>
    <xdr:clientData/>
  </xdr:twoCellAnchor>
  <xdr:twoCellAnchor editAs="oneCell">
    <xdr:from>
      <xdr:col>1</xdr:col>
      <xdr:colOff>365613</xdr:colOff>
      <xdr:row>0</xdr:row>
      <xdr:rowOff>189767</xdr:rowOff>
    </xdr:from>
    <xdr:to>
      <xdr:col>2</xdr:col>
      <xdr:colOff>820605</xdr:colOff>
      <xdr:row>4</xdr:row>
      <xdr:rowOff>50555</xdr:rowOff>
    </xdr:to>
    <xdr:pic>
      <xdr:nvPicPr>
        <xdr:cNvPr id="4" name="Picture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a:stretch>
          <a:fillRect/>
        </a:stretch>
      </xdr:blipFill>
      <xdr:spPr>
        <a:xfrm>
          <a:off x="1127613" y="189767"/>
          <a:ext cx="1188417" cy="622788"/>
        </a:xfrm>
        <a:prstGeom prst="rect">
          <a:avLst/>
        </a:prstGeom>
      </xdr:spPr>
    </xdr:pic>
    <xdr:clientData/>
  </xdr:twoCellAnchor>
  <xdr:twoCellAnchor editAs="oneCell">
    <xdr:from>
      <xdr:col>6</xdr:col>
      <xdr:colOff>0</xdr:colOff>
      <xdr:row>1</xdr:row>
      <xdr:rowOff>43962</xdr:rowOff>
    </xdr:from>
    <xdr:to>
      <xdr:col>8</xdr:col>
      <xdr:colOff>908540</xdr:colOff>
      <xdr:row>4</xdr:row>
      <xdr:rowOff>30400</xdr:rowOff>
    </xdr:to>
    <xdr:pic>
      <xdr:nvPicPr>
        <xdr:cNvPr id="5" name="Picture 4">
          <a:extLst>
            <a:ext uri="{FF2B5EF4-FFF2-40B4-BE49-F238E27FC236}">
              <a16:creationId xmlns:a16="http://schemas.microsoft.com/office/drawing/2014/main" id="{00000000-0008-0000-0E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05425" y="234462"/>
          <a:ext cx="2242040" cy="557938"/>
        </a:xfrm>
        <a:prstGeom prst="rect">
          <a:avLst/>
        </a:prstGeom>
      </xdr:spPr>
    </xdr:pic>
    <xdr:clientData/>
  </xdr:twoCellAnchor>
  <xdr:twoCellAnchor>
    <xdr:from>
      <xdr:col>9</xdr:col>
      <xdr:colOff>285750</xdr:colOff>
      <xdr:row>2</xdr:row>
      <xdr:rowOff>119062</xdr:rowOff>
    </xdr:from>
    <xdr:to>
      <xdr:col>14</xdr:col>
      <xdr:colOff>1009650</xdr:colOff>
      <xdr:row>28</xdr:row>
      <xdr:rowOff>138112</xdr:rowOff>
    </xdr:to>
    <xdr:graphicFrame macro="">
      <xdr:nvGraphicFramePr>
        <xdr:cNvPr id="6" name="Chart 5">
          <a:extLst>
            <a:ext uri="{FF2B5EF4-FFF2-40B4-BE49-F238E27FC236}">
              <a16:creationId xmlns:a16="http://schemas.microsoft.com/office/drawing/2014/main" id="{00000000-0008-0000-0E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47625</xdr:colOff>
      <xdr:row>2</xdr:row>
      <xdr:rowOff>89547</xdr:rowOff>
    </xdr:from>
    <xdr:to>
      <xdr:col>3</xdr:col>
      <xdr:colOff>425971</xdr:colOff>
      <xdr:row>5</xdr:row>
      <xdr:rowOff>140835</xdr:rowOff>
    </xdr:to>
    <xdr:pic>
      <xdr:nvPicPr>
        <xdr:cNvPr id="2" name="Picture 1">
          <a:extLst>
            <a:ext uri="{FF2B5EF4-FFF2-40B4-BE49-F238E27FC236}">
              <a16:creationId xmlns:a16="http://schemas.microsoft.com/office/drawing/2014/main" id="{1FD885CE-A212-4769-998C-D1677A36476A}"/>
            </a:ext>
          </a:extLst>
        </xdr:cNvPr>
        <xdr:cNvPicPr>
          <a:picLocks noChangeAspect="1"/>
        </xdr:cNvPicPr>
      </xdr:nvPicPr>
      <xdr:blipFill>
        <a:blip xmlns:r="http://schemas.openxmlformats.org/officeDocument/2006/relationships" r:embed="rId1"/>
        <a:stretch>
          <a:fillRect/>
        </a:stretch>
      </xdr:blipFill>
      <xdr:spPr>
        <a:xfrm>
          <a:off x="1981200" y="280047"/>
          <a:ext cx="987946" cy="622788"/>
        </a:xfrm>
        <a:prstGeom prst="rect">
          <a:avLst/>
        </a:prstGeom>
      </xdr:spPr>
    </xdr:pic>
    <xdr:clientData/>
  </xdr:twoCellAnchor>
  <xdr:twoCellAnchor editAs="oneCell">
    <xdr:from>
      <xdr:col>7</xdr:col>
      <xdr:colOff>342900</xdr:colOff>
      <xdr:row>1</xdr:row>
      <xdr:rowOff>76200</xdr:rowOff>
    </xdr:from>
    <xdr:to>
      <xdr:col>9</xdr:col>
      <xdr:colOff>30162</xdr:colOff>
      <xdr:row>5</xdr:row>
      <xdr:rowOff>24493</xdr:rowOff>
    </xdr:to>
    <xdr:pic>
      <xdr:nvPicPr>
        <xdr:cNvPr id="4" name="Imagen 3" descr="Información básica sobre servicios al público - Ministerio de Hacienda y  Economía">
          <a:extLst>
            <a:ext uri="{FF2B5EF4-FFF2-40B4-BE49-F238E27FC236}">
              <a16:creationId xmlns:a16="http://schemas.microsoft.com/office/drawing/2014/main" id="{CFE70733-F131-42CD-AFFA-4F188DABBD3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24675" y="266700"/>
          <a:ext cx="1182687"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2333</xdr:colOff>
      <xdr:row>28</xdr:row>
      <xdr:rowOff>188966</xdr:rowOff>
    </xdr:from>
    <xdr:to>
      <xdr:col>5</xdr:col>
      <xdr:colOff>584889</xdr:colOff>
      <xdr:row>40</xdr:row>
      <xdr:rowOff>132549</xdr:rowOff>
    </xdr:to>
    <xdr:graphicFrame macro="">
      <xdr:nvGraphicFramePr>
        <xdr:cNvPr id="16" name="10 Gráfico">
          <a:extLst>
            <a:ext uri="{FF2B5EF4-FFF2-40B4-BE49-F238E27FC236}">
              <a16:creationId xmlns:a16="http://schemas.microsoft.com/office/drawing/2014/main" id="{7412F171-EEEB-49E2-966D-2F1CACD4AD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588089</xdr:colOff>
      <xdr:row>66</xdr:row>
      <xdr:rowOff>44161</xdr:rowOff>
    </xdr:from>
    <xdr:to>
      <xdr:col>18</xdr:col>
      <xdr:colOff>702388</xdr:colOff>
      <xdr:row>67</xdr:row>
      <xdr:rowOff>120361</xdr:rowOff>
    </xdr:to>
    <xdr:sp macro="" textlink="">
      <xdr:nvSpPr>
        <xdr:cNvPr id="3" name="1 CuadroTexto">
          <a:extLst>
            <a:ext uri="{FF2B5EF4-FFF2-40B4-BE49-F238E27FC236}">
              <a16:creationId xmlns:a16="http://schemas.microsoft.com/office/drawing/2014/main" id="{7E3A95FC-AC94-4EE6-8655-9FEDB168D4F6}"/>
            </a:ext>
          </a:extLst>
        </xdr:cNvPr>
        <xdr:cNvSpPr txBox="1"/>
      </xdr:nvSpPr>
      <xdr:spPr>
        <a:xfrm>
          <a:off x="12018089" y="12426661"/>
          <a:ext cx="1638299" cy="2667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100" b="1">
              <a:solidFill>
                <a:schemeClr val="accent1"/>
              </a:solidFill>
            </a:rPr>
            <a:t>Afiliados/Cotizantes</a:t>
          </a:r>
        </a:p>
      </xdr:txBody>
    </xdr:sp>
    <xdr:clientData/>
  </xdr:twoCellAnchor>
  <xdr:twoCellAnchor>
    <xdr:from>
      <xdr:col>7</xdr:col>
      <xdr:colOff>523417</xdr:colOff>
      <xdr:row>26</xdr:row>
      <xdr:rowOff>4587</xdr:rowOff>
    </xdr:from>
    <xdr:to>
      <xdr:col>9</xdr:col>
      <xdr:colOff>755681</xdr:colOff>
      <xdr:row>27</xdr:row>
      <xdr:rowOff>80787</xdr:rowOff>
    </xdr:to>
    <xdr:sp macro="" textlink="">
      <xdr:nvSpPr>
        <xdr:cNvPr id="4" name="2 CuadroTexto">
          <a:extLst>
            <a:ext uri="{FF2B5EF4-FFF2-40B4-BE49-F238E27FC236}">
              <a16:creationId xmlns:a16="http://schemas.microsoft.com/office/drawing/2014/main" id="{1641605F-E6E2-484F-A7BE-C823C39B7978}"/>
            </a:ext>
          </a:extLst>
        </xdr:cNvPr>
        <xdr:cNvSpPr txBox="1"/>
      </xdr:nvSpPr>
      <xdr:spPr>
        <a:xfrm>
          <a:off x="6019342" y="2938287"/>
          <a:ext cx="1870564" cy="2667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100" b="1">
              <a:solidFill>
                <a:schemeClr val="accent1"/>
              </a:solidFill>
            </a:rPr>
            <a:t>Afiliados/No Cotizantes</a:t>
          </a:r>
        </a:p>
      </xdr:txBody>
    </xdr:sp>
    <xdr:clientData/>
  </xdr:twoCellAnchor>
  <xdr:oneCellAnchor>
    <xdr:from>
      <xdr:col>1</xdr:col>
      <xdr:colOff>346908</xdr:colOff>
      <xdr:row>1</xdr:row>
      <xdr:rowOff>113567</xdr:rowOff>
    </xdr:from>
    <xdr:ext cx="871814" cy="549520"/>
    <xdr:pic>
      <xdr:nvPicPr>
        <xdr:cNvPr id="5" name="Picture 8">
          <a:extLst>
            <a:ext uri="{FF2B5EF4-FFF2-40B4-BE49-F238E27FC236}">
              <a16:creationId xmlns:a16="http://schemas.microsoft.com/office/drawing/2014/main" id="{4DD5A5D0-8A9D-405C-BF51-D9919A6643E5}"/>
            </a:ext>
          </a:extLst>
        </xdr:cNvPr>
        <xdr:cNvPicPr>
          <a:picLocks noChangeAspect="1"/>
        </xdr:cNvPicPr>
      </xdr:nvPicPr>
      <xdr:blipFill>
        <a:blip xmlns:r="http://schemas.openxmlformats.org/officeDocument/2006/relationships" r:embed="rId2"/>
        <a:stretch>
          <a:fillRect/>
        </a:stretch>
      </xdr:blipFill>
      <xdr:spPr>
        <a:xfrm>
          <a:off x="346908" y="304067"/>
          <a:ext cx="871814" cy="549520"/>
        </a:xfrm>
        <a:prstGeom prst="rect">
          <a:avLst/>
        </a:prstGeom>
      </xdr:spPr>
    </xdr:pic>
    <xdr:clientData/>
  </xdr:oneCellAnchor>
  <xdr:twoCellAnchor>
    <xdr:from>
      <xdr:col>6</xdr:col>
      <xdr:colOff>119579</xdr:colOff>
      <xdr:row>28</xdr:row>
      <xdr:rowOff>119457</xdr:rowOff>
    </xdr:from>
    <xdr:to>
      <xdr:col>11</xdr:col>
      <xdr:colOff>684590</xdr:colOff>
      <xdr:row>40</xdr:row>
      <xdr:rowOff>57807</xdr:rowOff>
    </xdr:to>
    <xdr:graphicFrame macro="">
      <xdr:nvGraphicFramePr>
        <xdr:cNvPr id="6" name="10 Gráfico">
          <a:extLst>
            <a:ext uri="{FF2B5EF4-FFF2-40B4-BE49-F238E27FC236}">
              <a16:creationId xmlns:a16="http://schemas.microsoft.com/office/drawing/2014/main" id="{3C96AE7C-3C81-42F8-9061-2945E252F7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552450</xdr:colOff>
      <xdr:row>42</xdr:row>
      <xdr:rowOff>105670</xdr:rowOff>
    </xdr:from>
    <xdr:to>
      <xdr:col>11</xdr:col>
      <xdr:colOff>723901</xdr:colOff>
      <xdr:row>53</xdr:row>
      <xdr:rowOff>171450</xdr:rowOff>
    </xdr:to>
    <xdr:graphicFrame macro="">
      <xdr:nvGraphicFramePr>
        <xdr:cNvPr id="7" name="Gráfico 6">
          <a:extLst>
            <a:ext uri="{FF2B5EF4-FFF2-40B4-BE49-F238E27FC236}">
              <a16:creationId xmlns:a16="http://schemas.microsoft.com/office/drawing/2014/main" id="{3918E741-4A5F-4509-AAD0-034771F7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323850</xdr:colOff>
      <xdr:row>26</xdr:row>
      <xdr:rowOff>23912</xdr:rowOff>
    </xdr:from>
    <xdr:to>
      <xdr:col>3</xdr:col>
      <xdr:colOff>209550</xdr:colOff>
      <xdr:row>27</xdr:row>
      <xdr:rowOff>100112</xdr:rowOff>
    </xdr:to>
    <xdr:sp macro="" textlink="">
      <xdr:nvSpPr>
        <xdr:cNvPr id="9" name="1 CuadroTexto">
          <a:extLst>
            <a:ext uri="{FF2B5EF4-FFF2-40B4-BE49-F238E27FC236}">
              <a16:creationId xmlns:a16="http://schemas.microsoft.com/office/drawing/2014/main" id="{53C8BA23-7508-4CB1-81D8-368BB9F6EE14}"/>
            </a:ext>
          </a:extLst>
        </xdr:cNvPr>
        <xdr:cNvSpPr txBox="1"/>
      </xdr:nvSpPr>
      <xdr:spPr>
        <a:xfrm>
          <a:off x="723900" y="2957612"/>
          <a:ext cx="1457325" cy="2667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100" b="1">
              <a:solidFill>
                <a:schemeClr val="accent1"/>
              </a:solidFill>
            </a:rPr>
            <a:t>Afiliados/Cotizantes</a:t>
          </a:r>
        </a:p>
      </xdr:txBody>
    </xdr:sp>
    <xdr:clientData/>
  </xdr:twoCellAnchor>
  <xdr:twoCellAnchor>
    <xdr:from>
      <xdr:col>0</xdr:col>
      <xdr:colOff>186576</xdr:colOff>
      <xdr:row>41</xdr:row>
      <xdr:rowOff>126625</xdr:rowOff>
    </xdr:from>
    <xdr:to>
      <xdr:col>6</xdr:col>
      <xdr:colOff>212350</xdr:colOff>
      <xdr:row>56</xdr:row>
      <xdr:rowOff>13446</xdr:rowOff>
    </xdr:to>
    <xdr:graphicFrame macro="">
      <xdr:nvGraphicFramePr>
        <xdr:cNvPr id="13" name="Gráfico 12">
          <a:extLst>
            <a:ext uri="{FF2B5EF4-FFF2-40B4-BE49-F238E27FC236}">
              <a16:creationId xmlns:a16="http://schemas.microsoft.com/office/drawing/2014/main" id="{FB5FE624-4100-C68A-BE51-0D04822C9B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6</xdr:col>
      <xdr:colOff>571500</xdr:colOff>
      <xdr:row>0</xdr:row>
      <xdr:rowOff>144517</xdr:rowOff>
    </xdr:from>
    <xdr:to>
      <xdr:col>7</xdr:col>
      <xdr:colOff>808256</xdr:colOff>
      <xdr:row>4</xdr:row>
      <xdr:rowOff>92810</xdr:rowOff>
    </xdr:to>
    <xdr:pic>
      <xdr:nvPicPr>
        <xdr:cNvPr id="10" name="Imagen 9" descr="Información básica sobre servicios al público - Ministerio de Hacienda y  Economía">
          <a:extLst>
            <a:ext uri="{FF2B5EF4-FFF2-40B4-BE49-F238E27FC236}">
              <a16:creationId xmlns:a16="http://schemas.microsoft.com/office/drawing/2014/main" id="{F9CF97AF-0C68-4377-AF2B-E2D6CEBC03C3}"/>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478517" y="144517"/>
          <a:ext cx="1182687"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1</xdr:col>
      <xdr:colOff>513708</xdr:colOff>
      <xdr:row>37</xdr:row>
      <xdr:rowOff>98668</xdr:rowOff>
    </xdr:from>
    <xdr:to>
      <xdr:col>6</xdr:col>
      <xdr:colOff>503603</xdr:colOff>
      <xdr:row>55</xdr:row>
      <xdr:rowOff>74916</xdr:rowOff>
    </xdr:to>
    <xdr:graphicFrame macro="">
      <xdr:nvGraphicFramePr>
        <xdr:cNvPr id="2" name="7 Gráfico">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373674</xdr:colOff>
      <xdr:row>2</xdr:row>
      <xdr:rowOff>87923</xdr:rowOff>
    </xdr:from>
    <xdr:ext cx="989857" cy="622788"/>
    <xdr:pic>
      <xdr:nvPicPr>
        <xdr:cNvPr id="4" name="Picture 3">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2"/>
        <a:stretch>
          <a:fillRect/>
        </a:stretch>
      </xdr:blipFill>
      <xdr:spPr>
        <a:xfrm>
          <a:off x="373674" y="7193573"/>
          <a:ext cx="989857" cy="622788"/>
        </a:xfrm>
        <a:prstGeom prst="rect">
          <a:avLst/>
        </a:prstGeom>
      </xdr:spPr>
    </xdr:pic>
    <xdr:clientData/>
  </xdr:oneCellAnchor>
  <xdr:twoCellAnchor>
    <xdr:from>
      <xdr:col>2</xdr:col>
      <xdr:colOff>836544</xdr:colOff>
      <xdr:row>35</xdr:row>
      <xdr:rowOff>107675</xdr:rowOff>
    </xdr:from>
    <xdr:to>
      <xdr:col>6</xdr:col>
      <xdr:colOff>91109</xdr:colOff>
      <xdr:row>37</xdr:row>
      <xdr:rowOff>182218</xdr:rowOff>
    </xdr:to>
    <xdr:sp macro="" textlink="">
      <xdr:nvSpPr>
        <xdr:cNvPr id="3" name="CuadroTexto 2">
          <a:extLst>
            <a:ext uri="{FF2B5EF4-FFF2-40B4-BE49-F238E27FC236}">
              <a16:creationId xmlns:a16="http://schemas.microsoft.com/office/drawing/2014/main" id="{53CF2A34-922B-238A-7CE5-F0C850928E51}"/>
            </a:ext>
          </a:extLst>
        </xdr:cNvPr>
        <xdr:cNvSpPr txBox="1"/>
      </xdr:nvSpPr>
      <xdr:spPr>
        <a:xfrm>
          <a:off x="1714501" y="2658718"/>
          <a:ext cx="2766391" cy="4555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rtl="0"/>
          <a:r>
            <a:rPr lang="es-ES" sz="1100" b="1" i="0" baseline="0">
              <a:solidFill>
                <a:schemeClr val="accent1"/>
              </a:solidFill>
              <a:effectLst/>
              <a:latin typeface="+mn-lt"/>
              <a:ea typeface="+mn-ea"/>
              <a:cs typeface="+mn-cs"/>
            </a:rPr>
            <a:t>Recuperación de Fondos</a:t>
          </a:r>
          <a:endParaRPr lang="es-DO">
            <a:solidFill>
              <a:schemeClr val="accent1"/>
            </a:solidFill>
            <a:effectLst/>
          </a:endParaRPr>
        </a:p>
        <a:p>
          <a:pPr algn="ctr" rtl="0"/>
          <a:r>
            <a:rPr lang="es-ES" sz="1100" b="1" i="0" baseline="0">
              <a:solidFill>
                <a:schemeClr val="accent1"/>
              </a:solidFill>
              <a:effectLst/>
              <a:latin typeface="+mn-lt"/>
              <a:ea typeface="+mn-ea"/>
              <a:cs typeface="+mn-cs"/>
            </a:rPr>
            <a:t>Monto solicitado / Total Recuperado</a:t>
          </a:r>
          <a:endParaRPr lang="es-DO">
            <a:solidFill>
              <a:schemeClr val="accent1"/>
            </a:solidFill>
            <a:effectLst/>
          </a:endParaRPr>
        </a:p>
        <a:p>
          <a:pPr algn="ctr"/>
          <a:endParaRPr lang="es-DO" sz="1100">
            <a:solidFill>
              <a:schemeClr val="accent1"/>
            </a:solidFill>
          </a:endParaRPr>
        </a:p>
      </xdr:txBody>
    </xdr:sp>
    <xdr:clientData/>
  </xdr:twoCellAnchor>
  <xdr:twoCellAnchor editAs="oneCell">
    <xdr:from>
      <xdr:col>6</xdr:col>
      <xdr:colOff>630116</xdr:colOff>
      <xdr:row>1</xdr:row>
      <xdr:rowOff>161192</xdr:rowOff>
    </xdr:from>
    <xdr:to>
      <xdr:col>8</xdr:col>
      <xdr:colOff>3053</xdr:colOff>
      <xdr:row>5</xdr:row>
      <xdr:rowOff>109485</xdr:rowOff>
    </xdr:to>
    <xdr:pic>
      <xdr:nvPicPr>
        <xdr:cNvPr id="6" name="Imagen 5" descr="Información básica sobre servicios al público - Ministerio de Hacienda y  Economía">
          <a:extLst>
            <a:ext uri="{FF2B5EF4-FFF2-40B4-BE49-F238E27FC236}">
              <a16:creationId xmlns:a16="http://schemas.microsoft.com/office/drawing/2014/main" id="{14A82CA0-EF61-4A68-91F6-B60C842090E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634404" y="351692"/>
          <a:ext cx="1182687"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17</xdr:col>
      <xdr:colOff>107674</xdr:colOff>
      <xdr:row>7</xdr:row>
      <xdr:rowOff>109572</xdr:rowOff>
    </xdr:from>
    <xdr:to>
      <xdr:col>23</xdr:col>
      <xdr:colOff>374375</xdr:colOff>
      <xdr:row>30</xdr:row>
      <xdr:rowOff>0</xdr:rowOff>
    </xdr:to>
    <xdr:graphicFrame macro="">
      <xdr:nvGraphicFramePr>
        <xdr:cNvPr id="2" name="4 Gráfico">
          <a:extLst>
            <a:ext uri="{FF2B5EF4-FFF2-40B4-BE49-F238E27FC236}">
              <a16:creationId xmlns:a16="http://schemas.microsoft.com/office/drawing/2014/main" id="{EB8C7D9B-4A77-4EDC-9951-73143E3618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123825</xdr:colOff>
      <xdr:row>4</xdr:row>
      <xdr:rowOff>0</xdr:rowOff>
    </xdr:from>
    <xdr:to>
      <xdr:col>1</xdr:col>
      <xdr:colOff>1113682</xdr:colOff>
      <xdr:row>7</xdr:row>
      <xdr:rowOff>51288</xdr:rowOff>
    </xdr:to>
    <xdr:pic>
      <xdr:nvPicPr>
        <xdr:cNvPr id="4" name="Picture 6">
          <a:extLst>
            <a:ext uri="{FF2B5EF4-FFF2-40B4-BE49-F238E27FC236}">
              <a16:creationId xmlns:a16="http://schemas.microsoft.com/office/drawing/2014/main" id="{4E139475-C5C1-4F7A-A4AC-42E9FCCA9145}"/>
            </a:ext>
          </a:extLst>
        </xdr:cNvPr>
        <xdr:cNvPicPr>
          <a:picLocks noChangeAspect="1"/>
        </xdr:cNvPicPr>
      </xdr:nvPicPr>
      <xdr:blipFill>
        <a:blip xmlns:r="http://schemas.openxmlformats.org/officeDocument/2006/relationships" r:embed="rId2"/>
        <a:stretch>
          <a:fillRect/>
        </a:stretch>
      </xdr:blipFill>
      <xdr:spPr>
        <a:xfrm>
          <a:off x="333375" y="762000"/>
          <a:ext cx="989857" cy="622788"/>
        </a:xfrm>
        <a:prstGeom prst="rect">
          <a:avLst/>
        </a:prstGeom>
      </xdr:spPr>
    </xdr:pic>
    <xdr:clientData/>
  </xdr:twoCellAnchor>
  <xdr:twoCellAnchor editAs="oneCell">
    <xdr:from>
      <xdr:col>11</xdr:col>
      <xdr:colOff>485775</xdr:colOff>
      <xdr:row>2</xdr:row>
      <xdr:rowOff>19050</xdr:rowOff>
    </xdr:from>
    <xdr:to>
      <xdr:col>16</xdr:col>
      <xdr:colOff>401389</xdr:colOff>
      <xdr:row>5</xdr:row>
      <xdr:rowOff>5488</xdr:rowOff>
    </xdr:to>
    <xdr:pic>
      <xdr:nvPicPr>
        <xdr:cNvPr id="5" name="Picture 7">
          <a:extLst>
            <a:ext uri="{FF2B5EF4-FFF2-40B4-BE49-F238E27FC236}">
              <a16:creationId xmlns:a16="http://schemas.microsoft.com/office/drawing/2014/main" id="{3A712D49-4EF3-40D0-B98E-E56A16EE554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743325" y="400050"/>
          <a:ext cx="2249238" cy="557938"/>
        </a:xfrm>
        <a:prstGeom prst="rect">
          <a:avLst/>
        </a:prstGeom>
      </xdr:spPr>
    </xdr:pic>
    <xdr:clientData/>
  </xdr:twoCellAnchor>
  <xdr:twoCellAnchor>
    <xdr:from>
      <xdr:col>16</xdr:col>
      <xdr:colOff>459442</xdr:colOff>
      <xdr:row>30</xdr:row>
      <xdr:rowOff>156883</xdr:rowOff>
    </xdr:from>
    <xdr:to>
      <xdr:col>21</xdr:col>
      <xdr:colOff>604632</xdr:colOff>
      <xdr:row>44</xdr:row>
      <xdr:rowOff>24848</xdr:rowOff>
    </xdr:to>
    <xdr:graphicFrame macro="">
      <xdr:nvGraphicFramePr>
        <xdr:cNvPr id="6" name="4 Gráfico">
          <a:extLst>
            <a:ext uri="{FF2B5EF4-FFF2-40B4-BE49-F238E27FC236}">
              <a16:creationId xmlns:a16="http://schemas.microsoft.com/office/drawing/2014/main" id="{83993BFA-891D-465C-81BE-7F7E7A5D35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0.37758</cdr:x>
      <cdr:y>0.0195</cdr:y>
    </cdr:from>
    <cdr:to>
      <cdr:x>0.65124</cdr:x>
      <cdr:y>0.08894</cdr:y>
    </cdr:to>
    <cdr:sp macro="" textlink="">
      <cdr:nvSpPr>
        <cdr:cNvPr id="2" name="1 CuadroTexto"/>
        <cdr:cNvSpPr txBox="1"/>
      </cdr:nvSpPr>
      <cdr:spPr>
        <a:xfrm xmlns:a="http://schemas.openxmlformats.org/drawingml/2006/main">
          <a:off x="1900604" y="53486"/>
          <a:ext cx="1377461"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DO" sz="1100"/>
        </a:p>
      </cdr:txBody>
    </cdr:sp>
  </cdr:relSizeAnchor>
</c:userShapes>
</file>

<file path=xl/drawings/drawing4.xml><?xml version="1.0" encoding="utf-8"?>
<c:userShapes xmlns:c="http://schemas.openxmlformats.org/drawingml/2006/chart">
  <cdr:relSizeAnchor xmlns:cdr="http://schemas.openxmlformats.org/drawingml/2006/chartDrawing">
    <cdr:from>
      <cdr:x>0.37758</cdr:x>
      <cdr:y>0.0195</cdr:y>
    </cdr:from>
    <cdr:to>
      <cdr:x>0.65124</cdr:x>
      <cdr:y>0.08894</cdr:y>
    </cdr:to>
    <cdr:sp macro="" textlink="">
      <cdr:nvSpPr>
        <cdr:cNvPr id="2" name="1 CuadroTexto"/>
        <cdr:cNvSpPr txBox="1"/>
      </cdr:nvSpPr>
      <cdr:spPr>
        <a:xfrm xmlns:a="http://schemas.openxmlformats.org/drawingml/2006/main">
          <a:off x="1900604" y="53486"/>
          <a:ext cx="1377461" cy="1905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DO" sz="1100"/>
        </a:p>
      </cdr:txBody>
    </cdr:sp>
  </cdr:relSizeAnchor>
</c:userShapes>
</file>

<file path=xl/drawings/drawing5.xml><?xml version="1.0" encoding="utf-8"?>
<xdr:wsDr xmlns:xdr="http://schemas.openxmlformats.org/drawingml/2006/spreadsheetDrawing" xmlns:a="http://schemas.openxmlformats.org/drawingml/2006/main">
  <xdr:twoCellAnchor>
    <xdr:from>
      <xdr:col>1</xdr:col>
      <xdr:colOff>24848</xdr:colOff>
      <xdr:row>29</xdr:row>
      <xdr:rowOff>64160</xdr:rowOff>
    </xdr:from>
    <xdr:to>
      <xdr:col>6</xdr:col>
      <xdr:colOff>516973</xdr:colOff>
      <xdr:row>41</xdr:row>
      <xdr:rowOff>120575</xdr:rowOff>
    </xdr:to>
    <xdr:graphicFrame macro="">
      <xdr:nvGraphicFramePr>
        <xdr:cNvPr id="2" name="3 Gráfico">
          <a:extLst>
            <a:ext uri="{FF2B5EF4-FFF2-40B4-BE49-F238E27FC236}">
              <a16:creationId xmlns:a16="http://schemas.microsoft.com/office/drawing/2014/main" id="{9584926D-E9DB-42D5-80A5-380DF7B5C7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141832</xdr:colOff>
      <xdr:row>1</xdr:row>
      <xdr:rowOff>87924</xdr:rowOff>
    </xdr:from>
    <xdr:to>
      <xdr:col>2</xdr:col>
      <xdr:colOff>206650</xdr:colOff>
      <xdr:row>4</xdr:row>
      <xdr:rowOff>80596</xdr:rowOff>
    </xdr:to>
    <xdr:pic>
      <xdr:nvPicPr>
        <xdr:cNvPr id="3" name="Picture 4">
          <a:extLst>
            <a:ext uri="{FF2B5EF4-FFF2-40B4-BE49-F238E27FC236}">
              <a16:creationId xmlns:a16="http://schemas.microsoft.com/office/drawing/2014/main" id="{1D63EAC3-ED0F-427F-A206-1E0B2B4BBED0}"/>
            </a:ext>
          </a:extLst>
        </xdr:cNvPr>
        <xdr:cNvPicPr>
          <a:picLocks noChangeAspect="1"/>
        </xdr:cNvPicPr>
      </xdr:nvPicPr>
      <xdr:blipFill>
        <a:blip xmlns:r="http://schemas.openxmlformats.org/officeDocument/2006/relationships" r:embed="rId2"/>
        <a:stretch>
          <a:fillRect/>
        </a:stretch>
      </xdr:blipFill>
      <xdr:spPr>
        <a:xfrm>
          <a:off x="484732" y="278424"/>
          <a:ext cx="893493" cy="564172"/>
        </a:xfrm>
        <a:prstGeom prst="rect">
          <a:avLst/>
        </a:prstGeom>
      </xdr:spPr>
    </xdr:pic>
    <xdr:clientData/>
  </xdr:twoCellAnchor>
  <xdr:twoCellAnchor>
    <xdr:from>
      <xdr:col>6</xdr:col>
      <xdr:colOff>596411</xdr:colOff>
      <xdr:row>28</xdr:row>
      <xdr:rowOff>12212</xdr:rowOff>
    </xdr:from>
    <xdr:to>
      <xdr:col>11</xdr:col>
      <xdr:colOff>607402</xdr:colOff>
      <xdr:row>39</xdr:row>
      <xdr:rowOff>151424</xdr:rowOff>
    </xdr:to>
    <xdr:graphicFrame macro="">
      <xdr:nvGraphicFramePr>
        <xdr:cNvPr id="4" name="Gráfico 3">
          <a:extLst>
            <a:ext uri="{FF2B5EF4-FFF2-40B4-BE49-F238E27FC236}">
              <a16:creationId xmlns:a16="http://schemas.microsoft.com/office/drawing/2014/main" id="{175601E2-1610-4A31-B7D8-CFCD28F65F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4</xdr:col>
      <xdr:colOff>534866</xdr:colOff>
      <xdr:row>1</xdr:row>
      <xdr:rowOff>58616</xdr:rowOff>
    </xdr:from>
    <xdr:to>
      <xdr:col>7</xdr:col>
      <xdr:colOff>495302</xdr:colOff>
      <xdr:row>4</xdr:row>
      <xdr:rowOff>45054</xdr:rowOff>
    </xdr:to>
    <xdr:pic>
      <xdr:nvPicPr>
        <xdr:cNvPr id="5" name="Picture 5">
          <a:extLst>
            <a:ext uri="{FF2B5EF4-FFF2-40B4-BE49-F238E27FC236}">
              <a16:creationId xmlns:a16="http://schemas.microsoft.com/office/drawing/2014/main" id="{86D5DAFD-32C8-408F-8646-BF1259DE427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430466" y="249116"/>
          <a:ext cx="2246436" cy="557938"/>
        </a:xfrm>
        <a:prstGeom prst="rect">
          <a:avLst/>
        </a:prstGeom>
      </xdr:spPr>
    </xdr:pic>
    <xdr:clientData/>
  </xdr:twoCellAnchor>
  <xdr:oneCellAnchor>
    <xdr:from>
      <xdr:col>1</xdr:col>
      <xdr:colOff>720587</xdr:colOff>
      <xdr:row>27</xdr:row>
      <xdr:rowOff>107674</xdr:rowOff>
    </xdr:from>
    <xdr:ext cx="2898914" cy="298174"/>
    <xdr:sp macro="" textlink="">
      <xdr:nvSpPr>
        <xdr:cNvPr id="6" name="CuadroTexto 5">
          <a:extLst>
            <a:ext uri="{FF2B5EF4-FFF2-40B4-BE49-F238E27FC236}">
              <a16:creationId xmlns:a16="http://schemas.microsoft.com/office/drawing/2014/main" id="{BBA9F821-5FB0-4FB9-AC55-865BF57BE7E1}"/>
            </a:ext>
          </a:extLst>
        </xdr:cNvPr>
        <xdr:cNvSpPr txBox="1"/>
      </xdr:nvSpPr>
      <xdr:spPr>
        <a:xfrm>
          <a:off x="1063487" y="3108049"/>
          <a:ext cx="2898914" cy="298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rtl="0"/>
          <a:r>
            <a:rPr lang="es-ES" sz="1100" b="1" i="0" baseline="0">
              <a:solidFill>
                <a:srgbClr val="0070C0"/>
              </a:solidFill>
              <a:effectLst/>
              <a:latin typeface="+mn-lt"/>
              <a:ea typeface="+mn-ea"/>
              <a:cs typeface="+mn-cs"/>
            </a:rPr>
            <a:t>Cantidad de cotizantes por tipo de empleador</a:t>
          </a:r>
          <a:endParaRPr lang="es-DO">
            <a:solidFill>
              <a:srgbClr val="0070C0"/>
            </a:solidFill>
            <a:effectLst/>
          </a:endParaRPr>
        </a:p>
        <a:p>
          <a:endParaRPr lang="es-DO" sz="11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0</xdr:col>
      <xdr:colOff>100559</xdr:colOff>
      <xdr:row>29</xdr:row>
      <xdr:rowOff>173935</xdr:rowOff>
    </xdr:from>
    <xdr:to>
      <xdr:col>3</xdr:col>
      <xdr:colOff>770284</xdr:colOff>
      <xdr:row>41</xdr:row>
      <xdr:rowOff>8283</xdr:rowOff>
    </xdr:to>
    <xdr:graphicFrame macro="">
      <xdr:nvGraphicFramePr>
        <xdr:cNvPr id="6" name="4 Gráfico">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80597</xdr:colOff>
      <xdr:row>2</xdr:row>
      <xdr:rowOff>36634</xdr:rowOff>
    </xdr:from>
    <xdr:to>
      <xdr:col>0</xdr:col>
      <xdr:colOff>639575</xdr:colOff>
      <xdr:row>4</xdr:row>
      <xdr:rowOff>7326</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2"/>
        <a:stretch>
          <a:fillRect/>
        </a:stretch>
      </xdr:blipFill>
      <xdr:spPr>
        <a:xfrm>
          <a:off x="80597" y="608134"/>
          <a:ext cx="558978" cy="351692"/>
        </a:xfrm>
        <a:prstGeom prst="rect">
          <a:avLst/>
        </a:prstGeom>
      </xdr:spPr>
    </xdr:pic>
    <xdr:clientData/>
  </xdr:twoCellAnchor>
  <xdr:twoCellAnchor>
    <xdr:from>
      <xdr:col>4</xdr:col>
      <xdr:colOff>146920</xdr:colOff>
      <xdr:row>28</xdr:row>
      <xdr:rowOff>128476</xdr:rowOff>
    </xdr:from>
    <xdr:to>
      <xdr:col>9</xdr:col>
      <xdr:colOff>322767</xdr:colOff>
      <xdr:row>40</xdr:row>
      <xdr:rowOff>5383</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737152</xdr:colOff>
      <xdr:row>28</xdr:row>
      <xdr:rowOff>41413</xdr:rowOff>
    </xdr:from>
    <xdr:to>
      <xdr:col>3</xdr:col>
      <xdr:colOff>248478</xdr:colOff>
      <xdr:row>29</xdr:row>
      <xdr:rowOff>91108</xdr:rowOff>
    </xdr:to>
    <xdr:sp macro="" textlink="">
      <xdr:nvSpPr>
        <xdr:cNvPr id="2" name="TextBox 1">
          <a:extLst>
            <a:ext uri="{FF2B5EF4-FFF2-40B4-BE49-F238E27FC236}">
              <a16:creationId xmlns:a16="http://schemas.microsoft.com/office/drawing/2014/main" id="{1FAB721E-8696-1E7D-CC68-9C6E3EC787D8}"/>
            </a:ext>
          </a:extLst>
        </xdr:cNvPr>
        <xdr:cNvSpPr txBox="1"/>
      </xdr:nvSpPr>
      <xdr:spPr>
        <a:xfrm>
          <a:off x="737152" y="2898913"/>
          <a:ext cx="2981739" cy="2401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solidFill>
                <a:schemeClr val="accent1"/>
              </a:solidFill>
            </a:rPr>
            <a:t>Montos mensuales por sector empleador</a:t>
          </a:r>
        </a:p>
      </xdr:txBody>
    </xdr:sp>
    <xdr:clientData/>
  </xdr:twoCellAnchor>
  <xdr:twoCellAnchor editAs="oneCell">
    <xdr:from>
      <xdr:col>3</xdr:col>
      <xdr:colOff>679174</xdr:colOff>
      <xdr:row>0</xdr:row>
      <xdr:rowOff>132521</xdr:rowOff>
    </xdr:from>
    <xdr:to>
      <xdr:col>4</xdr:col>
      <xdr:colOff>528361</xdr:colOff>
      <xdr:row>4</xdr:row>
      <xdr:rowOff>80814</xdr:rowOff>
    </xdr:to>
    <xdr:pic>
      <xdr:nvPicPr>
        <xdr:cNvPr id="4" name="Imagen 3" descr="Información básica sobre servicios al público - Ministerio de Hacienda y  Economía">
          <a:extLst>
            <a:ext uri="{FF2B5EF4-FFF2-40B4-BE49-F238E27FC236}">
              <a16:creationId xmlns:a16="http://schemas.microsoft.com/office/drawing/2014/main" id="{12FB242D-9A5F-4CD7-8555-964970910AC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149587" y="132521"/>
          <a:ext cx="1182687"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28</xdr:row>
      <xdr:rowOff>189851</xdr:rowOff>
    </xdr:from>
    <xdr:to>
      <xdr:col>2</xdr:col>
      <xdr:colOff>1006896</xdr:colOff>
      <xdr:row>41</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161190</xdr:colOff>
      <xdr:row>1</xdr:row>
      <xdr:rowOff>124557</xdr:rowOff>
    </xdr:from>
    <xdr:to>
      <xdr:col>0</xdr:col>
      <xdr:colOff>1046239</xdr:colOff>
      <xdr:row>4</xdr:row>
      <xdr:rowOff>109903</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161190" y="315057"/>
          <a:ext cx="885049" cy="556846"/>
        </a:xfrm>
        <a:prstGeom prst="rect">
          <a:avLst/>
        </a:prstGeom>
      </xdr:spPr>
    </xdr:pic>
    <xdr:clientData/>
  </xdr:twoCellAnchor>
  <xdr:twoCellAnchor editAs="oneCell">
    <xdr:from>
      <xdr:col>3</xdr:col>
      <xdr:colOff>197828</xdr:colOff>
      <xdr:row>0</xdr:row>
      <xdr:rowOff>168519</xdr:rowOff>
    </xdr:from>
    <xdr:to>
      <xdr:col>4</xdr:col>
      <xdr:colOff>266822</xdr:colOff>
      <xdr:row>4</xdr:row>
      <xdr:rowOff>116812</xdr:rowOff>
    </xdr:to>
    <xdr:pic>
      <xdr:nvPicPr>
        <xdr:cNvPr id="2" name="Imagen 1" descr="Información básica sobre servicios al público - Ministerio de Hacienda y  Economía">
          <a:extLst>
            <a:ext uri="{FF2B5EF4-FFF2-40B4-BE49-F238E27FC236}">
              <a16:creationId xmlns:a16="http://schemas.microsoft.com/office/drawing/2014/main" id="{B7951480-A145-47E4-9FF3-8A8608AFBF1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81097" y="168519"/>
          <a:ext cx="1182687"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28</xdr:row>
      <xdr:rowOff>54708</xdr:rowOff>
    </xdr:from>
    <xdr:to>
      <xdr:col>3</xdr:col>
      <xdr:colOff>892175</xdr:colOff>
      <xdr:row>41</xdr:row>
      <xdr:rowOff>106240</xdr:rowOff>
    </xdr:to>
    <xdr:graphicFrame macro="">
      <xdr:nvGraphicFramePr>
        <xdr:cNvPr id="6" name="2 Gráfico">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389843</xdr:colOff>
      <xdr:row>2</xdr:row>
      <xdr:rowOff>23496</xdr:rowOff>
    </xdr:from>
    <xdr:to>
      <xdr:col>1</xdr:col>
      <xdr:colOff>968670</xdr:colOff>
      <xdr:row>4</xdr:row>
      <xdr:rowOff>6676</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a:stretch>
          <a:fillRect/>
        </a:stretch>
      </xdr:blipFill>
      <xdr:spPr>
        <a:xfrm>
          <a:off x="389843" y="404496"/>
          <a:ext cx="578827" cy="364180"/>
        </a:xfrm>
        <a:prstGeom prst="rect">
          <a:avLst/>
        </a:prstGeom>
      </xdr:spPr>
    </xdr:pic>
    <xdr:clientData/>
  </xdr:twoCellAnchor>
  <xdr:twoCellAnchor>
    <xdr:from>
      <xdr:col>3</xdr:col>
      <xdr:colOff>1276350</xdr:colOff>
      <xdr:row>28</xdr:row>
      <xdr:rowOff>138112</xdr:rowOff>
    </xdr:from>
    <xdr:to>
      <xdr:col>9</xdr:col>
      <xdr:colOff>133350</xdr:colOff>
      <xdr:row>42</xdr:row>
      <xdr:rowOff>9525</xdr:rowOff>
    </xdr:to>
    <xdr:graphicFrame macro="">
      <xdr:nvGraphicFramePr>
        <xdr:cNvPr id="4" name="Gráfico 3">
          <a:extLst>
            <a:ext uri="{FF2B5EF4-FFF2-40B4-BE49-F238E27FC236}">
              <a16:creationId xmlns:a16="http://schemas.microsoft.com/office/drawing/2014/main" id="{77BBF88E-78EE-4615-A07B-EE21FD6649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4</xdr:col>
      <xdr:colOff>62802</xdr:colOff>
      <xdr:row>0</xdr:row>
      <xdr:rowOff>157005</xdr:rowOff>
    </xdr:from>
    <xdr:to>
      <xdr:col>4</xdr:col>
      <xdr:colOff>1172220</xdr:colOff>
      <xdr:row>4</xdr:row>
      <xdr:rowOff>113672</xdr:rowOff>
    </xdr:to>
    <xdr:pic>
      <xdr:nvPicPr>
        <xdr:cNvPr id="2" name="Imagen 1" descr="Información básica sobre servicios al público - Ministerio de Hacienda y  Economía">
          <a:extLst>
            <a:ext uri="{FF2B5EF4-FFF2-40B4-BE49-F238E27FC236}">
              <a16:creationId xmlns:a16="http://schemas.microsoft.com/office/drawing/2014/main" id="{B5897642-0243-4E7F-93EB-A982940BA91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893736" y="157005"/>
          <a:ext cx="1109418"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459043</xdr:colOff>
      <xdr:row>34</xdr:row>
      <xdr:rowOff>152400</xdr:rowOff>
    </xdr:from>
    <xdr:to>
      <xdr:col>6</xdr:col>
      <xdr:colOff>409575</xdr:colOff>
      <xdr:row>49</xdr:row>
      <xdr:rowOff>185206</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301325</xdr:colOff>
      <xdr:row>1</xdr:row>
      <xdr:rowOff>109903</xdr:rowOff>
    </xdr:from>
    <xdr:to>
      <xdr:col>2</xdr:col>
      <xdr:colOff>329514</xdr:colOff>
      <xdr:row>4</xdr:row>
      <xdr:rowOff>58615</xdr:rowOff>
    </xdr:to>
    <xdr:pic>
      <xdr:nvPicPr>
        <xdr:cNvPr id="6" name="Picture 5">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2"/>
        <a:stretch>
          <a:fillRect/>
        </a:stretch>
      </xdr:blipFill>
      <xdr:spPr>
        <a:xfrm>
          <a:off x="301325" y="300403"/>
          <a:ext cx="826824" cy="520212"/>
        </a:xfrm>
        <a:prstGeom prst="rect">
          <a:avLst/>
        </a:prstGeom>
      </xdr:spPr>
    </xdr:pic>
    <xdr:clientData/>
  </xdr:twoCellAnchor>
  <xdr:twoCellAnchor>
    <xdr:from>
      <xdr:col>3</xdr:col>
      <xdr:colOff>237068</xdr:colOff>
      <xdr:row>33</xdr:row>
      <xdr:rowOff>67733</xdr:rowOff>
    </xdr:from>
    <xdr:to>
      <xdr:col>5</xdr:col>
      <xdr:colOff>4234</xdr:colOff>
      <xdr:row>34</xdr:row>
      <xdr:rowOff>99482</xdr:rowOff>
    </xdr:to>
    <xdr:sp macro="" textlink="">
      <xdr:nvSpPr>
        <xdr:cNvPr id="3" name="CuadroTexto 2">
          <a:extLst>
            <a:ext uri="{FF2B5EF4-FFF2-40B4-BE49-F238E27FC236}">
              <a16:creationId xmlns:a16="http://schemas.microsoft.com/office/drawing/2014/main" id="{56DFC084-82C1-FD55-AFDF-8B4E1841BABD}"/>
            </a:ext>
          </a:extLst>
        </xdr:cNvPr>
        <xdr:cNvSpPr txBox="1"/>
      </xdr:nvSpPr>
      <xdr:spPr>
        <a:xfrm>
          <a:off x="2246843" y="3792008"/>
          <a:ext cx="2186516" cy="222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DO" sz="1200" b="1">
              <a:solidFill>
                <a:schemeClr val="accent1"/>
              </a:solidFill>
            </a:rPr>
            <a:t>Total Programado </a:t>
          </a:r>
          <a:r>
            <a:rPr lang="es-DO" sz="1200" b="1" baseline="0">
              <a:solidFill>
                <a:schemeClr val="accent1"/>
              </a:solidFill>
            </a:rPr>
            <a:t>vs Ejecutado</a:t>
          </a:r>
          <a:endParaRPr lang="es-DO" sz="1200" b="1">
            <a:solidFill>
              <a:schemeClr val="accent1"/>
            </a:solidFill>
          </a:endParaRPr>
        </a:p>
      </xdr:txBody>
    </xdr:sp>
    <xdr:clientData/>
  </xdr:twoCellAnchor>
  <xdr:twoCellAnchor editAs="oneCell">
    <xdr:from>
      <xdr:col>6</xdr:col>
      <xdr:colOff>642938</xdr:colOff>
      <xdr:row>0</xdr:row>
      <xdr:rowOff>127000</xdr:rowOff>
    </xdr:from>
    <xdr:to>
      <xdr:col>8</xdr:col>
      <xdr:colOff>246063</xdr:colOff>
      <xdr:row>4</xdr:row>
      <xdr:rowOff>75293</xdr:rowOff>
    </xdr:to>
    <xdr:pic>
      <xdr:nvPicPr>
        <xdr:cNvPr id="4" name="Imagen 3" descr="Información básica sobre servicios al público - Ministerio de Hacienda y  Economía">
          <a:extLst>
            <a:ext uri="{FF2B5EF4-FFF2-40B4-BE49-F238E27FC236}">
              <a16:creationId xmlns:a16="http://schemas.microsoft.com/office/drawing/2014/main" id="{AB358935-6274-4C2B-BA14-BC529F35ABF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207126" y="127000"/>
          <a:ext cx="1373187" cy="710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B2:M54"/>
  <sheetViews>
    <sheetView showGridLines="0" tabSelected="1" zoomScale="110" zoomScaleNormal="110" workbookViewId="0">
      <selection activeCell="K41" sqref="K41"/>
    </sheetView>
  </sheetViews>
  <sheetFormatPr baseColWidth="10" defaultColWidth="11.42578125" defaultRowHeight="15" x14ac:dyDescent="0.25"/>
  <cols>
    <col min="1" max="1" width="1.42578125" style="1" customWidth="1"/>
    <col min="2" max="2" width="13.5703125" style="1" bestFit="1" customWidth="1"/>
    <col min="3" max="3" width="15.42578125" style="1" customWidth="1"/>
    <col min="4" max="4" width="15" style="1" bestFit="1" customWidth="1"/>
    <col min="5" max="5" width="11.5703125" style="1" bestFit="1" customWidth="1"/>
    <col min="6" max="6" width="14.28515625" style="1" customWidth="1"/>
    <col min="7" max="7" width="11.5703125" style="1" bestFit="1" customWidth="1"/>
    <col min="8" max="16384" width="11.42578125" style="1"/>
  </cols>
  <sheetData>
    <row r="2" spans="2:12" x14ac:dyDescent="0.25">
      <c r="B2" s="339" t="s">
        <v>0</v>
      </c>
      <c r="C2" s="339"/>
      <c r="D2" s="339"/>
      <c r="E2" s="339"/>
      <c r="F2" s="339"/>
      <c r="G2" s="339"/>
    </row>
    <row r="3" spans="2:12" x14ac:dyDescent="0.25">
      <c r="B3" s="339" t="s">
        <v>1</v>
      </c>
      <c r="C3" s="339"/>
      <c r="D3" s="339"/>
      <c r="E3" s="339"/>
      <c r="F3" s="339"/>
      <c r="G3" s="339"/>
    </row>
    <row r="4" spans="2:12" x14ac:dyDescent="0.25">
      <c r="B4" s="339" t="s">
        <v>2</v>
      </c>
      <c r="C4" s="339"/>
      <c r="D4" s="339"/>
      <c r="E4" s="339"/>
      <c r="F4" s="339"/>
      <c r="G4" s="339"/>
    </row>
    <row r="5" spans="2:12" x14ac:dyDescent="0.25">
      <c r="B5" s="339" t="s">
        <v>3</v>
      </c>
      <c r="C5" s="339"/>
      <c r="D5" s="339"/>
      <c r="E5" s="339"/>
      <c r="F5" s="339"/>
      <c r="G5" s="339"/>
    </row>
    <row r="6" spans="2:12" x14ac:dyDescent="0.25">
      <c r="B6" s="339" t="s">
        <v>4</v>
      </c>
      <c r="C6" s="339"/>
      <c r="D6" s="339"/>
      <c r="E6" s="339"/>
      <c r="F6" s="339"/>
      <c r="G6" s="339"/>
    </row>
    <row r="7" spans="2:12" x14ac:dyDescent="0.25">
      <c r="B7" s="338" t="s">
        <v>5</v>
      </c>
      <c r="C7" s="338" t="s">
        <v>6</v>
      </c>
      <c r="D7" s="338" t="s">
        <v>7</v>
      </c>
      <c r="E7" s="338"/>
      <c r="F7" s="338" t="s">
        <v>8</v>
      </c>
      <c r="G7" s="338"/>
    </row>
    <row r="8" spans="2:12" ht="11.25" customHeight="1" x14ac:dyDescent="0.25">
      <c r="B8" s="338"/>
      <c r="C8" s="338"/>
      <c r="D8" s="338"/>
      <c r="E8" s="338"/>
      <c r="F8" s="338"/>
      <c r="G8" s="338"/>
    </row>
    <row r="9" spans="2:12" ht="13.5" customHeight="1" x14ac:dyDescent="0.25">
      <c r="B9" s="115"/>
      <c r="C9" s="116" t="s">
        <v>9</v>
      </c>
      <c r="D9" s="116" t="s">
        <v>10</v>
      </c>
      <c r="E9" s="116" t="s">
        <v>11</v>
      </c>
      <c r="F9" s="116" t="s">
        <v>10</v>
      </c>
      <c r="G9" s="116" t="s">
        <v>11</v>
      </c>
      <c r="H9"/>
      <c r="I9"/>
      <c r="L9"/>
    </row>
    <row r="10" spans="2:12" hidden="1" x14ac:dyDescent="0.25">
      <c r="B10" s="169" t="s">
        <v>12</v>
      </c>
      <c r="C10" s="207"/>
      <c r="D10" s="207"/>
      <c r="E10" s="212" t="e">
        <f>D10/C10</f>
        <v>#DIV/0!</v>
      </c>
      <c r="F10" s="239">
        <f>C10-D10</f>
        <v>0</v>
      </c>
      <c r="G10" s="204" t="e">
        <f>F10/C10</f>
        <v>#DIV/0!</v>
      </c>
      <c r="H10"/>
      <c r="I10"/>
    </row>
    <row r="11" spans="2:12" x14ac:dyDescent="0.25">
      <c r="B11" s="70" t="s">
        <v>13</v>
      </c>
      <c r="C11" s="293">
        <v>43616888.210000001</v>
      </c>
      <c r="D11" s="306">
        <v>46948015.82</v>
      </c>
      <c r="E11" s="2">
        <f>+D11/C11</f>
        <v>1.0763724269819934</v>
      </c>
      <c r="F11" s="122">
        <f t="shared" ref="F11" si="0">+D11-C11</f>
        <v>3331127.6099999994</v>
      </c>
      <c r="G11" s="329">
        <f>(F11/C11)</f>
        <v>7.6372426981993521E-2</v>
      </c>
      <c r="H11"/>
      <c r="I11"/>
    </row>
    <row r="12" spans="2:12" x14ac:dyDescent="0.25">
      <c r="B12" s="70" t="s">
        <v>14</v>
      </c>
      <c r="C12" s="293">
        <v>45112641.289999999</v>
      </c>
      <c r="D12" s="328">
        <v>40059326.869999997</v>
      </c>
      <c r="E12" s="2">
        <f>+D12/C12</f>
        <v>0.88798451441768811</v>
      </c>
      <c r="F12" s="122">
        <f t="shared" ref="F12" si="1">+D12-C12</f>
        <v>-5053314.4200000018</v>
      </c>
      <c r="G12" s="329">
        <f>(F12/C12)</f>
        <v>-0.11201548558231186</v>
      </c>
      <c r="H12"/>
      <c r="I12"/>
    </row>
    <row r="13" spans="2:12" x14ac:dyDescent="0.25">
      <c r="B13" s="70" t="s">
        <v>15</v>
      </c>
      <c r="C13" s="293">
        <v>40231452.039999999</v>
      </c>
      <c r="D13" s="306">
        <v>41104010.780000001</v>
      </c>
      <c r="E13" s="2">
        <f>+D13/C13</f>
        <v>1.0216884724700581</v>
      </c>
      <c r="F13" s="122">
        <f>+D13-C13</f>
        <v>872558.74000000209</v>
      </c>
      <c r="G13" s="329">
        <f>(F13/C13)</f>
        <v>2.1688472470058083E-2</v>
      </c>
      <c r="H13"/>
      <c r="I13"/>
    </row>
    <row r="14" spans="2:12" x14ac:dyDescent="0.25">
      <c r="B14" s="119" t="s">
        <v>16</v>
      </c>
      <c r="C14" s="211">
        <f>SUM(C10:C13)</f>
        <v>128960981.53999999</v>
      </c>
      <c r="D14" s="211">
        <f>SUM(D10:D13)</f>
        <v>128111353.47</v>
      </c>
      <c r="E14" s="307">
        <f>(D14/C14)</f>
        <v>0.99341174315010572</v>
      </c>
      <c r="F14" s="308">
        <f>C14-D14</f>
        <v>849628.06999999285</v>
      </c>
      <c r="G14" s="309">
        <f>(F14/C14)</f>
        <v>6.588256849894265E-3</v>
      </c>
      <c r="H14"/>
      <c r="I14"/>
    </row>
    <row r="15" spans="2:12" hidden="1" x14ac:dyDescent="0.25">
      <c r="B15" s="84" t="s">
        <v>17</v>
      </c>
      <c r="C15" s="120"/>
      <c r="D15" s="121"/>
      <c r="E15" s="2" t="e">
        <f t="shared" ref="E15:E26" si="2">+D15/C15</f>
        <v>#DIV/0!</v>
      </c>
      <c r="F15" s="122"/>
      <c r="G15" s="4" t="e">
        <f t="shared" ref="G15:G26" si="3">(F15/C15)</f>
        <v>#DIV/0!</v>
      </c>
      <c r="H15"/>
      <c r="I15"/>
    </row>
    <row r="16" spans="2:12" hidden="1" x14ac:dyDescent="0.25">
      <c r="B16" s="84" t="s">
        <v>18</v>
      </c>
      <c r="C16" s="120"/>
      <c r="D16" s="121"/>
      <c r="E16" s="2" t="e">
        <f t="shared" si="2"/>
        <v>#DIV/0!</v>
      </c>
      <c r="F16" s="122"/>
      <c r="G16" s="4" t="e">
        <f t="shared" si="3"/>
        <v>#DIV/0!</v>
      </c>
      <c r="H16"/>
      <c r="I16"/>
    </row>
    <row r="17" spans="2:13" hidden="1" x14ac:dyDescent="0.25">
      <c r="B17" s="84" t="s">
        <v>19</v>
      </c>
      <c r="C17" s="120"/>
      <c r="D17" s="121"/>
      <c r="E17" s="2" t="e">
        <f t="shared" si="2"/>
        <v>#DIV/0!</v>
      </c>
      <c r="F17" s="122"/>
      <c r="G17" s="4" t="e">
        <f t="shared" si="3"/>
        <v>#DIV/0!</v>
      </c>
      <c r="H17"/>
      <c r="I17"/>
    </row>
    <row r="18" spans="2:13" hidden="1" x14ac:dyDescent="0.25">
      <c r="B18" s="119" t="s">
        <v>20</v>
      </c>
      <c r="C18" s="8">
        <f>SUM(C15:C17)</f>
        <v>0</v>
      </c>
      <c r="D18" s="8">
        <f>SUM(D15:D17)</f>
        <v>0</v>
      </c>
      <c r="E18" s="3" t="e">
        <f>(D18/C18)</f>
        <v>#DIV/0!</v>
      </c>
      <c r="F18" s="9">
        <f>SUM(F15:F17)</f>
        <v>0</v>
      </c>
      <c r="G18" s="5" t="e">
        <f>(F18/C18)</f>
        <v>#DIV/0!</v>
      </c>
      <c r="H18"/>
      <c r="I18"/>
    </row>
    <row r="19" spans="2:13" hidden="1" x14ac:dyDescent="0.25">
      <c r="B19" s="84" t="s">
        <v>21</v>
      </c>
      <c r="C19" s="120"/>
      <c r="D19" s="121"/>
      <c r="E19" s="2" t="e">
        <f t="shared" si="2"/>
        <v>#DIV/0!</v>
      </c>
      <c r="F19" s="122"/>
      <c r="G19" s="4" t="e">
        <f t="shared" si="3"/>
        <v>#DIV/0!</v>
      </c>
      <c r="H19"/>
      <c r="I19"/>
    </row>
    <row r="20" spans="2:13" hidden="1" x14ac:dyDescent="0.25">
      <c r="B20" s="84" t="s">
        <v>22</v>
      </c>
      <c r="C20" s="120"/>
      <c r="D20" s="121"/>
      <c r="E20" s="2" t="e">
        <f t="shared" si="2"/>
        <v>#DIV/0!</v>
      </c>
      <c r="F20" s="122"/>
      <c r="G20" s="4" t="e">
        <f t="shared" si="3"/>
        <v>#DIV/0!</v>
      </c>
      <c r="H20"/>
      <c r="I20"/>
    </row>
    <row r="21" spans="2:13" hidden="1" x14ac:dyDescent="0.25">
      <c r="B21" s="84" t="s">
        <v>23</v>
      </c>
      <c r="C21" s="120"/>
      <c r="D21" s="121"/>
      <c r="E21" s="2" t="e">
        <f t="shared" si="2"/>
        <v>#DIV/0!</v>
      </c>
      <c r="F21" s="122"/>
      <c r="G21" s="4" t="e">
        <f t="shared" si="3"/>
        <v>#DIV/0!</v>
      </c>
      <c r="H21"/>
      <c r="I21"/>
    </row>
    <row r="22" spans="2:13" hidden="1" x14ac:dyDescent="0.25">
      <c r="B22" s="119" t="s">
        <v>24</v>
      </c>
      <c r="C22" s="8">
        <f>SUM(C19:C21)</f>
        <v>0</v>
      </c>
      <c r="D22" s="8">
        <f>SUM(D19:D21)</f>
        <v>0</v>
      </c>
      <c r="E22" s="3" t="e">
        <f>(D22/C22)</f>
        <v>#DIV/0!</v>
      </c>
      <c r="F22" s="9">
        <f>SUM(F19:F21)</f>
        <v>0</v>
      </c>
      <c r="G22" s="5" t="e">
        <f>(F22/C22)</f>
        <v>#DIV/0!</v>
      </c>
      <c r="H22"/>
      <c r="I22"/>
    </row>
    <row r="23" spans="2:13" hidden="1" x14ac:dyDescent="0.25">
      <c r="B23" s="84" t="s">
        <v>25</v>
      </c>
      <c r="C23" s="120"/>
      <c r="D23" s="121"/>
      <c r="E23" s="2" t="e">
        <f t="shared" si="2"/>
        <v>#DIV/0!</v>
      </c>
      <c r="F23" s="122"/>
      <c r="G23" s="4" t="e">
        <f t="shared" si="3"/>
        <v>#DIV/0!</v>
      </c>
      <c r="H23"/>
      <c r="I23"/>
    </row>
    <row r="24" spans="2:13" hidden="1" x14ac:dyDescent="0.25">
      <c r="B24" s="84" t="s">
        <v>26</v>
      </c>
      <c r="C24" s="120"/>
      <c r="D24" s="121"/>
      <c r="E24" s="2" t="e">
        <f t="shared" si="2"/>
        <v>#DIV/0!</v>
      </c>
      <c r="F24" s="122"/>
      <c r="G24" s="4" t="e">
        <f t="shared" si="3"/>
        <v>#DIV/0!</v>
      </c>
      <c r="H24"/>
      <c r="I24"/>
    </row>
    <row r="25" spans="2:13" hidden="1" x14ac:dyDescent="0.25">
      <c r="B25" s="84" t="s">
        <v>27</v>
      </c>
      <c r="C25" s="120"/>
      <c r="D25" s="121"/>
      <c r="E25" s="2" t="e">
        <f t="shared" si="2"/>
        <v>#DIV/0!</v>
      </c>
      <c r="F25" s="122"/>
      <c r="G25" s="4" t="e">
        <f t="shared" si="3"/>
        <v>#DIV/0!</v>
      </c>
      <c r="H25"/>
      <c r="I25"/>
    </row>
    <row r="26" spans="2:13" hidden="1" x14ac:dyDescent="0.25">
      <c r="B26" s="84" t="s">
        <v>12</v>
      </c>
      <c r="C26" s="120"/>
      <c r="D26" s="121"/>
      <c r="E26" s="2" t="e">
        <f t="shared" si="2"/>
        <v>#DIV/0!</v>
      </c>
      <c r="F26" s="122"/>
      <c r="G26" s="4" t="e">
        <f t="shared" si="3"/>
        <v>#DIV/0!</v>
      </c>
      <c r="H26"/>
      <c r="I26"/>
    </row>
    <row r="27" spans="2:13" hidden="1" x14ac:dyDescent="0.25">
      <c r="B27" s="119" t="s">
        <v>28</v>
      </c>
      <c r="C27" s="8">
        <f>SUM(C23:C26)</f>
        <v>0</v>
      </c>
      <c r="D27" s="8">
        <f>SUM(D23:D26)</f>
        <v>0</v>
      </c>
      <c r="E27" s="3" t="e">
        <f>(D27/C27)</f>
        <v>#DIV/0!</v>
      </c>
      <c r="F27" s="9">
        <f>SUM(F23:F26)</f>
        <v>0</v>
      </c>
      <c r="G27" s="5" t="e">
        <f>(F27/C27)</f>
        <v>#DIV/0!</v>
      </c>
      <c r="H27"/>
      <c r="I27"/>
    </row>
    <row r="28" spans="2:13" hidden="1" x14ac:dyDescent="0.25">
      <c r="B28" s="123" t="s">
        <v>29</v>
      </c>
      <c r="C28" s="10">
        <f>+C14+C18+C22+C27</f>
        <v>128960981.53999999</v>
      </c>
      <c r="D28" s="10">
        <f>+D14+D18+D22+D27</f>
        <v>128111353.47</v>
      </c>
      <c r="E28" s="7">
        <f>(D28/C28)</f>
        <v>0.99341174315010572</v>
      </c>
      <c r="F28" s="11">
        <f>+F14+F18+F22+F27</f>
        <v>849628.06999999285</v>
      </c>
      <c r="G28" s="6">
        <f>(F28/C28)</f>
        <v>6.588256849894265E-3</v>
      </c>
      <c r="H28"/>
      <c r="I28"/>
    </row>
    <row r="29" spans="2:13" ht="0.75" customHeight="1" x14ac:dyDescent="0.25">
      <c r="B29" s="342" t="s">
        <v>30</v>
      </c>
      <c r="C29" s="343"/>
      <c r="D29" s="343"/>
      <c r="E29" s="343"/>
      <c r="F29" s="343"/>
      <c r="G29" s="343"/>
      <c r="H29"/>
      <c r="I29"/>
    </row>
    <row r="30" spans="2:13" ht="14.25" customHeight="1" x14ac:dyDescent="0.25">
      <c r="B30" s="342" t="s">
        <v>31</v>
      </c>
      <c r="C30" s="343"/>
      <c r="D30" s="343"/>
      <c r="E30" s="343"/>
      <c r="F30" s="343"/>
      <c r="G30" s="343"/>
      <c r="H30"/>
      <c r="I30"/>
      <c r="M30"/>
    </row>
    <row r="31" spans="2:13" ht="18" hidden="1" customHeight="1" x14ac:dyDescent="0.25">
      <c r="B31" s="342" t="s">
        <v>32</v>
      </c>
      <c r="C31" s="343"/>
      <c r="D31" s="343"/>
      <c r="E31" s="343"/>
      <c r="F31" s="343"/>
      <c r="G31" s="343"/>
      <c r="H31"/>
      <c r="I31"/>
    </row>
    <row r="32" spans="2:13" ht="41.25" customHeight="1" x14ac:dyDescent="0.25">
      <c r="B32" s="340" t="s">
        <v>259</v>
      </c>
      <c r="C32" s="340"/>
      <c r="D32" s="340"/>
      <c r="E32" s="340"/>
      <c r="F32" s="340"/>
      <c r="G32" s="340"/>
      <c r="H32" s="340"/>
      <c r="I32" s="340"/>
    </row>
    <row r="33" spans="2:9" ht="18" customHeight="1" x14ac:dyDescent="0.25">
      <c r="B33" s="280"/>
      <c r="C33" s="280"/>
      <c r="D33" s="280"/>
      <c r="E33" s="280"/>
      <c r="F33" s="280"/>
      <c r="G33" s="280"/>
      <c r="H33" s="280"/>
      <c r="I33" s="280"/>
    </row>
    <row r="34" spans="2:9" ht="18" customHeight="1" x14ac:dyDescent="0.25">
      <c r="B34" s="341"/>
      <c r="C34" s="341"/>
      <c r="D34" s="341"/>
      <c r="E34" s="341"/>
      <c r="F34" s="341"/>
      <c r="G34" s="341"/>
      <c r="H34" s="341"/>
      <c r="I34" s="341"/>
    </row>
    <row r="35" spans="2:9" x14ac:dyDescent="0.25">
      <c r="B35"/>
      <c r="C35"/>
      <c r="D35"/>
      <c r="E35"/>
      <c r="F35"/>
      <c r="G35"/>
      <c r="H35"/>
      <c r="I35"/>
    </row>
    <row r="36" spans="2:9" x14ac:dyDescent="0.25">
      <c r="B36"/>
      <c r="C36"/>
      <c r="D36"/>
      <c r="E36"/>
      <c r="F36"/>
      <c r="G36"/>
      <c r="H36"/>
      <c r="I36"/>
    </row>
    <row r="37" spans="2:9" x14ac:dyDescent="0.25">
      <c r="B37"/>
      <c r="C37"/>
      <c r="D37"/>
      <c r="E37"/>
      <c r="F37"/>
      <c r="G37"/>
      <c r="H37"/>
      <c r="I37"/>
    </row>
    <row r="38" spans="2:9" x14ac:dyDescent="0.25">
      <c r="B38"/>
      <c r="C38"/>
      <c r="D38"/>
      <c r="E38"/>
      <c r="F38"/>
      <c r="G38"/>
      <c r="H38"/>
      <c r="I38"/>
    </row>
    <row r="39" spans="2:9" x14ac:dyDescent="0.25">
      <c r="B39"/>
      <c r="C39"/>
      <c r="D39"/>
      <c r="E39"/>
      <c r="F39"/>
      <c r="G39"/>
      <c r="H39"/>
      <c r="I39"/>
    </row>
    <row r="40" spans="2:9" x14ac:dyDescent="0.25">
      <c r="B40"/>
      <c r="C40"/>
      <c r="D40"/>
      <c r="E40"/>
      <c r="F40"/>
      <c r="G40"/>
      <c r="H40"/>
      <c r="I40"/>
    </row>
    <row r="41" spans="2:9" x14ac:dyDescent="0.25">
      <c r="B41"/>
      <c r="C41"/>
      <c r="D41"/>
      <c r="E41"/>
      <c r="F41"/>
      <c r="G41"/>
      <c r="H41"/>
      <c r="I41"/>
    </row>
    <row r="42" spans="2:9" x14ac:dyDescent="0.25">
      <c r="B42"/>
      <c r="C42"/>
      <c r="D42"/>
      <c r="E42"/>
      <c r="F42"/>
      <c r="G42"/>
      <c r="H42"/>
      <c r="I42"/>
    </row>
    <row r="43" spans="2:9" x14ac:dyDescent="0.25">
      <c r="B43"/>
      <c r="C43"/>
      <c r="D43"/>
      <c r="E43"/>
      <c r="F43"/>
      <c r="G43"/>
      <c r="H43"/>
      <c r="I43"/>
    </row>
    <row r="44" spans="2:9" x14ac:dyDescent="0.25">
      <c r="B44"/>
      <c r="C44"/>
      <c r="D44"/>
      <c r="E44"/>
      <c r="F44"/>
      <c r="G44"/>
      <c r="H44"/>
      <c r="I44"/>
    </row>
    <row r="45" spans="2:9" x14ac:dyDescent="0.25">
      <c r="B45"/>
      <c r="C45"/>
      <c r="D45"/>
      <c r="E45"/>
      <c r="F45"/>
      <c r="G45"/>
      <c r="H45"/>
      <c r="I45"/>
    </row>
    <row r="46" spans="2:9" x14ac:dyDescent="0.25">
      <c r="B46"/>
      <c r="C46"/>
      <c r="D46"/>
      <c r="E46"/>
      <c r="F46"/>
      <c r="G46"/>
      <c r="H46"/>
      <c r="I46"/>
    </row>
    <row r="47" spans="2:9" x14ac:dyDescent="0.25">
      <c r="B47"/>
      <c r="C47"/>
      <c r="D47"/>
      <c r="E47"/>
      <c r="F47"/>
      <c r="G47"/>
      <c r="H47"/>
      <c r="I47"/>
    </row>
    <row r="48" spans="2:9" x14ac:dyDescent="0.25">
      <c r="B48"/>
      <c r="C48"/>
      <c r="D48"/>
      <c r="E48"/>
      <c r="F48"/>
      <c r="G48"/>
      <c r="H48"/>
      <c r="I48"/>
    </row>
    <row r="49" spans="2:9" x14ac:dyDescent="0.25">
      <c r="B49"/>
      <c r="C49"/>
      <c r="D49"/>
      <c r="E49"/>
      <c r="F49"/>
      <c r="G49"/>
      <c r="H49"/>
      <c r="I49"/>
    </row>
    <row r="50" spans="2:9" x14ac:dyDescent="0.25">
      <c r="B50"/>
      <c r="C50"/>
      <c r="D50"/>
      <c r="E50"/>
      <c r="F50"/>
      <c r="G50"/>
      <c r="H50"/>
      <c r="I50"/>
    </row>
    <row r="54" spans="2:9" x14ac:dyDescent="0.25">
      <c r="B54" s="84"/>
      <c r="C54" s="117"/>
      <c r="D54" s="117"/>
      <c r="E54" s="2"/>
      <c r="F54" s="118"/>
      <c r="G54" s="4"/>
    </row>
  </sheetData>
  <mergeCells count="14">
    <mergeCell ref="B32:I32"/>
    <mergeCell ref="B34:I34"/>
    <mergeCell ref="B31:G31"/>
    <mergeCell ref="B29:G29"/>
    <mergeCell ref="B30:G30"/>
    <mergeCell ref="C7:C8"/>
    <mergeCell ref="B7:B8"/>
    <mergeCell ref="B2:G2"/>
    <mergeCell ref="B3:G3"/>
    <mergeCell ref="B4:G4"/>
    <mergeCell ref="B6:G6"/>
    <mergeCell ref="D7:E8"/>
    <mergeCell ref="F7:G8"/>
    <mergeCell ref="B5:G5"/>
  </mergeCells>
  <pageMargins left="0.7" right="0.7" top="0.75" bottom="0.75" header="0.3" footer="0.3"/>
  <pageSetup paperSize="9" scale="97" orientation="portrait" r:id="rId1"/>
  <ignoredErrors>
    <ignoredError sqref="E14" formula="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4278C-BA39-4F00-919F-B47AB0755D7F}">
  <sheetPr>
    <tabColor rgb="FF00B0F0"/>
    <pageSetUpPr fitToPage="1"/>
  </sheetPr>
  <dimension ref="B1:R44"/>
  <sheetViews>
    <sheetView showGridLines="0" zoomScaleNormal="100" workbookViewId="0">
      <selection activeCell="C9" sqref="C9:P11"/>
    </sheetView>
  </sheetViews>
  <sheetFormatPr baseColWidth="10" defaultColWidth="11.42578125" defaultRowHeight="15" x14ac:dyDescent="0.25"/>
  <cols>
    <col min="1" max="1" width="3.85546875" style="1" customWidth="1"/>
    <col min="2" max="2" width="11.42578125" style="1" customWidth="1"/>
    <col min="3" max="3" width="11.28515625" style="1" customWidth="1"/>
    <col min="4" max="4" width="14.42578125" style="1" customWidth="1"/>
    <col min="5" max="5" width="14.140625" style="1" customWidth="1"/>
    <col min="6" max="6" width="16" style="1" customWidth="1"/>
    <col min="7" max="7" width="12.5703125" style="1" customWidth="1"/>
    <col min="8" max="8" width="16" style="1" customWidth="1"/>
    <col min="9" max="9" width="13.7109375" style="1" customWidth="1"/>
    <col min="10" max="10" width="16" style="1" customWidth="1"/>
    <col min="11" max="11" width="13.140625" style="1" customWidth="1"/>
    <col min="12" max="12" width="16" style="1" customWidth="1"/>
    <col min="13" max="13" width="13" style="1" customWidth="1"/>
    <col min="14" max="14" width="16" style="1" customWidth="1"/>
    <col min="15" max="15" width="13.28515625" style="1" customWidth="1"/>
    <col min="16" max="16" width="16" style="1" customWidth="1"/>
    <col min="17" max="16384" width="11.42578125" style="1"/>
  </cols>
  <sheetData>
    <row r="1" spans="2:18" x14ac:dyDescent="0.25">
      <c r="B1" s="348" t="s">
        <v>0</v>
      </c>
      <c r="C1" s="348"/>
      <c r="D1" s="348"/>
      <c r="E1" s="348"/>
      <c r="F1" s="348"/>
      <c r="G1" s="348"/>
      <c r="H1" s="348"/>
      <c r="I1" s="348"/>
      <c r="J1" s="348"/>
      <c r="K1" s="348"/>
      <c r="L1" s="348"/>
      <c r="M1" s="348"/>
      <c r="N1" s="348"/>
      <c r="O1" s="348"/>
      <c r="P1" s="348"/>
    </row>
    <row r="2" spans="2:18" x14ac:dyDescent="0.25">
      <c r="B2" s="348" t="s">
        <v>82</v>
      </c>
      <c r="C2" s="348"/>
      <c r="D2" s="348"/>
      <c r="E2" s="348"/>
      <c r="F2" s="348"/>
      <c r="G2" s="348"/>
      <c r="H2" s="348"/>
      <c r="I2" s="348"/>
      <c r="J2" s="348"/>
      <c r="K2" s="348"/>
      <c r="L2" s="348"/>
      <c r="M2" s="348"/>
      <c r="N2" s="348"/>
      <c r="O2" s="348"/>
      <c r="P2" s="348"/>
    </row>
    <row r="3" spans="2:18" x14ac:dyDescent="0.25">
      <c r="B3" s="348" t="s">
        <v>122</v>
      </c>
      <c r="C3" s="348"/>
      <c r="D3" s="348"/>
      <c r="E3" s="348"/>
      <c r="F3" s="348"/>
      <c r="G3" s="348"/>
      <c r="H3" s="348"/>
      <c r="I3" s="348"/>
      <c r="J3" s="348"/>
      <c r="K3" s="348"/>
      <c r="L3" s="348"/>
      <c r="M3" s="348"/>
      <c r="N3" s="348"/>
      <c r="O3" s="348"/>
      <c r="P3" s="348"/>
    </row>
    <row r="4" spans="2:18" x14ac:dyDescent="0.25">
      <c r="B4" s="348" t="s">
        <v>3</v>
      </c>
      <c r="C4" s="348"/>
      <c r="D4" s="348"/>
      <c r="E4" s="348"/>
      <c r="F4" s="348"/>
      <c r="G4" s="348"/>
      <c r="H4" s="348"/>
      <c r="I4" s="348"/>
      <c r="J4" s="348"/>
      <c r="K4" s="348"/>
      <c r="L4" s="348"/>
      <c r="M4" s="348"/>
      <c r="N4" s="348"/>
      <c r="O4" s="348"/>
      <c r="P4" s="348"/>
      <c r="Q4" s="22"/>
      <c r="R4" s="22"/>
    </row>
    <row r="5" spans="2:18" x14ac:dyDescent="0.25">
      <c r="B5" s="348" t="s">
        <v>4</v>
      </c>
      <c r="C5" s="348"/>
      <c r="D5" s="348"/>
      <c r="E5" s="348"/>
      <c r="F5" s="348"/>
      <c r="G5" s="348"/>
      <c r="H5" s="348"/>
      <c r="I5" s="348"/>
      <c r="J5" s="348"/>
      <c r="K5" s="348"/>
      <c r="L5" s="348"/>
      <c r="M5" s="348"/>
      <c r="N5" s="348"/>
      <c r="O5" s="348"/>
      <c r="P5" s="348"/>
    </row>
    <row r="6" spans="2:18" x14ac:dyDescent="0.25">
      <c r="B6" s="348" t="s">
        <v>123</v>
      </c>
      <c r="C6" s="348"/>
      <c r="D6" s="348"/>
      <c r="E6" s="348"/>
      <c r="F6" s="348"/>
      <c r="G6" s="348"/>
      <c r="H6" s="348"/>
      <c r="I6" s="348"/>
      <c r="J6" s="348"/>
      <c r="K6" s="348"/>
      <c r="L6" s="348"/>
      <c r="M6" s="348"/>
      <c r="N6" s="348"/>
      <c r="O6" s="348"/>
      <c r="P6" s="348"/>
    </row>
    <row r="7" spans="2:18" ht="24.75" customHeight="1" x14ac:dyDescent="0.25">
      <c r="B7" s="143"/>
      <c r="C7" s="344" t="s">
        <v>124</v>
      </c>
      <c r="D7" s="344"/>
      <c r="E7" s="344" t="s">
        <v>125</v>
      </c>
      <c r="F7" s="344"/>
      <c r="G7" s="344" t="s">
        <v>126</v>
      </c>
      <c r="H7" s="344"/>
      <c r="I7" s="344" t="s">
        <v>127</v>
      </c>
      <c r="J7" s="344"/>
      <c r="K7" s="344" t="s">
        <v>128</v>
      </c>
      <c r="L7" s="344"/>
      <c r="M7" s="366" t="s">
        <v>129</v>
      </c>
      <c r="N7" s="366"/>
      <c r="O7" s="366" t="s">
        <v>29</v>
      </c>
      <c r="P7" s="366"/>
      <c r="Q7"/>
      <c r="R7"/>
    </row>
    <row r="8" spans="2:18" x14ac:dyDescent="0.25">
      <c r="B8" s="130" t="s">
        <v>5</v>
      </c>
      <c r="C8" s="130" t="s">
        <v>130</v>
      </c>
      <c r="D8" s="130" t="s">
        <v>9</v>
      </c>
      <c r="E8" s="130" t="s">
        <v>130</v>
      </c>
      <c r="F8" s="130" t="s">
        <v>9</v>
      </c>
      <c r="G8" s="130" t="s">
        <v>130</v>
      </c>
      <c r="H8" s="130" t="s">
        <v>9</v>
      </c>
      <c r="I8" s="130" t="s">
        <v>130</v>
      </c>
      <c r="J8" s="130" t="s">
        <v>9</v>
      </c>
      <c r="K8" s="130" t="s">
        <v>130</v>
      </c>
      <c r="L8" s="130" t="s">
        <v>9</v>
      </c>
      <c r="M8" s="130" t="s">
        <v>130</v>
      </c>
      <c r="N8" s="130" t="s">
        <v>9</v>
      </c>
      <c r="O8" s="130" t="s">
        <v>130</v>
      </c>
      <c r="P8" s="130" t="s">
        <v>9</v>
      </c>
      <c r="Q8"/>
      <c r="R8"/>
    </row>
    <row r="9" spans="2:18" x14ac:dyDescent="0.25">
      <c r="B9" s="70" t="s">
        <v>13</v>
      </c>
      <c r="C9" s="144">
        <v>2798</v>
      </c>
      <c r="D9" s="293">
        <v>61705054.899999999</v>
      </c>
      <c r="E9" s="144">
        <v>102</v>
      </c>
      <c r="F9" s="293">
        <v>1996974.31</v>
      </c>
      <c r="G9" s="144">
        <v>60</v>
      </c>
      <c r="H9" s="293">
        <v>736646.08</v>
      </c>
      <c r="I9" s="144">
        <v>1525</v>
      </c>
      <c r="J9" s="293">
        <v>24359140.050000001</v>
      </c>
      <c r="K9" s="144">
        <v>1168</v>
      </c>
      <c r="L9" s="293">
        <v>13172388.09</v>
      </c>
      <c r="M9" s="144">
        <v>173</v>
      </c>
      <c r="N9" s="293">
        <v>2260373.0300000003</v>
      </c>
      <c r="O9" s="47">
        <v>1619</v>
      </c>
      <c r="P9" s="294">
        <v>73365054.219999999</v>
      </c>
      <c r="Q9"/>
      <c r="R9"/>
    </row>
    <row r="10" spans="2:18" x14ac:dyDescent="0.25">
      <c r="B10" s="70" t="s">
        <v>14</v>
      </c>
      <c r="C10" s="144">
        <v>2824</v>
      </c>
      <c r="D10" s="295">
        <v>41839462.329999998</v>
      </c>
      <c r="E10" s="144">
        <v>95</v>
      </c>
      <c r="F10" s="295">
        <v>1769788.3800000001</v>
      </c>
      <c r="G10" s="144">
        <v>71</v>
      </c>
      <c r="H10" s="295">
        <v>1040353.78</v>
      </c>
      <c r="I10" s="144">
        <v>19</v>
      </c>
      <c r="J10" s="295">
        <v>274015.65000000002</v>
      </c>
      <c r="K10" s="144">
        <v>338</v>
      </c>
      <c r="L10" s="295">
        <v>4372799.84</v>
      </c>
      <c r="M10" s="144">
        <v>213</v>
      </c>
      <c r="N10" s="295">
        <v>3164322.3</v>
      </c>
      <c r="O10" s="296">
        <v>2439</v>
      </c>
      <c r="P10" s="297">
        <v>37386498</v>
      </c>
      <c r="Q10"/>
      <c r="R10"/>
    </row>
    <row r="11" spans="2:18" x14ac:dyDescent="0.25">
      <c r="B11" s="70" t="s">
        <v>15</v>
      </c>
      <c r="C11" s="144">
        <v>2790</v>
      </c>
      <c r="D11" s="293">
        <v>40117077.280000001</v>
      </c>
      <c r="E11" s="144">
        <v>93</v>
      </c>
      <c r="F11" s="293">
        <v>1263404.7999999998</v>
      </c>
      <c r="G11" s="144">
        <v>70</v>
      </c>
      <c r="H11" s="293">
        <v>853505.15</v>
      </c>
      <c r="I11" s="144">
        <v>1277</v>
      </c>
      <c r="J11" s="293">
        <v>19041118.620000001</v>
      </c>
      <c r="K11" s="144">
        <v>120</v>
      </c>
      <c r="L11" s="293">
        <v>1908591.82</v>
      </c>
      <c r="M11" s="144">
        <v>174</v>
      </c>
      <c r="N11" s="293">
        <v>2552942.64</v>
      </c>
      <c r="O11" s="47">
        <v>2659</v>
      </c>
      <c r="P11" s="294">
        <v>56813571.390000001</v>
      </c>
      <c r="Q11"/>
      <c r="R11"/>
    </row>
    <row r="12" spans="2:18" x14ac:dyDescent="0.25">
      <c r="B12" s="46" t="s">
        <v>16</v>
      </c>
      <c r="C12" s="8">
        <f t="shared" ref="C12:O12" si="0">SUM(C9:C11)</f>
        <v>8412</v>
      </c>
      <c r="D12" s="211">
        <f t="shared" si="0"/>
        <v>143661594.50999999</v>
      </c>
      <c r="E12" s="8">
        <f t="shared" si="0"/>
        <v>290</v>
      </c>
      <c r="F12" s="211">
        <f t="shared" si="0"/>
        <v>5030167.49</v>
      </c>
      <c r="G12" s="8">
        <f t="shared" si="0"/>
        <v>201</v>
      </c>
      <c r="H12" s="211">
        <f t="shared" si="0"/>
        <v>2630505.0099999998</v>
      </c>
      <c r="I12" s="8">
        <f t="shared" si="0"/>
        <v>2821</v>
      </c>
      <c r="J12" s="211">
        <f t="shared" si="0"/>
        <v>43674274.32</v>
      </c>
      <c r="K12" s="8">
        <f t="shared" si="0"/>
        <v>1626</v>
      </c>
      <c r="L12" s="211">
        <f t="shared" si="0"/>
        <v>19453779.75</v>
      </c>
      <c r="M12" s="8">
        <f t="shared" si="0"/>
        <v>560</v>
      </c>
      <c r="N12" s="211">
        <f t="shared" si="0"/>
        <v>7977637.9700000007</v>
      </c>
      <c r="O12" s="8">
        <f t="shared" si="0"/>
        <v>6717</v>
      </c>
      <c r="P12" s="210">
        <f>SUM(P9:P11)</f>
        <v>167565123.61000001</v>
      </c>
      <c r="Q12"/>
      <c r="R12"/>
    </row>
    <row r="13" spans="2:18" hidden="1" x14ac:dyDescent="0.25">
      <c r="B13" s="70" t="s">
        <v>17</v>
      </c>
      <c r="C13" s="144"/>
      <c r="D13" s="144"/>
      <c r="E13" s="144"/>
      <c r="F13" s="144"/>
      <c r="G13" s="144"/>
      <c r="H13" s="144"/>
      <c r="I13" s="144"/>
      <c r="J13" s="144"/>
      <c r="K13" s="144"/>
      <c r="L13" s="144"/>
      <c r="M13" s="144"/>
      <c r="N13" s="144"/>
      <c r="O13" s="47">
        <f t="shared" ref="O13:O23" si="1">+C13-(K13+M13)</f>
        <v>0</v>
      </c>
      <c r="P13" s="47">
        <f t="shared" ref="P13:P23" si="2">+L13+N13+J13+D13</f>
        <v>0</v>
      </c>
      <c r="Q13"/>
      <c r="R13"/>
    </row>
    <row r="14" spans="2:18" hidden="1" x14ac:dyDescent="0.25">
      <c r="B14" s="70" t="s">
        <v>18</v>
      </c>
      <c r="C14" s="144"/>
      <c r="D14" s="144"/>
      <c r="E14" s="144"/>
      <c r="F14" s="144"/>
      <c r="G14" s="144"/>
      <c r="H14" s="144"/>
      <c r="I14" s="144"/>
      <c r="J14" s="144"/>
      <c r="K14" s="144"/>
      <c r="L14" s="144"/>
      <c r="M14" s="144"/>
      <c r="N14" s="144"/>
      <c r="O14" s="47">
        <f t="shared" si="1"/>
        <v>0</v>
      </c>
      <c r="P14" s="47">
        <f t="shared" si="2"/>
        <v>0</v>
      </c>
      <c r="Q14"/>
      <c r="R14"/>
    </row>
    <row r="15" spans="2:18" hidden="1" x14ac:dyDescent="0.25">
      <c r="B15" s="70" t="s">
        <v>19</v>
      </c>
      <c r="C15" s="144"/>
      <c r="D15" s="144"/>
      <c r="E15" s="144"/>
      <c r="F15" s="144"/>
      <c r="G15" s="144"/>
      <c r="H15" s="144"/>
      <c r="I15" s="144"/>
      <c r="J15" s="144"/>
      <c r="K15" s="144"/>
      <c r="L15" s="144"/>
      <c r="M15" s="144"/>
      <c r="N15" s="144"/>
      <c r="O15" s="47">
        <f t="shared" si="1"/>
        <v>0</v>
      </c>
      <c r="P15" s="47">
        <f t="shared" si="2"/>
        <v>0</v>
      </c>
      <c r="Q15"/>
      <c r="R15"/>
    </row>
    <row r="16" spans="2:18" hidden="1" x14ac:dyDescent="0.25">
      <c r="B16" s="46" t="s">
        <v>20</v>
      </c>
      <c r="C16" s="8">
        <f t="shared" ref="C16:P16" si="3">SUM(C13:C15)</f>
        <v>0</v>
      </c>
      <c r="D16" s="8">
        <f t="shared" si="3"/>
        <v>0</v>
      </c>
      <c r="E16" s="8"/>
      <c r="F16" s="8"/>
      <c r="G16" s="8"/>
      <c r="H16" s="8"/>
      <c r="I16" s="8">
        <f t="shared" si="3"/>
        <v>0</v>
      </c>
      <c r="J16" s="8">
        <f t="shared" si="3"/>
        <v>0</v>
      </c>
      <c r="K16" s="8">
        <f t="shared" si="3"/>
        <v>0</v>
      </c>
      <c r="L16" s="8">
        <f t="shared" si="3"/>
        <v>0</v>
      </c>
      <c r="M16" s="8">
        <f t="shared" si="3"/>
        <v>0</v>
      </c>
      <c r="N16" s="8">
        <f t="shared" si="3"/>
        <v>0</v>
      </c>
      <c r="O16" s="8">
        <f t="shared" si="3"/>
        <v>0</v>
      </c>
      <c r="P16" s="8">
        <f t="shared" si="3"/>
        <v>0</v>
      </c>
      <c r="Q16"/>
      <c r="R16"/>
    </row>
    <row r="17" spans="2:18" hidden="1" x14ac:dyDescent="0.25">
      <c r="B17" s="70" t="s">
        <v>44</v>
      </c>
      <c r="C17" s="144"/>
      <c r="D17" s="144"/>
      <c r="E17" s="144"/>
      <c r="F17" s="144"/>
      <c r="G17" s="144"/>
      <c r="H17" s="144"/>
      <c r="I17" s="144"/>
      <c r="J17" s="144"/>
      <c r="K17" s="144"/>
      <c r="L17" s="144"/>
      <c r="M17" s="144"/>
      <c r="N17" s="144"/>
      <c r="O17" s="47">
        <f t="shared" si="1"/>
        <v>0</v>
      </c>
      <c r="P17" s="47">
        <f t="shared" si="2"/>
        <v>0</v>
      </c>
      <c r="Q17"/>
      <c r="R17"/>
    </row>
    <row r="18" spans="2:18" hidden="1" x14ac:dyDescent="0.25">
      <c r="B18" s="70" t="s">
        <v>22</v>
      </c>
      <c r="C18" s="144"/>
      <c r="D18" s="144"/>
      <c r="E18" s="144"/>
      <c r="F18" s="144"/>
      <c r="G18" s="144"/>
      <c r="H18" s="144"/>
      <c r="I18" s="144"/>
      <c r="J18" s="144"/>
      <c r="K18" s="144"/>
      <c r="L18" s="144"/>
      <c r="M18" s="144"/>
      <c r="N18" s="144"/>
      <c r="O18" s="47">
        <f t="shared" si="1"/>
        <v>0</v>
      </c>
      <c r="P18" s="47">
        <f t="shared" si="2"/>
        <v>0</v>
      </c>
      <c r="Q18"/>
      <c r="R18"/>
    </row>
    <row r="19" spans="2:18" hidden="1" x14ac:dyDescent="0.25">
      <c r="B19" s="70" t="s">
        <v>23</v>
      </c>
      <c r="C19" s="144"/>
      <c r="D19" s="144"/>
      <c r="E19" s="144"/>
      <c r="F19" s="144"/>
      <c r="G19" s="144"/>
      <c r="H19" s="144"/>
      <c r="I19" s="144"/>
      <c r="J19" s="144"/>
      <c r="K19" s="144"/>
      <c r="L19" s="144"/>
      <c r="M19" s="144"/>
      <c r="N19" s="144"/>
      <c r="O19" s="47">
        <f t="shared" si="1"/>
        <v>0</v>
      </c>
      <c r="P19" s="47">
        <f t="shared" si="2"/>
        <v>0</v>
      </c>
      <c r="Q19"/>
      <c r="R19"/>
    </row>
    <row r="20" spans="2:18" hidden="1" x14ac:dyDescent="0.25">
      <c r="B20" s="46" t="s">
        <v>24</v>
      </c>
      <c r="C20" s="8">
        <f t="shared" ref="C20:P20" si="4">SUM(C17:C19)</f>
        <v>0</v>
      </c>
      <c r="D20" s="8">
        <f t="shared" si="4"/>
        <v>0</v>
      </c>
      <c r="E20" s="8"/>
      <c r="F20" s="8"/>
      <c r="G20" s="8"/>
      <c r="H20" s="8"/>
      <c r="I20" s="8">
        <f t="shared" si="4"/>
        <v>0</v>
      </c>
      <c r="J20" s="8">
        <f t="shared" si="4"/>
        <v>0</v>
      </c>
      <c r="K20" s="8">
        <f t="shared" si="4"/>
        <v>0</v>
      </c>
      <c r="L20" s="8">
        <f t="shared" si="4"/>
        <v>0</v>
      </c>
      <c r="M20" s="8">
        <f t="shared" si="4"/>
        <v>0</v>
      </c>
      <c r="N20" s="8">
        <f t="shared" si="4"/>
        <v>0</v>
      </c>
      <c r="O20" s="8">
        <f t="shared" si="4"/>
        <v>0</v>
      </c>
      <c r="P20" s="8">
        <f t="shared" si="4"/>
        <v>0</v>
      </c>
      <c r="Q20"/>
      <c r="R20"/>
    </row>
    <row r="21" spans="2:18" hidden="1" x14ac:dyDescent="0.25">
      <c r="B21" s="70" t="s">
        <v>25</v>
      </c>
      <c r="C21" s="144"/>
      <c r="D21" s="144"/>
      <c r="E21" s="144"/>
      <c r="F21" s="144"/>
      <c r="G21" s="144"/>
      <c r="H21" s="144"/>
      <c r="I21" s="144"/>
      <c r="J21" s="144"/>
      <c r="K21" s="144"/>
      <c r="L21" s="144"/>
      <c r="M21" s="144"/>
      <c r="N21" s="144"/>
      <c r="O21" s="47">
        <f t="shared" si="1"/>
        <v>0</v>
      </c>
      <c r="P21" s="47">
        <f t="shared" si="2"/>
        <v>0</v>
      </c>
      <c r="Q21"/>
      <c r="R21"/>
    </row>
    <row r="22" spans="2:18" hidden="1" x14ac:dyDescent="0.25">
      <c r="B22" s="70" t="s">
        <v>26</v>
      </c>
      <c r="C22" s="144"/>
      <c r="D22" s="144"/>
      <c r="E22" s="144"/>
      <c r="F22" s="144"/>
      <c r="G22" s="144"/>
      <c r="H22" s="144"/>
      <c r="I22" s="144"/>
      <c r="J22" s="144"/>
      <c r="K22" s="144"/>
      <c r="L22" s="144"/>
      <c r="M22" s="144"/>
      <c r="N22" s="144"/>
      <c r="O22" s="47">
        <f t="shared" si="1"/>
        <v>0</v>
      </c>
      <c r="P22" s="47">
        <f t="shared" si="2"/>
        <v>0</v>
      </c>
      <c r="Q22"/>
      <c r="R22"/>
    </row>
    <row r="23" spans="2:18" hidden="1" x14ac:dyDescent="0.25">
      <c r="B23" s="70" t="s">
        <v>27</v>
      </c>
      <c r="C23" s="144"/>
      <c r="D23" s="144"/>
      <c r="E23" s="144"/>
      <c r="F23" s="144"/>
      <c r="G23" s="144"/>
      <c r="H23" s="144"/>
      <c r="I23" s="144"/>
      <c r="J23" s="144"/>
      <c r="K23" s="144"/>
      <c r="L23" s="144"/>
      <c r="M23" s="144"/>
      <c r="N23" s="144"/>
      <c r="O23" s="47">
        <f t="shared" si="1"/>
        <v>0</v>
      </c>
      <c r="P23" s="47">
        <f t="shared" si="2"/>
        <v>0</v>
      </c>
      <c r="Q23"/>
      <c r="R23"/>
    </row>
    <row r="24" spans="2:18" hidden="1" x14ac:dyDescent="0.25">
      <c r="B24" s="46" t="s">
        <v>28</v>
      </c>
      <c r="C24" s="8">
        <f t="shared" ref="C24:P24" si="5">SUM(C21:C23)</f>
        <v>0</v>
      </c>
      <c r="D24" s="8">
        <f t="shared" si="5"/>
        <v>0</v>
      </c>
      <c r="E24" s="8"/>
      <c r="F24" s="8"/>
      <c r="G24" s="8"/>
      <c r="H24" s="8"/>
      <c r="I24" s="8">
        <f t="shared" si="5"/>
        <v>0</v>
      </c>
      <c r="J24" s="8">
        <f t="shared" si="5"/>
        <v>0</v>
      </c>
      <c r="K24" s="8">
        <f t="shared" si="5"/>
        <v>0</v>
      </c>
      <c r="L24" s="8">
        <f t="shared" si="5"/>
        <v>0</v>
      </c>
      <c r="M24" s="8">
        <f t="shared" si="5"/>
        <v>0</v>
      </c>
      <c r="N24" s="8">
        <f t="shared" si="5"/>
        <v>0</v>
      </c>
      <c r="O24" s="8">
        <f t="shared" si="5"/>
        <v>0</v>
      </c>
      <c r="P24" s="8">
        <f t="shared" si="5"/>
        <v>0</v>
      </c>
      <c r="Q24"/>
      <c r="R24"/>
    </row>
    <row r="25" spans="2:18" hidden="1" x14ac:dyDescent="0.25">
      <c r="B25" s="49" t="s">
        <v>29</v>
      </c>
      <c r="C25" s="50">
        <f>+C12+C16+C20+C24</f>
        <v>8412</v>
      </c>
      <c r="D25" s="48">
        <f t="shared" ref="D25:P25" si="6">+D12+D16+D20+D24</f>
        <v>143661594.50999999</v>
      </c>
      <c r="E25" s="48"/>
      <c r="F25" s="48"/>
      <c r="G25" s="48"/>
      <c r="H25" s="48"/>
      <c r="I25" s="48">
        <f t="shared" si="6"/>
        <v>2821</v>
      </c>
      <c r="J25" s="48">
        <f t="shared" si="6"/>
        <v>43674274.32</v>
      </c>
      <c r="K25" s="48">
        <f t="shared" si="6"/>
        <v>1626</v>
      </c>
      <c r="L25" s="48">
        <f t="shared" si="6"/>
        <v>19453779.75</v>
      </c>
      <c r="M25" s="48">
        <f t="shared" si="6"/>
        <v>560</v>
      </c>
      <c r="N25" s="48">
        <f t="shared" si="6"/>
        <v>7977637.9700000007</v>
      </c>
      <c r="O25" s="48">
        <f t="shared" si="6"/>
        <v>6717</v>
      </c>
      <c r="P25" s="48">
        <f t="shared" si="6"/>
        <v>167565123.61000001</v>
      </c>
      <c r="Q25"/>
      <c r="R25"/>
    </row>
    <row r="26" spans="2:18" x14ac:dyDescent="0.25">
      <c r="B26" s="125" t="s">
        <v>99</v>
      </c>
      <c r="C26"/>
      <c r="D26"/>
      <c r="E26"/>
      <c r="F26"/>
      <c r="G26"/>
      <c r="H26"/>
      <c r="I26"/>
      <c r="J26"/>
      <c r="K26"/>
      <c r="L26"/>
      <c r="M26"/>
      <c r="N26"/>
      <c r="O26"/>
      <c r="P26"/>
      <c r="Q26"/>
      <c r="R26"/>
    </row>
    <row r="27" spans="2:18" s="15" customFormat="1" ht="11.25" x14ac:dyDescent="0.2">
      <c r="B27" s="190"/>
      <c r="C27" s="128"/>
      <c r="D27" s="128"/>
      <c r="E27" s="128"/>
      <c r="F27" s="128"/>
      <c r="G27" s="128"/>
      <c r="H27" s="128"/>
      <c r="I27" s="128"/>
      <c r="J27" s="128"/>
      <c r="K27" s="125"/>
      <c r="L27" s="125"/>
      <c r="M27" s="125"/>
      <c r="N27" s="125"/>
      <c r="O27" s="125"/>
      <c r="P27" s="125"/>
      <c r="Q27" s="125"/>
      <c r="R27" s="125"/>
    </row>
    <row r="28" spans="2:18" x14ac:dyDescent="0.25">
      <c r="B28"/>
      <c r="C28"/>
      <c r="D28"/>
      <c r="E28"/>
      <c r="F28"/>
      <c r="G28"/>
      <c r="H28"/>
      <c r="I28"/>
      <c r="J28"/>
      <c r="K28"/>
      <c r="L28"/>
      <c r="M28"/>
      <c r="N28"/>
      <c r="O28"/>
      <c r="P28"/>
      <c r="Q28"/>
    </row>
    <row r="29" spans="2:18" x14ac:dyDescent="0.25">
      <c r="B29"/>
      <c r="C29"/>
      <c r="D29"/>
      <c r="E29"/>
      <c r="F29"/>
      <c r="G29"/>
      <c r="H29"/>
      <c r="I29"/>
      <c r="J29"/>
      <c r="K29"/>
      <c r="L29"/>
      <c r="M29"/>
      <c r="N29"/>
      <c r="O29"/>
      <c r="P29"/>
      <c r="Q29"/>
      <c r="R29"/>
    </row>
    <row r="30" spans="2:18" x14ac:dyDescent="0.25">
      <c r="B30"/>
      <c r="C30"/>
      <c r="D30"/>
      <c r="E30"/>
      <c r="F30"/>
      <c r="G30"/>
      <c r="H30"/>
      <c r="I30"/>
      <c r="J30"/>
      <c r="K30"/>
      <c r="L30"/>
      <c r="M30"/>
      <c r="N30"/>
      <c r="O30"/>
      <c r="P30"/>
      <c r="Q30"/>
      <c r="R30"/>
    </row>
    <row r="31" spans="2:18" x14ac:dyDescent="0.25">
      <c r="B31"/>
      <c r="C31"/>
      <c r="D31"/>
      <c r="E31"/>
      <c r="F31"/>
      <c r="G31"/>
      <c r="H31"/>
      <c r="I31"/>
      <c r="J31"/>
      <c r="K31"/>
      <c r="L31"/>
      <c r="M31"/>
      <c r="N31"/>
      <c r="O31"/>
      <c r="P31"/>
      <c r="Q31"/>
      <c r="R31"/>
    </row>
    <row r="32" spans="2:18" x14ac:dyDescent="0.25">
      <c r="B32"/>
      <c r="C32"/>
      <c r="D32"/>
      <c r="E32"/>
      <c r="F32"/>
      <c r="G32"/>
      <c r="H32"/>
      <c r="I32"/>
      <c r="J32"/>
      <c r="K32"/>
      <c r="L32"/>
      <c r="M32"/>
      <c r="N32"/>
      <c r="O32"/>
      <c r="P32"/>
      <c r="Q32"/>
      <c r="R32"/>
    </row>
    <row r="33" spans="2:18" x14ac:dyDescent="0.25">
      <c r="B33"/>
      <c r="C33"/>
      <c r="D33"/>
      <c r="E33"/>
      <c r="F33"/>
      <c r="G33"/>
      <c r="H33"/>
      <c r="I33"/>
      <c r="J33"/>
      <c r="K33"/>
      <c r="L33"/>
      <c r="M33"/>
      <c r="N33"/>
      <c r="O33"/>
      <c r="P33"/>
      <c r="Q33"/>
      <c r="R33"/>
    </row>
    <row r="34" spans="2:18" x14ac:dyDescent="0.25">
      <c r="B34"/>
      <c r="C34"/>
      <c r="D34"/>
      <c r="E34"/>
      <c r="F34"/>
      <c r="G34"/>
      <c r="H34"/>
      <c r="I34"/>
      <c r="J34"/>
      <c r="K34"/>
      <c r="L34"/>
      <c r="M34"/>
      <c r="N34"/>
      <c r="O34"/>
      <c r="P34"/>
      <c r="Q34"/>
      <c r="R34"/>
    </row>
    <row r="35" spans="2:18" x14ac:dyDescent="0.25">
      <c r="B35"/>
      <c r="C35"/>
      <c r="D35"/>
      <c r="E35"/>
      <c r="F35"/>
      <c r="G35"/>
      <c r="H35"/>
      <c r="I35"/>
      <c r="J35"/>
      <c r="K35"/>
      <c r="L35"/>
      <c r="M35"/>
      <c r="N35"/>
      <c r="O35"/>
      <c r="P35"/>
      <c r="Q35"/>
      <c r="R35"/>
    </row>
    <row r="36" spans="2:18" x14ac:dyDescent="0.25">
      <c r="B36"/>
      <c r="C36"/>
      <c r="D36"/>
      <c r="E36"/>
      <c r="F36"/>
      <c r="G36"/>
      <c r="H36"/>
      <c r="I36"/>
      <c r="J36"/>
      <c r="K36"/>
      <c r="L36"/>
      <c r="M36"/>
      <c r="N36"/>
      <c r="O36"/>
      <c r="P36"/>
      <c r="Q36"/>
      <c r="R36"/>
    </row>
    <row r="37" spans="2:18" x14ac:dyDescent="0.25">
      <c r="B37"/>
      <c r="C37"/>
      <c r="D37"/>
      <c r="E37"/>
      <c r="F37"/>
      <c r="G37"/>
      <c r="H37"/>
      <c r="I37"/>
      <c r="J37"/>
      <c r="K37"/>
      <c r="L37"/>
      <c r="M37"/>
      <c r="N37"/>
      <c r="O37"/>
      <c r="P37"/>
      <c r="Q37"/>
      <c r="R37"/>
    </row>
    <row r="38" spans="2:18" x14ac:dyDescent="0.25">
      <c r="B38"/>
      <c r="C38"/>
      <c r="D38"/>
      <c r="E38"/>
      <c r="F38"/>
      <c r="G38"/>
      <c r="H38"/>
      <c r="I38"/>
      <c r="J38"/>
      <c r="K38"/>
      <c r="L38"/>
      <c r="M38"/>
      <c r="N38"/>
      <c r="O38"/>
      <c r="P38"/>
      <c r="Q38"/>
      <c r="R38"/>
    </row>
    <row r="39" spans="2:18" x14ac:dyDescent="0.25">
      <c r="B39"/>
      <c r="C39"/>
      <c r="D39"/>
      <c r="E39"/>
      <c r="F39"/>
      <c r="G39"/>
      <c r="H39"/>
      <c r="I39"/>
      <c r="J39"/>
      <c r="K39"/>
      <c r="L39"/>
      <c r="M39"/>
      <c r="N39"/>
      <c r="O39"/>
      <c r="P39"/>
      <c r="Q39"/>
      <c r="R39"/>
    </row>
    <row r="42" spans="2:18" x14ac:dyDescent="0.25">
      <c r="C42" s="70"/>
      <c r="D42" s="144"/>
      <c r="E42" s="144"/>
      <c r="F42" s="144"/>
      <c r="G42" s="144"/>
      <c r="H42" s="144"/>
      <c r="I42" s="144"/>
      <c r="J42" s="144"/>
      <c r="K42" s="144"/>
      <c r="L42" s="144"/>
      <c r="M42" s="144"/>
      <c r="N42" s="144"/>
      <c r="O42" s="144"/>
      <c r="P42" s="47"/>
      <c r="Q42" s="79"/>
    </row>
    <row r="44" spans="2:18" x14ac:dyDescent="0.25">
      <c r="C44" s="70"/>
      <c r="D44" s="144"/>
      <c r="E44" s="144"/>
      <c r="F44" s="144"/>
      <c r="G44" s="144"/>
      <c r="H44" s="144"/>
      <c r="I44" s="144"/>
      <c r="J44" s="144"/>
      <c r="K44" s="144"/>
      <c r="L44" s="144"/>
      <c r="M44" s="144"/>
      <c r="N44" s="144"/>
      <c r="O44" s="144"/>
      <c r="P44" s="47"/>
      <c r="Q44" s="79"/>
    </row>
  </sheetData>
  <mergeCells count="13">
    <mergeCell ref="O7:P7"/>
    <mergeCell ref="C7:D7"/>
    <mergeCell ref="E7:F7"/>
    <mergeCell ref="G7:H7"/>
    <mergeCell ref="I7:J7"/>
    <mergeCell ref="K7:L7"/>
    <mergeCell ref="M7:N7"/>
    <mergeCell ref="B6:P6"/>
    <mergeCell ref="B1:P1"/>
    <mergeCell ref="B2:P2"/>
    <mergeCell ref="B3:P3"/>
    <mergeCell ref="B4:P4"/>
    <mergeCell ref="B5:P5"/>
  </mergeCells>
  <pageMargins left="0.7" right="0.7" top="0.75" bottom="0.75" header="0.3" footer="0.3"/>
  <pageSetup paperSize="9" scale="51"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5:H72"/>
  <sheetViews>
    <sheetView topLeftCell="A10" workbookViewId="0">
      <selection activeCell="H23" sqref="H23"/>
    </sheetView>
  </sheetViews>
  <sheetFormatPr baseColWidth="10" defaultColWidth="11.42578125" defaultRowHeight="15" x14ac:dyDescent="0.25"/>
  <cols>
    <col min="1" max="1" width="18.42578125" customWidth="1"/>
    <col min="3" max="3" width="18.140625" customWidth="1"/>
    <col min="6" max="6" width="13.7109375" bestFit="1" customWidth="1"/>
  </cols>
  <sheetData>
    <row r="5" spans="1:8" x14ac:dyDescent="0.25">
      <c r="A5" t="s">
        <v>131</v>
      </c>
    </row>
    <row r="6" spans="1:8" x14ac:dyDescent="0.25">
      <c r="A6" t="s">
        <v>132</v>
      </c>
      <c r="B6" t="s">
        <v>133</v>
      </c>
      <c r="C6" s="74">
        <v>31310</v>
      </c>
      <c r="D6" s="99">
        <v>0.2</v>
      </c>
      <c r="E6" s="74">
        <v>391848281</v>
      </c>
      <c r="F6" s="99">
        <v>0.19</v>
      </c>
    </row>
    <row r="7" spans="1:8" x14ac:dyDescent="0.25">
      <c r="A7" t="s">
        <v>134</v>
      </c>
      <c r="B7" s="74">
        <v>58606</v>
      </c>
      <c r="C7" s="99">
        <v>0.37</v>
      </c>
      <c r="D7" s="74">
        <v>502596251</v>
      </c>
      <c r="E7" s="99">
        <v>0.25</v>
      </c>
    </row>
    <row r="8" spans="1:8" x14ac:dyDescent="0.25">
      <c r="A8" t="s">
        <v>135</v>
      </c>
      <c r="B8" t="s">
        <v>136</v>
      </c>
      <c r="C8" t="s">
        <v>137</v>
      </c>
      <c r="D8">
        <v>280</v>
      </c>
      <c r="E8" s="100">
        <v>2E-3</v>
      </c>
      <c r="F8" s="74">
        <v>4723136</v>
      </c>
      <c r="G8" s="100">
        <v>2E-3</v>
      </c>
    </row>
    <row r="9" spans="1:8" x14ac:dyDescent="0.25">
      <c r="A9" t="s">
        <v>138</v>
      </c>
      <c r="B9" t="s">
        <v>139</v>
      </c>
      <c r="C9" t="s">
        <v>140</v>
      </c>
      <c r="D9" t="s">
        <v>141</v>
      </c>
      <c r="E9">
        <v>164</v>
      </c>
      <c r="F9" s="100">
        <v>1E-3</v>
      </c>
      <c r="G9" s="74">
        <v>4627394</v>
      </c>
      <c r="H9" s="100">
        <v>2E-3</v>
      </c>
    </row>
    <row r="10" spans="1:8" x14ac:dyDescent="0.25">
      <c r="A10" t="s">
        <v>142</v>
      </c>
      <c r="B10" t="s">
        <v>143</v>
      </c>
      <c r="C10">
        <v>311</v>
      </c>
      <c r="D10" s="100">
        <v>2E-3</v>
      </c>
      <c r="E10" s="74">
        <v>8307901</v>
      </c>
      <c r="F10" s="100">
        <v>4.0000000000000001E-3</v>
      </c>
    </row>
    <row r="11" spans="1:8" x14ac:dyDescent="0.25">
      <c r="A11" t="s">
        <v>142</v>
      </c>
      <c r="B11" t="s">
        <v>144</v>
      </c>
      <c r="C11" s="74">
        <v>19019</v>
      </c>
      <c r="D11" s="99">
        <v>0.12</v>
      </c>
      <c r="E11" s="74">
        <v>425653300</v>
      </c>
      <c r="F11" s="99">
        <v>0.21</v>
      </c>
    </row>
    <row r="12" spans="1:8" x14ac:dyDescent="0.25">
      <c r="A12" t="s">
        <v>145</v>
      </c>
      <c r="B12" t="s">
        <v>146</v>
      </c>
      <c r="C12" s="74">
        <v>21131</v>
      </c>
      <c r="D12" s="99">
        <v>0.13</v>
      </c>
      <c r="E12" s="74">
        <v>448771667</v>
      </c>
      <c r="F12" s="99">
        <v>0.22</v>
      </c>
    </row>
    <row r="13" spans="1:8" x14ac:dyDescent="0.25">
      <c r="A13" t="s">
        <v>132</v>
      </c>
      <c r="B13" t="s">
        <v>147</v>
      </c>
      <c r="C13" s="74">
        <v>10163</v>
      </c>
      <c r="D13" s="99">
        <v>0.06</v>
      </c>
      <c r="E13" s="74">
        <v>60978000</v>
      </c>
      <c r="F13" s="99">
        <v>0.03</v>
      </c>
    </row>
    <row r="14" spans="1:8" x14ac:dyDescent="0.25">
      <c r="A14" t="s">
        <v>148</v>
      </c>
      <c r="B14" t="s">
        <v>149</v>
      </c>
      <c r="C14" t="s">
        <v>150</v>
      </c>
      <c r="D14" s="74">
        <v>16719</v>
      </c>
      <c r="E14" s="99">
        <v>0.11</v>
      </c>
      <c r="F14" s="74">
        <v>171659274</v>
      </c>
      <c r="G14" s="99">
        <v>0.09</v>
      </c>
    </row>
    <row r="17" spans="1:7" x14ac:dyDescent="0.25">
      <c r="A17" t="s">
        <v>151</v>
      </c>
      <c r="B17" t="s">
        <v>152</v>
      </c>
      <c r="C17" t="s">
        <v>64</v>
      </c>
      <c r="D17" t="s">
        <v>153</v>
      </c>
      <c r="E17" t="s">
        <v>64</v>
      </c>
    </row>
    <row r="18" spans="1:7" x14ac:dyDescent="0.25">
      <c r="A18" t="s">
        <v>154</v>
      </c>
      <c r="B18" t="s">
        <v>155</v>
      </c>
      <c r="C18" t="s">
        <v>156</v>
      </c>
      <c r="D18">
        <v>42</v>
      </c>
      <c r="E18" s="100">
        <v>2.9999999999999997E-4</v>
      </c>
      <c r="F18" s="101">
        <v>167356.85</v>
      </c>
      <c r="G18" s="99">
        <v>0</v>
      </c>
    </row>
    <row r="19" spans="1:7" x14ac:dyDescent="0.25">
      <c r="A19" t="s">
        <v>157</v>
      </c>
      <c r="B19" t="s">
        <v>158</v>
      </c>
      <c r="C19" t="s">
        <v>159</v>
      </c>
      <c r="D19">
        <v>1</v>
      </c>
      <c r="E19" s="100">
        <v>0</v>
      </c>
      <c r="F19" s="101">
        <v>5117.5</v>
      </c>
      <c r="G19" s="99">
        <v>0</v>
      </c>
    </row>
    <row r="20" spans="1:7" x14ac:dyDescent="0.25">
      <c r="A20" s="101">
        <v>5117.5</v>
      </c>
      <c r="B20" t="s">
        <v>77</v>
      </c>
      <c r="C20" s="101">
        <v>10000</v>
      </c>
      <c r="D20" s="74">
        <v>93522</v>
      </c>
      <c r="E20" s="100">
        <v>0.73980000000000001</v>
      </c>
      <c r="F20" s="101">
        <v>750253033.45000005</v>
      </c>
      <c r="G20" s="99">
        <v>0.5</v>
      </c>
    </row>
    <row r="21" spans="1:7" x14ac:dyDescent="0.25">
      <c r="A21" s="101">
        <v>10000</v>
      </c>
      <c r="B21" t="s">
        <v>77</v>
      </c>
      <c r="C21" s="101">
        <v>20000</v>
      </c>
      <c r="D21" s="74">
        <v>18138</v>
      </c>
      <c r="E21" s="100">
        <v>0.14349999999999999</v>
      </c>
      <c r="F21" s="101">
        <v>227429836.90000001</v>
      </c>
      <c r="G21" s="99">
        <v>0.15</v>
      </c>
    </row>
    <row r="22" spans="1:7" x14ac:dyDescent="0.25">
      <c r="A22" s="101">
        <v>20000</v>
      </c>
      <c r="B22" t="s">
        <v>77</v>
      </c>
      <c r="C22" s="101">
        <v>30000</v>
      </c>
      <c r="D22" s="74">
        <v>6578</v>
      </c>
      <c r="E22" s="100">
        <v>5.1999999999999998E-2</v>
      </c>
      <c r="F22" s="101">
        <v>161421192.27000001</v>
      </c>
      <c r="G22" s="99">
        <v>0.11</v>
      </c>
    </row>
    <row r="23" spans="1:7" x14ac:dyDescent="0.25">
      <c r="A23" s="101">
        <v>30000</v>
      </c>
      <c r="B23" t="s">
        <v>77</v>
      </c>
      <c r="C23" s="101">
        <v>40000</v>
      </c>
      <c r="D23" s="74">
        <v>3651</v>
      </c>
      <c r="E23" s="100">
        <v>2.8899999999999999E-2</v>
      </c>
      <c r="F23" s="101">
        <v>122505219.92</v>
      </c>
      <c r="G23" s="99">
        <v>0.08</v>
      </c>
    </row>
    <row r="24" spans="1:7" x14ac:dyDescent="0.25">
      <c r="A24" s="101">
        <v>40000</v>
      </c>
      <c r="B24" t="s">
        <v>77</v>
      </c>
      <c r="C24" s="101">
        <v>50000</v>
      </c>
      <c r="D24" s="74">
        <v>2228</v>
      </c>
      <c r="E24" s="100">
        <v>1.7600000000000001E-2</v>
      </c>
      <c r="F24" s="101">
        <v>96897867.079999998</v>
      </c>
      <c r="G24" s="99">
        <v>0.06</v>
      </c>
    </row>
    <row r="25" spans="1:7" x14ac:dyDescent="0.25">
      <c r="A25" s="101">
        <v>50000</v>
      </c>
      <c r="B25" t="s">
        <v>77</v>
      </c>
      <c r="C25" s="101">
        <v>60000</v>
      </c>
      <c r="D25" s="74">
        <v>1212</v>
      </c>
      <c r="E25" s="100">
        <v>9.5999999999999992E-3</v>
      </c>
      <c r="F25" s="101">
        <v>63870772.049999997</v>
      </c>
      <c r="G25" s="99">
        <v>0.04</v>
      </c>
    </row>
    <row r="26" spans="1:7" x14ac:dyDescent="0.25">
      <c r="A26" s="101">
        <v>60000</v>
      </c>
      <c r="B26" t="s">
        <v>77</v>
      </c>
      <c r="C26" s="101">
        <v>70000</v>
      </c>
      <c r="D26">
        <v>256</v>
      </c>
      <c r="E26" s="100">
        <v>2E-3</v>
      </c>
      <c r="F26" s="101">
        <v>15987935.460000001</v>
      </c>
      <c r="G26" s="99">
        <v>0.01</v>
      </c>
    </row>
    <row r="27" spans="1:7" x14ac:dyDescent="0.25">
      <c r="A27" s="101">
        <v>70000</v>
      </c>
      <c r="B27" t="s">
        <v>77</v>
      </c>
      <c r="C27" s="101">
        <v>80000</v>
      </c>
      <c r="D27">
        <v>185</v>
      </c>
      <c r="E27" s="100">
        <v>1.5E-3</v>
      </c>
      <c r="F27" s="101">
        <v>13603340.310000001</v>
      </c>
      <c r="G27" s="99">
        <v>0.01</v>
      </c>
    </row>
    <row r="28" spans="1:7" x14ac:dyDescent="0.25">
      <c r="A28" s="101">
        <v>80000</v>
      </c>
      <c r="B28" t="s">
        <v>77</v>
      </c>
      <c r="C28" s="101">
        <v>90000</v>
      </c>
      <c r="D28">
        <v>246</v>
      </c>
      <c r="E28" s="100">
        <v>1.9E-3</v>
      </c>
      <c r="F28" s="101">
        <v>20637258.829999998</v>
      </c>
      <c r="G28" s="99">
        <v>0.01</v>
      </c>
    </row>
    <row r="29" spans="1:7" x14ac:dyDescent="0.25">
      <c r="A29" s="101">
        <v>90000</v>
      </c>
      <c r="B29" t="s">
        <v>77</v>
      </c>
      <c r="C29" s="101">
        <v>100000</v>
      </c>
      <c r="D29">
        <v>300</v>
      </c>
      <c r="E29" s="100">
        <v>2.3999999999999998E-3</v>
      </c>
      <c r="F29" s="101">
        <v>28790914.350000001</v>
      </c>
      <c r="G29" s="99">
        <v>0.02</v>
      </c>
    </row>
    <row r="30" spans="1:7" x14ac:dyDescent="0.25">
      <c r="A30" t="s">
        <v>160</v>
      </c>
      <c r="B30">
        <v>50</v>
      </c>
      <c r="C30" s="100">
        <v>4.0000000000000002E-4</v>
      </c>
      <c r="D30" s="101">
        <v>7845693.5999999996</v>
      </c>
      <c r="E30" s="99">
        <v>0.01</v>
      </c>
    </row>
    <row r="32" spans="1:7" x14ac:dyDescent="0.25">
      <c r="A32" t="s">
        <v>151</v>
      </c>
      <c r="B32" t="s">
        <v>152</v>
      </c>
      <c r="C32" t="s">
        <v>64</v>
      </c>
      <c r="D32" t="s">
        <v>153</v>
      </c>
      <c r="E32" t="s">
        <v>64</v>
      </c>
    </row>
    <row r="33" spans="1:7" x14ac:dyDescent="0.25">
      <c r="A33" t="s">
        <v>161</v>
      </c>
      <c r="B33">
        <v>8</v>
      </c>
      <c r="C33" s="100">
        <v>1E-4</v>
      </c>
      <c r="D33" s="74">
        <v>120807</v>
      </c>
      <c r="E33" s="100">
        <v>1E-4</v>
      </c>
    </row>
    <row r="34" spans="1:7" x14ac:dyDescent="0.25">
      <c r="A34" t="s">
        <v>162</v>
      </c>
      <c r="B34">
        <v>105</v>
      </c>
      <c r="C34" s="100">
        <v>8.9999999999999998E-4</v>
      </c>
      <c r="D34" s="74">
        <v>1623898</v>
      </c>
      <c r="E34" s="100">
        <v>1.1000000000000001E-3</v>
      </c>
    </row>
    <row r="35" spans="1:7" x14ac:dyDescent="0.25">
      <c r="A35" t="s">
        <v>163</v>
      </c>
      <c r="B35">
        <v>662</v>
      </c>
      <c r="C35" s="100">
        <v>5.7999999999999996E-3</v>
      </c>
      <c r="D35" s="74">
        <v>8844351</v>
      </c>
      <c r="E35" s="100">
        <v>5.8999999999999999E-3</v>
      </c>
    </row>
    <row r="36" spans="1:7" x14ac:dyDescent="0.25">
      <c r="A36" t="s">
        <v>164</v>
      </c>
      <c r="B36" s="74">
        <v>3613</v>
      </c>
      <c r="C36" s="100">
        <v>3.1699999999999999E-2</v>
      </c>
      <c r="D36" s="74">
        <v>58835635</v>
      </c>
      <c r="E36" s="100">
        <v>3.9E-2</v>
      </c>
    </row>
    <row r="37" spans="1:7" x14ac:dyDescent="0.25">
      <c r="A37" t="s">
        <v>165</v>
      </c>
      <c r="B37" s="74">
        <v>37680</v>
      </c>
      <c r="C37" s="100">
        <v>0.3306</v>
      </c>
      <c r="D37" s="74">
        <v>525796423</v>
      </c>
      <c r="E37" s="100">
        <v>0.3483</v>
      </c>
    </row>
    <row r="38" spans="1:7" x14ac:dyDescent="0.25">
      <c r="A38" t="s">
        <v>166</v>
      </c>
      <c r="B38" s="74">
        <v>44491</v>
      </c>
      <c r="C38" s="100">
        <v>0.39040000000000002</v>
      </c>
      <c r="D38" s="74">
        <v>593494378</v>
      </c>
      <c r="E38" s="100">
        <v>0.39319999999999999</v>
      </c>
    </row>
    <row r="39" spans="1:7" x14ac:dyDescent="0.25">
      <c r="A39" t="s">
        <v>167</v>
      </c>
      <c r="B39" s="74">
        <v>22199</v>
      </c>
      <c r="C39" s="100">
        <v>0.1948</v>
      </c>
      <c r="D39" s="74">
        <v>263071212</v>
      </c>
      <c r="E39" s="100">
        <v>0.17430000000000001</v>
      </c>
    </row>
    <row r="40" spans="1:7" x14ac:dyDescent="0.25">
      <c r="A40" t="s">
        <v>168</v>
      </c>
      <c r="B40" s="74">
        <v>4787</v>
      </c>
      <c r="C40" s="100">
        <v>4.2000000000000003E-2</v>
      </c>
      <c r="D40" s="74">
        <v>53293459</v>
      </c>
      <c r="E40" s="100">
        <v>3.5299999999999998E-2</v>
      </c>
    </row>
    <row r="41" spans="1:7" x14ac:dyDescent="0.25">
      <c r="A41">
        <v>100</v>
      </c>
      <c r="B41">
        <v>273</v>
      </c>
      <c r="C41" s="100">
        <v>2.3999999999999998E-3</v>
      </c>
      <c r="D41" s="74">
        <v>3036509</v>
      </c>
      <c r="E41" s="100">
        <v>2E-3</v>
      </c>
    </row>
    <row r="42" spans="1:7" x14ac:dyDescent="0.25">
      <c r="A42">
        <v>0</v>
      </c>
      <c r="B42">
        <v>148</v>
      </c>
      <c r="C42" s="100">
        <v>1.2999999999999999E-3</v>
      </c>
      <c r="D42" s="74">
        <v>1202867</v>
      </c>
      <c r="E42" s="100">
        <v>8.0000000000000004E-4</v>
      </c>
    </row>
    <row r="43" spans="1:7" x14ac:dyDescent="0.25">
      <c r="A43" t="s">
        <v>169</v>
      </c>
      <c r="B43" t="s">
        <v>170</v>
      </c>
      <c r="C43" s="103">
        <v>1</v>
      </c>
      <c r="D43">
        <v>11</v>
      </c>
      <c r="E43" s="100">
        <v>1E-4</v>
      </c>
      <c r="F43" s="74">
        <v>96000</v>
      </c>
      <c r="G43" s="100">
        <v>1E-4</v>
      </c>
    </row>
    <row r="60" spans="1:4" ht="1.5" customHeight="1" thickBot="1" x14ac:dyDescent="0.3"/>
    <row r="61" spans="1:4" ht="31.5" customHeight="1" x14ac:dyDescent="0.25">
      <c r="A61" s="367" t="s">
        <v>171</v>
      </c>
      <c r="B61" s="368"/>
      <c r="C61" s="368"/>
      <c r="D61" s="369"/>
    </row>
    <row r="62" spans="1:4" x14ac:dyDescent="0.25">
      <c r="A62" s="105" t="s">
        <v>172</v>
      </c>
      <c r="B62" s="106" t="s">
        <v>64</v>
      </c>
      <c r="C62" s="107" t="s">
        <v>9</v>
      </c>
      <c r="D62" s="108" t="s">
        <v>64</v>
      </c>
    </row>
    <row r="63" spans="1:4" x14ac:dyDescent="0.25">
      <c r="A63" s="89">
        <v>31137</v>
      </c>
      <c r="B63" s="77">
        <f>A63/$F$18</f>
        <v>0.18605154195959114</v>
      </c>
      <c r="C63" s="51">
        <v>395798200.03000003</v>
      </c>
      <c r="D63" s="90">
        <f>C63/C72</f>
        <v>0.19391687100775967</v>
      </c>
    </row>
    <row r="64" spans="1:4" x14ac:dyDescent="0.25">
      <c r="A64" s="89">
        <v>59538</v>
      </c>
      <c r="B64" s="77">
        <f t="shared" ref="B64:B71" si="0">A64/$F$18</f>
        <v>0.35575478386453857</v>
      </c>
      <c r="C64" s="51">
        <v>514655292.12</v>
      </c>
      <c r="D64" s="90">
        <f>C64/C72</f>
        <v>0.25214956482351464</v>
      </c>
    </row>
    <row r="65" spans="1:4" x14ac:dyDescent="0.25">
      <c r="A65" s="89">
        <v>272</v>
      </c>
      <c r="B65" s="78">
        <f t="shared" si="0"/>
        <v>1.6252695960756909E-3</v>
      </c>
      <c r="C65" s="51">
        <v>4588034.25</v>
      </c>
      <c r="D65" s="91">
        <f>C65/C72</f>
        <v>2.2478557147783836E-3</v>
      </c>
    </row>
    <row r="66" spans="1:4" x14ac:dyDescent="0.25">
      <c r="A66" s="89">
        <v>165</v>
      </c>
      <c r="B66" s="78">
        <f t="shared" si="0"/>
        <v>9.8591721820768022E-4</v>
      </c>
      <c r="C66" s="51">
        <v>4769926.3500000006</v>
      </c>
      <c r="D66" s="91">
        <f>C66/C72</f>
        <v>2.3369717008802837E-3</v>
      </c>
    </row>
    <row r="67" spans="1:4" x14ac:dyDescent="0.25">
      <c r="A67" s="89">
        <v>291</v>
      </c>
      <c r="B67" s="78">
        <f t="shared" si="0"/>
        <v>1.7387994575662723E-3</v>
      </c>
      <c r="C67" s="51">
        <v>7859081.6799999997</v>
      </c>
      <c r="D67" s="91">
        <f>C67/C72</f>
        <v>3.8504685677309622E-3</v>
      </c>
    </row>
    <row r="68" spans="1:4" x14ac:dyDescent="0.25">
      <c r="A68" s="89">
        <v>18719</v>
      </c>
      <c r="B68" s="77">
        <f t="shared" si="0"/>
        <v>0.11185081459169433</v>
      </c>
      <c r="C68" s="51">
        <v>422264407.25999999</v>
      </c>
      <c r="D68" s="90">
        <f>C68/C72</f>
        <v>0.20688369120324193</v>
      </c>
    </row>
    <row r="69" spans="1:4" x14ac:dyDescent="0.25">
      <c r="A69" s="89">
        <v>21144</v>
      </c>
      <c r="B69" s="77">
        <f t="shared" si="0"/>
        <v>0.12634081007141326</v>
      </c>
      <c r="C69" s="51">
        <v>451598843.05000001</v>
      </c>
      <c r="D69" s="90">
        <f>C69/C72</f>
        <v>0.22125576768247726</v>
      </c>
    </row>
    <row r="70" spans="1:4" x14ac:dyDescent="0.25">
      <c r="A70" s="89">
        <v>9753</v>
      </c>
      <c r="B70" s="77">
        <f t="shared" si="0"/>
        <v>5.8276670479875788E-2</v>
      </c>
      <c r="C70" s="51">
        <v>58518000</v>
      </c>
      <c r="D70" s="90">
        <f>C70/C72</f>
        <v>2.8670235126819606E-2</v>
      </c>
    </row>
    <row r="71" spans="1:4" x14ac:dyDescent="0.25">
      <c r="A71" s="89">
        <v>17481</v>
      </c>
      <c r="B71" s="77">
        <f t="shared" si="0"/>
        <v>0.10445344782720277</v>
      </c>
      <c r="C71" s="51">
        <v>181019721.69</v>
      </c>
      <c r="D71" s="90">
        <f>C71/C72</f>
        <v>8.8688574172797213E-2</v>
      </c>
    </row>
    <row r="72" spans="1:4" ht="15.75" thickBot="1" x14ac:dyDescent="0.3">
      <c r="A72" s="92">
        <f t="shared" ref="A72:D72" si="1">SUM(A63:A71)</f>
        <v>158500</v>
      </c>
      <c r="B72" s="93">
        <f t="shared" si="1"/>
        <v>0.9470780550661656</v>
      </c>
      <c r="C72" s="94">
        <f t="shared" si="1"/>
        <v>2041071506.4300001</v>
      </c>
      <c r="D72" s="95">
        <f t="shared" si="1"/>
        <v>0.99999999999999989</v>
      </c>
    </row>
  </sheetData>
  <mergeCells count="1">
    <mergeCell ref="A61:D61"/>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pageSetUpPr fitToPage="1"/>
  </sheetPr>
  <dimension ref="B2:AB29"/>
  <sheetViews>
    <sheetView showGridLines="0" zoomScaleNormal="100" workbookViewId="0">
      <selection activeCell="C11" sqref="C11:N19"/>
    </sheetView>
  </sheetViews>
  <sheetFormatPr baseColWidth="10" defaultColWidth="11.42578125" defaultRowHeight="15" outlineLevelRow="1" x14ac:dyDescent="0.25"/>
  <cols>
    <col min="1" max="1" width="4.85546875" style="1" customWidth="1"/>
    <col min="2" max="2" width="27.7109375" style="1" customWidth="1"/>
    <col min="3" max="3" width="13.42578125" style="1" customWidth="1"/>
    <col min="4" max="4" width="15.7109375" style="1" customWidth="1"/>
    <col min="5" max="5" width="17.7109375" style="1" bestFit="1" customWidth="1"/>
    <col min="6" max="6" width="11.42578125" style="1"/>
    <col min="7" max="7" width="13.42578125" style="1" customWidth="1"/>
    <col min="8" max="8" width="15.7109375" style="1" customWidth="1"/>
    <col min="9" max="9" width="18.42578125" style="1" bestFit="1" customWidth="1"/>
    <col min="10" max="10" width="11.42578125" style="1"/>
    <col min="11" max="12" width="11.42578125" style="1" bestFit="1" customWidth="1"/>
    <col min="13" max="13" width="18.5703125" style="1" customWidth="1"/>
    <col min="14" max="14" width="13" style="1" customWidth="1"/>
    <col min="15" max="15" width="16" style="1" customWidth="1"/>
    <col min="16" max="16" width="12.140625" style="1" customWidth="1"/>
    <col min="17" max="17" width="15.140625" style="1" customWidth="1"/>
    <col min="18" max="18" width="11.42578125" style="1" customWidth="1"/>
    <col min="19" max="20" width="15.7109375" style="1" customWidth="1"/>
    <col min="21" max="21" width="18.42578125" style="1" bestFit="1" customWidth="1"/>
    <col min="22" max="22" width="19.7109375" style="1" customWidth="1"/>
    <col min="23" max="23" width="11.42578125" style="1"/>
    <col min="24" max="24" width="13.7109375" style="1" bestFit="1" customWidth="1"/>
    <col min="25" max="16384" width="11.42578125" style="1"/>
  </cols>
  <sheetData>
    <row r="2" spans="2:28" x14ac:dyDescent="0.25">
      <c r="B2" s="348" t="s">
        <v>0</v>
      </c>
      <c r="C2" s="348"/>
      <c r="D2" s="348"/>
      <c r="E2" s="348"/>
      <c r="F2" s="348"/>
      <c r="G2" s="348"/>
      <c r="H2" s="348"/>
      <c r="I2" s="348"/>
      <c r="J2" s="348"/>
      <c r="K2" s="348"/>
      <c r="L2" s="348"/>
      <c r="M2" s="348"/>
      <c r="N2" s="348"/>
      <c r="O2" s="22"/>
      <c r="P2" s="22"/>
      <c r="Q2" s="22"/>
      <c r="R2" s="22"/>
      <c r="S2" s="22"/>
      <c r="T2" s="22"/>
      <c r="U2" s="22"/>
      <c r="V2" s="22"/>
      <c r="W2" s="22"/>
      <c r="X2" s="22"/>
      <c r="Y2" s="22"/>
      <c r="Z2" s="22"/>
      <c r="AA2" s="22"/>
      <c r="AB2" s="22"/>
    </row>
    <row r="3" spans="2:28" x14ac:dyDescent="0.25">
      <c r="B3" s="348" t="s">
        <v>82</v>
      </c>
      <c r="C3" s="348"/>
      <c r="D3" s="348"/>
      <c r="E3" s="348"/>
      <c r="F3" s="348"/>
      <c r="G3" s="348"/>
      <c r="H3" s="348"/>
      <c r="I3" s="348"/>
      <c r="J3" s="348"/>
      <c r="K3" s="348"/>
      <c r="L3" s="348"/>
      <c r="M3" s="348"/>
      <c r="N3" s="348"/>
      <c r="O3" s="22"/>
      <c r="P3" s="22"/>
      <c r="Q3" s="22"/>
      <c r="R3" s="22"/>
      <c r="S3" s="22"/>
      <c r="T3" s="22"/>
      <c r="U3" s="22"/>
      <c r="V3" s="22"/>
      <c r="W3" s="22"/>
      <c r="X3" s="22"/>
      <c r="Y3" s="22"/>
      <c r="Z3" s="22"/>
      <c r="AA3" s="22"/>
      <c r="AB3" s="22"/>
    </row>
    <row r="4" spans="2:28" x14ac:dyDescent="0.25">
      <c r="B4" s="348" t="s">
        <v>173</v>
      </c>
      <c r="C4" s="348"/>
      <c r="D4" s="348"/>
      <c r="E4" s="348"/>
      <c r="F4" s="348"/>
      <c r="G4" s="348"/>
      <c r="H4" s="348"/>
      <c r="I4" s="348"/>
      <c r="J4" s="348"/>
      <c r="K4" s="348"/>
      <c r="L4" s="348"/>
      <c r="M4" s="348"/>
      <c r="N4" s="348"/>
      <c r="O4" s="22"/>
      <c r="P4" s="22"/>
      <c r="Q4" s="22"/>
      <c r="R4" s="22"/>
      <c r="S4" s="22"/>
      <c r="T4" s="22"/>
      <c r="U4" s="22"/>
      <c r="V4" s="22"/>
      <c r="W4" s="22"/>
      <c r="X4" s="22"/>
      <c r="Y4" s="22"/>
      <c r="Z4" s="22"/>
      <c r="AA4" s="22"/>
      <c r="AB4" s="22"/>
    </row>
    <row r="5" spans="2:28" x14ac:dyDescent="0.25">
      <c r="B5" s="348" t="s">
        <v>174</v>
      </c>
      <c r="C5" s="348"/>
      <c r="D5" s="348"/>
      <c r="E5" s="348"/>
      <c r="F5" s="348"/>
      <c r="G5" s="348"/>
      <c r="H5" s="348"/>
      <c r="I5" s="348"/>
      <c r="J5" s="348"/>
      <c r="K5" s="348"/>
      <c r="L5" s="348"/>
      <c r="M5" s="348"/>
      <c r="N5" s="348"/>
      <c r="O5" s="22"/>
      <c r="P5" s="22"/>
      <c r="Q5" s="22"/>
      <c r="R5" s="22"/>
      <c r="S5" s="22"/>
      <c r="T5" s="22"/>
      <c r="U5" s="22"/>
      <c r="V5" s="22"/>
      <c r="W5" s="22"/>
      <c r="X5" s="22"/>
      <c r="Y5" s="22"/>
      <c r="Z5" s="22"/>
      <c r="AA5" s="22"/>
      <c r="AB5" s="22"/>
    </row>
    <row r="6" spans="2:28" x14ac:dyDescent="0.25">
      <c r="B6" s="348" t="s">
        <v>4</v>
      </c>
      <c r="C6" s="348"/>
      <c r="D6" s="348"/>
      <c r="E6" s="348"/>
      <c r="F6" s="348"/>
      <c r="G6" s="348"/>
      <c r="H6" s="348"/>
      <c r="I6" s="348"/>
      <c r="J6" s="348"/>
      <c r="K6" s="348"/>
      <c r="L6" s="348"/>
      <c r="M6" s="348"/>
      <c r="N6" s="348"/>
      <c r="O6" s="22"/>
      <c r="P6" s="22"/>
      <c r="Q6" s="22"/>
      <c r="R6" s="22"/>
      <c r="S6" s="22"/>
      <c r="T6" s="22"/>
      <c r="U6" s="22"/>
      <c r="V6" s="22"/>
      <c r="W6" s="22"/>
      <c r="X6" s="22"/>
      <c r="Y6" s="22"/>
      <c r="Z6" s="22"/>
      <c r="AA6" s="22"/>
      <c r="AB6" s="22"/>
    </row>
    <row r="7" spans="2:28" x14ac:dyDescent="0.25">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row>
    <row r="8" spans="2:28" ht="15.75" customHeight="1" thickBot="1" x14ac:dyDescent="0.3">
      <c r="B8" s="375" t="s">
        <v>175</v>
      </c>
      <c r="C8" s="375"/>
      <c r="D8" s="375"/>
      <c r="E8" s="375"/>
      <c r="F8" s="375"/>
      <c r="G8" s="375"/>
      <c r="H8" s="375"/>
      <c r="I8" s="375"/>
      <c r="J8" s="375"/>
      <c r="K8" s="375"/>
      <c r="L8" s="375"/>
      <c r="M8" s="375"/>
      <c r="N8" s="375"/>
      <c r="O8" s="115"/>
      <c r="P8" s="115"/>
      <c r="Q8" s="115"/>
      <c r="R8"/>
      <c r="S8"/>
      <c r="T8"/>
    </row>
    <row r="9" spans="2:28" ht="31.5" customHeight="1" x14ac:dyDescent="0.25">
      <c r="B9" s="145"/>
      <c r="C9" s="372" t="s">
        <v>176</v>
      </c>
      <c r="D9" s="373"/>
      <c r="E9" s="373"/>
      <c r="F9" s="374"/>
      <c r="G9" s="372" t="s">
        <v>177</v>
      </c>
      <c r="H9" s="373"/>
      <c r="I9" s="373"/>
      <c r="J9" s="374"/>
      <c r="K9" s="372" t="s">
        <v>100</v>
      </c>
      <c r="L9" s="373"/>
      <c r="M9" s="373"/>
      <c r="N9" s="374"/>
      <c r="O9" s="146"/>
      <c r="P9" s="146"/>
      <c r="Q9" s="146"/>
      <c r="R9"/>
      <c r="S9"/>
      <c r="T9"/>
    </row>
    <row r="10" spans="2:28" ht="45" x14ac:dyDescent="0.25">
      <c r="B10" s="102" t="s">
        <v>178</v>
      </c>
      <c r="C10" s="147" t="s">
        <v>172</v>
      </c>
      <c r="D10" s="106" t="s">
        <v>64</v>
      </c>
      <c r="E10" s="106" t="s">
        <v>9</v>
      </c>
      <c r="F10" s="108" t="s">
        <v>64</v>
      </c>
      <c r="G10" s="147" t="s">
        <v>172</v>
      </c>
      <c r="H10" s="106" t="s">
        <v>64</v>
      </c>
      <c r="I10" s="106" t="s">
        <v>9</v>
      </c>
      <c r="J10" s="108" t="s">
        <v>64</v>
      </c>
      <c r="K10" s="148" t="s">
        <v>179</v>
      </c>
      <c r="L10" s="109" t="s">
        <v>180</v>
      </c>
      <c r="M10" s="109" t="s">
        <v>181</v>
      </c>
      <c r="N10" s="110" t="s">
        <v>180</v>
      </c>
      <c r="O10"/>
      <c r="P10"/>
      <c r="Q10"/>
      <c r="R10"/>
      <c r="S10"/>
      <c r="T10"/>
    </row>
    <row r="11" spans="2:28" outlineLevel="1" x14ac:dyDescent="0.25">
      <c r="B11" s="96" t="s">
        <v>182</v>
      </c>
      <c r="C11" s="89">
        <v>39336</v>
      </c>
      <c r="D11" s="82">
        <f>C11/$C$20</f>
        <v>0.16052430758181083</v>
      </c>
      <c r="E11" s="153">
        <v>2449601897.5599999</v>
      </c>
      <c r="F11" s="82">
        <f>E11/$E$20</f>
        <v>0.21446057442521879</v>
      </c>
      <c r="G11" s="149">
        <v>41482</v>
      </c>
      <c r="H11" s="82">
        <v>0.15526443837257178</v>
      </c>
      <c r="I11" s="331">
        <v>2815154459.9200001</v>
      </c>
      <c r="J11" s="332">
        <v>0.22475519791905124</v>
      </c>
      <c r="K11" s="149">
        <f>+G11-C11</f>
        <v>2146</v>
      </c>
      <c r="L11" s="82">
        <f>+(G11-C11)/C11</f>
        <v>5.4555623347569658E-2</v>
      </c>
      <c r="M11" s="153">
        <f>+I11-E11</f>
        <v>365552562.36000013</v>
      </c>
      <c r="N11" s="332">
        <f>+(I11-E11)/E11</f>
        <v>0.14922937589333182</v>
      </c>
      <c r="O11"/>
      <c r="P11"/>
      <c r="Q11"/>
      <c r="R11"/>
      <c r="S11"/>
      <c r="T11"/>
    </row>
    <row r="12" spans="2:28" outlineLevel="1" x14ac:dyDescent="0.25">
      <c r="B12" s="97" t="s">
        <v>134</v>
      </c>
      <c r="C12" s="89">
        <v>78934</v>
      </c>
      <c r="D12" s="82">
        <f t="shared" ref="D12:D19" si="0">C12/$C$20</f>
        <v>0.32211779781021599</v>
      </c>
      <c r="E12" s="153">
        <v>2423836090.4899998</v>
      </c>
      <c r="F12" s="82">
        <f t="shared" ref="F12:F19" si="1">E12/$E$20</f>
        <v>0.212204799807202</v>
      </c>
      <c r="G12" s="149">
        <v>85463</v>
      </c>
      <c r="H12" s="82">
        <v>0.31988247183441254</v>
      </c>
      <c r="I12" s="331">
        <v>2618512144.0799999</v>
      </c>
      <c r="J12" s="332">
        <v>0.2059641678564488</v>
      </c>
      <c r="K12" s="149">
        <f t="shared" ref="K12:K20" si="2">+G12-C12</f>
        <v>6529</v>
      </c>
      <c r="L12" s="82">
        <f t="shared" ref="L12:L20" si="3">+(G12-C12)/C12</f>
        <v>8.2714673017964369E-2</v>
      </c>
      <c r="M12" s="153">
        <f>+I12-E12</f>
        <v>194676053.59000015</v>
      </c>
      <c r="N12" s="332">
        <f t="shared" ref="N12:N20" si="4">+(I12-E12)/E12</f>
        <v>8.0317334308956795E-2</v>
      </c>
      <c r="O12"/>
      <c r="P12"/>
      <c r="Q12"/>
      <c r="R12"/>
      <c r="S12"/>
      <c r="T12"/>
    </row>
    <row r="13" spans="2:28" outlineLevel="1" x14ac:dyDescent="0.25">
      <c r="B13" s="97" t="s">
        <v>183</v>
      </c>
      <c r="C13" s="89">
        <v>248</v>
      </c>
      <c r="D13" s="82">
        <f t="shared" si="0"/>
        <v>1.012050749448065E-3</v>
      </c>
      <c r="E13" s="153">
        <v>22410000</v>
      </c>
      <c r="F13" s="82">
        <f t="shared" si="1"/>
        <v>1.9619765471509372E-3</v>
      </c>
      <c r="G13" s="149">
        <v>240</v>
      </c>
      <c r="H13" s="82">
        <v>8.983044503499644E-4</v>
      </c>
      <c r="I13" s="331">
        <v>21630000</v>
      </c>
      <c r="J13" s="332">
        <v>1.6915699200173305E-3</v>
      </c>
      <c r="K13" s="149">
        <f>+G13-C13</f>
        <v>-8</v>
      </c>
      <c r="L13" s="82">
        <f t="shared" si="3"/>
        <v>-3.2258064516129031E-2</v>
      </c>
      <c r="M13" s="153">
        <f t="shared" ref="M13:M20" si="5">+I13-E13</f>
        <v>-780000</v>
      </c>
      <c r="N13" s="332">
        <f t="shared" si="4"/>
        <v>-3.4805890227576977E-2</v>
      </c>
      <c r="O13"/>
      <c r="P13"/>
      <c r="Q13"/>
      <c r="R13"/>
      <c r="S13"/>
      <c r="T13"/>
    </row>
    <row r="14" spans="2:28" outlineLevel="1" x14ac:dyDescent="0.25">
      <c r="B14" s="97" t="s">
        <v>184</v>
      </c>
      <c r="C14" s="89">
        <v>184</v>
      </c>
      <c r="D14" s="82">
        <f t="shared" si="0"/>
        <v>7.5087636249372572E-4</v>
      </c>
      <c r="E14" s="153">
        <v>26625587.5</v>
      </c>
      <c r="F14" s="82">
        <f t="shared" si="1"/>
        <v>2.3310476675196413E-3</v>
      </c>
      <c r="G14" s="149">
        <v>193</v>
      </c>
      <c r="H14" s="82">
        <v>7.2238649548976303E-4</v>
      </c>
      <c r="I14" s="331">
        <v>28450000</v>
      </c>
      <c r="J14" s="332">
        <v>2.2671735733565609E-3</v>
      </c>
      <c r="K14" s="149">
        <f t="shared" si="2"/>
        <v>9</v>
      </c>
      <c r="L14" s="82">
        <f t="shared" si="3"/>
        <v>4.8913043478260872E-2</v>
      </c>
      <c r="M14" s="153">
        <f t="shared" si="5"/>
        <v>1824412.5</v>
      </c>
      <c r="N14" s="332">
        <f t="shared" si="4"/>
        <v>6.8521023245026985E-2</v>
      </c>
      <c r="O14"/>
      <c r="P14"/>
      <c r="Q14"/>
      <c r="R14"/>
      <c r="S14"/>
      <c r="T14"/>
    </row>
    <row r="15" spans="2:28" outlineLevel="1" x14ac:dyDescent="0.25">
      <c r="B15" s="97" t="s">
        <v>185</v>
      </c>
      <c r="C15" s="89">
        <v>222</v>
      </c>
      <c r="D15" s="82">
        <f t="shared" si="0"/>
        <v>9.0594865474786471E-4</v>
      </c>
      <c r="E15" s="153">
        <v>21629281.969999999</v>
      </c>
      <c r="F15" s="82">
        <f t="shared" si="1"/>
        <v>1.8936253439024821E-3</v>
      </c>
      <c r="G15" s="149">
        <v>206</v>
      </c>
      <c r="H15" s="82">
        <v>7.7104465321705285E-4</v>
      </c>
      <c r="I15" s="331">
        <v>20419831.990000002</v>
      </c>
      <c r="J15" s="332">
        <v>1.5955269662935251E-3</v>
      </c>
      <c r="K15" s="149">
        <f t="shared" si="2"/>
        <v>-16</v>
      </c>
      <c r="L15" s="82">
        <f t="shared" si="3"/>
        <v>-7.2072072072072071E-2</v>
      </c>
      <c r="M15" s="153">
        <f t="shared" si="5"/>
        <v>-1209449.9799999967</v>
      </c>
      <c r="N15" s="332">
        <f t="shared" si="4"/>
        <v>-5.5917250590080347E-2</v>
      </c>
      <c r="O15"/>
      <c r="P15"/>
      <c r="Q15"/>
      <c r="R15"/>
      <c r="S15"/>
      <c r="T15"/>
    </row>
    <row r="16" spans="2:28" outlineLevel="1" x14ac:dyDescent="0.25">
      <c r="B16" s="97" t="s">
        <v>186</v>
      </c>
      <c r="C16" s="89">
        <v>27763</v>
      </c>
      <c r="D16" s="82">
        <f t="shared" si="0"/>
        <v>0.11329663289083319</v>
      </c>
      <c r="E16" s="153">
        <v>2450685367.5</v>
      </c>
      <c r="F16" s="82">
        <f t="shared" si="1"/>
        <v>0.21455543130214083</v>
      </c>
      <c r="G16" s="149">
        <v>28849</v>
      </c>
      <c r="H16" s="82">
        <v>0.10797993786727551</v>
      </c>
      <c r="I16" s="331">
        <v>2633923135.4200001</v>
      </c>
      <c r="J16" s="332">
        <v>0.20866680687914466</v>
      </c>
      <c r="K16" s="149">
        <f t="shared" si="2"/>
        <v>1086</v>
      </c>
      <c r="L16" s="82">
        <f t="shared" si="3"/>
        <v>3.9116810142996075E-2</v>
      </c>
      <c r="M16" s="153">
        <f>+I16-E16</f>
        <v>183237767.92000008</v>
      </c>
      <c r="N16" s="332">
        <f t="shared" si="4"/>
        <v>7.477000938187553E-2</v>
      </c>
      <c r="O16"/>
      <c r="P16"/>
      <c r="Q16"/>
      <c r="R16"/>
      <c r="S16"/>
      <c r="T16"/>
    </row>
    <row r="17" spans="2:28" outlineLevel="1" x14ac:dyDescent="0.25">
      <c r="B17" s="97" t="s">
        <v>187</v>
      </c>
      <c r="C17" s="89">
        <v>25769</v>
      </c>
      <c r="D17" s="82">
        <f t="shared" si="0"/>
        <v>0.10515941839728705</v>
      </c>
      <c r="E17" s="153">
        <v>2304728695.4000001</v>
      </c>
      <c r="F17" s="82">
        <f t="shared" si="1"/>
        <v>0.20177704809998112</v>
      </c>
      <c r="G17" s="149">
        <v>26940</v>
      </c>
      <c r="H17" s="82">
        <v>0.10083467455178351</v>
      </c>
      <c r="I17" s="331">
        <v>2516889573.8000002</v>
      </c>
      <c r="J17" s="332">
        <v>0.20233673591014109</v>
      </c>
      <c r="K17" s="149">
        <f t="shared" si="2"/>
        <v>1171</v>
      </c>
      <c r="L17" s="82">
        <f t="shared" si="3"/>
        <v>4.5442197989832747E-2</v>
      </c>
      <c r="M17" s="153">
        <f t="shared" si="5"/>
        <v>212160878.4000001</v>
      </c>
      <c r="N17" s="332">
        <f t="shared" si="4"/>
        <v>9.2054600102585288E-2</v>
      </c>
      <c r="O17"/>
      <c r="P17"/>
      <c r="Q17"/>
      <c r="R17"/>
      <c r="S17"/>
      <c r="T17"/>
    </row>
    <row r="18" spans="2:28" outlineLevel="1" x14ac:dyDescent="0.25">
      <c r="B18" s="97" t="s">
        <v>188</v>
      </c>
      <c r="C18" s="89">
        <v>51921</v>
      </c>
      <c r="D18" s="82">
        <f t="shared" si="0"/>
        <v>0.21188180226650397</v>
      </c>
      <c r="E18" s="153">
        <v>935682000</v>
      </c>
      <c r="F18" s="82">
        <f t="shared" si="1"/>
        <v>8.1918167764001931E-2</v>
      </c>
      <c r="G18" s="149">
        <v>62570</v>
      </c>
      <c r="H18" s="82">
        <v>0.23419545607665532</v>
      </c>
      <c r="I18" s="331">
        <v>1107528000</v>
      </c>
      <c r="J18" s="332">
        <v>8.8201274912903638E-2</v>
      </c>
      <c r="K18" s="149">
        <f t="shared" si="2"/>
        <v>10649</v>
      </c>
      <c r="L18" s="82">
        <f t="shared" si="3"/>
        <v>0.20510005585408603</v>
      </c>
      <c r="M18" s="153">
        <f t="shared" si="5"/>
        <v>171846000</v>
      </c>
      <c r="N18" s="332">
        <f t="shared" si="4"/>
        <v>0.18365855066144268</v>
      </c>
      <c r="O18"/>
      <c r="P18"/>
      <c r="Q18"/>
      <c r="R18"/>
      <c r="S18"/>
      <c r="T18"/>
    </row>
    <row r="19" spans="2:28" outlineLevel="1" x14ac:dyDescent="0.25">
      <c r="B19" s="97" t="s">
        <v>189</v>
      </c>
      <c r="C19" s="89">
        <v>20670</v>
      </c>
      <c r="D19" s="82">
        <f t="shared" si="0"/>
        <v>8.4351165286659299E-2</v>
      </c>
      <c r="E19" s="153">
        <v>786955963.40999997</v>
      </c>
      <c r="F19" s="82">
        <f t="shared" si="1"/>
        <v>6.8897329042882247E-2</v>
      </c>
      <c r="G19" s="149">
        <v>21227</v>
      </c>
      <c r="H19" s="82">
        <v>7.945128569824457E-2</v>
      </c>
      <c r="I19" s="331">
        <v>822579427.24000001</v>
      </c>
      <c r="J19" s="332">
        <v>6.4521546062643098E-2</v>
      </c>
      <c r="K19" s="149">
        <f t="shared" si="2"/>
        <v>557</v>
      </c>
      <c r="L19" s="82">
        <f t="shared" si="3"/>
        <v>2.694726656990808E-2</v>
      </c>
      <c r="M19" s="153">
        <f t="shared" si="5"/>
        <v>35623463.830000043</v>
      </c>
      <c r="N19" s="332">
        <f t="shared" si="4"/>
        <v>4.5267417093630184E-2</v>
      </c>
      <c r="O19"/>
      <c r="P19"/>
      <c r="Q19"/>
      <c r="R19"/>
      <c r="S19"/>
      <c r="T19"/>
    </row>
    <row r="20" spans="2:28" ht="15.75" thickBot="1" x14ac:dyDescent="0.3">
      <c r="B20" s="98" t="s">
        <v>190</v>
      </c>
      <c r="C20" s="92">
        <f>SUM(C11:C19)</f>
        <v>245047</v>
      </c>
      <c r="D20" s="223">
        <f t="shared" ref="D20" si="6">SUM(D11:D19)</f>
        <v>0.99999999999999989</v>
      </c>
      <c r="E20" s="225">
        <f>SUM(E11:E19)</f>
        <v>11422154883.83</v>
      </c>
      <c r="F20" s="223">
        <f t="shared" ref="F20" si="7">SUM(F11:F19)</f>
        <v>0.99999999999999989</v>
      </c>
      <c r="G20" s="92">
        <f>SUM(G11:G19)</f>
        <v>267170</v>
      </c>
      <c r="H20" s="223">
        <f>SUM(H11:H19)</f>
        <v>1</v>
      </c>
      <c r="I20" s="326">
        <f>SUM(I11:I19)</f>
        <v>12585086572.449999</v>
      </c>
      <c r="J20" s="223">
        <f t="shared" ref="J20" si="8">SUM(J11:J19)</f>
        <v>1</v>
      </c>
      <c r="K20" s="94">
        <f t="shared" si="2"/>
        <v>22123</v>
      </c>
      <c r="L20" s="223">
        <f t="shared" si="3"/>
        <v>9.028064004048203E-2</v>
      </c>
      <c r="M20" s="226">
        <f t="shared" si="5"/>
        <v>1162931688.6199989</v>
      </c>
      <c r="N20" s="224">
        <f t="shared" si="4"/>
        <v>0.10181368581040047</v>
      </c>
      <c r="O20" s="151"/>
      <c r="P20"/>
      <c r="Q20"/>
      <c r="R20"/>
      <c r="S20"/>
      <c r="T20"/>
    </row>
    <row r="21" spans="2:28" ht="14.25" customHeight="1" x14ac:dyDescent="0.25">
      <c r="B21" s="370" t="s">
        <v>191</v>
      </c>
      <c r="C21" s="370"/>
      <c r="D21" s="370"/>
      <c r="E21" s="370"/>
      <c r="F21" s="370"/>
      <c r="G21" s="370"/>
      <c r="H21" s="370"/>
      <c r="I21" s="370"/>
      <c r="J21" s="370"/>
      <c r="K21" s="152"/>
      <c r="L21" s="152"/>
      <c r="M21" s="152"/>
      <c r="N21" s="152"/>
      <c r="O21" s="152"/>
      <c r="P21" s="152"/>
      <c r="Q21" s="152"/>
      <c r="R21" s="152"/>
      <c r="S21" s="152"/>
      <c r="T21" s="152"/>
      <c r="U21" s="152"/>
      <c r="V21" s="152"/>
      <c r="W21"/>
      <c r="X21"/>
      <c r="Y21"/>
      <c r="Z21"/>
      <c r="AA21"/>
      <c r="AB21"/>
    </row>
    <row r="22" spans="2:28" ht="15" customHeight="1" x14ac:dyDescent="0.25">
      <c r="K22"/>
      <c r="L22"/>
      <c r="M22"/>
      <c r="N22"/>
      <c r="O22"/>
      <c r="P22"/>
      <c r="Q22"/>
      <c r="R22"/>
      <c r="S22"/>
      <c r="T22"/>
      <c r="U22"/>
      <c r="V22"/>
      <c r="W22"/>
      <c r="X22"/>
      <c r="Y22"/>
      <c r="Z22"/>
      <c r="AA22"/>
      <c r="AB22"/>
    </row>
    <row r="23" spans="2:28" x14ac:dyDescent="0.25">
      <c r="B23"/>
      <c r="C23" s="198"/>
      <c r="D23"/>
      <c r="E23"/>
      <c r="F23"/>
      <c r="G23"/>
      <c r="H23"/>
      <c r="I23"/>
      <c r="J23"/>
      <c r="K23"/>
      <c r="L23"/>
      <c r="M23"/>
      <c r="N23"/>
      <c r="O23"/>
      <c r="P23"/>
      <c r="Q23"/>
      <c r="R23"/>
      <c r="S23"/>
      <c r="T23"/>
      <c r="U23"/>
      <c r="V23"/>
      <c r="W23"/>
      <c r="X23"/>
      <c r="Y23"/>
      <c r="Z23"/>
      <c r="AA23"/>
      <c r="AB23"/>
    </row>
    <row r="24" spans="2:28" x14ac:dyDescent="0.25">
      <c r="B24"/>
      <c r="C24" s="198"/>
      <c r="D24" s="74"/>
      <c r="E24"/>
      <c r="F24"/>
      <c r="G24" s="74"/>
      <c r="H24"/>
      <c r="I24"/>
      <c r="J24"/>
      <c r="K24"/>
      <c r="L24"/>
      <c r="M24"/>
      <c r="N24"/>
      <c r="O24"/>
      <c r="P24"/>
      <c r="Q24"/>
      <c r="R24"/>
      <c r="S24"/>
      <c r="T24"/>
      <c r="U24"/>
      <c r="V24"/>
      <c r="W24"/>
      <c r="X24"/>
      <c r="Y24"/>
      <c r="Z24"/>
      <c r="AA24"/>
      <c r="AB24"/>
    </row>
    <row r="25" spans="2:28" x14ac:dyDescent="0.25">
      <c r="B25"/>
      <c r="C25" s="198"/>
      <c r="D25"/>
      <c r="E25"/>
      <c r="F25"/>
      <c r="G25"/>
      <c r="H25"/>
      <c r="I25" s="198"/>
      <c r="J25"/>
      <c r="K25"/>
      <c r="L25"/>
      <c r="M25"/>
      <c r="N25"/>
      <c r="O25"/>
      <c r="P25"/>
      <c r="Q25"/>
      <c r="R25"/>
      <c r="S25"/>
      <c r="T25"/>
      <c r="U25"/>
      <c r="V25"/>
      <c r="W25"/>
      <c r="X25"/>
      <c r="Y25"/>
      <c r="Z25"/>
      <c r="AA25"/>
      <c r="AB25"/>
    </row>
    <row r="26" spans="2:28" x14ac:dyDescent="0.25">
      <c r="B26"/>
      <c r="C26" s="32"/>
      <c r="D26"/>
      <c r="E26" s="198"/>
      <c r="F26"/>
      <c r="G26" s="158"/>
      <c r="H26"/>
      <c r="I26" s="153"/>
      <c r="J26"/>
      <c r="K26"/>
      <c r="L26"/>
      <c r="M26"/>
      <c r="N26"/>
      <c r="O26"/>
      <c r="P26"/>
      <c r="Q26"/>
      <c r="R26"/>
      <c r="S26"/>
      <c r="T26"/>
      <c r="U26"/>
      <c r="V26"/>
      <c r="W26"/>
      <c r="X26"/>
      <c r="Y26"/>
      <c r="Z26"/>
      <c r="AA26"/>
      <c r="AB26"/>
    </row>
    <row r="27" spans="2:28" x14ac:dyDescent="0.25">
      <c r="B27"/>
      <c r="C27"/>
      <c r="D27"/>
      <c r="E27"/>
      <c r="F27"/>
      <c r="G27" s="150"/>
      <c r="H27" s="158"/>
      <c r="I27"/>
      <c r="J27"/>
      <c r="K27"/>
      <c r="L27"/>
      <c r="M27"/>
      <c r="N27"/>
      <c r="O27"/>
      <c r="P27"/>
      <c r="Q27"/>
      <c r="R27"/>
      <c r="S27"/>
      <c r="T27"/>
      <c r="U27"/>
      <c r="V27"/>
      <c r="W27"/>
      <c r="X27"/>
      <c r="Y27"/>
      <c r="Z27"/>
      <c r="AA27"/>
      <c r="AB27"/>
    </row>
    <row r="28" spans="2:28" x14ac:dyDescent="0.25">
      <c r="B28"/>
      <c r="C28" s="32"/>
      <c r="D28"/>
      <c r="E28" s="158"/>
      <c r="F28" s="112"/>
      <c r="G28" s="112"/>
      <c r="H28" s="158"/>
      <c r="I28" s="112"/>
      <c r="J28"/>
      <c r="K28"/>
      <c r="L28"/>
      <c r="M28"/>
      <c r="N28"/>
      <c r="O28"/>
      <c r="P28"/>
      <c r="Q28"/>
      <c r="R28"/>
      <c r="S28"/>
      <c r="T28"/>
      <c r="U28"/>
      <c r="V28"/>
      <c r="W28"/>
      <c r="X28"/>
      <c r="Y28"/>
      <c r="Z28"/>
      <c r="AA28"/>
      <c r="AB28"/>
    </row>
    <row r="29" spans="2:28" x14ac:dyDescent="0.25">
      <c r="B29"/>
      <c r="C29"/>
      <c r="D29"/>
      <c r="E29"/>
      <c r="F29"/>
      <c r="G29"/>
      <c r="H29" s="158"/>
      <c r="I29" s="74"/>
      <c r="J29"/>
      <c r="K29"/>
      <c r="L29"/>
      <c r="M29"/>
      <c r="N29"/>
      <c r="O29"/>
      <c r="P29"/>
      <c r="Q29"/>
      <c r="R29"/>
      <c r="S29"/>
      <c r="T29"/>
      <c r="U29"/>
      <c r="V29"/>
      <c r="W29"/>
      <c r="X29"/>
      <c r="Y29"/>
      <c r="Z29"/>
      <c r="AA29"/>
      <c r="AB29"/>
    </row>
  </sheetData>
  <mergeCells count="11">
    <mergeCell ref="B21:J21"/>
    <mergeCell ref="B4:N4"/>
    <mergeCell ref="B5:N5"/>
    <mergeCell ref="B6:N6"/>
    <mergeCell ref="B2:N2"/>
    <mergeCell ref="B3:N3"/>
    <mergeCell ref="B7:AB7"/>
    <mergeCell ref="C9:F9"/>
    <mergeCell ref="G9:J9"/>
    <mergeCell ref="K9:N9"/>
    <mergeCell ref="B8:N8"/>
  </mergeCells>
  <pageMargins left="0.7" right="0.7" top="0.75" bottom="0.75" header="0.3" footer="0.3"/>
  <pageSetup paperSize="9" scale="18" orientation="portrait" r:id="rId1"/>
  <ignoredErrors>
    <ignoredError sqref="L11:L20 M13:M20 M11:M12" 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pageSetUpPr fitToPage="1"/>
  </sheetPr>
  <dimension ref="B2:T51"/>
  <sheetViews>
    <sheetView showGridLines="0" topLeftCell="K1" zoomScale="90" zoomScaleNormal="90" workbookViewId="0">
      <selection activeCell="T29" sqref="T29"/>
    </sheetView>
  </sheetViews>
  <sheetFormatPr baseColWidth="10" defaultColWidth="11.42578125" defaultRowHeight="15" x14ac:dyDescent="0.25"/>
  <cols>
    <col min="1" max="1" width="3" style="1" customWidth="1"/>
    <col min="2" max="2" width="11.42578125" style="1"/>
    <col min="3" max="3" width="13.85546875" style="1" bestFit="1" customWidth="1"/>
    <col min="4" max="4" width="22.85546875" style="1" bestFit="1" customWidth="1"/>
    <col min="5" max="5" width="12.28515625" style="1" bestFit="1" customWidth="1"/>
    <col min="6" max="6" width="19.7109375" style="1" bestFit="1" customWidth="1"/>
    <col min="7" max="7" width="12.28515625" style="1" bestFit="1" customWidth="1"/>
    <col min="8" max="8" width="19.85546875" style="1" bestFit="1" customWidth="1"/>
    <col min="9" max="9" width="8.7109375" style="1" customWidth="1"/>
    <col min="10" max="10" width="18.42578125" style="1" bestFit="1" customWidth="1"/>
    <col min="11" max="11" width="11.42578125" style="1"/>
    <col min="12" max="12" width="22.140625" style="1" bestFit="1" customWidth="1"/>
    <col min="13" max="13" width="12.5703125" style="1" customWidth="1"/>
    <col min="14" max="14" width="18.140625" style="1" bestFit="1" customWidth="1"/>
    <col min="15" max="15" width="13" style="1" bestFit="1" customWidth="1"/>
    <col min="16" max="16" width="24.5703125" style="1" bestFit="1" customWidth="1"/>
    <col min="17" max="17" width="9" style="1" customWidth="1"/>
    <col min="18" max="18" width="20.28515625" style="1" bestFit="1" customWidth="1"/>
    <col min="19" max="19" width="15.7109375" style="1" customWidth="1"/>
    <col min="20" max="20" width="20.42578125" style="1" customWidth="1"/>
    <col min="21" max="16384" width="11.42578125" style="1"/>
  </cols>
  <sheetData>
    <row r="2" spans="2:20" x14ac:dyDescent="0.25">
      <c r="B2" s="348" t="s">
        <v>0</v>
      </c>
      <c r="C2" s="348"/>
      <c r="D2" s="348"/>
      <c r="E2" s="348"/>
      <c r="F2" s="348"/>
      <c r="G2" s="348"/>
      <c r="H2" s="348"/>
      <c r="I2" s="348"/>
      <c r="J2" s="348"/>
      <c r="K2" s="348"/>
      <c r="L2" s="348"/>
      <c r="M2" s="348"/>
      <c r="N2" s="348"/>
      <c r="O2" s="348"/>
      <c r="P2" s="348"/>
      <c r="Q2" s="348"/>
      <c r="R2" s="348"/>
      <c r="S2" s="200"/>
    </row>
    <row r="3" spans="2:20" x14ac:dyDescent="0.25">
      <c r="B3" s="348" t="s">
        <v>82</v>
      </c>
      <c r="C3" s="348"/>
      <c r="D3" s="348"/>
      <c r="E3" s="348"/>
      <c r="F3" s="348"/>
      <c r="G3" s="348"/>
      <c r="H3" s="348"/>
      <c r="I3" s="348"/>
      <c r="J3" s="348"/>
      <c r="K3" s="348"/>
      <c r="L3" s="348"/>
      <c r="M3" s="348"/>
      <c r="N3" s="348"/>
      <c r="O3" s="348"/>
      <c r="P3" s="348"/>
      <c r="Q3" s="348"/>
      <c r="R3" s="348"/>
      <c r="S3" s="200"/>
    </row>
    <row r="4" spans="2:20" x14ac:dyDescent="0.25">
      <c r="B4" s="348" t="s">
        <v>192</v>
      </c>
      <c r="C4" s="348"/>
      <c r="D4" s="348"/>
      <c r="E4" s="348"/>
      <c r="F4" s="348"/>
      <c r="G4" s="348"/>
      <c r="H4" s="348"/>
      <c r="I4" s="348"/>
      <c r="J4" s="348"/>
      <c r="K4" s="348"/>
      <c r="L4" s="348"/>
      <c r="M4" s="348"/>
      <c r="N4" s="348"/>
      <c r="O4" s="348"/>
      <c r="P4" s="348"/>
      <c r="Q4" s="348"/>
      <c r="R4" s="348"/>
      <c r="S4" s="200"/>
    </row>
    <row r="5" spans="2:20" x14ac:dyDescent="0.25">
      <c r="B5" s="348" t="s">
        <v>3</v>
      </c>
      <c r="C5" s="348"/>
      <c r="D5" s="348"/>
      <c r="E5" s="348"/>
      <c r="F5" s="348"/>
      <c r="G5" s="348"/>
      <c r="H5" s="348"/>
      <c r="I5" s="348"/>
      <c r="J5" s="348"/>
      <c r="K5" s="348"/>
      <c r="L5" s="348"/>
      <c r="M5" s="348"/>
      <c r="N5" s="348"/>
      <c r="O5" s="348"/>
      <c r="P5" s="348"/>
      <c r="Q5" s="348"/>
      <c r="R5" s="348"/>
      <c r="S5" s="200"/>
    </row>
    <row r="6" spans="2:20" ht="15.75" customHeight="1" x14ac:dyDescent="0.25">
      <c r="B6" s="348" t="s">
        <v>4</v>
      </c>
      <c r="C6" s="348"/>
      <c r="D6" s="348"/>
      <c r="E6" s="348"/>
      <c r="F6" s="348"/>
      <c r="G6" s="348"/>
      <c r="H6" s="348"/>
      <c r="I6" s="348"/>
      <c r="J6" s="348"/>
      <c r="K6" s="348"/>
      <c r="L6" s="348"/>
      <c r="M6" s="348"/>
      <c r="N6" s="348"/>
      <c r="O6" s="348"/>
      <c r="P6" s="348"/>
      <c r="Q6" s="348"/>
      <c r="R6" s="348"/>
      <c r="S6" s="200"/>
    </row>
    <row r="7" spans="2:20" x14ac:dyDescent="0.25">
      <c r="B7" s="86"/>
      <c r="C7" s="379" t="s">
        <v>193</v>
      </c>
      <c r="D7" s="379"/>
      <c r="E7" s="379"/>
      <c r="F7" s="379"/>
      <c r="G7" s="380" t="s">
        <v>194</v>
      </c>
      <c r="H7" s="380"/>
      <c r="I7" s="380"/>
      <c r="J7" s="380"/>
      <c r="K7" s="378" t="s">
        <v>95</v>
      </c>
      <c r="L7" s="378"/>
      <c r="M7" s="378"/>
      <c r="N7" s="378"/>
      <c r="O7" s="377" t="s">
        <v>96</v>
      </c>
      <c r="P7" s="377"/>
      <c r="Q7" s="377"/>
      <c r="R7" s="377"/>
      <c r="S7" s="200"/>
    </row>
    <row r="8" spans="2:20" x14ac:dyDescent="0.25">
      <c r="B8" s="143"/>
      <c r="C8" s="376" t="s">
        <v>195</v>
      </c>
      <c r="D8" s="376"/>
      <c r="E8" s="376" t="s">
        <v>196</v>
      </c>
      <c r="F8" s="376"/>
      <c r="G8" s="376" t="s">
        <v>195</v>
      </c>
      <c r="H8" s="376"/>
      <c r="I8" s="376" t="s">
        <v>196</v>
      </c>
      <c r="J8" s="376"/>
      <c r="K8" s="376" t="s">
        <v>195</v>
      </c>
      <c r="L8" s="376"/>
      <c r="M8" s="376" t="s">
        <v>196</v>
      </c>
      <c r="N8" s="376"/>
      <c r="O8" s="376" t="s">
        <v>197</v>
      </c>
      <c r="P8" s="376"/>
      <c r="Q8" s="376" t="s">
        <v>196</v>
      </c>
      <c r="R8" s="376"/>
      <c r="S8" s="200"/>
    </row>
    <row r="9" spans="2:20" ht="35.25" customHeight="1" x14ac:dyDescent="0.25">
      <c r="B9" s="129" t="s">
        <v>5</v>
      </c>
      <c r="C9" s="116" t="s">
        <v>198</v>
      </c>
      <c r="D9" s="116" t="s">
        <v>9</v>
      </c>
      <c r="E9" s="116" t="s">
        <v>98</v>
      </c>
      <c r="F9" s="130" t="s">
        <v>9</v>
      </c>
      <c r="G9" s="116" t="s">
        <v>199</v>
      </c>
      <c r="H9" s="116" t="s">
        <v>9</v>
      </c>
      <c r="I9" s="116" t="s">
        <v>98</v>
      </c>
      <c r="J9" s="130" t="s">
        <v>9</v>
      </c>
      <c r="K9" s="116" t="s">
        <v>199</v>
      </c>
      <c r="L9" s="116" t="s">
        <v>9</v>
      </c>
      <c r="M9" s="116" t="s">
        <v>98</v>
      </c>
      <c r="N9" s="154" t="s">
        <v>9</v>
      </c>
      <c r="O9" s="116" t="s">
        <v>200</v>
      </c>
      <c r="P9" s="116" t="s">
        <v>9</v>
      </c>
      <c r="Q9" s="116" t="s">
        <v>201</v>
      </c>
      <c r="R9" s="130" t="s">
        <v>9</v>
      </c>
      <c r="S9" s="200"/>
    </row>
    <row r="10" spans="2:20" ht="12.75" hidden="1" customHeight="1" x14ac:dyDescent="0.25">
      <c r="B10" s="44" t="s">
        <v>12</v>
      </c>
      <c r="C10" s="178"/>
      <c r="D10" s="218"/>
      <c r="E10" s="178"/>
      <c r="F10" s="229"/>
      <c r="G10" s="178"/>
      <c r="H10" s="218"/>
      <c r="I10" s="178"/>
      <c r="J10" s="156"/>
      <c r="K10" s="178"/>
      <c r="L10" s="231"/>
      <c r="M10" s="142"/>
      <c r="N10" s="218"/>
      <c r="O10" s="154">
        <f>+C10+K10+G10</f>
        <v>0</v>
      </c>
      <c r="P10" s="57">
        <f>+D10+L10+H10</f>
        <v>0</v>
      </c>
      <c r="Q10" s="179">
        <f>+E10+M10+I10</f>
        <v>0</v>
      </c>
      <c r="R10" s="233">
        <f>+F10+N10+J10</f>
        <v>0</v>
      </c>
      <c r="S10" s="200"/>
    </row>
    <row r="11" spans="2:20" x14ac:dyDescent="0.25">
      <c r="B11" s="44" t="s">
        <v>13</v>
      </c>
      <c r="C11" s="265">
        <v>177562</v>
      </c>
      <c r="D11" s="253">
        <v>3018273693.71</v>
      </c>
      <c r="E11" s="265">
        <v>98</v>
      </c>
      <c r="F11" s="253">
        <v>1481068.79</v>
      </c>
      <c r="G11" s="265">
        <v>62534</v>
      </c>
      <c r="H11" s="253">
        <v>375204000</v>
      </c>
      <c r="I11" s="265">
        <v>36</v>
      </c>
      <c r="J11" s="253">
        <v>216000</v>
      </c>
      <c r="K11" s="265">
        <v>26937</v>
      </c>
      <c r="L11" s="253">
        <v>861193297.13</v>
      </c>
      <c r="M11" s="265">
        <v>3</v>
      </c>
      <c r="N11" s="253">
        <v>33000</v>
      </c>
      <c r="O11" s="38">
        <f>C11+G11+K11</f>
        <v>267033</v>
      </c>
      <c r="P11" s="57">
        <f>D11+H11+L11</f>
        <v>4254670990.8400002</v>
      </c>
      <c r="Q11" s="38">
        <f>E11+I11+M11</f>
        <v>137</v>
      </c>
      <c r="R11" s="57">
        <f>F11+J11+N11</f>
        <v>1730068.79</v>
      </c>
      <c r="S11" s="200"/>
    </row>
    <row r="12" spans="2:20" x14ac:dyDescent="0.25">
      <c r="B12" s="44" t="s">
        <v>14</v>
      </c>
      <c r="C12" s="265">
        <v>177288</v>
      </c>
      <c r="D12" s="253">
        <v>2983114225.1999998</v>
      </c>
      <c r="E12" s="265">
        <v>144</v>
      </c>
      <c r="F12" s="253">
        <v>2027052.63</v>
      </c>
      <c r="G12" s="265">
        <v>61643</v>
      </c>
      <c r="H12" s="253">
        <v>369858000</v>
      </c>
      <c r="I12" s="265">
        <v>20</v>
      </c>
      <c r="J12" s="253">
        <v>120000</v>
      </c>
      <c r="K12" s="265">
        <v>26448</v>
      </c>
      <c r="L12" s="253">
        <v>827762844.21000004</v>
      </c>
      <c r="M12" s="265">
        <v>9</v>
      </c>
      <c r="N12" s="253">
        <v>153883.37</v>
      </c>
      <c r="O12" s="38">
        <f t="shared" ref="O12:O13" si="0">C12+G12+K12</f>
        <v>265379</v>
      </c>
      <c r="P12" s="57">
        <f t="shared" ref="P12:P13" si="1">D12+H12+L12</f>
        <v>4180735069.4099998</v>
      </c>
      <c r="Q12" s="38">
        <f t="shared" ref="Q12:Q13" si="2">E12+I12+M12</f>
        <v>173</v>
      </c>
      <c r="R12" s="57">
        <f t="shared" ref="R12:R13" si="3">F12+J12+N12</f>
        <v>2300936</v>
      </c>
    </row>
    <row r="13" spans="2:20" x14ac:dyDescent="0.25">
      <c r="B13" s="44" t="s">
        <v>15</v>
      </c>
      <c r="C13" s="265">
        <v>176199</v>
      </c>
      <c r="D13" s="253">
        <v>2954144191.7600002</v>
      </c>
      <c r="E13" s="265">
        <v>101</v>
      </c>
      <c r="F13" s="253">
        <v>1628766.56</v>
      </c>
      <c r="G13" s="265">
        <v>60326</v>
      </c>
      <c r="H13" s="253">
        <v>361956000</v>
      </c>
      <c r="I13" s="265">
        <v>29</v>
      </c>
      <c r="J13" s="253">
        <v>174000</v>
      </c>
      <c r="K13" s="265">
        <v>26453</v>
      </c>
      <c r="L13" s="253">
        <v>827605959.25999999</v>
      </c>
      <c r="M13" s="265">
        <v>8</v>
      </c>
      <c r="N13" s="253">
        <v>140589.82999999999</v>
      </c>
      <c r="O13" s="38">
        <f t="shared" si="0"/>
        <v>262978</v>
      </c>
      <c r="P13" s="57">
        <f t="shared" si="1"/>
        <v>4143706151.0200005</v>
      </c>
      <c r="Q13" s="38">
        <f t="shared" si="2"/>
        <v>138</v>
      </c>
      <c r="R13" s="57">
        <f t="shared" si="3"/>
        <v>1943356.3900000001</v>
      </c>
    </row>
    <row r="14" spans="2:20" x14ac:dyDescent="0.25">
      <c r="B14" s="46" t="s">
        <v>116</v>
      </c>
      <c r="C14" s="281">
        <f>+C11</f>
        <v>177562</v>
      </c>
      <c r="D14" s="282">
        <f>SUM(D10:D13)</f>
        <v>8955532110.6700001</v>
      </c>
      <c r="E14" s="281">
        <f>+E11</f>
        <v>98</v>
      </c>
      <c r="F14" s="228">
        <f>SUM(F10:F13)</f>
        <v>5136887.9800000004</v>
      </c>
      <c r="G14" s="55">
        <f>+G11</f>
        <v>62534</v>
      </c>
      <c r="H14" s="230">
        <f>SUM(H10:H13)</f>
        <v>1107018000</v>
      </c>
      <c r="I14" s="55">
        <f>+I11</f>
        <v>36</v>
      </c>
      <c r="J14" s="228">
        <f>SUM(J10:J13)</f>
        <v>510000</v>
      </c>
      <c r="K14" s="55">
        <f>+K11</f>
        <v>26937</v>
      </c>
      <c r="L14" s="232">
        <f>SUM(L10:L13)</f>
        <v>2516562100.6000004</v>
      </c>
      <c r="M14" s="55">
        <f>+M11</f>
        <v>3</v>
      </c>
      <c r="N14" s="228">
        <f>SUM(N10:N13)</f>
        <v>327473.19999999995</v>
      </c>
      <c r="O14" s="55">
        <f>+O11</f>
        <v>267033</v>
      </c>
      <c r="P14" s="228">
        <f>SUM(P10:P13)</f>
        <v>12579112211.27</v>
      </c>
      <c r="Q14" s="55">
        <f>Q13+Q12+Q11</f>
        <v>448</v>
      </c>
      <c r="R14" s="228">
        <f>SUM(R10:R13)</f>
        <v>5974361.1799999997</v>
      </c>
      <c r="S14" s="247">
        <f>O13+Q13</f>
        <v>263116</v>
      </c>
      <c r="T14" s="248">
        <f>P14+R14</f>
        <v>12585086572.450001</v>
      </c>
    </row>
    <row r="15" spans="2:20" hidden="1" x14ac:dyDescent="0.25">
      <c r="B15" s="44" t="s">
        <v>17</v>
      </c>
      <c r="C15" s="142"/>
      <c r="D15" s="155"/>
      <c r="E15" s="142"/>
      <c r="F15" s="156"/>
      <c r="G15" s="142"/>
      <c r="H15" s="155"/>
      <c r="I15" s="142">
        <f>SUM(I12:I13)</f>
        <v>49</v>
      </c>
      <c r="J15" s="156"/>
      <c r="K15" s="142"/>
      <c r="L15" s="155"/>
      <c r="M15" s="142"/>
      <c r="N15" s="156"/>
      <c r="O15" s="38">
        <f t="shared" ref="O15:Q17" si="4">+C15+K15+G15</f>
        <v>0</v>
      </c>
      <c r="P15" s="57">
        <f t="shared" si="4"/>
        <v>0</v>
      </c>
      <c r="Q15" s="38">
        <f t="shared" si="4"/>
        <v>49</v>
      </c>
      <c r="R15" s="57">
        <f>+F15+N15+J15</f>
        <v>0</v>
      </c>
      <c r="S15" s="249"/>
      <c r="T15" s="250"/>
    </row>
    <row r="16" spans="2:20" hidden="1" x14ac:dyDescent="0.25">
      <c r="B16" s="44" t="s">
        <v>18</v>
      </c>
      <c r="C16" s="142"/>
      <c r="D16" s="155"/>
      <c r="E16" s="142"/>
      <c r="F16" s="156"/>
      <c r="G16" s="142"/>
      <c r="H16" s="155"/>
      <c r="I16" s="142"/>
      <c r="J16" s="156"/>
      <c r="K16" s="142"/>
      <c r="L16" s="155"/>
      <c r="M16" s="142"/>
      <c r="N16" s="156"/>
      <c r="O16" s="38">
        <f t="shared" si="4"/>
        <v>0</v>
      </c>
      <c r="P16" s="57">
        <f t="shared" si="4"/>
        <v>0</v>
      </c>
      <c r="Q16" s="38">
        <f t="shared" si="4"/>
        <v>0</v>
      </c>
      <c r="R16" s="57">
        <f>+F16+N16+J16</f>
        <v>0</v>
      </c>
      <c r="S16" s="249"/>
      <c r="T16" s="250"/>
    </row>
    <row r="17" spans="2:20" hidden="1" x14ac:dyDescent="0.25">
      <c r="B17" s="44" t="s">
        <v>19</v>
      </c>
      <c r="C17" s="142"/>
      <c r="D17" s="155"/>
      <c r="E17" s="142"/>
      <c r="F17" s="156"/>
      <c r="G17" s="142"/>
      <c r="H17" s="155"/>
      <c r="I17" s="142"/>
      <c r="J17" s="156"/>
      <c r="K17" s="142"/>
      <c r="L17" s="155"/>
      <c r="M17" s="142"/>
      <c r="N17" s="156"/>
      <c r="O17" s="38">
        <f t="shared" si="4"/>
        <v>0</v>
      </c>
      <c r="P17" s="57">
        <f t="shared" si="4"/>
        <v>0</v>
      </c>
      <c r="Q17" s="38">
        <f t="shared" si="4"/>
        <v>0</v>
      </c>
      <c r="R17" s="57">
        <f>+F17+N17+J17</f>
        <v>0</v>
      </c>
      <c r="S17" s="249"/>
      <c r="T17" s="250"/>
    </row>
    <row r="18" spans="2:20" hidden="1" x14ac:dyDescent="0.25">
      <c r="B18" s="46" t="s">
        <v>20</v>
      </c>
      <c r="C18" s="55">
        <f>+C17</f>
        <v>0</v>
      </c>
      <c r="D18" s="56">
        <f>SUM(D15:D17)</f>
        <v>0</v>
      </c>
      <c r="E18" s="55">
        <f>+E17</f>
        <v>0</v>
      </c>
      <c r="F18" s="56">
        <f>SUM(F15:F17)</f>
        <v>0</v>
      </c>
      <c r="G18" s="55">
        <f>+G17</f>
        <v>0</v>
      </c>
      <c r="H18" s="56">
        <f>SUM(H15:H17)</f>
        <v>0</v>
      </c>
      <c r="I18" s="55">
        <f>+I17</f>
        <v>0</v>
      </c>
      <c r="J18" s="56">
        <f>SUM(J15:J17)</f>
        <v>0</v>
      </c>
      <c r="K18" s="55">
        <f>+K17</f>
        <v>0</v>
      </c>
      <c r="L18" s="56">
        <f>SUM(L15:L17)</f>
        <v>0</v>
      </c>
      <c r="M18" s="55">
        <f>+M17</f>
        <v>0</v>
      </c>
      <c r="N18" s="56">
        <f>SUM(N15:N17)</f>
        <v>0</v>
      </c>
      <c r="O18" s="55">
        <f>+O17</f>
        <v>0</v>
      </c>
      <c r="P18" s="56">
        <f>SUM(P15:P17)</f>
        <v>0</v>
      </c>
      <c r="Q18" s="55">
        <f>+Q17</f>
        <v>0</v>
      </c>
      <c r="R18" s="56">
        <f>SUM(R15:R17)</f>
        <v>0</v>
      </c>
      <c r="S18" s="249"/>
      <c r="T18" s="251"/>
    </row>
    <row r="19" spans="2:20" hidden="1" x14ac:dyDescent="0.25">
      <c r="B19" s="44" t="s">
        <v>44</v>
      </c>
      <c r="C19" s="142"/>
      <c r="D19" s="155"/>
      <c r="E19" s="142"/>
      <c r="F19" s="156"/>
      <c r="G19" s="142"/>
      <c r="H19" s="155"/>
      <c r="I19" s="142"/>
      <c r="J19" s="156"/>
      <c r="K19" s="142"/>
      <c r="L19" s="155"/>
      <c r="M19" s="142"/>
      <c r="N19" s="156"/>
      <c r="O19" s="38">
        <f t="shared" ref="O19:Q21" si="5">+C19+K19+G19</f>
        <v>0</v>
      </c>
      <c r="P19" s="57">
        <f t="shared" si="5"/>
        <v>0</v>
      </c>
      <c r="Q19" s="38">
        <f t="shared" si="5"/>
        <v>0</v>
      </c>
      <c r="R19" s="57">
        <f>+F19+N19+J19</f>
        <v>0</v>
      </c>
      <c r="S19" s="249"/>
      <c r="T19" s="250"/>
    </row>
    <row r="20" spans="2:20" hidden="1" x14ac:dyDescent="0.25">
      <c r="B20" s="44" t="s">
        <v>22</v>
      </c>
      <c r="C20" s="142"/>
      <c r="D20" s="155"/>
      <c r="E20" s="142"/>
      <c r="F20" s="156"/>
      <c r="G20" s="142"/>
      <c r="H20" s="155"/>
      <c r="I20" s="142"/>
      <c r="J20" s="156"/>
      <c r="K20" s="142"/>
      <c r="L20" s="155"/>
      <c r="M20" s="142"/>
      <c r="N20" s="156"/>
      <c r="O20" s="38">
        <f t="shared" si="5"/>
        <v>0</v>
      </c>
      <c r="P20" s="57">
        <f t="shared" si="5"/>
        <v>0</v>
      </c>
      <c r="Q20" s="38">
        <f t="shared" si="5"/>
        <v>0</v>
      </c>
      <c r="R20" s="57">
        <f>+F20+N20+J20</f>
        <v>0</v>
      </c>
      <c r="S20" s="249"/>
      <c r="T20" s="250"/>
    </row>
    <row r="21" spans="2:20" hidden="1" x14ac:dyDescent="0.25">
      <c r="B21" s="44" t="s">
        <v>23</v>
      </c>
      <c r="C21" s="142"/>
      <c r="D21" s="155"/>
      <c r="E21" s="142"/>
      <c r="F21" s="156"/>
      <c r="G21" s="142"/>
      <c r="H21" s="155"/>
      <c r="I21" s="142"/>
      <c r="J21" s="156"/>
      <c r="K21" s="142"/>
      <c r="L21" s="155"/>
      <c r="M21" s="142"/>
      <c r="N21" s="156"/>
      <c r="O21" s="38">
        <f t="shared" si="5"/>
        <v>0</v>
      </c>
      <c r="P21" s="57">
        <f t="shared" si="5"/>
        <v>0</v>
      </c>
      <c r="Q21" s="38">
        <f t="shared" si="5"/>
        <v>0</v>
      </c>
      <c r="R21" s="57">
        <f>+F21+N21+J21</f>
        <v>0</v>
      </c>
      <c r="S21" s="249"/>
      <c r="T21" s="250"/>
    </row>
    <row r="22" spans="2:20" hidden="1" x14ac:dyDescent="0.25">
      <c r="B22" s="46" t="s">
        <v>24</v>
      </c>
      <c r="C22" s="55">
        <f>+C21</f>
        <v>0</v>
      </c>
      <c r="D22" s="56">
        <f>SUM(D19:D21)</f>
        <v>0</v>
      </c>
      <c r="E22" s="55">
        <f>+E21</f>
        <v>0</v>
      </c>
      <c r="F22" s="56">
        <f>SUM(F19:F21)</f>
        <v>0</v>
      </c>
      <c r="G22" s="55">
        <f>+G21</f>
        <v>0</v>
      </c>
      <c r="H22" s="56">
        <f>SUM(H19:H21)</f>
        <v>0</v>
      </c>
      <c r="I22" s="55">
        <f>+I21</f>
        <v>0</v>
      </c>
      <c r="J22" s="56">
        <f>SUM(J19:J21)</f>
        <v>0</v>
      </c>
      <c r="K22" s="55">
        <f>+K21</f>
        <v>0</v>
      </c>
      <c r="L22" s="56">
        <f>SUM(L19:L21)</f>
        <v>0</v>
      </c>
      <c r="M22" s="55">
        <f>+M21</f>
        <v>0</v>
      </c>
      <c r="N22" s="56">
        <f>SUM(N19:N21)</f>
        <v>0</v>
      </c>
      <c r="O22" s="55">
        <f>+O21</f>
        <v>0</v>
      </c>
      <c r="P22" s="56">
        <f>SUM(P19:P21)</f>
        <v>0</v>
      </c>
      <c r="Q22" s="55">
        <f>+Q21</f>
        <v>0</v>
      </c>
      <c r="R22" s="56">
        <f>SUM(R19:R21)</f>
        <v>0</v>
      </c>
      <c r="S22" s="249"/>
      <c r="T22" s="251"/>
    </row>
    <row r="23" spans="2:20" hidden="1" x14ac:dyDescent="0.25">
      <c r="B23" s="44" t="s">
        <v>25</v>
      </c>
      <c r="C23" s="142"/>
      <c r="D23" s="155"/>
      <c r="E23" s="142"/>
      <c r="F23" s="156"/>
      <c r="G23" s="142"/>
      <c r="H23" s="155"/>
      <c r="I23" s="142"/>
      <c r="J23" s="156"/>
      <c r="K23" s="142"/>
      <c r="L23" s="155"/>
      <c r="M23" s="142"/>
      <c r="N23" s="156"/>
      <c r="O23" s="38">
        <f t="shared" ref="O23:Q26" si="6">+C23+K23+G23</f>
        <v>0</v>
      </c>
      <c r="P23" s="57">
        <f t="shared" si="6"/>
        <v>0</v>
      </c>
      <c r="Q23" s="38">
        <f t="shared" si="6"/>
        <v>0</v>
      </c>
      <c r="R23" s="57">
        <f>+F23+N23+J23</f>
        <v>0</v>
      </c>
      <c r="S23" s="249"/>
      <c r="T23" s="250"/>
    </row>
    <row r="24" spans="2:20" hidden="1" x14ac:dyDescent="0.25">
      <c r="B24" s="44" t="s">
        <v>26</v>
      </c>
      <c r="C24" s="142"/>
      <c r="D24" s="155"/>
      <c r="E24" s="142"/>
      <c r="F24" s="156"/>
      <c r="G24" s="142"/>
      <c r="H24" s="155"/>
      <c r="I24" s="142"/>
      <c r="J24" s="156"/>
      <c r="K24" s="142"/>
      <c r="L24" s="155"/>
      <c r="M24" s="142"/>
      <c r="N24" s="156"/>
      <c r="O24" s="38">
        <f t="shared" si="6"/>
        <v>0</v>
      </c>
      <c r="P24" s="57">
        <f t="shared" si="6"/>
        <v>0</v>
      </c>
      <c r="Q24" s="38">
        <f t="shared" si="6"/>
        <v>0</v>
      </c>
      <c r="R24" s="57">
        <f>+F24+N24+J24</f>
        <v>0</v>
      </c>
      <c r="S24" s="249"/>
      <c r="T24" s="250"/>
    </row>
    <row r="25" spans="2:20" hidden="1" x14ac:dyDescent="0.25">
      <c r="B25" s="44" t="s">
        <v>27</v>
      </c>
      <c r="C25" s="142"/>
      <c r="D25" s="155"/>
      <c r="E25" s="142"/>
      <c r="F25" s="156"/>
      <c r="G25" s="142"/>
      <c r="H25" s="155"/>
      <c r="I25" s="142"/>
      <c r="J25" s="156"/>
      <c r="K25" s="142"/>
      <c r="L25" s="155"/>
      <c r="M25" s="142"/>
      <c r="N25" s="156"/>
      <c r="O25" s="38">
        <f t="shared" si="6"/>
        <v>0</v>
      </c>
      <c r="P25" s="57">
        <f t="shared" si="6"/>
        <v>0</v>
      </c>
      <c r="Q25" s="38">
        <f t="shared" si="6"/>
        <v>0</v>
      </c>
      <c r="R25" s="57">
        <f>+F25+N25+J25</f>
        <v>0</v>
      </c>
      <c r="S25" s="249"/>
      <c r="T25" s="250"/>
    </row>
    <row r="26" spans="2:20" hidden="1" x14ac:dyDescent="0.25">
      <c r="B26" s="44" t="s">
        <v>12</v>
      </c>
      <c r="C26" s="142"/>
      <c r="D26" s="155"/>
      <c r="E26" s="142"/>
      <c r="F26" s="156"/>
      <c r="G26" s="142"/>
      <c r="H26" s="155"/>
      <c r="I26" s="142"/>
      <c r="J26" s="156"/>
      <c r="K26" s="142"/>
      <c r="L26" s="155"/>
      <c r="M26" s="142"/>
      <c r="N26" s="156"/>
      <c r="O26" s="38">
        <f t="shared" si="6"/>
        <v>0</v>
      </c>
      <c r="P26" s="57">
        <f t="shared" si="6"/>
        <v>0</v>
      </c>
      <c r="Q26" s="38">
        <f t="shared" si="6"/>
        <v>0</v>
      </c>
      <c r="R26" s="57">
        <f>+F26+N26+J26</f>
        <v>0</v>
      </c>
      <c r="S26" s="249"/>
      <c r="T26" s="250"/>
    </row>
    <row r="27" spans="2:20" hidden="1" x14ac:dyDescent="0.25">
      <c r="B27" s="46" t="s">
        <v>28</v>
      </c>
      <c r="C27" s="55">
        <f>+C25</f>
        <v>0</v>
      </c>
      <c r="D27" s="55">
        <f>SUM(D23:D26)</f>
        <v>0</v>
      </c>
      <c r="E27" s="55">
        <f>+E25</f>
        <v>0</v>
      </c>
      <c r="F27" s="56">
        <f>SUM(F23:F26)</f>
        <v>0</v>
      </c>
      <c r="G27" s="55">
        <f>+G25</f>
        <v>0</v>
      </c>
      <c r="H27" s="56">
        <f>SUM(H23:H26)</f>
        <v>0</v>
      </c>
      <c r="I27" s="55">
        <f>+I25</f>
        <v>0</v>
      </c>
      <c r="J27" s="56">
        <f>SUM(J23:J26)</f>
        <v>0</v>
      </c>
      <c r="K27" s="55">
        <f>+K25</f>
        <v>0</v>
      </c>
      <c r="L27" s="56">
        <f>SUM(L23:L26)</f>
        <v>0</v>
      </c>
      <c r="M27" s="55">
        <f>+M25</f>
        <v>0</v>
      </c>
      <c r="N27" s="56">
        <f>SUM(N23:N26)</f>
        <v>0</v>
      </c>
      <c r="O27" s="55">
        <f>+O25</f>
        <v>0</v>
      </c>
      <c r="P27" s="56">
        <f>SUM(P23:P26)</f>
        <v>0</v>
      </c>
      <c r="Q27" s="55">
        <f>+Q25</f>
        <v>0</v>
      </c>
      <c r="R27" s="56">
        <f>SUM(R23:R26)</f>
        <v>0</v>
      </c>
      <c r="S27" s="249"/>
      <c r="T27" s="251"/>
    </row>
    <row r="28" spans="2:20" hidden="1" x14ac:dyDescent="0.25">
      <c r="B28" s="49" t="s">
        <v>29</v>
      </c>
      <c r="C28" s="58">
        <f>+C27</f>
        <v>0</v>
      </c>
      <c r="D28" s="59">
        <f>+D14+D18+D22+D27</f>
        <v>8955532110.6700001</v>
      </c>
      <c r="E28" s="58">
        <f>+E27</f>
        <v>0</v>
      </c>
      <c r="F28" s="59">
        <f>+F14+F18+F22+F27</f>
        <v>5136887.9800000004</v>
      </c>
      <c r="G28" s="58">
        <f>+G27</f>
        <v>0</v>
      </c>
      <c r="H28" s="59">
        <f>+H14+H18+H22+H27</f>
        <v>1107018000</v>
      </c>
      <c r="I28" s="58">
        <f>+I27</f>
        <v>0</v>
      </c>
      <c r="J28" s="59">
        <f>+J14+J18+J22+J27</f>
        <v>510000</v>
      </c>
      <c r="K28" s="58">
        <f>+K27</f>
        <v>0</v>
      </c>
      <c r="L28" s="59">
        <f>+L14+L18+L22+L27</f>
        <v>2516562100.6000004</v>
      </c>
      <c r="M28" s="58">
        <f>+M27</f>
        <v>0</v>
      </c>
      <c r="N28" s="59">
        <f>+N14+N18+N22+N27</f>
        <v>327473.19999999995</v>
      </c>
      <c r="O28" s="58">
        <f>+O27</f>
        <v>0</v>
      </c>
      <c r="P28" s="59">
        <f>+P14+P18+P22+P27</f>
        <v>12579112211.27</v>
      </c>
      <c r="Q28" s="58">
        <f>+Q27</f>
        <v>0</v>
      </c>
      <c r="R28" s="59">
        <f>+R14+R18+R22+R27</f>
        <v>5974361.1799999997</v>
      </c>
      <c r="S28" s="249"/>
      <c r="T28" s="251"/>
    </row>
    <row r="29" spans="2:20" x14ac:dyDescent="0.25">
      <c r="B29" s="133" t="s">
        <v>64</v>
      </c>
      <c r="C29" s="24"/>
      <c r="D29" s="24"/>
      <c r="E29" s="25"/>
      <c r="F29" s="133"/>
      <c r="G29" s="133"/>
      <c r="H29" s="133"/>
      <c r="I29" s="133"/>
      <c r="J29" s="133"/>
      <c r="K29" s="133"/>
      <c r="L29" s="133"/>
      <c r="M29" s="133"/>
      <c r="N29" s="133"/>
      <c r="O29" s="133"/>
      <c r="P29" s="157">
        <f>P14/T14</f>
        <v>0.99952528247258321</v>
      </c>
      <c r="Q29" s="157"/>
      <c r="R29" s="157">
        <f>R14/T14</f>
        <v>4.7471752741681312E-4</v>
      </c>
      <c r="S29" s="249"/>
      <c r="T29" s="251"/>
    </row>
    <row r="30" spans="2:20" x14ac:dyDescent="0.25">
      <c r="B30" s="188" t="s">
        <v>202</v>
      </c>
      <c r="C30"/>
      <c r="D30" s="158"/>
      <c r="E30"/>
      <c r="F30"/>
      <c r="G30"/>
      <c r="H30" s="158"/>
      <c r="I30"/>
      <c r="J30"/>
      <c r="K30" s="158"/>
      <c r="L30" s="158"/>
      <c r="M30"/>
      <c r="N30"/>
      <c r="O30"/>
      <c r="P30" s="158"/>
      <c r="Q30"/>
      <c r="R30"/>
      <c r="S30" s="200"/>
      <c r="T30" s="35"/>
    </row>
    <row r="31" spans="2:20" x14ac:dyDescent="0.25">
      <c r="C31" s="35"/>
      <c r="D31" s="35"/>
      <c r="P31" s="35"/>
      <c r="S31" s="200"/>
    </row>
    <row r="32" spans="2:20" x14ac:dyDescent="0.25">
      <c r="S32" s="200"/>
    </row>
    <row r="33" spans="14:19" x14ac:dyDescent="0.25">
      <c r="S33" s="200"/>
    </row>
    <row r="35" spans="14:19" x14ac:dyDescent="0.25">
      <c r="P35" s="35"/>
    </row>
    <row r="37" spans="14:19" x14ac:dyDescent="0.25">
      <c r="O37" s="35"/>
    </row>
    <row r="39" spans="14:19" x14ac:dyDescent="0.25">
      <c r="N39" s="35"/>
    </row>
    <row r="44" spans="14:19" x14ac:dyDescent="0.25">
      <c r="O44" s="18"/>
    </row>
    <row r="49" spans="2:19" x14ac:dyDescent="0.25">
      <c r="B49" s="44"/>
      <c r="C49" s="142"/>
      <c r="D49" s="155"/>
      <c r="E49" s="142"/>
      <c r="F49" s="156"/>
      <c r="G49" s="142"/>
      <c r="H49" s="155"/>
      <c r="I49" s="142"/>
      <c r="J49" s="156"/>
      <c r="K49" s="142"/>
      <c r="L49" s="155"/>
      <c r="M49" s="142"/>
      <c r="N49" s="156"/>
      <c r="O49" s="38"/>
      <c r="P49" s="38"/>
      <c r="Q49" s="38"/>
      <c r="R49" s="57"/>
      <c r="S49" s="57"/>
    </row>
    <row r="51" spans="2:19" x14ac:dyDescent="0.25">
      <c r="B51" s="44"/>
      <c r="C51" s="142"/>
      <c r="D51" s="155"/>
      <c r="E51" s="142"/>
      <c r="F51" s="156"/>
      <c r="G51" s="142"/>
      <c r="H51" s="155"/>
      <c r="I51" s="142"/>
      <c r="J51" s="156"/>
      <c r="K51" s="142"/>
      <c r="L51" s="155"/>
      <c r="M51" s="142"/>
      <c r="N51" s="156"/>
      <c r="O51" s="38"/>
      <c r="P51" s="38"/>
      <c r="Q51" s="38"/>
      <c r="R51" s="57"/>
      <c r="S51" s="57"/>
    </row>
  </sheetData>
  <mergeCells count="17">
    <mergeCell ref="G7:J7"/>
    <mergeCell ref="M8:N8"/>
    <mergeCell ref="B2:R2"/>
    <mergeCell ref="B3:R3"/>
    <mergeCell ref="B4:R4"/>
    <mergeCell ref="B6:R6"/>
    <mergeCell ref="C8:D8"/>
    <mergeCell ref="E8:F8"/>
    <mergeCell ref="K8:L8"/>
    <mergeCell ref="O7:R7"/>
    <mergeCell ref="O8:P8"/>
    <mergeCell ref="Q8:R8"/>
    <mergeCell ref="B5:R5"/>
    <mergeCell ref="G8:H8"/>
    <mergeCell ref="I8:J8"/>
    <mergeCell ref="K7:N7"/>
    <mergeCell ref="C7:F7"/>
  </mergeCells>
  <pageMargins left="0.7" right="0.7" top="0.75" bottom="0.75" header="0.3" footer="0.3"/>
  <pageSetup paperSize="9" scale="42" orientation="portrait" r:id="rId1"/>
  <colBreaks count="1" manualBreakCount="1">
    <brk id="19" max="1048575" man="1"/>
  </colBreaks>
  <ignoredErrors>
    <ignoredError sqref="D27 F27 L14:O14 J14:K14 H14:I14 F14:G14 D14:E14 Q14" formula="1"/>
    <ignoredError sqref="R29 P29 S14:T14" unlocked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pageSetUpPr fitToPage="1"/>
  </sheetPr>
  <dimension ref="C2:V40"/>
  <sheetViews>
    <sheetView showGridLines="0" zoomScaleNormal="100" workbookViewId="0">
      <selection activeCell="M45" sqref="M45"/>
    </sheetView>
  </sheetViews>
  <sheetFormatPr baseColWidth="10" defaultColWidth="11.42578125" defaultRowHeight="15" x14ac:dyDescent="0.25"/>
  <cols>
    <col min="1" max="2" width="0.5703125" style="1" customWidth="1"/>
    <col min="3" max="3" width="11.42578125" style="1"/>
    <col min="4" max="4" width="11" style="1" customWidth="1"/>
    <col min="5" max="5" width="9" style="1" bestFit="1" customWidth="1"/>
    <col min="6" max="6" width="14.42578125" style="1" customWidth="1"/>
    <col min="7" max="9" width="15.85546875" style="1" customWidth="1"/>
    <col min="10" max="11" width="12.5703125" style="1" customWidth="1"/>
    <col min="12" max="12" width="15.42578125" style="1" customWidth="1"/>
    <col min="13" max="14" width="12.5703125" style="1" customWidth="1"/>
    <col min="15" max="15" width="15.140625" style="1" customWidth="1"/>
    <col min="16" max="16" width="11.42578125" style="1" customWidth="1"/>
    <col min="17" max="17" width="20.42578125" style="1" customWidth="1"/>
    <col min="18" max="18" width="35.140625" style="1" customWidth="1"/>
    <col min="19" max="19" width="11.7109375" style="1" bestFit="1" customWidth="1"/>
    <col min="20" max="20" width="18.42578125" style="1" customWidth="1"/>
    <col min="21" max="21" width="16" style="1" bestFit="1" customWidth="1"/>
    <col min="22" max="22" width="11.7109375" style="1" bestFit="1" customWidth="1"/>
    <col min="23" max="16384" width="11.42578125" style="1"/>
  </cols>
  <sheetData>
    <row r="2" spans="3:20" x14ac:dyDescent="0.25">
      <c r="C2" s="348" t="s">
        <v>0</v>
      </c>
      <c r="D2" s="348"/>
      <c r="E2" s="348"/>
      <c r="F2" s="348"/>
      <c r="G2" s="348"/>
      <c r="H2" s="348"/>
      <c r="I2" s="348"/>
      <c r="J2" s="348"/>
      <c r="K2" s="348"/>
      <c r="L2" s="348"/>
      <c r="M2" s="348"/>
      <c r="N2" s="348"/>
      <c r="O2" s="348"/>
    </row>
    <row r="3" spans="3:20" x14ac:dyDescent="0.25">
      <c r="C3" s="348" t="s">
        <v>82</v>
      </c>
      <c r="D3" s="348"/>
      <c r="E3" s="348"/>
      <c r="F3" s="348"/>
      <c r="G3" s="348"/>
      <c r="H3" s="348"/>
      <c r="I3" s="348"/>
      <c r="J3" s="348"/>
      <c r="K3" s="348"/>
      <c r="L3" s="348"/>
      <c r="M3" s="348"/>
      <c r="N3" s="348"/>
      <c r="O3" s="348"/>
    </row>
    <row r="4" spans="3:20" x14ac:dyDescent="0.25">
      <c r="C4" s="348" t="s">
        <v>203</v>
      </c>
      <c r="D4" s="348"/>
      <c r="E4" s="348"/>
      <c r="F4" s="348"/>
      <c r="G4" s="348"/>
      <c r="H4" s="348"/>
      <c r="I4" s="348"/>
      <c r="J4" s="348"/>
      <c r="K4" s="348"/>
      <c r="L4" s="348"/>
      <c r="M4" s="348"/>
      <c r="N4" s="348"/>
      <c r="O4" s="348"/>
    </row>
    <row r="5" spans="3:20" x14ac:dyDescent="0.25">
      <c r="C5" s="348" t="s">
        <v>204</v>
      </c>
      <c r="D5" s="348"/>
      <c r="E5" s="348"/>
      <c r="F5" s="348"/>
      <c r="G5" s="348"/>
      <c r="H5" s="348"/>
      <c r="I5" s="348"/>
      <c r="J5" s="348"/>
      <c r="K5" s="348"/>
      <c r="L5" s="348"/>
      <c r="M5" s="348"/>
      <c r="N5" s="348"/>
      <c r="O5" s="348"/>
    </row>
    <row r="6" spans="3:20" x14ac:dyDescent="0.25">
      <c r="C6" s="348" t="s">
        <v>4</v>
      </c>
      <c r="D6" s="348"/>
      <c r="E6" s="348"/>
      <c r="F6" s="348"/>
      <c r="G6" s="348"/>
      <c r="H6" s="348"/>
      <c r="I6" s="348"/>
      <c r="J6" s="348"/>
      <c r="K6" s="348"/>
      <c r="L6" s="348"/>
      <c r="M6" s="348"/>
      <c r="N6" s="348"/>
      <c r="O6" s="348"/>
    </row>
    <row r="7" spans="3:20" x14ac:dyDescent="0.25">
      <c r="C7" s="86"/>
      <c r="D7" s="379" t="s">
        <v>193</v>
      </c>
      <c r="E7" s="379"/>
      <c r="F7" s="379"/>
      <c r="G7" s="380" t="s">
        <v>194</v>
      </c>
      <c r="H7" s="380"/>
      <c r="I7" s="380"/>
      <c r="J7" s="378" t="s">
        <v>95</v>
      </c>
      <c r="K7" s="378"/>
      <c r="L7" s="378"/>
      <c r="M7" s="377" t="s">
        <v>96</v>
      </c>
      <c r="N7" s="377"/>
      <c r="O7" s="377"/>
      <c r="P7"/>
      <c r="Q7"/>
      <c r="R7"/>
      <c r="S7"/>
      <c r="T7"/>
    </row>
    <row r="8" spans="3:20" ht="39.75" customHeight="1" x14ac:dyDescent="0.25">
      <c r="C8" s="87" t="s">
        <v>5</v>
      </c>
      <c r="D8" s="45" t="s">
        <v>205</v>
      </c>
      <c r="E8" s="45" t="s">
        <v>206</v>
      </c>
      <c r="F8" s="45" t="s">
        <v>9</v>
      </c>
      <c r="G8" s="45" t="s">
        <v>205</v>
      </c>
      <c r="H8" s="45" t="s">
        <v>206</v>
      </c>
      <c r="I8" s="45" t="s">
        <v>9</v>
      </c>
      <c r="J8" s="45" t="s">
        <v>205</v>
      </c>
      <c r="K8" s="45" t="s">
        <v>206</v>
      </c>
      <c r="L8" s="45" t="s">
        <v>9</v>
      </c>
      <c r="M8" s="45" t="s">
        <v>97</v>
      </c>
      <c r="N8" s="45" t="s">
        <v>98</v>
      </c>
      <c r="O8" s="45" t="s">
        <v>9</v>
      </c>
      <c r="P8"/>
      <c r="Q8"/>
      <c r="R8"/>
      <c r="S8"/>
      <c r="T8"/>
    </row>
    <row r="9" spans="3:20" ht="0.75" customHeight="1" x14ac:dyDescent="0.25">
      <c r="C9" s="234" t="s">
        <v>207</v>
      </c>
      <c r="D9" s="178">
        <v>0</v>
      </c>
      <c r="E9" s="178">
        <v>0</v>
      </c>
      <c r="F9" s="112">
        <v>0</v>
      </c>
      <c r="G9" s="181"/>
      <c r="H9" s="181"/>
      <c r="I9" s="181"/>
      <c r="J9" s="180">
        <v>0</v>
      </c>
      <c r="K9" s="180">
        <v>0</v>
      </c>
      <c r="L9" s="60">
        <v>0</v>
      </c>
      <c r="M9" s="38">
        <f t="shared" ref="M9" si="0">+D9+J9+G9</f>
        <v>0</v>
      </c>
      <c r="N9" s="38">
        <f t="shared" ref="N9" si="1">+E9+K9+H9</f>
        <v>0</v>
      </c>
      <c r="O9" s="38">
        <f t="shared" ref="O9" si="2">+F9+L9+I9</f>
        <v>0</v>
      </c>
      <c r="P9"/>
      <c r="Q9"/>
      <c r="R9"/>
      <c r="S9"/>
      <c r="T9"/>
    </row>
    <row r="10" spans="3:20" x14ac:dyDescent="0.25">
      <c r="C10" s="129" t="s">
        <v>13</v>
      </c>
      <c r="D10" s="254">
        <v>5</v>
      </c>
      <c r="E10" s="254">
        <v>5</v>
      </c>
      <c r="F10" s="255">
        <v>556958.16</v>
      </c>
      <c r="G10" s="112">
        <v>0</v>
      </c>
      <c r="H10" s="112">
        <v>0</v>
      </c>
      <c r="I10" s="112">
        <v>0</v>
      </c>
      <c r="J10" s="266">
        <v>2</v>
      </c>
      <c r="K10" s="266">
        <v>2</v>
      </c>
      <c r="L10" s="255">
        <f>6238744.06+167487.9</f>
        <v>6406231.96</v>
      </c>
      <c r="M10" s="38">
        <f>+D10+J10+G10</f>
        <v>7</v>
      </c>
      <c r="N10" s="38">
        <f>+E10+K10+H10</f>
        <v>7</v>
      </c>
      <c r="O10" s="57">
        <f>+F10+L10+I10</f>
        <v>6963190.1200000001</v>
      </c>
      <c r="P10"/>
      <c r="Q10"/>
      <c r="R10"/>
      <c r="S10"/>
      <c r="T10"/>
    </row>
    <row r="11" spans="3:20" x14ac:dyDescent="0.25">
      <c r="C11" s="129" t="s">
        <v>115</v>
      </c>
      <c r="D11" s="254">
        <v>182</v>
      </c>
      <c r="E11" s="254">
        <v>195</v>
      </c>
      <c r="F11" s="255">
        <v>13321090.220000001</v>
      </c>
      <c r="G11" s="112">
        <v>0</v>
      </c>
      <c r="H11" s="112">
        <v>0</v>
      </c>
      <c r="I11" s="112">
        <v>0</v>
      </c>
      <c r="J11" s="266">
        <v>42</v>
      </c>
      <c r="K11" s="266">
        <v>53</v>
      </c>
      <c r="L11" s="255">
        <v>8885063.0800000001</v>
      </c>
      <c r="M11" s="38">
        <f>+D11+J11+G11</f>
        <v>224</v>
      </c>
      <c r="N11" s="38">
        <f>+E11+K11+H11</f>
        <v>248</v>
      </c>
      <c r="O11" s="57">
        <f t="shared" ref="O11" si="3">+F11+L11+I11</f>
        <v>22206153.300000001</v>
      </c>
      <c r="P11"/>
      <c r="Q11"/>
      <c r="R11"/>
      <c r="S11"/>
      <c r="T11"/>
    </row>
    <row r="12" spans="3:20" x14ac:dyDescent="0.25">
      <c r="C12" s="129" t="s">
        <v>15</v>
      </c>
      <c r="D12" s="160">
        <v>0</v>
      </c>
      <c r="E12" s="160">
        <v>0</v>
      </c>
      <c r="F12" s="159">
        <v>0</v>
      </c>
      <c r="G12" s="112">
        <v>0</v>
      </c>
      <c r="H12" s="112">
        <v>0</v>
      </c>
      <c r="I12" s="112">
        <v>0</v>
      </c>
      <c r="J12" s="267"/>
      <c r="K12" s="267">
        <v>0</v>
      </c>
      <c r="L12" s="255"/>
      <c r="M12" s="38">
        <f t="shared" ref="M12" si="4">+D12+J12+G12</f>
        <v>0</v>
      </c>
      <c r="N12" s="38">
        <f t="shared" ref="N12" si="5">+E12+K12+H12</f>
        <v>0</v>
      </c>
      <c r="O12" s="57">
        <f t="shared" ref="O12" si="6">+F12+L12+I12</f>
        <v>0</v>
      </c>
      <c r="P12"/>
      <c r="Q12"/>
      <c r="R12"/>
      <c r="S12"/>
      <c r="T12"/>
    </row>
    <row r="13" spans="3:20" x14ac:dyDescent="0.25">
      <c r="C13" s="46" t="s">
        <v>16</v>
      </c>
      <c r="D13" s="271">
        <f>SUM(D10:D12)</f>
        <v>187</v>
      </c>
      <c r="E13" s="271">
        <f>SUM(E10:E12)</f>
        <v>200</v>
      </c>
      <c r="F13" s="235">
        <f>SUM(F10:F12)</f>
        <v>13878048.380000001</v>
      </c>
      <c r="G13" s="40">
        <f>SUM(G10:G12)</f>
        <v>0</v>
      </c>
      <c r="H13" s="40">
        <f>SUM(H10:H12)</f>
        <v>0</v>
      </c>
      <c r="I13" s="40">
        <f>SUM(I11:I12)</f>
        <v>0</v>
      </c>
      <c r="J13" s="182">
        <f t="shared" ref="J13:O13" si="7">SUM(J10:J12)</f>
        <v>44</v>
      </c>
      <c r="K13" s="182">
        <f t="shared" si="7"/>
        <v>55</v>
      </c>
      <c r="L13" s="235">
        <f t="shared" si="7"/>
        <v>15291295.039999999</v>
      </c>
      <c r="M13" s="40">
        <f t="shared" si="7"/>
        <v>231</v>
      </c>
      <c r="N13" s="40">
        <f t="shared" si="7"/>
        <v>255</v>
      </c>
      <c r="O13" s="235">
        <f t="shared" si="7"/>
        <v>29169343.420000002</v>
      </c>
      <c r="P13"/>
      <c r="Q13"/>
      <c r="R13"/>
      <c r="S13"/>
      <c r="T13"/>
    </row>
    <row r="14" spans="3:20" hidden="1" x14ac:dyDescent="0.25">
      <c r="C14" s="44" t="s">
        <v>17</v>
      </c>
      <c r="D14" s="112"/>
      <c r="E14" s="112"/>
      <c r="F14" s="159"/>
      <c r="G14" s="112"/>
      <c r="H14" s="112"/>
      <c r="I14" s="159"/>
      <c r="J14" s="112"/>
      <c r="K14" s="112"/>
      <c r="L14" s="159"/>
      <c r="M14" s="37">
        <f t="shared" ref="M14:O16" si="8">+D14+J14+G14</f>
        <v>0</v>
      </c>
      <c r="N14" s="37">
        <f t="shared" si="8"/>
        <v>0</v>
      </c>
      <c r="O14" s="65">
        <f t="shared" si="8"/>
        <v>0</v>
      </c>
      <c r="P14"/>
      <c r="Q14"/>
      <c r="R14"/>
      <c r="S14"/>
      <c r="T14"/>
    </row>
    <row r="15" spans="3:20" hidden="1" x14ac:dyDescent="0.25">
      <c r="C15" s="44" t="s">
        <v>18</v>
      </c>
      <c r="D15" s="112"/>
      <c r="E15" s="112"/>
      <c r="F15" s="159"/>
      <c r="G15" s="112"/>
      <c r="H15" s="112"/>
      <c r="I15" s="159"/>
      <c r="J15" s="112"/>
      <c r="K15" s="112"/>
      <c r="L15" s="159"/>
      <c r="M15" s="37">
        <f t="shared" si="8"/>
        <v>0</v>
      </c>
      <c r="N15" s="37">
        <f t="shared" si="8"/>
        <v>0</v>
      </c>
      <c r="O15" s="65">
        <f t="shared" si="8"/>
        <v>0</v>
      </c>
      <c r="P15"/>
      <c r="Q15"/>
      <c r="R15"/>
      <c r="S15"/>
      <c r="T15"/>
    </row>
    <row r="16" spans="3:20" hidden="1" x14ac:dyDescent="0.25">
      <c r="C16" s="44" t="s">
        <v>19</v>
      </c>
      <c r="D16" s="112"/>
      <c r="E16" s="112"/>
      <c r="F16" s="159"/>
      <c r="G16" s="112"/>
      <c r="H16" s="112"/>
      <c r="I16" s="159"/>
      <c r="J16" s="112"/>
      <c r="K16" s="112"/>
      <c r="L16" s="159"/>
      <c r="M16" s="37">
        <f t="shared" si="8"/>
        <v>0</v>
      </c>
      <c r="N16" s="37">
        <f t="shared" si="8"/>
        <v>0</v>
      </c>
      <c r="O16" s="65">
        <f t="shared" si="8"/>
        <v>0</v>
      </c>
      <c r="P16"/>
      <c r="Q16"/>
      <c r="R16"/>
      <c r="S16"/>
      <c r="T16"/>
    </row>
    <row r="17" spans="3:20" hidden="1" x14ac:dyDescent="0.25">
      <c r="C17" s="27" t="s">
        <v>20</v>
      </c>
      <c r="D17" s="39">
        <f t="shared" ref="D17:O17" si="9">SUM(D14:D16)</f>
        <v>0</v>
      </c>
      <c r="E17" s="39">
        <f t="shared" si="9"/>
        <v>0</v>
      </c>
      <c r="F17" s="39">
        <f t="shared" si="9"/>
        <v>0</v>
      </c>
      <c r="G17" s="39">
        <f t="shared" ref="G17:L17" si="10">SUM(G14:G16)</f>
        <v>0</v>
      </c>
      <c r="H17" s="39">
        <f t="shared" si="10"/>
        <v>0</v>
      </c>
      <c r="I17" s="39">
        <f t="shared" si="10"/>
        <v>0</v>
      </c>
      <c r="J17" s="39">
        <f t="shared" si="10"/>
        <v>0</v>
      </c>
      <c r="K17" s="39">
        <f t="shared" si="10"/>
        <v>0</v>
      </c>
      <c r="L17" s="39">
        <f t="shared" si="10"/>
        <v>0</v>
      </c>
      <c r="M17" s="39">
        <f t="shared" si="9"/>
        <v>0</v>
      </c>
      <c r="N17" s="39">
        <f t="shared" si="9"/>
        <v>0</v>
      </c>
      <c r="O17" s="39">
        <f t="shared" si="9"/>
        <v>0</v>
      </c>
      <c r="P17"/>
      <c r="Q17"/>
      <c r="R17"/>
      <c r="S17"/>
      <c r="T17"/>
    </row>
    <row r="18" spans="3:20" hidden="1" x14ac:dyDescent="0.25">
      <c r="C18" s="44" t="s">
        <v>44</v>
      </c>
      <c r="D18" s="112"/>
      <c r="E18" s="112"/>
      <c r="F18" s="159"/>
      <c r="G18" s="112"/>
      <c r="H18" s="112"/>
      <c r="I18" s="159"/>
      <c r="J18" s="112"/>
      <c r="K18" s="112"/>
      <c r="L18" s="159"/>
      <c r="M18" s="37">
        <f t="shared" ref="M18:O20" si="11">+D18+J18+G18</f>
        <v>0</v>
      </c>
      <c r="N18" s="37">
        <f t="shared" si="11"/>
        <v>0</v>
      </c>
      <c r="O18" s="65">
        <f t="shared" si="11"/>
        <v>0</v>
      </c>
      <c r="P18"/>
      <c r="Q18"/>
      <c r="R18"/>
      <c r="S18"/>
      <c r="T18"/>
    </row>
    <row r="19" spans="3:20" hidden="1" x14ac:dyDescent="0.25">
      <c r="C19" s="44" t="s">
        <v>22</v>
      </c>
      <c r="D19" s="112"/>
      <c r="E19" s="112"/>
      <c r="F19" s="159"/>
      <c r="G19" s="112"/>
      <c r="H19" s="112"/>
      <c r="I19" s="159"/>
      <c r="J19" s="112"/>
      <c r="K19" s="112"/>
      <c r="L19" s="159"/>
      <c r="M19" s="37">
        <f t="shared" si="11"/>
        <v>0</v>
      </c>
      <c r="N19" s="37">
        <f t="shared" si="11"/>
        <v>0</v>
      </c>
      <c r="O19" s="65">
        <f t="shared" si="11"/>
        <v>0</v>
      </c>
      <c r="P19"/>
      <c r="Q19"/>
      <c r="R19"/>
      <c r="S19"/>
      <c r="T19"/>
    </row>
    <row r="20" spans="3:20" hidden="1" x14ac:dyDescent="0.25">
      <c r="C20" s="44" t="s">
        <v>23</v>
      </c>
      <c r="D20" s="112"/>
      <c r="E20" s="112"/>
      <c r="F20" s="159"/>
      <c r="G20" s="112"/>
      <c r="H20" s="112"/>
      <c r="I20" s="159"/>
      <c r="J20" s="112"/>
      <c r="K20" s="112"/>
      <c r="L20" s="159"/>
      <c r="M20" s="37">
        <f t="shared" si="11"/>
        <v>0</v>
      </c>
      <c r="N20" s="37">
        <f t="shared" si="11"/>
        <v>0</v>
      </c>
      <c r="O20" s="65">
        <f t="shared" si="11"/>
        <v>0</v>
      </c>
      <c r="P20"/>
      <c r="Q20"/>
      <c r="R20"/>
      <c r="S20"/>
      <c r="T20"/>
    </row>
    <row r="21" spans="3:20" hidden="1" x14ac:dyDescent="0.25">
      <c r="C21" s="27" t="s">
        <v>24</v>
      </c>
      <c r="D21" s="39">
        <f t="shared" ref="D21:F21" si="12">SUM(D18:D20)</f>
        <v>0</v>
      </c>
      <c r="E21" s="39">
        <f t="shared" si="12"/>
        <v>0</v>
      </c>
      <c r="F21" s="39">
        <f t="shared" si="12"/>
        <v>0</v>
      </c>
      <c r="G21" s="39">
        <f t="shared" ref="G21:O21" si="13">SUM(G18:G20)</f>
        <v>0</v>
      </c>
      <c r="H21" s="39">
        <f t="shared" si="13"/>
        <v>0</v>
      </c>
      <c r="I21" s="39">
        <f t="shared" si="13"/>
        <v>0</v>
      </c>
      <c r="J21" s="39">
        <f>SUM(J18:J20)</f>
        <v>0</v>
      </c>
      <c r="K21" s="39">
        <f>SUM(K18:K20)</f>
        <v>0</v>
      </c>
      <c r="L21" s="39">
        <f>SUM(L18:L20)</f>
        <v>0</v>
      </c>
      <c r="M21" s="39">
        <f t="shared" si="13"/>
        <v>0</v>
      </c>
      <c r="N21" s="39">
        <f t="shared" si="13"/>
        <v>0</v>
      </c>
      <c r="O21" s="39">
        <f t="shared" si="13"/>
        <v>0</v>
      </c>
      <c r="P21"/>
      <c r="Q21"/>
      <c r="R21"/>
      <c r="S21"/>
      <c r="T21"/>
    </row>
    <row r="22" spans="3:20" hidden="1" x14ac:dyDescent="0.25">
      <c r="C22" s="44" t="s">
        <v>25</v>
      </c>
      <c r="D22" s="112"/>
      <c r="E22" s="112"/>
      <c r="F22" s="159"/>
      <c r="G22" s="112"/>
      <c r="H22" s="112"/>
      <c r="I22" s="159"/>
      <c r="J22" s="112"/>
      <c r="K22" s="112"/>
      <c r="L22" s="159"/>
      <c r="M22" s="37">
        <f t="shared" ref="M22:O24" si="14">+D22+J22+G22</f>
        <v>0</v>
      </c>
      <c r="N22" s="37">
        <f t="shared" si="14"/>
        <v>0</v>
      </c>
      <c r="O22" s="65">
        <f t="shared" si="14"/>
        <v>0</v>
      </c>
      <c r="P22"/>
      <c r="Q22"/>
      <c r="R22"/>
      <c r="S22"/>
      <c r="T22"/>
    </row>
    <row r="23" spans="3:20" hidden="1" x14ac:dyDescent="0.25">
      <c r="C23" s="44" t="s">
        <v>26</v>
      </c>
      <c r="D23" s="112"/>
      <c r="E23" s="112"/>
      <c r="F23" s="159"/>
      <c r="G23" s="112"/>
      <c r="H23" s="112"/>
      <c r="I23" s="159"/>
      <c r="J23" s="112"/>
      <c r="K23" s="112"/>
      <c r="L23" s="159"/>
      <c r="M23" s="37">
        <f t="shared" si="14"/>
        <v>0</v>
      </c>
      <c r="N23" s="37">
        <f t="shared" si="14"/>
        <v>0</v>
      </c>
      <c r="O23" s="65">
        <f t="shared" si="14"/>
        <v>0</v>
      </c>
      <c r="P23"/>
      <c r="Q23"/>
      <c r="R23"/>
      <c r="S23"/>
      <c r="T23"/>
    </row>
    <row r="24" spans="3:20" hidden="1" x14ac:dyDescent="0.25">
      <c r="C24" s="44" t="s">
        <v>208</v>
      </c>
      <c r="D24" s="112"/>
      <c r="E24" s="112"/>
      <c r="F24" s="159"/>
      <c r="G24" s="112"/>
      <c r="H24" s="112"/>
      <c r="I24" s="159"/>
      <c r="J24" s="112"/>
      <c r="K24" s="112"/>
      <c r="L24" s="159"/>
      <c r="M24" s="37">
        <f t="shared" si="14"/>
        <v>0</v>
      </c>
      <c r="N24" s="37">
        <f t="shared" si="14"/>
        <v>0</v>
      </c>
      <c r="O24" s="65">
        <f t="shared" si="14"/>
        <v>0</v>
      </c>
      <c r="P24"/>
      <c r="Q24"/>
      <c r="R24"/>
      <c r="S24"/>
      <c r="T24"/>
    </row>
    <row r="25" spans="3:20" hidden="1" x14ac:dyDescent="0.25">
      <c r="C25" s="27" t="s">
        <v>28</v>
      </c>
      <c r="D25" s="39">
        <f t="shared" ref="D25:O25" si="15">SUM(D22:D24)</f>
        <v>0</v>
      </c>
      <c r="E25" s="39">
        <f t="shared" si="15"/>
        <v>0</v>
      </c>
      <c r="F25" s="39">
        <f t="shared" si="15"/>
        <v>0</v>
      </c>
      <c r="G25" s="39">
        <f t="shared" ref="G25:L25" si="16">SUM(G22:G24)</f>
        <v>0</v>
      </c>
      <c r="H25" s="39">
        <f t="shared" si="16"/>
        <v>0</v>
      </c>
      <c r="I25" s="39">
        <f t="shared" si="16"/>
        <v>0</v>
      </c>
      <c r="J25" s="39">
        <f t="shared" si="16"/>
        <v>0</v>
      </c>
      <c r="K25" s="39">
        <f t="shared" si="16"/>
        <v>0</v>
      </c>
      <c r="L25" s="39">
        <f t="shared" si="16"/>
        <v>0</v>
      </c>
      <c r="M25" s="39">
        <f t="shared" si="15"/>
        <v>0</v>
      </c>
      <c r="N25" s="39">
        <f t="shared" si="15"/>
        <v>0</v>
      </c>
      <c r="O25" s="39">
        <f t="shared" si="15"/>
        <v>0</v>
      </c>
      <c r="P25"/>
      <c r="Q25"/>
      <c r="R25"/>
      <c r="S25"/>
      <c r="T25"/>
    </row>
    <row r="26" spans="3:20" hidden="1" x14ac:dyDescent="0.25">
      <c r="C26" s="71" t="s">
        <v>29</v>
      </c>
      <c r="D26" s="41">
        <f t="shared" ref="D26:M26" si="17">+D13+D17+D21+D25</f>
        <v>187</v>
      </c>
      <c r="E26" s="41">
        <f t="shared" si="17"/>
        <v>200</v>
      </c>
      <c r="F26" s="41">
        <f t="shared" si="17"/>
        <v>13878048.380000001</v>
      </c>
      <c r="G26" s="41">
        <f t="shared" si="17"/>
        <v>0</v>
      </c>
      <c r="H26" s="41">
        <f t="shared" si="17"/>
        <v>0</v>
      </c>
      <c r="I26" s="41">
        <f t="shared" si="17"/>
        <v>0</v>
      </c>
      <c r="J26" s="41">
        <f t="shared" si="17"/>
        <v>44</v>
      </c>
      <c r="K26" s="41">
        <f t="shared" si="17"/>
        <v>55</v>
      </c>
      <c r="L26" s="41">
        <f t="shared" si="17"/>
        <v>15291295.039999999</v>
      </c>
      <c r="M26" s="41">
        <f t="shared" si="17"/>
        <v>231</v>
      </c>
      <c r="N26" s="41">
        <f t="shared" ref="N26:O26" si="18">+N13+N17+N21+N25</f>
        <v>255</v>
      </c>
      <c r="O26" s="41">
        <f t="shared" si="18"/>
        <v>29169343.420000002</v>
      </c>
      <c r="P26"/>
      <c r="Q26"/>
      <c r="R26"/>
      <c r="S26"/>
      <c r="T26"/>
    </row>
    <row r="27" spans="3:20" hidden="1" x14ac:dyDescent="0.25">
      <c r="C27" s="162" t="s">
        <v>209</v>
      </c>
      <c r="D27"/>
      <c r="E27"/>
      <c r="F27"/>
      <c r="G27"/>
      <c r="H27"/>
      <c r="I27"/>
      <c r="J27"/>
      <c r="K27"/>
      <c r="L27"/>
      <c r="M27"/>
      <c r="N27"/>
      <c r="O27"/>
      <c r="P27"/>
      <c r="Q27"/>
      <c r="R27"/>
      <c r="S27"/>
      <c r="T27"/>
    </row>
    <row r="28" spans="3:20" x14ac:dyDescent="0.25">
      <c r="C28" s="188" t="s">
        <v>210</v>
      </c>
      <c r="D28"/>
      <c r="E28"/>
      <c r="F28"/>
      <c r="G28"/>
      <c r="H28"/>
      <c r="I28"/>
      <c r="J28"/>
      <c r="K28"/>
      <c r="L28"/>
      <c r="M28"/>
      <c r="N28"/>
      <c r="O28"/>
      <c r="P28"/>
      <c r="Q28"/>
      <c r="R28"/>
      <c r="S28"/>
      <c r="T28"/>
    </row>
    <row r="29" spans="3:20" x14ac:dyDescent="0.25">
      <c r="C29"/>
      <c r="D29"/>
      <c r="E29"/>
      <c r="F29"/>
      <c r="G29"/>
      <c r="H29"/>
      <c r="I29"/>
      <c r="J29"/>
      <c r="K29"/>
      <c r="L29"/>
      <c r="M29"/>
      <c r="N29"/>
      <c r="O29"/>
      <c r="P29"/>
    </row>
    <row r="30" spans="3:20" x14ac:dyDescent="0.25">
      <c r="C30"/>
      <c r="D30"/>
      <c r="E30"/>
      <c r="F30"/>
      <c r="G30"/>
      <c r="H30"/>
      <c r="I30"/>
      <c r="J30"/>
      <c r="K30"/>
      <c r="L30"/>
      <c r="M30"/>
      <c r="N30"/>
      <c r="O30"/>
      <c r="P30" s="158"/>
      <c r="Q30"/>
      <c r="R30"/>
      <c r="S30"/>
      <c r="T30"/>
    </row>
    <row r="31" spans="3:20" x14ac:dyDescent="0.25">
      <c r="C31"/>
      <c r="D31"/>
      <c r="E31"/>
      <c r="F31"/>
      <c r="G31"/>
      <c r="H31"/>
      <c r="I31"/>
      <c r="J31"/>
      <c r="K31"/>
      <c r="L31"/>
      <c r="M31"/>
      <c r="N31"/>
      <c r="O31"/>
      <c r="P31" s="158"/>
      <c r="Q31"/>
      <c r="R31"/>
      <c r="S31"/>
      <c r="T31"/>
    </row>
    <row r="32" spans="3:20" x14ac:dyDescent="0.25">
      <c r="C32" s="44"/>
      <c r="D32" s="142"/>
      <c r="E32" s="142"/>
      <c r="F32" s="112"/>
      <c r="G32" s="112"/>
      <c r="H32" s="112"/>
      <c r="I32" s="159"/>
      <c r="J32" s="160"/>
      <c r="K32" s="161"/>
      <c r="L32" s="112"/>
      <c r="M32" s="38"/>
      <c r="N32" s="38"/>
      <c r="O32" s="38"/>
    </row>
    <row r="33" spans="3:22" x14ac:dyDescent="0.25">
      <c r="P33" s="36"/>
      <c r="S33" s="51"/>
      <c r="T33" s="63"/>
      <c r="U33" s="52"/>
      <c r="V33" s="64"/>
    </row>
    <row r="34" spans="3:22" x14ac:dyDescent="0.25">
      <c r="C34" s="44"/>
      <c r="D34" s="142"/>
      <c r="E34" s="142"/>
      <c r="F34" s="112"/>
      <c r="G34" s="112"/>
      <c r="H34" s="112"/>
      <c r="I34" s="159"/>
      <c r="J34" s="160"/>
      <c r="K34" s="161"/>
      <c r="L34" s="112"/>
      <c r="M34" s="38"/>
      <c r="N34" s="38"/>
      <c r="O34" s="38"/>
      <c r="S34" s="51"/>
      <c r="T34" s="63"/>
      <c r="U34" s="52"/>
      <c r="V34" s="64"/>
    </row>
    <row r="35" spans="3:22" x14ac:dyDescent="0.25">
      <c r="S35" s="51"/>
      <c r="T35" s="63"/>
      <c r="U35" s="52"/>
      <c r="V35" s="64"/>
    </row>
    <row r="36" spans="3:22" x14ac:dyDescent="0.25">
      <c r="S36" s="51"/>
      <c r="T36" s="63"/>
      <c r="U36" s="52"/>
      <c r="V36" s="64"/>
    </row>
    <row r="37" spans="3:22" x14ac:dyDescent="0.25">
      <c r="S37" s="51"/>
      <c r="T37" s="63"/>
      <c r="U37" s="52"/>
      <c r="V37" s="64"/>
    </row>
    <row r="38" spans="3:22" x14ac:dyDescent="0.25">
      <c r="S38" s="51"/>
      <c r="T38" s="63"/>
      <c r="U38" s="52"/>
      <c r="V38" s="64"/>
    </row>
    <row r="39" spans="3:22" x14ac:dyDescent="0.25">
      <c r="S39" s="51"/>
      <c r="T39" s="63"/>
      <c r="U39" s="52"/>
      <c r="V39" s="64"/>
    </row>
    <row r="40" spans="3:22" x14ac:dyDescent="0.25">
      <c r="S40" s="51"/>
      <c r="T40" s="63"/>
      <c r="U40" s="52"/>
      <c r="V40" s="64"/>
    </row>
  </sheetData>
  <mergeCells count="9">
    <mergeCell ref="C2:O2"/>
    <mergeCell ref="C3:O3"/>
    <mergeCell ref="C4:O4"/>
    <mergeCell ref="C6:O6"/>
    <mergeCell ref="D7:F7"/>
    <mergeCell ref="J7:L7"/>
    <mergeCell ref="M7:O7"/>
    <mergeCell ref="C5:O5"/>
    <mergeCell ref="G7:I7"/>
  </mergeCells>
  <pageMargins left="0.7" right="0.7" top="0.75" bottom="0.75" header="0.3" footer="0.3"/>
  <pageSetup paperSize="9" scale="72" orientation="portrait" r:id="rId1"/>
  <rowBreaks count="1" manualBreakCount="1">
    <brk id="46" min="2" max="11" man="1"/>
  </rowBreaks>
  <ignoredErrors>
    <ignoredError sqref="C13 G13:H13 M13:O13" formula="1"/>
    <ignoredError sqref="D13:F13 I13:L13" formula="1" formulaRange="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sheetPr>
  <dimension ref="A1:P39"/>
  <sheetViews>
    <sheetView showGridLines="0" workbookViewId="0">
      <selection activeCell="F8" sqref="F8:G10"/>
    </sheetView>
  </sheetViews>
  <sheetFormatPr baseColWidth="10" defaultColWidth="11.42578125" defaultRowHeight="15" x14ac:dyDescent="0.25"/>
  <cols>
    <col min="1" max="1" width="11.42578125" style="1"/>
    <col min="2" max="2" width="11" style="1" customWidth="1"/>
    <col min="3" max="3" width="14.140625" style="1" customWidth="1"/>
    <col min="4" max="4" width="12.42578125" style="1" customWidth="1"/>
    <col min="5" max="5" width="17.7109375" style="1" bestFit="1" customWidth="1"/>
    <col min="6" max="6" width="12.42578125" style="1" customWidth="1"/>
    <col min="7" max="7" width="16.140625" style="1" bestFit="1" customWidth="1"/>
    <col min="8" max="8" width="10.7109375" style="1" customWidth="1"/>
    <col min="9" max="9" width="15.28515625" style="1" bestFit="1" customWidth="1"/>
    <col min="10" max="10" width="11.42578125" style="1" customWidth="1"/>
    <col min="11" max="12" width="11.42578125" style="1"/>
    <col min="13" max="14" width="11.7109375" style="1" bestFit="1" customWidth="1"/>
    <col min="15" max="15" width="16" style="1" bestFit="1" customWidth="1"/>
    <col min="16" max="16" width="11.7109375" style="1" bestFit="1" customWidth="1"/>
    <col min="17" max="16384" width="11.42578125" style="1"/>
  </cols>
  <sheetData>
    <row r="1" spans="1:9" x14ac:dyDescent="0.25">
      <c r="A1" s="348" t="s">
        <v>211</v>
      </c>
      <c r="B1" s="348"/>
      <c r="C1" s="348"/>
      <c r="D1" s="348"/>
      <c r="E1" s="348"/>
      <c r="F1" s="348"/>
      <c r="G1" s="348"/>
      <c r="H1" s="348"/>
      <c r="I1" s="348"/>
    </row>
    <row r="2" spans="1:9" x14ac:dyDescent="0.25">
      <c r="A2" s="348" t="s">
        <v>82</v>
      </c>
      <c r="B2" s="348"/>
      <c r="C2" s="348"/>
      <c r="D2" s="348"/>
      <c r="E2" s="348"/>
      <c r="F2" s="348"/>
      <c r="G2" s="348"/>
      <c r="H2" s="348"/>
      <c r="I2" s="348"/>
    </row>
    <row r="3" spans="1:9" x14ac:dyDescent="0.25">
      <c r="A3" s="348" t="s">
        <v>212</v>
      </c>
      <c r="B3" s="348"/>
      <c r="C3" s="348"/>
      <c r="D3" s="348"/>
      <c r="E3" s="348"/>
      <c r="F3" s="348"/>
      <c r="G3" s="348"/>
      <c r="H3" s="348"/>
      <c r="I3" s="348"/>
    </row>
    <row r="4" spans="1:9" x14ac:dyDescent="0.25">
      <c r="A4" s="348" t="s">
        <v>213</v>
      </c>
      <c r="B4" s="348"/>
      <c r="C4" s="348"/>
      <c r="D4" s="348"/>
      <c r="E4" s="348"/>
      <c r="F4" s="348"/>
      <c r="G4" s="348"/>
      <c r="H4" s="348"/>
      <c r="I4" s="348"/>
    </row>
    <row r="5" spans="1:9" x14ac:dyDescent="0.25">
      <c r="A5" s="348" t="s">
        <v>214</v>
      </c>
      <c r="B5" s="348"/>
      <c r="C5" s="348"/>
      <c r="D5" s="348"/>
      <c r="E5" s="348"/>
      <c r="F5" s="348"/>
      <c r="G5" s="348"/>
      <c r="H5" s="348"/>
      <c r="I5" s="348"/>
    </row>
    <row r="6" spans="1:9" x14ac:dyDescent="0.25">
      <c r="A6" s="86"/>
      <c r="B6" s="379" t="s">
        <v>215</v>
      </c>
      <c r="C6" s="379"/>
      <c r="D6" s="378" t="s">
        <v>95</v>
      </c>
      <c r="E6" s="378"/>
      <c r="F6" s="380" t="s">
        <v>194</v>
      </c>
      <c r="G6" s="380"/>
      <c r="H6" s="377" t="s">
        <v>96</v>
      </c>
      <c r="I6" s="377"/>
    </row>
    <row r="7" spans="1:9" ht="34.5" customHeight="1" x14ac:dyDescent="0.25">
      <c r="A7" s="87" t="s">
        <v>5</v>
      </c>
      <c r="B7" s="45" t="s">
        <v>216</v>
      </c>
      <c r="C7" s="45" t="s">
        <v>9</v>
      </c>
      <c r="D7" s="45" t="s">
        <v>216</v>
      </c>
      <c r="E7" s="45" t="s">
        <v>9</v>
      </c>
      <c r="F7" s="45" t="s">
        <v>216</v>
      </c>
      <c r="G7" s="45" t="s">
        <v>9</v>
      </c>
      <c r="H7" s="45" t="s">
        <v>216</v>
      </c>
      <c r="I7" s="45" t="s">
        <v>9</v>
      </c>
    </row>
    <row r="8" spans="1:9" x14ac:dyDescent="0.25">
      <c r="A8" s="44" t="s">
        <v>17</v>
      </c>
      <c r="B8" s="32">
        <v>0</v>
      </c>
      <c r="C8" s="60">
        <v>0</v>
      </c>
      <c r="D8" s="32">
        <v>0</v>
      </c>
      <c r="E8" s="60">
        <v>0</v>
      </c>
      <c r="F8" s="32">
        <v>0</v>
      </c>
      <c r="G8" s="60">
        <v>0</v>
      </c>
      <c r="H8" s="37">
        <f t="shared" ref="H8:I10" si="0">+B8+D8+F8</f>
        <v>0</v>
      </c>
      <c r="I8" s="65">
        <f t="shared" si="0"/>
        <v>0</v>
      </c>
    </row>
    <row r="9" spans="1:9" x14ac:dyDescent="0.25">
      <c r="A9" s="44" t="s">
        <v>18</v>
      </c>
      <c r="B9" s="32">
        <f>4+28+31</f>
        <v>63</v>
      </c>
      <c r="C9" s="60">
        <f>30992+216880.44+240467.76</f>
        <v>488340.2</v>
      </c>
      <c r="D9" s="32">
        <v>3</v>
      </c>
      <c r="E9" s="60">
        <v>224872.69</v>
      </c>
      <c r="F9" s="32">
        <f>2+12</f>
        <v>14</v>
      </c>
      <c r="G9" s="60">
        <f>12000+72000</f>
        <v>84000</v>
      </c>
      <c r="H9" s="37">
        <f t="shared" si="0"/>
        <v>80</v>
      </c>
      <c r="I9" s="65">
        <f t="shared" si="0"/>
        <v>797212.89</v>
      </c>
    </row>
    <row r="10" spans="1:9" x14ac:dyDescent="0.25">
      <c r="A10" s="44" t="s">
        <v>19</v>
      </c>
      <c r="B10" s="32">
        <v>1413</v>
      </c>
      <c r="C10" s="60">
        <v>11172621.32</v>
      </c>
      <c r="D10" s="32">
        <v>34</v>
      </c>
      <c r="E10" s="60">
        <v>278309.3</v>
      </c>
      <c r="F10" s="32">
        <v>1549</v>
      </c>
      <c r="G10" s="60">
        <v>9294000</v>
      </c>
      <c r="H10" s="37">
        <f t="shared" si="0"/>
        <v>2996</v>
      </c>
      <c r="I10" s="37">
        <f t="shared" si="0"/>
        <v>20744930.620000001</v>
      </c>
    </row>
    <row r="11" spans="1:9" x14ac:dyDescent="0.25">
      <c r="A11" s="27" t="s">
        <v>20</v>
      </c>
      <c r="B11" s="39">
        <f t="shared" ref="B11:I11" si="1">SUM(B8:B10)</f>
        <v>1476</v>
      </c>
      <c r="C11" s="39">
        <f t="shared" si="1"/>
        <v>11660961.52</v>
      </c>
      <c r="D11" s="39">
        <f t="shared" si="1"/>
        <v>37</v>
      </c>
      <c r="E11" s="39">
        <f t="shared" si="1"/>
        <v>503181.99</v>
      </c>
      <c r="F11" s="39">
        <f>SUM(F8:F10)</f>
        <v>1563</v>
      </c>
      <c r="G11" s="39">
        <f t="shared" ref="G11" si="2">SUM(G8:G10)</f>
        <v>9378000</v>
      </c>
      <c r="H11" s="39">
        <f>SUM(H8:H10)</f>
        <v>3076</v>
      </c>
      <c r="I11" s="39">
        <f t="shared" si="1"/>
        <v>21542143.510000002</v>
      </c>
    </row>
    <row r="12" spans="1:9" hidden="1" x14ac:dyDescent="0.25">
      <c r="A12" s="44" t="s">
        <v>17</v>
      </c>
      <c r="B12" s="32"/>
      <c r="C12" s="60"/>
      <c r="D12" s="32"/>
      <c r="E12" s="60"/>
      <c r="F12" s="32"/>
      <c r="G12" s="60"/>
      <c r="H12" s="37">
        <f t="shared" ref="H12:I14" si="3">+B12+D12+F12</f>
        <v>0</v>
      </c>
      <c r="I12" s="65">
        <f t="shared" si="3"/>
        <v>0</v>
      </c>
    </row>
    <row r="13" spans="1:9" hidden="1" x14ac:dyDescent="0.25">
      <c r="A13" s="44" t="s">
        <v>18</v>
      </c>
      <c r="B13" s="32"/>
      <c r="C13" s="60"/>
      <c r="D13" s="32"/>
      <c r="E13" s="60"/>
      <c r="F13" s="32"/>
      <c r="G13" s="60"/>
      <c r="H13" s="37">
        <f t="shared" si="3"/>
        <v>0</v>
      </c>
      <c r="I13" s="65">
        <f t="shared" si="3"/>
        <v>0</v>
      </c>
    </row>
    <row r="14" spans="1:9" hidden="1" x14ac:dyDescent="0.25">
      <c r="A14" s="44" t="s">
        <v>19</v>
      </c>
      <c r="B14" s="32"/>
      <c r="C14" s="60"/>
      <c r="D14" s="32"/>
      <c r="E14" s="60"/>
      <c r="F14" s="32"/>
      <c r="G14" s="60"/>
      <c r="H14" s="37">
        <f t="shared" si="3"/>
        <v>0</v>
      </c>
      <c r="I14" s="65">
        <f t="shared" si="3"/>
        <v>0</v>
      </c>
    </row>
    <row r="15" spans="1:9" hidden="1" x14ac:dyDescent="0.25">
      <c r="A15" s="27" t="s">
        <v>20</v>
      </c>
      <c r="B15" s="39">
        <f t="shared" ref="B15:I15" si="4">SUM(B12:B14)</f>
        <v>0</v>
      </c>
      <c r="C15" s="39">
        <f t="shared" si="4"/>
        <v>0</v>
      </c>
      <c r="D15" s="39">
        <f t="shared" si="4"/>
        <v>0</v>
      </c>
      <c r="E15" s="39">
        <f t="shared" si="4"/>
        <v>0</v>
      </c>
      <c r="F15" s="39">
        <f t="shared" ref="F15:G15" si="5">SUM(F12:F14)</f>
        <v>0</v>
      </c>
      <c r="G15" s="39">
        <f t="shared" si="5"/>
        <v>0</v>
      </c>
      <c r="H15" s="39">
        <f t="shared" si="4"/>
        <v>0</v>
      </c>
      <c r="I15" s="39">
        <f t="shared" si="4"/>
        <v>0</v>
      </c>
    </row>
    <row r="16" spans="1:9" hidden="1" x14ac:dyDescent="0.25">
      <c r="A16" s="44" t="s">
        <v>44</v>
      </c>
      <c r="B16" s="32"/>
      <c r="C16" s="60"/>
      <c r="D16" s="32"/>
      <c r="E16" s="60"/>
      <c r="F16" s="32"/>
      <c r="G16" s="60"/>
      <c r="H16" s="37">
        <f t="shared" ref="H16:I18" si="6">+B16+D16+F16</f>
        <v>0</v>
      </c>
      <c r="I16" s="65">
        <f t="shared" si="6"/>
        <v>0</v>
      </c>
    </row>
    <row r="17" spans="1:16" hidden="1" x14ac:dyDescent="0.25">
      <c r="A17" s="44" t="s">
        <v>22</v>
      </c>
      <c r="B17" s="32"/>
      <c r="C17" s="60"/>
      <c r="D17" s="32"/>
      <c r="E17" s="60"/>
      <c r="F17" s="32"/>
      <c r="G17" s="60"/>
      <c r="H17" s="37">
        <f t="shared" si="6"/>
        <v>0</v>
      </c>
      <c r="I17" s="65">
        <f t="shared" si="6"/>
        <v>0</v>
      </c>
    </row>
    <row r="18" spans="1:16" hidden="1" x14ac:dyDescent="0.25">
      <c r="A18" s="44" t="s">
        <v>23</v>
      </c>
      <c r="B18" s="32"/>
      <c r="C18" s="60"/>
      <c r="D18" s="32"/>
      <c r="E18" s="60"/>
      <c r="F18" s="32"/>
      <c r="G18" s="60"/>
      <c r="H18" s="37">
        <f t="shared" si="6"/>
        <v>0</v>
      </c>
      <c r="I18" s="65">
        <f t="shared" si="6"/>
        <v>0</v>
      </c>
    </row>
    <row r="19" spans="1:16" hidden="1" x14ac:dyDescent="0.25">
      <c r="A19" s="27" t="s">
        <v>24</v>
      </c>
      <c r="B19" s="39">
        <f t="shared" ref="B19:E19" si="7">SUM(B16:B18)</f>
        <v>0</v>
      </c>
      <c r="C19" s="39">
        <f t="shared" si="7"/>
        <v>0</v>
      </c>
      <c r="D19" s="39">
        <f t="shared" si="7"/>
        <v>0</v>
      </c>
      <c r="E19" s="39">
        <f t="shared" si="7"/>
        <v>0</v>
      </c>
      <c r="F19" s="39">
        <f t="shared" ref="F19:G19" si="8">SUM(F16:F18)</f>
        <v>0</v>
      </c>
      <c r="G19" s="39">
        <f t="shared" si="8"/>
        <v>0</v>
      </c>
      <c r="H19" s="39">
        <f>SUM(H16:H18)</f>
        <v>0</v>
      </c>
      <c r="I19" s="39">
        <f>SUM(I16:I18)</f>
        <v>0</v>
      </c>
    </row>
    <row r="20" spans="1:16" hidden="1" x14ac:dyDescent="0.25">
      <c r="A20" s="31" t="s">
        <v>25</v>
      </c>
      <c r="B20" s="32"/>
      <c r="C20" s="60"/>
      <c r="D20" s="32"/>
      <c r="E20" s="60"/>
      <c r="F20" s="32"/>
      <c r="G20" s="60"/>
      <c r="H20" s="37">
        <f t="shared" ref="H20:I22" si="9">+B20+D20+F20</f>
        <v>0</v>
      </c>
      <c r="I20" s="65">
        <f t="shared" si="9"/>
        <v>0</v>
      </c>
    </row>
    <row r="21" spans="1:16" hidden="1" x14ac:dyDescent="0.25">
      <c r="A21" s="31" t="s">
        <v>26</v>
      </c>
      <c r="B21" s="32"/>
      <c r="C21" s="60"/>
      <c r="D21" s="32"/>
      <c r="E21" s="60"/>
      <c r="F21" s="32"/>
      <c r="G21" s="60"/>
      <c r="H21" s="37">
        <f t="shared" si="9"/>
        <v>0</v>
      </c>
      <c r="I21" s="65">
        <f t="shared" si="9"/>
        <v>0</v>
      </c>
    </row>
    <row r="22" spans="1:16" hidden="1" x14ac:dyDescent="0.25">
      <c r="A22" s="31" t="s">
        <v>27</v>
      </c>
      <c r="B22" s="32"/>
      <c r="C22" s="60"/>
      <c r="D22" s="32"/>
      <c r="E22" s="60"/>
      <c r="F22" s="32"/>
      <c r="G22" s="60"/>
      <c r="H22" s="37">
        <f t="shared" si="9"/>
        <v>0</v>
      </c>
      <c r="I22" s="65">
        <f t="shared" si="9"/>
        <v>0</v>
      </c>
    </row>
    <row r="23" spans="1:16" hidden="1" x14ac:dyDescent="0.25">
      <c r="A23" s="12" t="s">
        <v>28</v>
      </c>
      <c r="B23" s="39">
        <f t="shared" ref="B23:I23" si="10">SUM(B20:B22)</f>
        <v>0</v>
      </c>
      <c r="C23" s="39">
        <f t="shared" si="10"/>
        <v>0</v>
      </c>
      <c r="D23" s="39">
        <f t="shared" si="10"/>
        <v>0</v>
      </c>
      <c r="E23" s="39">
        <f t="shared" si="10"/>
        <v>0</v>
      </c>
      <c r="F23" s="39">
        <f t="shared" ref="F23:G23" si="11">SUM(F20:F22)</f>
        <v>0</v>
      </c>
      <c r="G23" s="39">
        <f t="shared" si="11"/>
        <v>0</v>
      </c>
      <c r="H23" s="39">
        <f t="shared" si="10"/>
        <v>0</v>
      </c>
      <c r="I23" s="39">
        <f t="shared" si="10"/>
        <v>0</v>
      </c>
    </row>
    <row r="24" spans="1:16" hidden="1" x14ac:dyDescent="0.25">
      <c r="A24" s="61" t="s">
        <v>29</v>
      </c>
      <c r="B24" s="41">
        <f>+B11+B15+B19+B23</f>
        <v>1476</v>
      </c>
      <c r="C24" s="41">
        <f>+C11+C15+C19+C23</f>
        <v>11660961.52</v>
      </c>
      <c r="D24" s="41">
        <f t="shared" ref="D24:I24" si="12">+D11+D15+D19+D23</f>
        <v>37</v>
      </c>
      <c r="E24" s="41">
        <f t="shared" si="12"/>
        <v>503181.99</v>
      </c>
      <c r="F24" s="41">
        <f t="shared" si="12"/>
        <v>1563</v>
      </c>
      <c r="G24" s="41">
        <f t="shared" si="12"/>
        <v>9378000</v>
      </c>
      <c r="H24" s="41">
        <f>+H11+H15+H19+H23</f>
        <v>3076</v>
      </c>
      <c r="I24" s="41">
        <f t="shared" si="12"/>
        <v>21542143.510000002</v>
      </c>
    </row>
    <row r="25" spans="1:16" hidden="1" x14ac:dyDescent="0.25">
      <c r="A25" s="62" t="s">
        <v>217</v>
      </c>
    </row>
    <row r="26" spans="1:16" x14ac:dyDescent="0.25">
      <c r="A26" s="15" t="s">
        <v>218</v>
      </c>
      <c r="E26" s="36"/>
      <c r="G26" s="36"/>
    </row>
    <row r="32" spans="1:16" x14ac:dyDescent="0.25">
      <c r="M32" s="51">
        <v>32154</v>
      </c>
      <c r="N32" s="63" t="e">
        <f t="shared" ref="N32:N39" si="13">M32/$B$29*100</f>
        <v>#DIV/0!</v>
      </c>
      <c r="O32" s="52">
        <v>386810064.19999999</v>
      </c>
      <c r="P32" s="64" t="e">
        <f>O32/O40*100</f>
        <v>#DIV/0!</v>
      </c>
    </row>
    <row r="33" spans="13:16" x14ac:dyDescent="0.25">
      <c r="M33" s="51">
        <v>56199</v>
      </c>
      <c r="N33" s="63" t="e">
        <f t="shared" si="13"/>
        <v>#DIV/0!</v>
      </c>
      <c r="O33" s="52">
        <v>471111842.94</v>
      </c>
      <c r="P33" s="64" t="e">
        <f>O33/O40*100</f>
        <v>#DIV/0!</v>
      </c>
    </row>
    <row r="34" spans="13:16" x14ac:dyDescent="0.25">
      <c r="M34" s="51">
        <v>297</v>
      </c>
      <c r="N34" s="63" t="e">
        <f t="shared" si="13"/>
        <v>#DIV/0!</v>
      </c>
      <c r="O34" s="52">
        <v>5010228</v>
      </c>
      <c r="P34" s="64" t="e">
        <f>O34/O40*100</f>
        <v>#DIV/0!</v>
      </c>
    </row>
    <row r="35" spans="13:16" x14ac:dyDescent="0.25">
      <c r="M35" s="51">
        <v>163</v>
      </c>
      <c r="N35" s="63" t="e">
        <f t="shared" si="13"/>
        <v>#DIV/0!</v>
      </c>
      <c r="O35" s="52">
        <v>4392328.91</v>
      </c>
      <c r="P35" s="64" t="e">
        <f>O35/O40*100</f>
        <v>#DIV/0!</v>
      </c>
    </row>
    <row r="36" spans="13:16" x14ac:dyDescent="0.25">
      <c r="M36" s="51">
        <v>366</v>
      </c>
      <c r="N36" s="63" t="e">
        <f t="shared" si="13"/>
        <v>#DIV/0!</v>
      </c>
      <c r="O36" s="52">
        <v>9034522.6500000004</v>
      </c>
      <c r="P36" s="64" t="e">
        <f>O36/O40*100</f>
        <v>#DIV/0!</v>
      </c>
    </row>
    <row r="37" spans="13:16" x14ac:dyDescent="0.25">
      <c r="M37" s="51">
        <v>17249</v>
      </c>
      <c r="N37" s="63" t="e">
        <f t="shared" si="13"/>
        <v>#DIV/0!</v>
      </c>
      <c r="O37" s="52">
        <v>405400068.69</v>
      </c>
      <c r="P37" s="64" t="e">
        <f>O37/O40*100</f>
        <v>#DIV/0!</v>
      </c>
    </row>
    <row r="38" spans="13:16" x14ac:dyDescent="0.25">
      <c r="M38" s="51">
        <v>18745</v>
      </c>
      <c r="N38" s="63" t="e">
        <f t="shared" si="13"/>
        <v>#DIV/0!</v>
      </c>
      <c r="O38" s="52">
        <v>369724631.60000002</v>
      </c>
      <c r="P38" s="64" t="e">
        <f>O38/O40*100</f>
        <v>#DIV/0!</v>
      </c>
    </row>
    <row r="39" spans="13:16" x14ac:dyDescent="0.25">
      <c r="M39" s="51">
        <v>15130</v>
      </c>
      <c r="N39" s="63" t="e">
        <f t="shared" si="13"/>
        <v>#DIV/0!</v>
      </c>
      <c r="O39" s="52">
        <v>151015428.50999999</v>
      </c>
      <c r="P39" s="64" t="e">
        <f>O39/O40*100</f>
        <v>#DIV/0!</v>
      </c>
    </row>
  </sheetData>
  <mergeCells count="9">
    <mergeCell ref="B6:C6"/>
    <mergeCell ref="D6:E6"/>
    <mergeCell ref="F6:G6"/>
    <mergeCell ref="H6:I6"/>
    <mergeCell ref="A1:I1"/>
    <mergeCell ref="A2:I2"/>
    <mergeCell ref="A3:I3"/>
    <mergeCell ref="A4:I4"/>
    <mergeCell ref="A5:I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sheetPr>
  <dimension ref="A1:P39"/>
  <sheetViews>
    <sheetView showGridLines="0" workbookViewId="0">
      <selection activeCell="B27" sqref="B27"/>
    </sheetView>
  </sheetViews>
  <sheetFormatPr baseColWidth="10" defaultColWidth="11.42578125" defaultRowHeight="15" x14ac:dyDescent="0.25"/>
  <cols>
    <col min="1" max="1" width="11.42578125" style="1"/>
    <col min="2" max="2" width="11" style="1" customWidth="1"/>
    <col min="3" max="3" width="14.140625" style="1" customWidth="1"/>
    <col min="4" max="4" width="12.42578125" style="1" customWidth="1"/>
    <col min="5" max="5" width="17.7109375" style="1" bestFit="1" customWidth="1"/>
    <col min="6" max="6" width="12.42578125" style="1" customWidth="1"/>
    <col min="7" max="7" width="16.140625" style="1" bestFit="1" customWidth="1"/>
    <col min="8" max="8" width="10.7109375" style="1" customWidth="1"/>
    <col min="9" max="9" width="15.28515625" style="1" bestFit="1" customWidth="1"/>
    <col min="10" max="10" width="11.42578125" style="1" customWidth="1"/>
    <col min="11" max="12" width="11.42578125" style="1"/>
    <col min="13" max="14" width="11.7109375" style="1" bestFit="1" customWidth="1"/>
    <col min="15" max="15" width="16" style="1" bestFit="1" customWidth="1"/>
    <col min="16" max="16" width="11.7109375" style="1" bestFit="1" customWidth="1"/>
    <col min="17" max="16384" width="11.42578125" style="1"/>
  </cols>
  <sheetData>
    <row r="1" spans="1:9" x14ac:dyDescent="0.25">
      <c r="A1" s="348" t="s">
        <v>211</v>
      </c>
      <c r="B1" s="348"/>
      <c r="C1" s="348"/>
      <c r="D1" s="348"/>
      <c r="E1" s="348"/>
      <c r="F1" s="348"/>
      <c r="G1" s="348"/>
      <c r="H1" s="348"/>
      <c r="I1" s="348"/>
    </row>
    <row r="2" spans="1:9" x14ac:dyDescent="0.25">
      <c r="A2" s="348" t="s">
        <v>82</v>
      </c>
      <c r="B2" s="348"/>
      <c r="C2" s="348"/>
      <c r="D2" s="348"/>
      <c r="E2" s="348"/>
      <c r="F2" s="348"/>
      <c r="G2" s="348"/>
      <c r="H2" s="348"/>
      <c r="I2" s="348"/>
    </row>
    <row r="3" spans="1:9" x14ac:dyDescent="0.25">
      <c r="A3" s="348" t="s">
        <v>219</v>
      </c>
      <c r="B3" s="348"/>
      <c r="C3" s="348"/>
      <c r="D3" s="348"/>
      <c r="E3" s="348"/>
      <c r="F3" s="348"/>
      <c r="G3" s="348"/>
      <c r="H3" s="348"/>
      <c r="I3" s="348"/>
    </row>
    <row r="4" spans="1:9" x14ac:dyDescent="0.25">
      <c r="A4" s="348" t="s">
        <v>204</v>
      </c>
      <c r="B4" s="348"/>
      <c r="C4" s="348"/>
      <c r="D4" s="348"/>
      <c r="E4" s="348"/>
      <c r="F4" s="348"/>
      <c r="G4" s="348"/>
      <c r="H4" s="348"/>
      <c r="I4" s="348"/>
    </row>
    <row r="5" spans="1:9" x14ac:dyDescent="0.25">
      <c r="A5" s="348" t="s">
        <v>214</v>
      </c>
      <c r="B5" s="348"/>
      <c r="C5" s="348"/>
      <c r="D5" s="348"/>
      <c r="E5" s="348"/>
      <c r="F5" s="348"/>
      <c r="G5" s="348"/>
      <c r="H5" s="348"/>
      <c r="I5" s="348"/>
    </row>
    <row r="6" spans="1:9" x14ac:dyDescent="0.25">
      <c r="A6" s="86"/>
      <c r="B6" s="379" t="s">
        <v>215</v>
      </c>
      <c r="C6" s="379"/>
      <c r="D6" s="378" t="s">
        <v>95</v>
      </c>
      <c r="E6" s="378"/>
      <c r="F6" s="380" t="s">
        <v>194</v>
      </c>
      <c r="G6" s="380"/>
      <c r="H6" s="377" t="s">
        <v>96</v>
      </c>
      <c r="I6" s="377"/>
    </row>
    <row r="7" spans="1:9" ht="34.5" customHeight="1" x14ac:dyDescent="0.25">
      <c r="A7" s="87" t="s">
        <v>5</v>
      </c>
      <c r="B7" s="45" t="s">
        <v>220</v>
      </c>
      <c r="C7" s="45" t="s">
        <v>9</v>
      </c>
      <c r="D7" s="45" t="s">
        <v>220</v>
      </c>
      <c r="E7" s="45" t="s">
        <v>9</v>
      </c>
      <c r="F7" s="45" t="s">
        <v>220</v>
      </c>
      <c r="G7" s="45" t="s">
        <v>9</v>
      </c>
      <c r="H7" s="45" t="s">
        <v>220</v>
      </c>
      <c r="I7" s="45" t="s">
        <v>9</v>
      </c>
    </row>
    <row r="8" spans="1:9" x14ac:dyDescent="0.25">
      <c r="A8" s="44" t="s">
        <v>17</v>
      </c>
      <c r="B8" s="32">
        <v>0</v>
      </c>
      <c r="C8" s="60">
        <v>0</v>
      </c>
      <c r="D8" s="32">
        <v>0</v>
      </c>
      <c r="E8" s="60">
        <v>0</v>
      </c>
      <c r="F8" s="32">
        <v>0</v>
      </c>
      <c r="G8" s="60">
        <v>0</v>
      </c>
      <c r="H8" s="37">
        <f t="shared" ref="H8:I10" si="0">+B8+D8+F8</f>
        <v>0</v>
      </c>
      <c r="I8" s="65">
        <f t="shared" si="0"/>
        <v>0</v>
      </c>
    </row>
    <row r="9" spans="1:9" x14ac:dyDescent="0.25">
      <c r="A9" s="44" t="s">
        <v>18</v>
      </c>
      <c r="B9" s="32">
        <v>36</v>
      </c>
      <c r="C9" s="60">
        <v>386001.61</v>
      </c>
      <c r="D9" s="32">
        <v>2</v>
      </c>
      <c r="E9" s="60">
        <v>16030.61</v>
      </c>
      <c r="F9" s="32">
        <v>2</v>
      </c>
      <c r="G9" s="60">
        <v>12000</v>
      </c>
      <c r="H9" s="37">
        <f t="shared" si="0"/>
        <v>40</v>
      </c>
      <c r="I9" s="65">
        <f t="shared" si="0"/>
        <v>414032.22</v>
      </c>
    </row>
    <row r="10" spans="1:9" x14ac:dyDescent="0.25">
      <c r="A10" s="44" t="s">
        <v>19</v>
      </c>
      <c r="B10" s="32">
        <v>131</v>
      </c>
      <c r="C10" s="60">
        <v>1444844.33</v>
      </c>
      <c r="D10" s="32">
        <v>5</v>
      </c>
      <c r="E10" s="60">
        <v>110598.45</v>
      </c>
      <c r="F10" s="32">
        <v>6</v>
      </c>
      <c r="G10" s="60">
        <v>36000</v>
      </c>
      <c r="H10" s="37">
        <f t="shared" si="0"/>
        <v>142</v>
      </c>
      <c r="I10" s="37">
        <f t="shared" si="0"/>
        <v>1591442.78</v>
      </c>
    </row>
    <row r="11" spans="1:9" x14ac:dyDescent="0.25">
      <c r="A11" s="27" t="s">
        <v>20</v>
      </c>
      <c r="B11" s="39">
        <f t="shared" ref="B11:I11" si="1">SUM(B8:B10)</f>
        <v>167</v>
      </c>
      <c r="C11" s="39">
        <f t="shared" si="1"/>
        <v>1830845.94</v>
      </c>
      <c r="D11" s="39">
        <f t="shared" si="1"/>
        <v>7</v>
      </c>
      <c r="E11" s="39">
        <f t="shared" si="1"/>
        <v>126629.06</v>
      </c>
      <c r="F11" s="39">
        <f>SUM(F8:F10)</f>
        <v>8</v>
      </c>
      <c r="G11" s="39">
        <f t="shared" ref="G11" si="2">SUM(G8:G10)</f>
        <v>48000</v>
      </c>
      <c r="H11" s="39">
        <f t="shared" si="1"/>
        <v>182</v>
      </c>
      <c r="I11" s="39">
        <f t="shared" si="1"/>
        <v>2005475</v>
      </c>
    </row>
    <row r="12" spans="1:9" hidden="1" x14ac:dyDescent="0.25">
      <c r="A12" s="44" t="s">
        <v>17</v>
      </c>
      <c r="B12" s="32">
        <v>52</v>
      </c>
      <c r="C12" s="60">
        <v>621254.41</v>
      </c>
      <c r="D12" s="32">
        <v>2</v>
      </c>
      <c r="E12" s="60">
        <v>15128.119999999999</v>
      </c>
      <c r="F12" s="32"/>
      <c r="G12" s="60"/>
      <c r="H12" s="37">
        <f t="shared" ref="H12:I14" si="3">+B12+D12+F12</f>
        <v>54</v>
      </c>
      <c r="I12" s="65">
        <f t="shared" si="3"/>
        <v>636382.53</v>
      </c>
    </row>
    <row r="13" spans="1:9" hidden="1" x14ac:dyDescent="0.25">
      <c r="A13" s="44" t="s">
        <v>18</v>
      </c>
      <c r="B13" s="32"/>
      <c r="C13" s="60"/>
      <c r="D13" s="32"/>
      <c r="E13" s="60"/>
      <c r="F13" s="32"/>
      <c r="G13" s="60"/>
      <c r="H13" s="37">
        <f t="shared" si="3"/>
        <v>0</v>
      </c>
      <c r="I13" s="65">
        <f t="shared" si="3"/>
        <v>0</v>
      </c>
    </row>
    <row r="14" spans="1:9" hidden="1" x14ac:dyDescent="0.25">
      <c r="A14" s="44" t="s">
        <v>19</v>
      </c>
      <c r="B14" s="32"/>
      <c r="C14" s="60"/>
      <c r="D14" s="32"/>
      <c r="E14" s="60"/>
      <c r="F14" s="32"/>
      <c r="G14" s="60"/>
      <c r="H14" s="37">
        <f t="shared" si="3"/>
        <v>0</v>
      </c>
      <c r="I14" s="65">
        <f t="shared" si="3"/>
        <v>0</v>
      </c>
    </row>
    <row r="15" spans="1:9" hidden="1" x14ac:dyDescent="0.25">
      <c r="A15" s="27" t="s">
        <v>20</v>
      </c>
      <c r="B15" s="39">
        <f t="shared" ref="B15:I15" si="4">SUM(B12:B14)</f>
        <v>52</v>
      </c>
      <c r="C15" s="39">
        <f t="shared" si="4"/>
        <v>621254.41</v>
      </c>
      <c r="D15" s="39">
        <f t="shared" si="4"/>
        <v>2</v>
      </c>
      <c r="E15" s="39">
        <f t="shared" si="4"/>
        <v>15128.119999999999</v>
      </c>
      <c r="F15" s="39">
        <f t="shared" ref="F15:G15" si="5">SUM(F12:F14)</f>
        <v>0</v>
      </c>
      <c r="G15" s="39">
        <f t="shared" si="5"/>
        <v>0</v>
      </c>
      <c r="H15" s="39">
        <f t="shared" si="4"/>
        <v>54</v>
      </c>
      <c r="I15" s="39">
        <f t="shared" si="4"/>
        <v>636382.53</v>
      </c>
    </row>
    <row r="16" spans="1:9" hidden="1" x14ac:dyDescent="0.25">
      <c r="A16" s="44" t="s">
        <v>44</v>
      </c>
      <c r="B16" s="32"/>
      <c r="C16" s="60"/>
      <c r="D16" s="32"/>
      <c r="E16" s="60"/>
      <c r="F16" s="32"/>
      <c r="G16" s="60"/>
      <c r="H16" s="37">
        <f t="shared" ref="H16:I18" si="6">+B16+D16+F16</f>
        <v>0</v>
      </c>
      <c r="I16" s="65">
        <f t="shared" si="6"/>
        <v>0</v>
      </c>
    </row>
    <row r="17" spans="1:16" hidden="1" x14ac:dyDescent="0.25">
      <c r="A17" s="44" t="s">
        <v>22</v>
      </c>
      <c r="B17" s="32"/>
      <c r="C17" s="60"/>
      <c r="D17" s="32"/>
      <c r="E17" s="60"/>
      <c r="F17" s="32"/>
      <c r="G17" s="60"/>
      <c r="H17" s="37">
        <f t="shared" si="6"/>
        <v>0</v>
      </c>
      <c r="I17" s="65">
        <f t="shared" si="6"/>
        <v>0</v>
      </c>
    </row>
    <row r="18" spans="1:16" hidden="1" x14ac:dyDescent="0.25">
      <c r="A18" s="44" t="s">
        <v>23</v>
      </c>
      <c r="B18" s="32"/>
      <c r="C18" s="60"/>
      <c r="D18" s="32"/>
      <c r="E18" s="60"/>
      <c r="F18" s="32"/>
      <c r="G18" s="60"/>
      <c r="H18" s="37">
        <f t="shared" si="6"/>
        <v>0</v>
      </c>
      <c r="I18" s="65">
        <f t="shared" si="6"/>
        <v>0</v>
      </c>
    </row>
    <row r="19" spans="1:16" hidden="1" x14ac:dyDescent="0.25">
      <c r="A19" s="27" t="s">
        <v>24</v>
      </c>
      <c r="B19" s="39">
        <f t="shared" ref="B19:E19" si="7">SUM(B16:B18)</f>
        <v>0</v>
      </c>
      <c r="C19" s="39">
        <f t="shared" si="7"/>
        <v>0</v>
      </c>
      <c r="D19" s="39">
        <f t="shared" si="7"/>
        <v>0</v>
      </c>
      <c r="E19" s="39">
        <f t="shared" si="7"/>
        <v>0</v>
      </c>
      <c r="F19" s="39">
        <f t="shared" ref="F19:G19" si="8">SUM(F16:F18)</f>
        <v>0</v>
      </c>
      <c r="G19" s="39">
        <f t="shared" si="8"/>
        <v>0</v>
      </c>
      <c r="H19" s="39">
        <f>SUM(H16:H18)</f>
        <v>0</v>
      </c>
      <c r="I19" s="39">
        <f>SUM(I16:I18)</f>
        <v>0</v>
      </c>
    </row>
    <row r="20" spans="1:16" hidden="1" x14ac:dyDescent="0.25">
      <c r="A20" s="31" t="s">
        <v>25</v>
      </c>
      <c r="B20" s="32"/>
      <c r="C20" s="60"/>
      <c r="D20" s="32"/>
      <c r="E20" s="60"/>
      <c r="F20" s="32"/>
      <c r="G20" s="60"/>
      <c r="H20" s="37">
        <f t="shared" ref="H20:I22" si="9">+B20+D20+F20</f>
        <v>0</v>
      </c>
      <c r="I20" s="65">
        <f t="shared" si="9"/>
        <v>0</v>
      </c>
    </row>
    <row r="21" spans="1:16" hidden="1" x14ac:dyDescent="0.25">
      <c r="A21" s="31" t="s">
        <v>26</v>
      </c>
      <c r="B21" s="32"/>
      <c r="C21" s="60"/>
      <c r="D21" s="32"/>
      <c r="E21" s="60"/>
      <c r="F21" s="32"/>
      <c r="G21" s="60"/>
      <c r="H21" s="37">
        <f t="shared" si="9"/>
        <v>0</v>
      </c>
      <c r="I21" s="65">
        <f t="shared" si="9"/>
        <v>0</v>
      </c>
    </row>
    <row r="22" spans="1:16" hidden="1" x14ac:dyDescent="0.25">
      <c r="A22" s="31" t="s">
        <v>27</v>
      </c>
      <c r="B22" s="32"/>
      <c r="C22" s="60"/>
      <c r="D22" s="32"/>
      <c r="E22" s="60"/>
      <c r="F22" s="32"/>
      <c r="G22" s="60"/>
      <c r="H22" s="37">
        <f t="shared" si="9"/>
        <v>0</v>
      </c>
      <c r="I22" s="65">
        <f t="shared" si="9"/>
        <v>0</v>
      </c>
    </row>
    <row r="23" spans="1:16" hidden="1" x14ac:dyDescent="0.25">
      <c r="A23" s="12" t="s">
        <v>28</v>
      </c>
      <c r="B23" s="39">
        <f t="shared" ref="B23:I23" si="10">SUM(B20:B22)</f>
        <v>0</v>
      </c>
      <c r="C23" s="39">
        <f t="shared" si="10"/>
        <v>0</v>
      </c>
      <c r="D23" s="39">
        <f t="shared" si="10"/>
        <v>0</v>
      </c>
      <c r="E23" s="39">
        <f t="shared" si="10"/>
        <v>0</v>
      </c>
      <c r="F23" s="39">
        <f t="shared" ref="F23:G23" si="11">SUM(F20:F22)</f>
        <v>0</v>
      </c>
      <c r="G23" s="39">
        <f t="shared" si="11"/>
        <v>0</v>
      </c>
      <c r="H23" s="39">
        <f t="shared" si="10"/>
        <v>0</v>
      </c>
      <c r="I23" s="39">
        <f t="shared" si="10"/>
        <v>0</v>
      </c>
    </row>
    <row r="24" spans="1:16" hidden="1" x14ac:dyDescent="0.25">
      <c r="A24" s="61" t="s">
        <v>29</v>
      </c>
      <c r="B24" s="41">
        <f>+B11+B15+B19+B23</f>
        <v>219</v>
      </c>
      <c r="C24" s="41">
        <f>+C11+C15+C19+C23</f>
        <v>2452100.35</v>
      </c>
      <c r="D24" s="41">
        <f t="shared" ref="D24:I24" si="12">+D11+D15+D19+D23</f>
        <v>9</v>
      </c>
      <c r="E24" s="41">
        <f t="shared" si="12"/>
        <v>141757.18</v>
      </c>
      <c r="F24" s="41">
        <f t="shared" si="12"/>
        <v>8</v>
      </c>
      <c r="G24" s="41">
        <f t="shared" si="12"/>
        <v>48000</v>
      </c>
      <c r="H24" s="41">
        <f>+H11+H15+H19+H23</f>
        <v>236</v>
      </c>
      <c r="I24" s="41">
        <f t="shared" si="12"/>
        <v>2641857.5300000003</v>
      </c>
    </row>
    <row r="25" spans="1:16" x14ac:dyDescent="0.25">
      <c r="A25" s="15" t="s">
        <v>218</v>
      </c>
    </row>
    <row r="26" spans="1:16" x14ac:dyDescent="0.25">
      <c r="E26" s="36"/>
      <c r="G26" s="36"/>
    </row>
    <row r="32" spans="1:16" x14ac:dyDescent="0.25">
      <c r="M32" s="51">
        <v>32154</v>
      </c>
      <c r="N32" s="63" t="e">
        <f t="shared" ref="N32:N39" si="13">M32/$B$29*100</f>
        <v>#DIV/0!</v>
      </c>
      <c r="O32" s="52">
        <v>386810064.19999999</v>
      </c>
      <c r="P32" s="64" t="e">
        <f>O32/O40*100</f>
        <v>#DIV/0!</v>
      </c>
    </row>
    <row r="33" spans="13:16" x14ac:dyDescent="0.25">
      <c r="M33" s="51">
        <v>56199</v>
      </c>
      <c r="N33" s="63" t="e">
        <f t="shared" si="13"/>
        <v>#DIV/0!</v>
      </c>
      <c r="O33" s="52">
        <v>471111842.94</v>
      </c>
      <c r="P33" s="64" t="e">
        <f>O33/O40*100</f>
        <v>#DIV/0!</v>
      </c>
    </row>
    <row r="34" spans="13:16" x14ac:dyDescent="0.25">
      <c r="M34" s="51">
        <v>297</v>
      </c>
      <c r="N34" s="63" t="e">
        <f t="shared" si="13"/>
        <v>#DIV/0!</v>
      </c>
      <c r="O34" s="52">
        <v>5010228</v>
      </c>
      <c r="P34" s="64" t="e">
        <f>O34/O40*100</f>
        <v>#DIV/0!</v>
      </c>
    </row>
    <row r="35" spans="13:16" x14ac:dyDescent="0.25">
      <c r="M35" s="51">
        <v>163</v>
      </c>
      <c r="N35" s="63" t="e">
        <f t="shared" si="13"/>
        <v>#DIV/0!</v>
      </c>
      <c r="O35" s="52">
        <v>4392328.91</v>
      </c>
      <c r="P35" s="64" t="e">
        <f>O35/O40*100</f>
        <v>#DIV/0!</v>
      </c>
    </row>
    <row r="36" spans="13:16" x14ac:dyDescent="0.25">
      <c r="M36" s="51">
        <v>366</v>
      </c>
      <c r="N36" s="63" t="e">
        <f t="shared" si="13"/>
        <v>#DIV/0!</v>
      </c>
      <c r="O36" s="52">
        <v>9034522.6500000004</v>
      </c>
      <c r="P36" s="64" t="e">
        <f>O36/O40*100</f>
        <v>#DIV/0!</v>
      </c>
    </row>
    <row r="37" spans="13:16" x14ac:dyDescent="0.25">
      <c r="M37" s="51">
        <v>17249</v>
      </c>
      <c r="N37" s="63" t="e">
        <f t="shared" si="13"/>
        <v>#DIV/0!</v>
      </c>
      <c r="O37" s="52">
        <v>405400068.69</v>
      </c>
      <c r="P37" s="64" t="e">
        <f>O37/O40*100</f>
        <v>#DIV/0!</v>
      </c>
    </row>
    <row r="38" spans="13:16" x14ac:dyDescent="0.25">
      <c r="M38" s="51">
        <v>18745</v>
      </c>
      <c r="N38" s="63" t="e">
        <f t="shared" si="13"/>
        <v>#DIV/0!</v>
      </c>
      <c r="O38" s="52">
        <v>369724631.60000002</v>
      </c>
      <c r="P38" s="64" t="e">
        <f>O38/O40*100</f>
        <v>#DIV/0!</v>
      </c>
    </row>
    <row r="39" spans="13:16" x14ac:dyDescent="0.25">
      <c r="M39" s="51">
        <v>15130</v>
      </c>
      <c r="N39" s="63" t="e">
        <f t="shared" si="13"/>
        <v>#DIV/0!</v>
      </c>
      <c r="O39" s="52">
        <v>151015428.50999999</v>
      </c>
      <c r="P39" s="64" t="e">
        <f>O39/O40*100</f>
        <v>#DIV/0!</v>
      </c>
    </row>
  </sheetData>
  <mergeCells count="9">
    <mergeCell ref="B6:C6"/>
    <mergeCell ref="D6:E6"/>
    <mergeCell ref="F6:G6"/>
    <mergeCell ref="H6:I6"/>
    <mergeCell ref="A1:I1"/>
    <mergeCell ref="A2:I2"/>
    <mergeCell ref="A3:I3"/>
    <mergeCell ref="A4:I4"/>
    <mergeCell ref="A5:I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FC94A-CB5A-45F2-B896-85DE3097DD67}">
  <sheetPr>
    <tabColor theme="8"/>
  </sheetPr>
  <dimension ref="A2:T37"/>
  <sheetViews>
    <sheetView showGridLines="0" workbookViewId="0">
      <selection activeCell="B10" sqref="B10:J12"/>
    </sheetView>
  </sheetViews>
  <sheetFormatPr baseColWidth="10" defaultColWidth="9.140625" defaultRowHeight="15" x14ac:dyDescent="0.25"/>
  <cols>
    <col min="1" max="1" width="15.85546875" customWidth="1"/>
    <col min="2" max="2" width="13.140625" customWidth="1"/>
    <col min="4" max="4" width="23.85546875" customWidth="1"/>
    <col min="5" max="5" width="12.85546875" customWidth="1"/>
    <col min="7" max="7" width="14.7109375" customWidth="1"/>
    <col min="8" max="8" width="12" customWidth="1"/>
    <col min="9" max="9" width="10.42578125" customWidth="1"/>
    <col min="10" max="10" width="15.28515625" customWidth="1"/>
  </cols>
  <sheetData>
    <row r="2" spans="1:10" x14ac:dyDescent="0.25">
      <c r="A2" s="348" t="s">
        <v>0</v>
      </c>
      <c r="B2" s="348"/>
      <c r="C2" s="348"/>
      <c r="D2" s="348"/>
      <c r="E2" s="348"/>
      <c r="F2" s="348"/>
      <c r="G2" s="348"/>
      <c r="H2" s="348"/>
      <c r="I2" s="348"/>
      <c r="J2" s="348"/>
    </row>
    <row r="3" spans="1:10" x14ac:dyDescent="0.25">
      <c r="A3" s="348" t="s">
        <v>82</v>
      </c>
      <c r="B3" s="348"/>
      <c r="C3" s="348"/>
      <c r="D3" s="348"/>
      <c r="E3" s="348"/>
      <c r="F3" s="348"/>
      <c r="G3" s="348"/>
      <c r="H3" s="348"/>
      <c r="I3" s="348"/>
      <c r="J3" s="348"/>
    </row>
    <row r="4" spans="1:10" x14ac:dyDescent="0.25">
      <c r="A4" s="348" t="s">
        <v>221</v>
      </c>
      <c r="B4" s="348"/>
      <c r="C4" s="348"/>
      <c r="D4" s="348"/>
      <c r="E4" s="348"/>
      <c r="F4" s="348"/>
      <c r="G4" s="348"/>
      <c r="H4" s="348"/>
      <c r="I4" s="348"/>
      <c r="J4" s="348"/>
    </row>
    <row r="5" spans="1:10" x14ac:dyDescent="0.25">
      <c r="A5" s="348" t="s">
        <v>35</v>
      </c>
      <c r="B5" s="348"/>
      <c r="C5" s="348"/>
      <c r="D5" s="348"/>
      <c r="E5" s="348"/>
      <c r="F5" s="348"/>
      <c r="G5" s="348"/>
      <c r="H5" s="348"/>
      <c r="I5" s="348"/>
      <c r="J5" s="348"/>
    </row>
    <row r="6" spans="1:10" x14ac:dyDescent="0.25">
      <c r="A6" s="348" t="s">
        <v>4</v>
      </c>
      <c r="B6" s="348"/>
      <c r="C6" s="348"/>
      <c r="D6" s="348"/>
      <c r="E6" s="348"/>
      <c r="F6" s="348"/>
      <c r="G6" s="348"/>
      <c r="H6" s="348"/>
      <c r="I6" s="348"/>
      <c r="J6" s="348"/>
    </row>
    <row r="7" spans="1:10" x14ac:dyDescent="0.25">
      <c r="A7" s="129"/>
      <c r="B7" s="381" t="s">
        <v>193</v>
      </c>
      <c r="C7" s="381"/>
      <c r="D7" s="381"/>
      <c r="E7" s="382" t="s">
        <v>95</v>
      </c>
      <c r="F7" s="382"/>
      <c r="G7" s="382"/>
      <c r="H7" s="383" t="s">
        <v>96</v>
      </c>
      <c r="I7" s="383"/>
      <c r="J7" s="383"/>
    </row>
    <row r="8" spans="1:10" ht="25.5" x14ac:dyDescent="0.25">
      <c r="A8" s="87" t="s">
        <v>5</v>
      </c>
      <c r="B8" s="45" t="s">
        <v>205</v>
      </c>
      <c r="C8" s="45" t="s">
        <v>206</v>
      </c>
      <c r="D8" s="45" t="s">
        <v>9</v>
      </c>
      <c r="E8" s="45" t="s">
        <v>205</v>
      </c>
      <c r="F8" s="45" t="s">
        <v>206</v>
      </c>
      <c r="G8" s="45" t="s">
        <v>9</v>
      </c>
      <c r="H8" s="45" t="s">
        <v>97</v>
      </c>
      <c r="I8" s="45" t="s">
        <v>98</v>
      </c>
      <c r="J8" s="45" t="s">
        <v>9</v>
      </c>
    </row>
    <row r="9" spans="1:10" hidden="1" x14ac:dyDescent="0.25">
      <c r="A9" s="31" t="s">
        <v>12</v>
      </c>
      <c r="B9" s="227">
        <v>0</v>
      </c>
      <c r="C9" s="227">
        <v>0</v>
      </c>
      <c r="D9" s="240">
        <v>0</v>
      </c>
      <c r="E9" s="227">
        <v>0</v>
      </c>
      <c r="F9" s="227">
        <v>0</v>
      </c>
      <c r="G9" s="227"/>
      <c r="H9" s="241">
        <f>SUM(B9,E9)</f>
        <v>0</v>
      </c>
      <c r="I9" s="241">
        <f>SUM(C9,F9)</f>
        <v>0</v>
      </c>
      <c r="J9" s="241">
        <f>SUM(D9,G9)</f>
        <v>0</v>
      </c>
    </row>
    <row r="10" spans="1:10" x14ac:dyDescent="0.25">
      <c r="A10" s="31" t="s">
        <v>13</v>
      </c>
      <c r="B10" s="254">
        <v>25</v>
      </c>
      <c r="C10" s="254">
        <v>25</v>
      </c>
      <c r="D10" s="255">
        <v>1872795.56</v>
      </c>
      <c r="E10" s="242">
        <v>0</v>
      </c>
      <c r="F10" s="242">
        <v>0</v>
      </c>
      <c r="G10" s="269">
        <v>0</v>
      </c>
      <c r="H10" s="254">
        <v>25</v>
      </c>
      <c r="I10" s="254">
        <v>25</v>
      </c>
      <c r="J10" s="255">
        <v>1872795.56</v>
      </c>
    </row>
    <row r="11" spans="1:10" x14ac:dyDescent="0.25">
      <c r="A11" s="31" t="s">
        <v>14</v>
      </c>
      <c r="B11" s="254">
        <v>6</v>
      </c>
      <c r="C11" s="254">
        <v>6</v>
      </c>
      <c r="D11" s="255">
        <v>564816</v>
      </c>
      <c r="E11" s="254"/>
      <c r="F11" s="254"/>
      <c r="G11" s="255"/>
      <c r="H11" s="254">
        <v>6</v>
      </c>
      <c r="I11" s="254">
        <v>6</v>
      </c>
      <c r="J11" s="255">
        <v>564816</v>
      </c>
    </row>
    <row r="12" spans="1:10" x14ac:dyDescent="0.25">
      <c r="A12" s="31" t="s">
        <v>15</v>
      </c>
      <c r="B12" s="272">
        <v>0</v>
      </c>
      <c r="C12" s="272">
        <v>0</v>
      </c>
      <c r="D12" s="268">
        <v>0</v>
      </c>
      <c r="E12" s="254"/>
      <c r="F12" s="254"/>
      <c r="G12" s="255"/>
      <c r="H12" s="333"/>
      <c r="I12" s="333"/>
      <c r="J12" s="241"/>
    </row>
    <row r="13" spans="1:10" x14ac:dyDescent="0.25">
      <c r="A13" s="61" t="s">
        <v>16</v>
      </c>
      <c r="B13" s="273">
        <f>SUM(B9:B12)</f>
        <v>31</v>
      </c>
      <c r="C13" s="273">
        <f>SUM(C9:C12)</f>
        <v>31</v>
      </c>
      <c r="D13" s="244">
        <f>SUM(D9:D12)</f>
        <v>2437611.56</v>
      </c>
      <c r="E13" s="243">
        <f t="shared" ref="E13:J13" si="0">SUM(E9:E12)</f>
        <v>0</v>
      </c>
      <c r="F13" s="243">
        <f t="shared" si="0"/>
        <v>0</v>
      </c>
      <c r="G13" s="245">
        <f t="shared" si="0"/>
        <v>0</v>
      </c>
      <c r="H13" s="334">
        <f>SUM(H9:H12)</f>
        <v>31</v>
      </c>
      <c r="I13" s="334">
        <f t="shared" si="0"/>
        <v>31</v>
      </c>
      <c r="J13" s="245">
        <f t="shared" si="0"/>
        <v>2437611.56</v>
      </c>
    </row>
    <row r="14" spans="1:10" x14ac:dyDescent="0.25">
      <c r="A14" s="188" t="s">
        <v>210</v>
      </c>
    </row>
    <row r="37" spans="20:20" x14ac:dyDescent="0.25">
      <c r="T37" s="1"/>
    </row>
  </sheetData>
  <mergeCells count="8">
    <mergeCell ref="B7:D7"/>
    <mergeCell ref="E7:G7"/>
    <mergeCell ref="H7:J7"/>
    <mergeCell ref="A2:J2"/>
    <mergeCell ref="A3:J3"/>
    <mergeCell ref="A4:J4"/>
    <mergeCell ref="A5:J5"/>
    <mergeCell ref="A6:J6"/>
  </mergeCells>
  <pageMargins left="0.7" right="0.7" top="0.75" bottom="0.75" header="0.3" footer="0.3"/>
  <ignoredErrors>
    <ignoredError sqref="I13:J13 G13:H13 D13:F13 B13:C13" unlockedFormula="1"/>
  </ignoredError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B2:K62"/>
  <sheetViews>
    <sheetView showGridLines="0" zoomScale="89" zoomScaleNormal="89" workbookViewId="0">
      <selection activeCell="C8" sqref="C8:H10"/>
    </sheetView>
  </sheetViews>
  <sheetFormatPr baseColWidth="10" defaultColWidth="9.140625" defaultRowHeight="15" x14ac:dyDescent="0.25"/>
  <cols>
    <col min="1" max="1" width="4.140625" style="1" customWidth="1"/>
    <col min="2" max="6" width="13.140625" style="1" customWidth="1"/>
    <col min="7" max="7" width="14" style="1" customWidth="1"/>
    <col min="8" max="8" width="13.140625" style="1" customWidth="1"/>
    <col min="9" max="16384" width="9.140625" style="1"/>
  </cols>
  <sheetData>
    <row r="2" spans="2:11" x14ac:dyDescent="0.25">
      <c r="B2" s="348" t="s">
        <v>0</v>
      </c>
      <c r="C2" s="348"/>
      <c r="D2" s="348"/>
      <c r="E2" s="348"/>
      <c r="F2" s="348"/>
      <c r="G2" s="348"/>
      <c r="H2" s="348"/>
      <c r="I2" s="22"/>
      <c r="J2" s="22"/>
      <c r="K2" s="22"/>
    </row>
    <row r="3" spans="2:11" x14ac:dyDescent="0.25">
      <c r="B3" s="348" t="s">
        <v>82</v>
      </c>
      <c r="C3" s="348"/>
      <c r="D3" s="348"/>
      <c r="E3" s="348"/>
      <c r="F3" s="348"/>
      <c r="G3" s="348"/>
      <c r="H3" s="348"/>
      <c r="I3" s="22"/>
      <c r="J3" s="22"/>
      <c r="K3" s="22"/>
    </row>
    <row r="4" spans="2:11" x14ac:dyDescent="0.25">
      <c r="B4" s="348" t="s">
        <v>222</v>
      </c>
      <c r="C4" s="348"/>
      <c r="D4" s="348"/>
      <c r="E4" s="348"/>
      <c r="F4" s="348"/>
      <c r="G4" s="348"/>
      <c r="H4" s="348"/>
      <c r="I4" s="22"/>
      <c r="J4" s="22"/>
      <c r="K4" s="22"/>
    </row>
    <row r="5" spans="2:11" x14ac:dyDescent="0.25">
      <c r="B5" s="348" t="s">
        <v>3</v>
      </c>
      <c r="C5" s="348"/>
      <c r="D5" s="348"/>
      <c r="E5" s="348"/>
      <c r="F5" s="348"/>
      <c r="G5" s="348"/>
      <c r="H5" s="348"/>
      <c r="I5" s="22"/>
      <c r="J5" s="22"/>
      <c r="K5" s="22"/>
    </row>
    <row r="6" spans="2:11" x14ac:dyDescent="0.25">
      <c r="B6" s="348" t="s">
        <v>4</v>
      </c>
      <c r="C6" s="348"/>
      <c r="D6" s="348"/>
      <c r="E6" s="348"/>
      <c r="F6" s="348"/>
      <c r="G6" s="348"/>
      <c r="H6" s="348"/>
      <c r="I6" s="22"/>
      <c r="J6" s="22"/>
      <c r="K6" s="22"/>
    </row>
    <row r="7" spans="2:11" ht="51" x14ac:dyDescent="0.25">
      <c r="B7" s="87" t="s">
        <v>5</v>
      </c>
      <c r="C7" s="45" t="s">
        <v>223</v>
      </c>
      <c r="D7" s="45" t="s">
        <v>224</v>
      </c>
      <c r="E7" s="45" t="s">
        <v>225</v>
      </c>
      <c r="F7" s="45" t="s">
        <v>226</v>
      </c>
      <c r="G7" s="45" t="s">
        <v>227</v>
      </c>
      <c r="H7" s="163" t="s">
        <v>228</v>
      </c>
      <c r="I7"/>
    </row>
    <row r="8" spans="2:11" x14ac:dyDescent="0.25">
      <c r="B8" s="70" t="s">
        <v>13</v>
      </c>
      <c r="C8" s="298">
        <v>154</v>
      </c>
      <c r="D8" s="283">
        <v>5598631.419999999</v>
      </c>
      <c r="E8" s="283">
        <v>5006432.3</v>
      </c>
      <c r="F8" s="327">
        <v>592199.12</v>
      </c>
      <c r="G8" s="237">
        <v>2772187.1199999992</v>
      </c>
      <c r="H8" s="238">
        <f>G8/D8</f>
        <v>0.49515442472189025</v>
      </c>
      <c r="I8"/>
    </row>
    <row r="9" spans="2:11" x14ac:dyDescent="0.25">
      <c r="B9" s="70" t="s">
        <v>14</v>
      </c>
      <c r="C9" s="298">
        <v>164</v>
      </c>
      <c r="D9" s="283">
        <v>9473249.959999999</v>
      </c>
      <c r="E9" s="283">
        <v>9070801.0299999993</v>
      </c>
      <c r="F9" s="283">
        <v>402448.92999999993</v>
      </c>
      <c r="G9" s="299">
        <v>1090163.1000000001</v>
      </c>
      <c r="H9" s="238">
        <f>G9/D9</f>
        <v>0.11507804656301925</v>
      </c>
      <c r="I9"/>
    </row>
    <row r="10" spans="2:11" x14ac:dyDescent="0.25">
      <c r="B10" s="70" t="s">
        <v>15</v>
      </c>
      <c r="C10" s="298">
        <v>105</v>
      </c>
      <c r="D10" s="283">
        <v>4685870.3</v>
      </c>
      <c r="E10" s="283">
        <v>4685870.3000000007</v>
      </c>
      <c r="F10" s="267">
        <v>0</v>
      </c>
      <c r="G10" s="267">
        <v>0</v>
      </c>
      <c r="H10" s="238">
        <f>G10/D10</f>
        <v>0</v>
      </c>
      <c r="I10"/>
    </row>
    <row r="11" spans="2:11" x14ac:dyDescent="0.25">
      <c r="B11" s="27" t="s">
        <v>16</v>
      </c>
      <c r="C11" s="8">
        <f t="shared" ref="C11:H11" si="0">SUM(C8:C10)</f>
        <v>423</v>
      </c>
      <c r="D11" s="300">
        <f t="shared" si="0"/>
        <v>19757751.68</v>
      </c>
      <c r="E11" s="301">
        <f t="shared" si="0"/>
        <v>18763103.629999999</v>
      </c>
      <c r="F11" s="302">
        <f t="shared" si="0"/>
        <v>994648.04999999993</v>
      </c>
      <c r="G11" s="303">
        <f t="shared" si="0"/>
        <v>3862350.2199999993</v>
      </c>
      <c r="H11" s="88">
        <f t="shared" si="0"/>
        <v>0.61023247128490954</v>
      </c>
      <c r="I11"/>
    </row>
    <row r="12" spans="2:11" hidden="1" x14ac:dyDescent="0.25">
      <c r="B12" s="70" t="s">
        <v>17</v>
      </c>
      <c r="C12" s="164"/>
      <c r="D12" s="166"/>
      <c r="E12" s="166"/>
      <c r="F12" s="166"/>
      <c r="G12" s="66">
        <f>F12+E12</f>
        <v>0</v>
      </c>
      <c r="H12" s="67" t="e">
        <f t="shared" ref="H12:H24" si="1">G12/D12</f>
        <v>#DIV/0!</v>
      </c>
      <c r="I12"/>
    </row>
    <row r="13" spans="2:11" hidden="1" x14ac:dyDescent="0.25">
      <c r="B13" s="70" t="s">
        <v>18</v>
      </c>
      <c r="C13" s="164"/>
      <c r="D13" s="166"/>
      <c r="E13" s="166"/>
      <c r="F13" s="166"/>
      <c r="G13" s="66">
        <f>F13+E13</f>
        <v>0</v>
      </c>
      <c r="H13" s="67" t="e">
        <f t="shared" si="1"/>
        <v>#DIV/0!</v>
      </c>
      <c r="I13"/>
    </row>
    <row r="14" spans="2:11" hidden="1" x14ac:dyDescent="0.25">
      <c r="B14" s="70" t="s">
        <v>19</v>
      </c>
      <c r="C14" s="164"/>
      <c r="D14" s="166"/>
      <c r="E14" s="141"/>
      <c r="F14" s="141"/>
      <c r="G14" s="68">
        <f>F14+E14</f>
        <v>0</v>
      </c>
      <c r="H14" s="67" t="e">
        <f t="shared" si="1"/>
        <v>#DIV/0!</v>
      </c>
      <c r="I14"/>
    </row>
    <row r="15" spans="2:11" hidden="1" x14ac:dyDescent="0.25">
      <c r="B15" s="27" t="s">
        <v>20</v>
      </c>
      <c r="C15" s="8">
        <f>SUM(C12:C14)</f>
        <v>0</v>
      </c>
      <c r="D15" s="69">
        <f>SUM(D12:D14)</f>
        <v>0</v>
      </c>
      <c r="E15" s="69">
        <f>SUM(E12:E14)</f>
        <v>0</v>
      </c>
      <c r="F15" s="69">
        <f>SUM(F12:F14)</f>
        <v>0</v>
      </c>
      <c r="G15" s="69">
        <f>SUM(G12:G14)</f>
        <v>0</v>
      </c>
      <c r="H15" s="16" t="e">
        <f t="shared" si="1"/>
        <v>#DIV/0!</v>
      </c>
      <c r="I15"/>
    </row>
    <row r="16" spans="2:11" hidden="1" x14ac:dyDescent="0.25">
      <c r="B16" s="70" t="s">
        <v>44</v>
      </c>
      <c r="C16" s="164"/>
      <c r="D16" s="166"/>
      <c r="E16" s="166"/>
      <c r="F16" s="166"/>
      <c r="G16" s="66">
        <f>F16+E16</f>
        <v>0</v>
      </c>
      <c r="H16" s="67" t="e">
        <f t="shared" si="1"/>
        <v>#DIV/0!</v>
      </c>
      <c r="I16"/>
    </row>
    <row r="17" spans="2:9" hidden="1" x14ac:dyDescent="0.25">
      <c r="B17" s="70" t="s">
        <v>22</v>
      </c>
      <c r="C17" s="164"/>
      <c r="D17" s="166"/>
      <c r="E17" s="166"/>
      <c r="F17" s="166"/>
      <c r="G17" s="66">
        <f>F17+E17</f>
        <v>0</v>
      </c>
      <c r="H17" s="67" t="e">
        <f t="shared" si="1"/>
        <v>#DIV/0!</v>
      </c>
      <c r="I17"/>
    </row>
    <row r="18" spans="2:9" hidden="1" x14ac:dyDescent="0.25">
      <c r="B18" s="70" t="s">
        <v>23</v>
      </c>
      <c r="C18" s="164"/>
      <c r="D18" s="166"/>
      <c r="E18" s="141"/>
      <c r="F18" s="141"/>
      <c r="G18" s="68">
        <f>F18+E18</f>
        <v>0</v>
      </c>
      <c r="H18" s="67" t="e">
        <f t="shared" si="1"/>
        <v>#DIV/0!</v>
      </c>
      <c r="I18"/>
    </row>
    <row r="19" spans="2:9" hidden="1" x14ac:dyDescent="0.25">
      <c r="B19" s="27" t="s">
        <v>24</v>
      </c>
      <c r="C19" s="8">
        <f>SUM(C16:C18)</f>
        <v>0</v>
      </c>
      <c r="D19" s="69">
        <f>SUM(D16:D18)</f>
        <v>0</v>
      </c>
      <c r="E19" s="69">
        <f>SUM(E16:E18)</f>
        <v>0</v>
      </c>
      <c r="F19" s="69">
        <f>SUM(F16:F18)</f>
        <v>0</v>
      </c>
      <c r="G19" s="69">
        <f>SUM(G16:G18)</f>
        <v>0</v>
      </c>
      <c r="H19" s="16" t="e">
        <f t="shared" si="1"/>
        <v>#DIV/0!</v>
      </c>
      <c r="I19"/>
    </row>
    <row r="20" spans="2:9" hidden="1" x14ac:dyDescent="0.25">
      <c r="B20" s="70" t="s">
        <v>25</v>
      </c>
      <c r="C20" s="164"/>
      <c r="D20" s="166"/>
      <c r="E20" s="166"/>
      <c r="F20" s="166"/>
      <c r="G20" s="66">
        <f>F20+E20</f>
        <v>0</v>
      </c>
      <c r="H20" s="67" t="e">
        <f t="shared" si="1"/>
        <v>#DIV/0!</v>
      </c>
      <c r="I20"/>
    </row>
    <row r="21" spans="2:9" hidden="1" x14ac:dyDescent="0.25">
      <c r="B21" s="70" t="s">
        <v>26</v>
      </c>
      <c r="C21" s="164"/>
      <c r="D21" s="166"/>
      <c r="E21" s="166"/>
      <c r="F21" s="166"/>
      <c r="G21" s="66">
        <f>F21+E21</f>
        <v>0</v>
      </c>
      <c r="H21" s="67" t="e">
        <f t="shared" si="1"/>
        <v>#DIV/0!</v>
      </c>
      <c r="I21"/>
    </row>
    <row r="22" spans="2:9" hidden="1" x14ac:dyDescent="0.25">
      <c r="B22" s="70" t="s">
        <v>27</v>
      </c>
      <c r="C22" s="164"/>
      <c r="D22" s="166"/>
      <c r="E22" s="141"/>
      <c r="F22" s="141"/>
      <c r="G22" s="68">
        <f>F22+E22</f>
        <v>0</v>
      </c>
      <c r="H22" s="67" t="e">
        <f t="shared" si="1"/>
        <v>#DIV/0!</v>
      </c>
      <c r="I22"/>
    </row>
    <row r="23" spans="2:9" hidden="1" x14ac:dyDescent="0.25">
      <c r="B23" s="27" t="s">
        <v>28</v>
      </c>
      <c r="C23" s="8">
        <f>SUM(C20:C22)</f>
        <v>0</v>
      </c>
      <c r="D23" s="69">
        <f>SUM(D20:D22)</f>
        <v>0</v>
      </c>
      <c r="E23" s="69">
        <f>SUM(E20:E22)</f>
        <v>0</v>
      </c>
      <c r="F23" s="69">
        <f>SUM(F20:F22)</f>
        <v>0</v>
      </c>
      <c r="G23" s="69">
        <f>SUM(G20:G22)</f>
        <v>0</v>
      </c>
      <c r="H23" s="16" t="e">
        <f t="shared" si="1"/>
        <v>#DIV/0!</v>
      </c>
      <c r="I23"/>
    </row>
    <row r="24" spans="2:9" hidden="1" x14ac:dyDescent="0.25">
      <c r="B24" s="71" t="s">
        <v>29</v>
      </c>
      <c r="C24" s="10">
        <f>+C11+C15+C19+C23</f>
        <v>423</v>
      </c>
      <c r="D24" s="10">
        <f>+D11+D15+D19+D23</f>
        <v>19757751.68</v>
      </c>
      <c r="E24" s="10">
        <f>+E11+E15+E19+E23</f>
        <v>18763103.629999999</v>
      </c>
      <c r="F24" s="10">
        <f>+F11+F15+F19+F23</f>
        <v>994648.04999999993</v>
      </c>
      <c r="G24" s="10">
        <f>+G11+G15+G19+G23</f>
        <v>3862350.2199999993</v>
      </c>
      <c r="H24" s="10">
        <f t="shared" si="1"/>
        <v>0.19548531040147171</v>
      </c>
      <c r="I24"/>
    </row>
    <row r="25" spans="2:9" hidden="1" x14ac:dyDescent="0.25">
      <c r="B25"/>
      <c r="C25"/>
      <c r="D25"/>
      <c r="E25"/>
      <c r="F25"/>
      <c r="G25"/>
      <c r="H25" s="100">
        <f>SUM(H8:H10)</f>
        <v>0.61023247128490954</v>
      </c>
      <c r="I25"/>
    </row>
    <row r="26" spans="2:9" hidden="1" x14ac:dyDescent="0.25">
      <c r="B26"/>
      <c r="C26"/>
      <c r="D26"/>
      <c r="E26"/>
      <c r="F26"/>
      <c r="G26"/>
      <c r="H26"/>
      <c r="I26"/>
    </row>
    <row r="27" spans="2:9" hidden="1" x14ac:dyDescent="0.25">
      <c r="B27"/>
      <c r="C27"/>
      <c r="D27"/>
      <c r="E27"/>
      <c r="F27"/>
      <c r="G27"/>
      <c r="H27"/>
      <c r="I27"/>
    </row>
    <row r="28" spans="2:9" hidden="1" x14ac:dyDescent="0.25">
      <c r="B28"/>
      <c r="C28"/>
      <c r="D28"/>
      <c r="E28"/>
      <c r="F28"/>
      <c r="G28"/>
      <c r="H28"/>
      <c r="I28"/>
    </row>
    <row r="29" spans="2:9" hidden="1" x14ac:dyDescent="0.25">
      <c r="B29"/>
      <c r="C29"/>
      <c r="D29"/>
      <c r="E29"/>
      <c r="F29"/>
      <c r="G29"/>
      <c r="H29"/>
      <c r="I29"/>
    </row>
    <row r="30" spans="2:9" hidden="1" x14ac:dyDescent="0.25">
      <c r="B30"/>
      <c r="C30"/>
      <c r="D30"/>
      <c r="E30"/>
      <c r="F30"/>
      <c r="G30"/>
      <c r="H30"/>
      <c r="I30"/>
    </row>
    <row r="31" spans="2:9" hidden="1" x14ac:dyDescent="0.25">
      <c r="B31"/>
      <c r="C31"/>
      <c r="D31"/>
      <c r="E31"/>
      <c r="F31"/>
      <c r="G31"/>
      <c r="H31"/>
      <c r="I31"/>
    </row>
    <row r="32" spans="2:9" hidden="1" x14ac:dyDescent="0.25">
      <c r="B32"/>
      <c r="C32"/>
      <c r="D32"/>
      <c r="E32"/>
      <c r="F32"/>
      <c r="G32"/>
      <c r="H32"/>
      <c r="I32"/>
    </row>
    <row r="33" spans="2:9" hidden="1" x14ac:dyDescent="0.25">
      <c r="B33"/>
      <c r="C33"/>
      <c r="D33"/>
      <c r="E33"/>
      <c r="F33"/>
      <c r="G33"/>
      <c r="H33"/>
      <c r="I33"/>
    </row>
    <row r="34" spans="2:9" hidden="1" x14ac:dyDescent="0.25">
      <c r="B34"/>
      <c r="C34"/>
      <c r="D34"/>
      <c r="E34"/>
      <c r="F34"/>
      <c r="G34"/>
      <c r="H34"/>
      <c r="I34"/>
    </row>
    <row r="35" spans="2:9" x14ac:dyDescent="0.25">
      <c r="B35" s="188" t="s">
        <v>210</v>
      </c>
      <c r="C35"/>
      <c r="D35"/>
      <c r="E35"/>
      <c r="F35"/>
      <c r="G35"/>
      <c r="H35"/>
      <c r="I35"/>
    </row>
    <row r="36" spans="2:9" x14ac:dyDescent="0.25">
      <c r="B36" s="124"/>
      <c r="C36"/>
      <c r="D36"/>
      <c r="E36"/>
      <c r="F36"/>
      <c r="G36"/>
      <c r="H36"/>
      <c r="I36"/>
    </row>
    <row r="37" spans="2:9" x14ac:dyDescent="0.25">
      <c r="B37"/>
      <c r="C37"/>
      <c r="D37"/>
      <c r="E37"/>
      <c r="F37"/>
      <c r="G37"/>
      <c r="H37"/>
      <c r="I37"/>
    </row>
    <row r="38" spans="2:9" x14ac:dyDescent="0.25">
      <c r="B38"/>
      <c r="C38"/>
      <c r="D38"/>
      <c r="E38"/>
      <c r="F38"/>
      <c r="G38"/>
      <c r="H38"/>
      <c r="I38"/>
    </row>
    <row r="39" spans="2:9" x14ac:dyDescent="0.25">
      <c r="B39"/>
      <c r="C39"/>
      <c r="D39"/>
      <c r="E39"/>
      <c r="F39"/>
      <c r="G39"/>
      <c r="H39"/>
      <c r="I39"/>
    </row>
    <row r="40" spans="2:9" x14ac:dyDescent="0.25">
      <c r="B40"/>
      <c r="C40"/>
      <c r="D40"/>
      <c r="E40"/>
      <c r="F40"/>
      <c r="G40"/>
      <c r="H40"/>
      <c r="I40"/>
    </row>
    <row r="41" spans="2:9" x14ac:dyDescent="0.25">
      <c r="B41"/>
      <c r="C41"/>
      <c r="D41"/>
      <c r="E41"/>
      <c r="F41"/>
      <c r="G41"/>
      <c r="H41"/>
      <c r="I41"/>
    </row>
    <row r="42" spans="2:9" x14ac:dyDescent="0.25">
      <c r="B42"/>
      <c r="C42"/>
      <c r="D42"/>
      <c r="E42"/>
      <c r="F42"/>
      <c r="G42"/>
      <c r="H42"/>
      <c r="I42"/>
    </row>
    <row r="43" spans="2:9" x14ac:dyDescent="0.25">
      <c r="B43"/>
      <c r="C43"/>
      <c r="D43"/>
      <c r="E43"/>
      <c r="F43"/>
      <c r="G43"/>
      <c r="H43"/>
      <c r="I43"/>
    </row>
    <row r="44" spans="2:9" x14ac:dyDescent="0.25">
      <c r="B44"/>
      <c r="C44"/>
      <c r="D44"/>
      <c r="E44"/>
      <c r="F44"/>
      <c r="G44"/>
      <c r="H44"/>
      <c r="I44"/>
    </row>
    <row r="45" spans="2:9" x14ac:dyDescent="0.25">
      <c r="B45"/>
      <c r="C45"/>
      <c r="D45"/>
      <c r="E45"/>
      <c r="F45"/>
      <c r="G45"/>
      <c r="H45"/>
      <c r="I45"/>
    </row>
    <row r="46" spans="2:9" x14ac:dyDescent="0.25">
      <c r="B46"/>
      <c r="C46"/>
      <c r="D46"/>
      <c r="E46"/>
      <c r="F46"/>
      <c r="G46"/>
      <c r="H46"/>
      <c r="I46"/>
    </row>
    <row r="47" spans="2:9" x14ac:dyDescent="0.25">
      <c r="B47"/>
      <c r="C47"/>
      <c r="D47"/>
      <c r="E47"/>
      <c r="F47"/>
      <c r="G47"/>
      <c r="H47"/>
      <c r="I47"/>
    </row>
    <row r="48" spans="2:9" x14ac:dyDescent="0.25">
      <c r="B48"/>
      <c r="C48"/>
      <c r="D48"/>
      <c r="E48"/>
      <c r="F48"/>
      <c r="G48"/>
      <c r="H48"/>
      <c r="I48"/>
    </row>
    <row r="49" spans="2:9" x14ac:dyDescent="0.25">
      <c r="B49"/>
      <c r="C49"/>
      <c r="D49"/>
      <c r="E49"/>
      <c r="F49"/>
      <c r="G49"/>
      <c r="H49"/>
      <c r="I49"/>
    </row>
    <row r="50" spans="2:9" x14ac:dyDescent="0.25">
      <c r="B50"/>
      <c r="C50"/>
      <c r="D50"/>
      <c r="E50"/>
      <c r="F50"/>
      <c r="G50"/>
      <c r="H50"/>
      <c r="I50"/>
    </row>
    <row r="51" spans="2:9" x14ac:dyDescent="0.25">
      <c r="B51"/>
      <c r="C51"/>
      <c r="D51"/>
      <c r="E51"/>
      <c r="F51"/>
      <c r="G51"/>
      <c r="H51"/>
      <c r="I51"/>
    </row>
    <row r="52" spans="2:9" x14ac:dyDescent="0.25">
      <c r="B52"/>
      <c r="C52"/>
      <c r="D52"/>
      <c r="E52"/>
      <c r="F52"/>
      <c r="G52"/>
      <c r="H52"/>
      <c r="I52"/>
    </row>
    <row r="53" spans="2:9" x14ac:dyDescent="0.25">
      <c r="B53"/>
      <c r="C53"/>
      <c r="D53"/>
      <c r="E53"/>
      <c r="F53"/>
      <c r="G53"/>
      <c r="H53"/>
      <c r="I53"/>
    </row>
    <row r="54" spans="2:9" x14ac:dyDescent="0.25">
      <c r="B54"/>
      <c r="C54"/>
      <c r="D54"/>
      <c r="E54"/>
      <c r="F54"/>
      <c r="G54"/>
      <c r="H54"/>
      <c r="I54"/>
    </row>
    <row r="55" spans="2:9" x14ac:dyDescent="0.25">
      <c r="B55"/>
      <c r="C55"/>
      <c r="D55"/>
      <c r="E55"/>
      <c r="F55"/>
      <c r="G55"/>
      <c r="H55"/>
      <c r="I55"/>
    </row>
    <row r="56" spans="2:9" x14ac:dyDescent="0.25">
      <c r="B56"/>
      <c r="C56"/>
      <c r="D56"/>
      <c r="E56"/>
      <c r="F56"/>
      <c r="G56"/>
      <c r="H56"/>
      <c r="I56"/>
    </row>
    <row r="57" spans="2:9" x14ac:dyDescent="0.25">
      <c r="B57"/>
      <c r="C57"/>
      <c r="D57"/>
      <c r="E57"/>
      <c r="F57"/>
      <c r="G57"/>
      <c r="H57"/>
      <c r="I57"/>
    </row>
    <row r="58" spans="2:9" x14ac:dyDescent="0.25">
      <c r="B58"/>
      <c r="C58"/>
      <c r="D58"/>
      <c r="E58"/>
      <c r="F58"/>
      <c r="G58"/>
      <c r="H58"/>
      <c r="I58"/>
    </row>
    <row r="60" spans="2:9" x14ac:dyDescent="0.25">
      <c r="B60" s="70"/>
      <c r="C60" s="167"/>
      <c r="D60" s="165"/>
      <c r="E60" s="141"/>
      <c r="F60" s="141"/>
      <c r="G60" s="68"/>
      <c r="H60" s="67"/>
    </row>
    <row r="62" spans="2:9" x14ac:dyDescent="0.25">
      <c r="B62" s="70"/>
      <c r="C62" s="164"/>
      <c r="D62" s="165"/>
      <c r="E62" s="166"/>
      <c r="F62" s="166"/>
      <c r="G62" s="68"/>
      <c r="H62" s="67"/>
    </row>
  </sheetData>
  <mergeCells count="5">
    <mergeCell ref="B2:H2"/>
    <mergeCell ref="B3:H3"/>
    <mergeCell ref="B4:H4"/>
    <mergeCell ref="B6:H6"/>
    <mergeCell ref="B5:H5"/>
  </mergeCells>
  <pageMargins left="0.7" right="0.7" top="0.75" bottom="0.75" header="0.3" footer="0.3"/>
  <pageSetup paperSize="9" scale="54" orientation="portrait" r:id="rId1"/>
  <ignoredErrors>
    <ignoredError sqref="H11" formula="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2F2FE-386B-44EA-85DA-3F8BFF012637}">
  <sheetPr>
    <tabColor rgb="FF00B050"/>
    <pageSetUpPr fitToPage="1"/>
  </sheetPr>
  <dimension ref="B2:Z43"/>
  <sheetViews>
    <sheetView showGridLines="0" zoomScale="115" zoomScaleNormal="115" workbookViewId="0">
      <selection activeCell="U50" sqref="U50"/>
    </sheetView>
  </sheetViews>
  <sheetFormatPr baseColWidth="10" defaultColWidth="11.42578125" defaultRowHeight="15" x14ac:dyDescent="0.25"/>
  <cols>
    <col min="1" max="1" width="3.140625" style="1" customWidth="1"/>
    <col min="2" max="2" width="45.7109375" style="1" bestFit="1" customWidth="1"/>
    <col min="3" max="3" width="9.42578125" style="1" hidden="1" customWidth="1"/>
    <col min="4" max="4" width="10.85546875" style="1" hidden="1" customWidth="1"/>
    <col min="5" max="5" width="11.42578125" style="1" hidden="1" customWidth="1"/>
    <col min="6" max="6" width="9.42578125" style="1" hidden="1" customWidth="1"/>
    <col min="7" max="7" width="10.85546875" style="1" hidden="1" customWidth="1"/>
    <col min="8" max="8" width="11.42578125" style="1" hidden="1" customWidth="1"/>
    <col min="9" max="9" width="9.42578125" style="1" hidden="1" customWidth="1"/>
    <col min="10" max="10" width="10.85546875" style="1" hidden="1" customWidth="1"/>
    <col min="11" max="11" width="0.140625" style="1" customWidth="1"/>
    <col min="12" max="13" width="11.42578125" style="1"/>
    <col min="14" max="14" width="12.140625" style="1" customWidth="1"/>
    <col min="15" max="15" width="25.5703125" style="1" hidden="1" customWidth="1"/>
    <col min="16" max="16" width="18.85546875" style="1" hidden="1" customWidth="1"/>
    <col min="17" max="16384" width="11.42578125" style="1"/>
  </cols>
  <sheetData>
    <row r="2" spans="2:26" x14ac:dyDescent="0.25">
      <c r="B2" s="348" t="s">
        <v>211</v>
      </c>
      <c r="C2" s="348"/>
      <c r="D2" s="348"/>
      <c r="E2" s="348"/>
      <c r="F2" s="348"/>
      <c r="G2" s="348"/>
      <c r="H2" s="348"/>
      <c r="I2" s="348"/>
      <c r="J2" s="348"/>
      <c r="K2" s="348"/>
      <c r="L2" s="348"/>
      <c r="M2" s="348"/>
      <c r="N2" s="348"/>
    </row>
    <row r="3" spans="2:26" x14ac:dyDescent="0.25">
      <c r="B3" s="348" t="s">
        <v>229</v>
      </c>
      <c r="C3" s="348"/>
      <c r="D3" s="348"/>
      <c r="E3" s="348"/>
      <c r="F3" s="348"/>
      <c r="G3" s="348"/>
      <c r="H3" s="348"/>
      <c r="I3" s="348"/>
      <c r="J3" s="348"/>
      <c r="K3" s="348"/>
      <c r="L3" s="348"/>
      <c r="M3" s="348"/>
      <c r="N3" s="348"/>
    </row>
    <row r="4" spans="2:26" x14ac:dyDescent="0.25">
      <c r="B4" s="348" t="s">
        <v>230</v>
      </c>
      <c r="C4" s="348"/>
      <c r="D4" s="348"/>
      <c r="E4" s="348"/>
      <c r="F4" s="348"/>
      <c r="G4" s="348"/>
      <c r="H4" s="348"/>
      <c r="I4" s="348"/>
      <c r="J4" s="348"/>
      <c r="K4" s="348"/>
      <c r="L4" s="348"/>
      <c r="M4" s="348"/>
      <c r="N4" s="348"/>
    </row>
    <row r="5" spans="2:26" x14ac:dyDescent="0.25">
      <c r="B5" s="348" t="s">
        <v>3</v>
      </c>
      <c r="C5" s="348"/>
      <c r="D5" s="348"/>
      <c r="E5" s="348"/>
      <c r="F5" s="348"/>
      <c r="G5" s="348"/>
      <c r="H5" s="348"/>
      <c r="I5" s="348"/>
      <c r="J5" s="348"/>
      <c r="K5" s="348"/>
      <c r="L5" s="348"/>
      <c r="M5" s="348"/>
      <c r="N5" s="348"/>
    </row>
    <row r="6" spans="2:26" x14ac:dyDescent="0.25">
      <c r="B6" s="348" t="s">
        <v>4</v>
      </c>
      <c r="C6" s="348"/>
      <c r="D6" s="348"/>
      <c r="E6" s="348"/>
      <c r="F6" s="348"/>
      <c r="G6" s="348"/>
      <c r="H6" s="348"/>
      <c r="I6" s="348"/>
      <c r="J6" s="348"/>
      <c r="K6" s="348"/>
      <c r="L6" s="348"/>
      <c r="M6" s="348"/>
      <c r="N6" s="348"/>
    </row>
    <row r="8" spans="2:26" ht="11.25" customHeight="1" x14ac:dyDescent="0.25"/>
    <row r="9" spans="2:26" ht="15.75" x14ac:dyDescent="0.25">
      <c r="B9" s="384" t="s">
        <v>231</v>
      </c>
      <c r="C9" s="384"/>
      <c r="D9" s="384"/>
      <c r="E9" s="384"/>
      <c r="F9" s="384"/>
      <c r="G9" s="384"/>
      <c r="H9" s="384"/>
      <c r="I9" s="384"/>
      <c r="J9" s="384"/>
      <c r="K9" s="384"/>
      <c r="L9" s="384"/>
      <c r="M9" s="384"/>
      <c r="N9" s="384"/>
      <c r="Z9" s="18"/>
    </row>
    <row r="10" spans="2:26" x14ac:dyDescent="0.25">
      <c r="B10" s="168"/>
      <c r="C10" s="366" t="s">
        <v>15</v>
      </c>
      <c r="D10" s="366"/>
      <c r="E10" s="366"/>
      <c r="F10" s="366" t="s">
        <v>14</v>
      </c>
      <c r="G10" s="366"/>
      <c r="H10" s="366"/>
      <c r="I10" s="366" t="s">
        <v>13</v>
      </c>
      <c r="J10" s="366"/>
      <c r="K10" s="366"/>
      <c r="L10" s="366" t="s">
        <v>70</v>
      </c>
      <c r="M10" s="366"/>
      <c r="N10" s="366"/>
      <c r="O10"/>
      <c r="P10"/>
      <c r="Q10"/>
      <c r="R10"/>
      <c r="S10"/>
      <c r="T10"/>
      <c r="U10"/>
      <c r="V10"/>
    </row>
    <row r="11" spans="2:26" x14ac:dyDescent="0.25">
      <c r="B11" s="54" t="s">
        <v>232</v>
      </c>
      <c r="C11" s="54" t="s">
        <v>233</v>
      </c>
      <c r="D11" s="54" t="s">
        <v>234</v>
      </c>
      <c r="E11" s="54" t="s">
        <v>235</v>
      </c>
      <c r="F11" s="54" t="s">
        <v>233</v>
      </c>
      <c r="G11" s="54" t="s">
        <v>234</v>
      </c>
      <c r="H11" s="54" t="s">
        <v>235</v>
      </c>
      <c r="I11" s="54" t="s">
        <v>233</v>
      </c>
      <c r="J11" s="54" t="s">
        <v>234</v>
      </c>
      <c r="K11" s="54" t="s">
        <v>235</v>
      </c>
      <c r="L11" s="54" t="s">
        <v>233</v>
      </c>
      <c r="M11" s="54" t="s">
        <v>234</v>
      </c>
      <c r="N11" s="54" t="s">
        <v>235</v>
      </c>
      <c r="O11"/>
      <c r="P11"/>
      <c r="Q11"/>
      <c r="R11"/>
      <c r="S11"/>
      <c r="T11"/>
      <c r="U11"/>
      <c r="V11"/>
    </row>
    <row r="12" spans="2:26" x14ac:dyDescent="0.25">
      <c r="B12" s="201" t="s">
        <v>236</v>
      </c>
      <c r="C12" s="131">
        <v>5</v>
      </c>
      <c r="D12" s="131">
        <v>4</v>
      </c>
      <c r="E12" s="335">
        <f>IFERROR(D12/C12,"-")</f>
        <v>0.8</v>
      </c>
      <c r="F12" s="131">
        <v>6</v>
      </c>
      <c r="G12" s="131">
        <v>6</v>
      </c>
      <c r="H12" s="335">
        <f>IFERROR(G12/F12,"-")</f>
        <v>1</v>
      </c>
      <c r="I12" s="131">
        <v>3</v>
      </c>
      <c r="J12" s="131">
        <v>3</v>
      </c>
      <c r="K12" s="335">
        <f>IFERROR(J12/I12,"-")</f>
        <v>1</v>
      </c>
      <c r="L12" s="131">
        <v>11</v>
      </c>
      <c r="M12" s="131">
        <v>10</v>
      </c>
      <c r="N12" s="335">
        <f>IFERROR(M12/L12,"-")</f>
        <v>0.90909090909090906</v>
      </c>
      <c r="O12"/>
      <c r="P12"/>
      <c r="Q12"/>
      <c r="R12"/>
      <c r="S12"/>
      <c r="T12"/>
      <c r="U12"/>
      <c r="V12"/>
    </row>
    <row r="13" spans="2:26" x14ac:dyDescent="0.25">
      <c r="B13" s="201" t="s">
        <v>237</v>
      </c>
      <c r="C13" s="131">
        <v>155</v>
      </c>
      <c r="D13" s="131">
        <v>154</v>
      </c>
      <c r="E13" s="335">
        <f t="shared" ref="E13:E24" si="0">IFERROR(D13/C13,"-")</f>
        <v>0.99354838709677418</v>
      </c>
      <c r="F13" s="131">
        <v>127</v>
      </c>
      <c r="G13" s="131">
        <v>126</v>
      </c>
      <c r="H13" s="335">
        <f t="shared" ref="H13:H25" si="1">IFERROR(G13/F13,"-")</f>
        <v>0.99212598425196852</v>
      </c>
      <c r="I13" s="131">
        <v>183</v>
      </c>
      <c r="J13" s="131">
        <v>171</v>
      </c>
      <c r="K13" s="335">
        <f t="shared" ref="K13:K25" si="2">IFERROR(J13/I13,"-")</f>
        <v>0.93442622950819676</v>
      </c>
      <c r="L13" s="131">
        <v>499</v>
      </c>
      <c r="M13" s="131">
        <v>489</v>
      </c>
      <c r="N13" s="335">
        <f t="shared" ref="N13:N24" si="3">IFERROR(M13/L13,"-")</f>
        <v>0.97995991983967934</v>
      </c>
      <c r="O13"/>
      <c r="P13"/>
      <c r="Q13"/>
      <c r="R13"/>
      <c r="S13"/>
      <c r="T13"/>
      <c r="U13"/>
      <c r="V13"/>
    </row>
    <row r="14" spans="2:26" x14ac:dyDescent="0.25">
      <c r="B14" s="201" t="s">
        <v>238</v>
      </c>
      <c r="C14" s="131">
        <v>41</v>
      </c>
      <c r="D14" s="131">
        <v>41</v>
      </c>
      <c r="E14" s="335">
        <f t="shared" si="0"/>
        <v>1</v>
      </c>
      <c r="F14" s="131">
        <v>36</v>
      </c>
      <c r="G14" s="131">
        <v>36</v>
      </c>
      <c r="H14" s="335">
        <f t="shared" si="1"/>
        <v>1</v>
      </c>
      <c r="I14" s="131">
        <v>43</v>
      </c>
      <c r="J14" s="131">
        <v>0</v>
      </c>
      <c r="K14" s="335">
        <f t="shared" si="2"/>
        <v>0</v>
      </c>
      <c r="L14" s="131">
        <v>133</v>
      </c>
      <c r="M14" s="131">
        <v>73</v>
      </c>
      <c r="N14" s="335">
        <f t="shared" si="3"/>
        <v>0.54887218045112784</v>
      </c>
      <c r="O14"/>
      <c r="P14"/>
      <c r="Q14"/>
      <c r="R14"/>
      <c r="S14"/>
      <c r="T14"/>
      <c r="U14"/>
      <c r="V14"/>
    </row>
    <row r="15" spans="2:26" x14ac:dyDescent="0.25">
      <c r="B15" s="201" t="s">
        <v>239</v>
      </c>
      <c r="C15" s="131">
        <v>130</v>
      </c>
      <c r="D15" s="131">
        <v>130</v>
      </c>
      <c r="E15" s="335">
        <f t="shared" si="0"/>
        <v>1</v>
      </c>
      <c r="F15" s="131">
        <v>197</v>
      </c>
      <c r="G15" s="131">
        <v>196</v>
      </c>
      <c r="H15" s="335">
        <f t="shared" si="1"/>
        <v>0.99492385786802029</v>
      </c>
      <c r="I15" s="131">
        <v>137</v>
      </c>
      <c r="J15" s="131">
        <v>136</v>
      </c>
      <c r="K15" s="335">
        <f t="shared" si="2"/>
        <v>0.99270072992700731</v>
      </c>
      <c r="L15" s="131">
        <v>848</v>
      </c>
      <c r="M15" s="131">
        <v>846</v>
      </c>
      <c r="N15" s="335">
        <f t="shared" si="3"/>
        <v>0.99764150943396224</v>
      </c>
      <c r="O15"/>
      <c r="P15"/>
      <c r="Q15"/>
      <c r="R15"/>
      <c r="S15"/>
      <c r="T15"/>
      <c r="U15"/>
      <c r="V15"/>
    </row>
    <row r="16" spans="2:26" x14ac:dyDescent="0.25">
      <c r="B16" s="201" t="s">
        <v>240</v>
      </c>
      <c r="C16" s="131">
        <v>2492</v>
      </c>
      <c r="D16" s="131">
        <v>2470</v>
      </c>
      <c r="E16" s="335">
        <f t="shared" si="0"/>
        <v>0.9911717495987159</v>
      </c>
      <c r="F16" s="131">
        <v>3152</v>
      </c>
      <c r="G16" s="131">
        <v>3145</v>
      </c>
      <c r="H16" s="335">
        <f t="shared" si="1"/>
        <v>0.99777918781725883</v>
      </c>
      <c r="I16" s="131">
        <v>4919</v>
      </c>
      <c r="J16" s="131">
        <v>4830</v>
      </c>
      <c r="K16" s="335">
        <f t="shared" si="2"/>
        <v>0.98190689164464318</v>
      </c>
      <c r="L16" s="131">
        <v>19116</v>
      </c>
      <c r="M16" s="131">
        <v>18996</v>
      </c>
      <c r="N16" s="335">
        <f t="shared" si="3"/>
        <v>0.9937225360954175</v>
      </c>
      <c r="O16"/>
      <c r="P16"/>
      <c r="Q16"/>
      <c r="R16"/>
      <c r="S16"/>
      <c r="T16"/>
      <c r="U16"/>
      <c r="V16"/>
    </row>
    <row r="17" spans="2:22" x14ac:dyDescent="0.25">
      <c r="B17" s="201" t="s">
        <v>241</v>
      </c>
      <c r="C17" s="131">
        <v>288</v>
      </c>
      <c r="D17" s="131">
        <v>287</v>
      </c>
      <c r="E17" s="335">
        <f t="shared" si="0"/>
        <v>0.99652777777777779</v>
      </c>
      <c r="F17" s="131">
        <v>255</v>
      </c>
      <c r="G17" s="131">
        <v>255</v>
      </c>
      <c r="H17" s="335">
        <f t="shared" si="1"/>
        <v>1</v>
      </c>
      <c r="I17" s="131">
        <v>300</v>
      </c>
      <c r="J17" s="131">
        <v>284</v>
      </c>
      <c r="K17" s="335">
        <f t="shared" si="2"/>
        <v>0.94666666666666666</v>
      </c>
      <c r="L17" s="131">
        <v>917</v>
      </c>
      <c r="M17" s="131">
        <v>914</v>
      </c>
      <c r="N17" s="335">
        <f t="shared" si="3"/>
        <v>0.99672846237731738</v>
      </c>
      <c r="O17"/>
      <c r="P17"/>
      <c r="Q17"/>
      <c r="R17"/>
      <c r="S17"/>
      <c r="T17"/>
      <c r="U17"/>
      <c r="V17"/>
    </row>
    <row r="18" spans="2:22" x14ac:dyDescent="0.25">
      <c r="B18" s="201" t="s">
        <v>242</v>
      </c>
      <c r="C18" s="131">
        <v>1473</v>
      </c>
      <c r="D18" s="131">
        <v>1468</v>
      </c>
      <c r="E18" s="335">
        <f t="shared" si="0"/>
        <v>0.99660556687033264</v>
      </c>
      <c r="F18" s="131">
        <v>717</v>
      </c>
      <c r="G18" s="131">
        <v>716</v>
      </c>
      <c r="H18" s="335">
        <f t="shared" si="1"/>
        <v>0.99860529986053004</v>
      </c>
      <c r="I18" s="131">
        <v>1327</v>
      </c>
      <c r="J18" s="131">
        <v>1284</v>
      </c>
      <c r="K18" s="335">
        <f t="shared" si="2"/>
        <v>0.96759608138658626</v>
      </c>
      <c r="L18" s="131">
        <v>9201</v>
      </c>
      <c r="M18" s="131">
        <v>9135</v>
      </c>
      <c r="N18" s="335">
        <f t="shared" si="3"/>
        <v>0.99282686664492992</v>
      </c>
      <c r="O18"/>
      <c r="P18"/>
      <c r="Q18"/>
      <c r="R18"/>
      <c r="S18"/>
      <c r="T18"/>
      <c r="U18"/>
      <c r="V18"/>
    </row>
    <row r="19" spans="2:22" x14ac:dyDescent="0.25">
      <c r="B19" s="201" t="s">
        <v>243</v>
      </c>
      <c r="C19" s="131">
        <v>6</v>
      </c>
      <c r="D19" s="131">
        <v>6</v>
      </c>
      <c r="E19" s="335">
        <f t="shared" si="0"/>
        <v>1</v>
      </c>
      <c r="F19" s="131">
        <v>6</v>
      </c>
      <c r="G19" s="131">
        <v>6</v>
      </c>
      <c r="H19" s="335">
        <f t="shared" si="1"/>
        <v>1</v>
      </c>
      <c r="I19" s="131">
        <v>7</v>
      </c>
      <c r="J19" s="131">
        <v>7</v>
      </c>
      <c r="K19" s="335">
        <f t="shared" si="2"/>
        <v>1</v>
      </c>
      <c r="L19" s="131">
        <v>23</v>
      </c>
      <c r="M19" s="131">
        <v>22</v>
      </c>
      <c r="N19" s="335">
        <f t="shared" si="3"/>
        <v>0.95652173913043481</v>
      </c>
      <c r="O19"/>
      <c r="P19"/>
      <c r="Q19"/>
      <c r="R19"/>
      <c r="S19"/>
      <c r="T19"/>
      <c r="U19"/>
      <c r="V19"/>
    </row>
    <row r="20" spans="2:22" x14ac:dyDescent="0.25">
      <c r="B20" s="201" t="s">
        <v>244</v>
      </c>
      <c r="C20" s="131">
        <v>75</v>
      </c>
      <c r="D20" s="131">
        <v>75</v>
      </c>
      <c r="E20" s="335">
        <f t="shared" si="0"/>
        <v>1</v>
      </c>
      <c r="F20" s="131">
        <v>65</v>
      </c>
      <c r="G20" s="131">
        <v>64</v>
      </c>
      <c r="H20" s="335">
        <f t="shared" si="1"/>
        <v>0.98461538461538467</v>
      </c>
      <c r="I20" s="131">
        <v>79</v>
      </c>
      <c r="J20" s="131">
        <v>76</v>
      </c>
      <c r="K20" s="335">
        <f t="shared" si="2"/>
        <v>0.96202531645569622</v>
      </c>
      <c r="L20" s="131">
        <v>330</v>
      </c>
      <c r="M20" s="131">
        <v>327</v>
      </c>
      <c r="N20" s="335">
        <f t="shared" si="3"/>
        <v>0.99090909090909096</v>
      </c>
      <c r="O20"/>
      <c r="P20"/>
      <c r="Q20"/>
      <c r="R20"/>
      <c r="S20"/>
      <c r="T20"/>
      <c r="U20"/>
      <c r="V20"/>
    </row>
    <row r="21" spans="2:22" x14ac:dyDescent="0.25">
      <c r="B21" s="201" t="s">
        <v>245</v>
      </c>
      <c r="C21" s="131">
        <v>12</v>
      </c>
      <c r="D21" s="131">
        <v>12</v>
      </c>
      <c r="E21" s="335">
        <f t="shared" si="0"/>
        <v>1</v>
      </c>
      <c r="F21" s="131">
        <v>7</v>
      </c>
      <c r="G21" s="131">
        <v>5</v>
      </c>
      <c r="H21" s="335">
        <f t="shared" si="1"/>
        <v>0.7142857142857143</v>
      </c>
      <c r="I21" s="131">
        <v>14</v>
      </c>
      <c r="J21" s="131">
        <v>13</v>
      </c>
      <c r="K21" s="335">
        <f t="shared" si="2"/>
        <v>0.9285714285714286</v>
      </c>
      <c r="L21" s="131">
        <v>104</v>
      </c>
      <c r="M21" s="131">
        <v>100</v>
      </c>
      <c r="N21" s="335">
        <f>IFERROR(M21/L21,"-")</f>
        <v>0.96153846153846156</v>
      </c>
      <c r="O21"/>
      <c r="P21"/>
      <c r="Q21"/>
      <c r="R21"/>
      <c r="S21"/>
      <c r="T21"/>
      <c r="U21"/>
      <c r="V21"/>
    </row>
    <row r="22" spans="2:22" x14ac:dyDescent="0.25">
      <c r="B22" s="201" t="s">
        <v>246</v>
      </c>
      <c r="C22" s="131">
        <v>145</v>
      </c>
      <c r="D22" s="131">
        <v>145</v>
      </c>
      <c r="E22" s="335">
        <f t="shared" si="0"/>
        <v>1</v>
      </c>
      <c r="F22" s="131">
        <v>218</v>
      </c>
      <c r="G22" s="131">
        <v>213</v>
      </c>
      <c r="H22" s="335">
        <f t="shared" si="1"/>
        <v>0.97706422018348627</v>
      </c>
      <c r="I22" s="131">
        <v>206</v>
      </c>
      <c r="J22" s="131">
        <v>189</v>
      </c>
      <c r="K22" s="335">
        <f t="shared" si="2"/>
        <v>0.91747572815533984</v>
      </c>
      <c r="L22" s="131">
        <v>743</v>
      </c>
      <c r="M22" s="131">
        <v>717</v>
      </c>
      <c r="N22" s="335">
        <f t="shared" si="3"/>
        <v>0.96500672947510091</v>
      </c>
      <c r="O22"/>
      <c r="P22"/>
      <c r="Q22"/>
      <c r="R22"/>
      <c r="S22"/>
      <c r="T22"/>
      <c r="U22"/>
      <c r="V22"/>
    </row>
    <row r="23" spans="2:22" x14ac:dyDescent="0.25">
      <c r="B23" s="201" t="s">
        <v>247</v>
      </c>
      <c r="C23" s="131">
        <v>118</v>
      </c>
      <c r="D23" s="131">
        <v>118</v>
      </c>
      <c r="E23" s="335">
        <f t="shared" si="0"/>
        <v>1</v>
      </c>
      <c r="F23" s="131">
        <v>129</v>
      </c>
      <c r="G23" s="131">
        <v>128</v>
      </c>
      <c r="H23" s="335">
        <f t="shared" si="1"/>
        <v>0.99224806201550386</v>
      </c>
      <c r="I23" s="131">
        <v>230</v>
      </c>
      <c r="J23" s="131">
        <v>228</v>
      </c>
      <c r="K23" s="335">
        <f t="shared" si="2"/>
        <v>0.99130434782608701</v>
      </c>
      <c r="L23" s="131">
        <v>192</v>
      </c>
      <c r="M23" s="131">
        <v>191</v>
      </c>
      <c r="N23" s="335">
        <f t="shared" si="3"/>
        <v>0.99479166666666663</v>
      </c>
      <c r="O23"/>
      <c r="P23"/>
      <c r="Q23"/>
      <c r="R23"/>
      <c r="S23"/>
      <c r="T23"/>
      <c r="U23"/>
      <c r="V23"/>
    </row>
    <row r="24" spans="2:22" x14ac:dyDescent="0.25">
      <c r="B24" s="201" t="s">
        <v>248</v>
      </c>
      <c r="C24" s="131">
        <v>4</v>
      </c>
      <c r="D24" s="131">
        <v>4</v>
      </c>
      <c r="E24" s="335">
        <f t="shared" si="0"/>
        <v>1</v>
      </c>
      <c r="F24" s="131">
        <v>1</v>
      </c>
      <c r="G24" s="131">
        <v>1</v>
      </c>
      <c r="H24" s="335">
        <f t="shared" si="1"/>
        <v>1</v>
      </c>
      <c r="I24" s="131">
        <v>6</v>
      </c>
      <c r="J24" s="131">
        <v>6</v>
      </c>
      <c r="K24" s="335">
        <f t="shared" si="2"/>
        <v>1</v>
      </c>
      <c r="L24" s="131">
        <v>26</v>
      </c>
      <c r="M24" s="131">
        <v>25</v>
      </c>
      <c r="N24" s="335">
        <f t="shared" si="3"/>
        <v>0.96153846153846156</v>
      </c>
      <c r="O24"/>
      <c r="P24"/>
      <c r="Q24"/>
      <c r="R24"/>
      <c r="S24"/>
      <c r="T24"/>
      <c r="U24"/>
      <c r="V24"/>
    </row>
    <row r="25" spans="2:22" x14ac:dyDescent="0.25">
      <c r="B25" s="46" t="s">
        <v>249</v>
      </c>
      <c r="C25" s="8">
        <f>SUM(C12:C24)</f>
        <v>4944</v>
      </c>
      <c r="D25" s="8">
        <f>SUM(D12:D24)</f>
        <v>4914</v>
      </c>
      <c r="E25" s="8">
        <f>IFERROR(D25/C25,"-")</f>
        <v>0.9939320388349514</v>
      </c>
      <c r="F25" s="8">
        <f>SUM(F12:F24)</f>
        <v>4916</v>
      </c>
      <c r="G25" s="8">
        <f>SUM(G12:G24)</f>
        <v>4897</v>
      </c>
      <c r="H25" s="8">
        <f t="shared" si="1"/>
        <v>0.99613506916192029</v>
      </c>
      <c r="I25" s="8">
        <f>SUM(I12:I24)</f>
        <v>7454</v>
      </c>
      <c r="J25" s="8">
        <f>SUM(J12:J24)</f>
        <v>7227</v>
      </c>
      <c r="K25" s="8">
        <f t="shared" si="2"/>
        <v>0.96954655218674535</v>
      </c>
      <c r="L25" s="8">
        <f>SUM(L12:L24)</f>
        <v>32143</v>
      </c>
      <c r="M25" s="8">
        <f>SUM(M12:M24)</f>
        <v>31845</v>
      </c>
      <c r="N25" s="88">
        <f>+M25/L25</f>
        <v>0.99072893009364404</v>
      </c>
      <c r="O25"/>
      <c r="P25"/>
      <c r="Q25"/>
      <c r="R25"/>
      <c r="S25"/>
      <c r="T25"/>
      <c r="U25"/>
      <c r="V25"/>
    </row>
    <row r="26" spans="2:22" ht="3.75" customHeight="1" x14ac:dyDescent="0.25">
      <c r="B26" s="128"/>
      <c r="C26"/>
      <c r="D26"/>
      <c r="E26"/>
      <c r="F26"/>
      <c r="G26"/>
      <c r="H26"/>
      <c r="I26"/>
      <c r="J26"/>
      <c r="K26"/>
      <c r="L26"/>
      <c r="M26"/>
      <c r="N26"/>
      <c r="O26"/>
      <c r="P26"/>
      <c r="Q26"/>
      <c r="R26"/>
      <c r="S26"/>
      <c r="T26"/>
      <c r="U26"/>
      <c r="V26"/>
    </row>
    <row r="27" spans="2:22" hidden="1" x14ac:dyDescent="0.25">
      <c r="B27" s="128" t="s">
        <v>250</v>
      </c>
      <c r="C27"/>
      <c r="D27"/>
      <c r="E27"/>
      <c r="F27"/>
      <c r="G27"/>
      <c r="H27"/>
      <c r="I27"/>
      <c r="J27"/>
      <c r="K27"/>
      <c r="L27"/>
      <c r="M27"/>
      <c r="N27"/>
      <c r="O27"/>
      <c r="P27"/>
      <c r="Q27"/>
      <c r="R27"/>
      <c r="S27"/>
      <c r="T27"/>
      <c r="U27"/>
      <c r="V27"/>
    </row>
    <row r="28" spans="2:22" x14ac:dyDescent="0.25">
      <c r="B28"/>
      <c r="C28"/>
      <c r="D28"/>
      <c r="E28"/>
      <c r="F28"/>
      <c r="G28"/>
      <c r="H28"/>
      <c r="I28"/>
      <c r="J28"/>
      <c r="K28"/>
      <c r="L28"/>
      <c r="M28"/>
      <c r="N28"/>
      <c r="O28"/>
      <c r="P28"/>
      <c r="Q28"/>
      <c r="R28"/>
      <c r="S28"/>
      <c r="T28"/>
      <c r="U28"/>
      <c r="V28"/>
    </row>
    <row r="29" spans="2:22" x14ac:dyDescent="0.25">
      <c r="B29"/>
      <c r="C29"/>
      <c r="D29"/>
      <c r="E29"/>
      <c r="F29"/>
      <c r="G29"/>
      <c r="H29"/>
      <c r="I29"/>
      <c r="J29"/>
      <c r="K29"/>
      <c r="L29"/>
      <c r="M29"/>
      <c r="N29"/>
      <c r="O29"/>
      <c r="P29"/>
      <c r="Q29"/>
      <c r="R29"/>
      <c r="S29"/>
      <c r="T29"/>
      <c r="U29"/>
      <c r="V29"/>
    </row>
    <row r="30" spans="2:22" x14ac:dyDescent="0.25">
      <c r="B30"/>
      <c r="C30"/>
      <c r="D30"/>
      <c r="E30"/>
      <c r="F30"/>
      <c r="G30"/>
      <c r="H30"/>
      <c r="I30"/>
      <c r="J30"/>
      <c r="K30"/>
      <c r="L30"/>
      <c r="M30"/>
      <c r="N30"/>
      <c r="O30"/>
      <c r="P30"/>
      <c r="Q30"/>
      <c r="R30"/>
      <c r="S30"/>
      <c r="T30"/>
      <c r="U30"/>
      <c r="V30"/>
    </row>
    <row r="34" spans="2:15" ht="15.75" x14ac:dyDescent="0.25">
      <c r="B34" s="386" t="s">
        <v>263</v>
      </c>
      <c r="C34" s="386"/>
      <c r="D34" s="386"/>
      <c r="E34" s="386"/>
      <c r="F34" s="386"/>
      <c r="G34" s="386"/>
      <c r="H34" s="386"/>
      <c r="I34" s="386"/>
      <c r="J34" s="386"/>
      <c r="K34" s="386"/>
      <c r="L34" s="386"/>
      <c r="M34" s="386"/>
    </row>
    <row r="35" spans="2:15" x14ac:dyDescent="0.25">
      <c r="B35" s="163"/>
      <c r="C35" s="366" t="s">
        <v>15</v>
      </c>
      <c r="D35" s="366"/>
      <c r="E35" s="366"/>
      <c r="F35" s="366" t="s">
        <v>14</v>
      </c>
      <c r="G35" s="366"/>
      <c r="H35" s="366"/>
      <c r="I35" s="366" t="s">
        <v>13</v>
      </c>
      <c r="J35" s="366"/>
      <c r="K35" s="366"/>
      <c r="L35" s="366" t="s">
        <v>251</v>
      </c>
      <c r="M35" s="366"/>
      <c r="N35"/>
    </row>
    <row r="36" spans="2:15" x14ac:dyDescent="0.25">
      <c r="B36" s="201" t="s">
        <v>232</v>
      </c>
      <c r="C36" s="336" t="s">
        <v>233</v>
      </c>
      <c r="D36" s="336" t="s">
        <v>234</v>
      </c>
      <c r="E36" s="336" t="s">
        <v>64</v>
      </c>
      <c r="F36" s="336" t="s">
        <v>233</v>
      </c>
      <c r="G36" s="336" t="s">
        <v>234</v>
      </c>
      <c r="H36" s="336" t="s">
        <v>235</v>
      </c>
      <c r="I36" s="336" t="s">
        <v>233</v>
      </c>
      <c r="J36" s="336" t="s">
        <v>234</v>
      </c>
      <c r="K36" s="336" t="s">
        <v>235</v>
      </c>
      <c r="L36" s="336" t="s">
        <v>233</v>
      </c>
      <c r="M36" s="336" t="s">
        <v>252</v>
      </c>
    </row>
    <row r="37" spans="2:15" x14ac:dyDescent="0.25">
      <c r="B37" s="201" t="s">
        <v>253</v>
      </c>
      <c r="C37" s="131">
        <v>10</v>
      </c>
      <c r="D37" s="131">
        <v>8</v>
      </c>
      <c r="E37" s="337">
        <f>IFERROR(D37/C37,"-")</f>
        <v>0.8</v>
      </c>
      <c r="F37" s="131">
        <v>12</v>
      </c>
      <c r="G37" s="131">
        <v>8</v>
      </c>
      <c r="H37" s="337">
        <f t="shared" ref="H37:H41" si="4">IFERROR(G37/F37,"-")</f>
        <v>0.66666666666666663</v>
      </c>
      <c r="I37" s="131">
        <v>8</v>
      </c>
      <c r="J37" s="131">
        <v>11</v>
      </c>
      <c r="K37" s="337">
        <f t="shared" ref="K37:K41" si="5">IFERROR(J37/I37,"-")</f>
        <v>1.375</v>
      </c>
      <c r="L37" s="131">
        <v>13</v>
      </c>
      <c r="M37" s="131">
        <v>7</v>
      </c>
    </row>
    <row r="38" spans="2:15" x14ac:dyDescent="0.25">
      <c r="B38" s="201" t="s">
        <v>254</v>
      </c>
      <c r="C38" s="131">
        <v>5</v>
      </c>
      <c r="D38" s="131">
        <v>4</v>
      </c>
      <c r="E38" s="337">
        <f t="shared" ref="E38:E40" si="6">IFERROR(D38/C38,"-")</f>
        <v>0.8</v>
      </c>
      <c r="F38" s="131">
        <v>5</v>
      </c>
      <c r="G38" s="131">
        <v>4</v>
      </c>
      <c r="H38" s="337">
        <f t="shared" si="4"/>
        <v>0.8</v>
      </c>
      <c r="I38" s="131">
        <v>4</v>
      </c>
      <c r="J38" s="131">
        <v>1</v>
      </c>
      <c r="K38" s="337">
        <f t="shared" si="5"/>
        <v>0.25</v>
      </c>
      <c r="L38" s="131">
        <v>12</v>
      </c>
      <c r="M38" s="131">
        <v>2</v>
      </c>
    </row>
    <row r="39" spans="2:15" x14ac:dyDescent="0.25">
      <c r="B39" s="201" t="s">
        <v>255</v>
      </c>
      <c r="C39" s="131">
        <v>2</v>
      </c>
      <c r="D39" s="131">
        <v>1</v>
      </c>
      <c r="E39" s="337">
        <f t="shared" si="6"/>
        <v>0.5</v>
      </c>
      <c r="F39" s="131">
        <v>1</v>
      </c>
      <c r="G39" s="131">
        <v>0</v>
      </c>
      <c r="H39" s="337">
        <f t="shared" si="4"/>
        <v>0</v>
      </c>
      <c r="I39" s="131">
        <v>2</v>
      </c>
      <c r="J39" s="131">
        <v>5</v>
      </c>
      <c r="K39" s="337">
        <f t="shared" si="5"/>
        <v>2.5</v>
      </c>
      <c r="L39" s="131">
        <v>0</v>
      </c>
      <c r="M39" s="131">
        <v>3</v>
      </c>
    </row>
    <row r="40" spans="2:15" x14ac:dyDescent="0.25">
      <c r="B40" s="201" t="s">
        <v>256</v>
      </c>
      <c r="C40" s="131">
        <v>0</v>
      </c>
      <c r="D40" s="131">
        <v>0</v>
      </c>
      <c r="E40" s="337" t="str">
        <f t="shared" si="6"/>
        <v>-</v>
      </c>
      <c r="F40" s="131">
        <v>0</v>
      </c>
      <c r="G40" s="131">
        <v>0</v>
      </c>
      <c r="H40" s="337" t="str">
        <f t="shared" si="4"/>
        <v>-</v>
      </c>
      <c r="I40" s="131">
        <v>0</v>
      </c>
      <c r="J40" s="131">
        <v>0</v>
      </c>
      <c r="K40" s="337" t="str">
        <f t="shared" si="5"/>
        <v>-</v>
      </c>
      <c r="L40" s="131">
        <f t="shared" ref="L40:M40" si="7">C40+F40+I40</f>
        <v>0</v>
      </c>
      <c r="M40" s="131">
        <f t="shared" si="7"/>
        <v>0</v>
      </c>
    </row>
    <row r="41" spans="2:15" x14ac:dyDescent="0.25">
      <c r="B41" s="46" t="s">
        <v>249</v>
      </c>
      <c r="C41" s="8">
        <f>SUM(C31:C33)</f>
        <v>0</v>
      </c>
      <c r="D41" s="8">
        <f>SUM(D31:D33)</f>
        <v>0</v>
      </c>
      <c r="E41" s="8" t="str">
        <f>IFERROR(D41/C41,"-")</f>
        <v>-</v>
      </c>
      <c r="F41" s="8">
        <f>SUM(F31:F33)</f>
        <v>0</v>
      </c>
      <c r="G41" s="8">
        <f>SUM(G31:G33)</f>
        <v>0</v>
      </c>
      <c r="H41" s="8" t="str">
        <f t="shared" si="4"/>
        <v>-</v>
      </c>
      <c r="I41" s="8">
        <f>SUM(I31:I33)</f>
        <v>0</v>
      </c>
      <c r="J41" s="8">
        <f>SUM(J31:J33)</f>
        <v>0</v>
      </c>
      <c r="K41" s="8" t="str">
        <f t="shared" si="5"/>
        <v>-</v>
      </c>
      <c r="L41" s="8">
        <f>SUM(L37:L40)</f>
        <v>25</v>
      </c>
      <c r="M41" s="8">
        <f>SUM(M37:M40)</f>
        <v>12</v>
      </c>
    </row>
    <row r="42" spans="2:15" ht="17.25" customHeight="1" x14ac:dyDescent="0.25">
      <c r="B42" s="246" t="s">
        <v>257</v>
      </c>
      <c r="C42" s="246"/>
      <c r="D42" s="246"/>
      <c r="E42" s="246"/>
      <c r="F42" s="246"/>
      <c r="G42" s="246"/>
      <c r="H42" s="246"/>
      <c r="I42" s="246"/>
      <c r="J42" s="246"/>
      <c r="K42" s="246"/>
      <c r="L42" s="246"/>
      <c r="M42" s="246"/>
    </row>
    <row r="43" spans="2:15" ht="39.75" customHeight="1" x14ac:dyDescent="0.25">
      <c r="B43" s="385" t="s">
        <v>258</v>
      </c>
      <c r="C43" s="385"/>
      <c r="D43" s="385"/>
      <c r="E43" s="385"/>
      <c r="F43" s="385"/>
      <c r="G43" s="385"/>
      <c r="H43" s="385"/>
      <c r="I43" s="385"/>
      <c r="J43" s="385"/>
      <c r="K43" s="385"/>
      <c r="L43" s="385"/>
      <c r="M43" s="385"/>
      <c r="N43" s="385"/>
      <c r="O43" s="246"/>
    </row>
  </sheetData>
  <mergeCells count="16">
    <mergeCell ref="B43:N43"/>
    <mergeCell ref="C10:E10"/>
    <mergeCell ref="F10:H10"/>
    <mergeCell ref="I10:K10"/>
    <mergeCell ref="L10:N10"/>
    <mergeCell ref="B34:M34"/>
    <mergeCell ref="C35:E35"/>
    <mergeCell ref="F35:H35"/>
    <mergeCell ref="I35:K35"/>
    <mergeCell ref="L35:M35"/>
    <mergeCell ref="B9:N9"/>
    <mergeCell ref="B2:N2"/>
    <mergeCell ref="B3:N3"/>
    <mergeCell ref="B4:N4"/>
    <mergeCell ref="B5:N5"/>
    <mergeCell ref="B6:N6"/>
  </mergeCells>
  <pageMargins left="0.7" right="0.7" top="0.75" bottom="0.75" header="0.3" footer="0.3"/>
  <pageSetup paperSize="9" scale="54" orientation="portrait" r:id="rId1"/>
  <colBreaks count="1" manualBreakCount="1">
    <brk id="23"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B1:Q84"/>
  <sheetViews>
    <sheetView showGridLines="0" zoomScaleNormal="100" zoomScaleSheetLayoutView="100" workbookViewId="0">
      <selection activeCell="C7" sqref="C7:H9"/>
    </sheetView>
  </sheetViews>
  <sheetFormatPr baseColWidth="10" defaultColWidth="11.42578125" defaultRowHeight="15" x14ac:dyDescent="0.25"/>
  <cols>
    <col min="1" max="1" width="4" style="1" customWidth="1"/>
    <col min="2" max="2" width="12.140625" style="1" customWidth="1"/>
    <col min="3" max="3" width="11.42578125" style="1"/>
    <col min="4" max="4" width="13.140625" style="1" bestFit="1" customWidth="1"/>
    <col min="5" max="5" width="12.140625" style="1" customWidth="1"/>
    <col min="6" max="6" width="13.42578125" style="1" customWidth="1"/>
    <col min="7" max="7" width="14.140625" style="1" customWidth="1"/>
    <col min="8" max="8" width="13.140625" style="1" customWidth="1"/>
    <col min="9" max="16384" width="11.42578125" style="1"/>
  </cols>
  <sheetData>
    <row r="1" spans="2:17" x14ac:dyDescent="0.25">
      <c r="B1" s="339" t="s">
        <v>0</v>
      </c>
      <c r="C1" s="339"/>
      <c r="D1" s="339"/>
      <c r="E1" s="339"/>
      <c r="F1" s="339"/>
      <c r="G1" s="339"/>
      <c r="H1" s="339"/>
    </row>
    <row r="2" spans="2:17" x14ac:dyDescent="0.25">
      <c r="B2" s="339" t="s">
        <v>33</v>
      </c>
      <c r="C2" s="339"/>
      <c r="D2" s="339"/>
      <c r="E2" s="339"/>
      <c r="F2" s="339"/>
      <c r="G2" s="339"/>
      <c r="H2" s="339"/>
    </row>
    <row r="3" spans="2:17" x14ac:dyDescent="0.25">
      <c r="B3" s="339" t="s">
        <v>34</v>
      </c>
      <c r="C3" s="339"/>
      <c r="D3" s="339"/>
      <c r="E3" s="339"/>
      <c r="F3" s="339"/>
      <c r="G3" s="339"/>
      <c r="H3" s="339"/>
    </row>
    <row r="4" spans="2:17" x14ac:dyDescent="0.25">
      <c r="B4" s="339" t="s">
        <v>35</v>
      </c>
      <c r="C4" s="339"/>
      <c r="D4" s="339"/>
      <c r="E4" s="339"/>
      <c r="F4" s="339"/>
      <c r="G4" s="339"/>
      <c r="H4" s="339"/>
    </row>
    <row r="5" spans="2:17" x14ac:dyDescent="0.25">
      <c r="B5" s="339" t="s">
        <v>4</v>
      </c>
      <c r="C5" s="339"/>
      <c r="D5" s="339"/>
      <c r="E5" s="339"/>
      <c r="F5" s="339"/>
      <c r="G5" s="339"/>
      <c r="H5" s="339"/>
      <c r="Q5" s="18"/>
    </row>
    <row r="6" spans="2:17" ht="40.5" customHeight="1" x14ac:dyDescent="0.25">
      <c r="B6" s="43" t="s">
        <v>5</v>
      </c>
      <c r="C6" s="45" t="s">
        <v>36</v>
      </c>
      <c r="D6" s="45" t="s">
        <v>37</v>
      </c>
      <c r="E6" s="45" t="s">
        <v>38</v>
      </c>
      <c r="F6" s="45" t="s">
        <v>39</v>
      </c>
      <c r="G6" s="45" t="s">
        <v>40</v>
      </c>
      <c r="H6" s="45" t="s">
        <v>41</v>
      </c>
      <c r="K6"/>
      <c r="L6"/>
      <c r="M6"/>
      <c r="N6"/>
      <c r="O6"/>
      <c r="P6"/>
    </row>
    <row r="7" spans="2:17" x14ac:dyDescent="0.25">
      <c r="B7" s="70" t="s">
        <v>13</v>
      </c>
      <c r="C7" s="144">
        <v>92519</v>
      </c>
      <c r="D7" s="144">
        <v>22364</v>
      </c>
      <c r="E7" s="310">
        <f t="shared" ref="E7:E23" si="0">+D7/C7</f>
        <v>0.24172332169608404</v>
      </c>
      <c r="F7" s="144">
        <v>70155</v>
      </c>
      <c r="G7" s="310">
        <f>+F7/C7</f>
        <v>0.75827667830391599</v>
      </c>
      <c r="H7" s="144">
        <v>65210</v>
      </c>
      <c r="I7"/>
      <c r="J7"/>
      <c r="K7"/>
      <c r="L7" s="74"/>
      <c r="M7" s="74"/>
      <c r="N7"/>
      <c r="O7" s="74"/>
      <c r="P7"/>
    </row>
    <row r="8" spans="2:17" x14ac:dyDescent="0.25">
      <c r="B8" s="70" t="s">
        <v>14</v>
      </c>
      <c r="C8" s="144">
        <v>92539</v>
      </c>
      <c r="D8" s="144">
        <v>22369</v>
      </c>
      <c r="E8" s="310">
        <f t="shared" si="0"/>
        <v>0.2417251104939539</v>
      </c>
      <c r="F8" s="144">
        <v>70170</v>
      </c>
      <c r="G8" s="310">
        <f t="shared" ref="G8:G23" si="1">+F8/C8</f>
        <v>0.75827488950604605</v>
      </c>
      <c r="H8" s="144">
        <v>65085</v>
      </c>
      <c r="I8"/>
      <c r="J8"/>
      <c r="K8"/>
      <c r="N8"/>
      <c r="O8" s="74"/>
      <c r="P8"/>
    </row>
    <row r="9" spans="2:17" x14ac:dyDescent="0.25">
      <c r="B9" s="70" t="s">
        <v>15</v>
      </c>
      <c r="C9" s="144">
        <v>92222</v>
      </c>
      <c r="D9" s="144">
        <v>22154</v>
      </c>
      <c r="E9" s="310">
        <f t="shared" si="0"/>
        <v>0.24022467524018129</v>
      </c>
      <c r="F9" s="144">
        <v>70068</v>
      </c>
      <c r="G9" s="310">
        <f t="shared" si="1"/>
        <v>0.75977532475981868</v>
      </c>
      <c r="H9" s="144">
        <v>64993</v>
      </c>
      <c r="I9"/>
      <c r="J9"/>
      <c r="K9"/>
      <c r="N9"/>
      <c r="O9" s="274"/>
      <c r="P9"/>
    </row>
    <row r="10" spans="2:17" ht="24" customHeight="1" x14ac:dyDescent="0.25">
      <c r="B10" s="127" t="s">
        <v>42</v>
      </c>
      <c r="C10" s="311">
        <f>+AVERAGE(C7:C9)</f>
        <v>92426.666666666672</v>
      </c>
      <c r="D10" s="311">
        <f>+D7</f>
        <v>22364</v>
      </c>
      <c r="E10" s="312">
        <f>AVERAGE(E7:E9)</f>
        <v>0.24122436914340642</v>
      </c>
      <c r="F10" s="311">
        <f>+F7</f>
        <v>70155</v>
      </c>
      <c r="G10" s="312">
        <f>AVERAGE(G7:G9)</f>
        <v>0.75877563085659361</v>
      </c>
      <c r="H10" s="8">
        <f>+H7</f>
        <v>65210</v>
      </c>
      <c r="I10"/>
      <c r="J10"/>
      <c r="K10"/>
      <c r="N10" s="74"/>
      <c r="O10" s="74"/>
      <c r="P10"/>
    </row>
    <row r="11" spans="2:17" hidden="1" x14ac:dyDescent="0.25">
      <c r="B11" s="192" t="s">
        <v>17</v>
      </c>
      <c r="C11" s="126"/>
      <c r="D11" s="126"/>
      <c r="E11" s="191" t="e">
        <f t="shared" si="0"/>
        <v>#DIV/0!</v>
      </c>
      <c r="F11" s="126"/>
      <c r="G11" s="191" t="e">
        <f t="shared" si="1"/>
        <v>#DIV/0!</v>
      </c>
      <c r="H11" s="191"/>
      <c r="I11"/>
      <c r="J11"/>
      <c r="K11"/>
      <c r="N11"/>
      <c r="O11" s="74"/>
      <c r="P11"/>
    </row>
    <row r="12" spans="2:17" hidden="1" x14ac:dyDescent="0.25">
      <c r="B12" s="194" t="s">
        <v>18</v>
      </c>
      <c r="C12" s="126"/>
      <c r="D12" s="126"/>
      <c r="E12" s="191" t="e">
        <f t="shared" si="0"/>
        <v>#DIV/0!</v>
      </c>
      <c r="F12" s="126"/>
      <c r="G12" s="191" t="e">
        <f t="shared" si="1"/>
        <v>#DIV/0!</v>
      </c>
      <c r="H12" s="191"/>
      <c r="I12"/>
      <c r="J12"/>
      <c r="K12"/>
      <c r="N12"/>
      <c r="O12"/>
      <c r="P12"/>
    </row>
    <row r="13" spans="2:17" hidden="1" x14ac:dyDescent="0.25">
      <c r="B13" s="194" t="s">
        <v>19</v>
      </c>
      <c r="C13" s="126"/>
      <c r="D13" s="126"/>
      <c r="E13" s="191" t="e">
        <f t="shared" si="0"/>
        <v>#DIV/0!</v>
      </c>
      <c r="F13" s="126"/>
      <c r="G13" s="191" t="e">
        <f t="shared" si="1"/>
        <v>#DIV/0!</v>
      </c>
      <c r="H13" s="191"/>
      <c r="I13"/>
      <c r="J13"/>
      <c r="K13"/>
      <c r="N13"/>
      <c r="O13" s="193"/>
      <c r="P13"/>
    </row>
    <row r="14" spans="2:17" ht="80.25" hidden="1" customHeight="1" x14ac:dyDescent="0.25">
      <c r="B14" s="127" t="s">
        <v>43</v>
      </c>
      <c r="C14" s="8" t="e">
        <f>+AVERAGE(C11:C13)</f>
        <v>#DIV/0!</v>
      </c>
      <c r="D14" s="8" t="e">
        <f>+AVERAGE(D11:D13)</f>
        <v>#DIV/0!</v>
      </c>
      <c r="E14" s="16" t="e">
        <f t="shared" si="0"/>
        <v>#DIV/0!</v>
      </c>
      <c r="F14" s="8" t="e">
        <f>+AVERAGE(F11:F13)</f>
        <v>#DIV/0!</v>
      </c>
      <c r="G14" s="16" t="e">
        <f t="shared" si="1"/>
        <v>#DIV/0!</v>
      </c>
      <c r="H14" s="16"/>
      <c r="I14"/>
      <c r="J14"/>
      <c r="K14"/>
      <c r="N14" s="74"/>
      <c r="O14" s="74"/>
      <c r="P14"/>
    </row>
    <row r="15" spans="2:17" hidden="1" x14ac:dyDescent="0.25">
      <c r="B15" s="192" t="s">
        <v>44</v>
      </c>
      <c r="C15" s="126"/>
      <c r="D15" s="126"/>
      <c r="E15" s="191" t="e">
        <f t="shared" si="0"/>
        <v>#DIV/0!</v>
      </c>
      <c r="F15" s="126"/>
      <c r="G15" s="191" t="e">
        <f t="shared" si="1"/>
        <v>#DIV/0!</v>
      </c>
      <c r="H15" s="191"/>
      <c r="I15"/>
      <c r="J15"/>
      <c r="K15"/>
      <c r="N15"/>
      <c r="O15" s="74"/>
      <c r="P15"/>
    </row>
    <row r="16" spans="2:17" hidden="1" x14ac:dyDescent="0.25">
      <c r="B16" s="194" t="s">
        <v>22</v>
      </c>
      <c r="C16" s="126"/>
      <c r="D16" s="126"/>
      <c r="E16" s="191" t="e">
        <f t="shared" si="0"/>
        <v>#DIV/0!</v>
      </c>
      <c r="F16" s="126"/>
      <c r="G16" s="191" t="e">
        <f t="shared" si="1"/>
        <v>#DIV/0!</v>
      </c>
      <c r="H16" s="191"/>
      <c r="I16"/>
      <c r="J16"/>
      <c r="K16"/>
      <c r="N16"/>
      <c r="O16"/>
      <c r="P16"/>
    </row>
    <row r="17" spans="2:16" hidden="1" x14ac:dyDescent="0.25">
      <c r="B17" s="194" t="s">
        <v>23</v>
      </c>
      <c r="C17" s="126"/>
      <c r="D17" s="126"/>
      <c r="E17" s="191" t="e">
        <f t="shared" si="0"/>
        <v>#DIV/0!</v>
      </c>
      <c r="F17" s="126"/>
      <c r="G17" s="191" t="e">
        <f t="shared" si="1"/>
        <v>#DIV/0!</v>
      </c>
      <c r="H17" s="191"/>
      <c r="I17"/>
      <c r="J17"/>
      <c r="K17"/>
      <c r="N17"/>
      <c r="O17" s="193"/>
      <c r="P17"/>
    </row>
    <row r="18" spans="2:16" ht="147" hidden="1" customHeight="1" x14ac:dyDescent="0.25">
      <c r="B18" s="127" t="s">
        <v>45</v>
      </c>
      <c r="C18" s="8" t="e">
        <f>+AVERAGE(C15:C17)</f>
        <v>#DIV/0!</v>
      </c>
      <c r="D18" s="8" t="e">
        <f>+AVERAGE(D15:D17)</f>
        <v>#DIV/0!</v>
      </c>
      <c r="E18" s="16" t="e">
        <f t="shared" si="0"/>
        <v>#DIV/0!</v>
      </c>
      <c r="F18" s="8" t="e">
        <f>+AVERAGE(F15:F17)</f>
        <v>#DIV/0!</v>
      </c>
      <c r="G18" s="16" t="e">
        <f t="shared" si="1"/>
        <v>#DIV/0!</v>
      </c>
      <c r="H18" s="16"/>
      <c r="I18"/>
      <c r="J18"/>
      <c r="K18"/>
      <c r="N18" s="74"/>
      <c r="O18" s="74"/>
      <c r="P18"/>
    </row>
    <row r="19" spans="2:16" hidden="1" x14ac:dyDescent="0.25">
      <c r="B19" s="192" t="s">
        <v>25</v>
      </c>
      <c r="C19" s="126"/>
      <c r="D19" s="126"/>
      <c r="E19" s="191" t="e">
        <f t="shared" si="0"/>
        <v>#DIV/0!</v>
      </c>
      <c r="F19" s="126"/>
      <c r="G19" s="191" t="e">
        <f t="shared" si="1"/>
        <v>#DIV/0!</v>
      </c>
      <c r="H19" s="191"/>
      <c r="I19"/>
      <c r="J19"/>
      <c r="K19"/>
      <c r="N19"/>
      <c r="O19" s="74"/>
      <c r="P19"/>
    </row>
    <row r="20" spans="2:16" hidden="1" x14ac:dyDescent="0.25">
      <c r="B20" s="194" t="s">
        <v>26</v>
      </c>
      <c r="C20" s="126"/>
      <c r="D20" s="126"/>
      <c r="E20" s="191" t="e">
        <f t="shared" si="0"/>
        <v>#DIV/0!</v>
      </c>
      <c r="F20" s="126"/>
      <c r="G20" s="191" t="e">
        <f t="shared" si="1"/>
        <v>#DIV/0!</v>
      </c>
      <c r="H20" s="191"/>
      <c r="I20"/>
      <c r="J20"/>
      <c r="K20"/>
      <c r="N20"/>
      <c r="O20"/>
      <c r="P20"/>
    </row>
    <row r="21" spans="2:16" hidden="1" x14ac:dyDescent="0.25">
      <c r="B21" s="194" t="s">
        <v>27</v>
      </c>
      <c r="C21" s="126"/>
      <c r="D21" s="126"/>
      <c r="E21" s="191" t="e">
        <f t="shared" si="0"/>
        <v>#DIV/0!</v>
      </c>
      <c r="F21" s="126"/>
      <c r="G21" s="191" t="e">
        <f t="shared" si="1"/>
        <v>#DIV/0!</v>
      </c>
      <c r="H21" s="191"/>
      <c r="I21"/>
      <c r="J21"/>
      <c r="K21"/>
      <c r="N21"/>
      <c r="O21" s="193"/>
      <c r="P21"/>
    </row>
    <row r="22" spans="2:16" ht="81.75" hidden="1" customHeight="1" x14ac:dyDescent="0.25">
      <c r="B22" s="127" t="s">
        <v>46</v>
      </c>
      <c r="C22" s="8" t="e">
        <f>+AVERAGE(C19:C21)</f>
        <v>#DIV/0!</v>
      </c>
      <c r="D22" s="8" t="e">
        <f>+AVERAGE(D19:D21)</f>
        <v>#DIV/0!</v>
      </c>
      <c r="E22" s="16" t="e">
        <f t="shared" si="0"/>
        <v>#DIV/0!</v>
      </c>
      <c r="F22" s="8" t="e">
        <f>+AVERAGE(F19:F21)</f>
        <v>#DIV/0!</v>
      </c>
      <c r="G22" s="16" t="e">
        <f t="shared" si="1"/>
        <v>#DIV/0!</v>
      </c>
      <c r="H22" s="16"/>
      <c r="I22"/>
      <c r="J22"/>
      <c r="K22"/>
      <c r="N22"/>
      <c r="O22" s="193"/>
      <c r="P22"/>
    </row>
    <row r="23" spans="2:16" hidden="1" x14ac:dyDescent="0.25">
      <c r="B23" s="28" t="s">
        <v>29</v>
      </c>
      <c r="C23" s="10" t="e">
        <f>+AVERAGE(C10,C14,C18,C22)</f>
        <v>#DIV/0!</v>
      </c>
      <c r="D23" s="10" t="e">
        <f>+AVERAGE(D10,D14,D18,D22)</f>
        <v>#DIV/0!</v>
      </c>
      <c r="E23" s="17" t="e">
        <f t="shared" si="0"/>
        <v>#DIV/0!</v>
      </c>
      <c r="F23" s="10" t="e">
        <f>+AVERAGE(F10,F14,F18,F22,)</f>
        <v>#DIV/0!</v>
      </c>
      <c r="G23" s="17" t="e">
        <f t="shared" si="1"/>
        <v>#DIV/0!</v>
      </c>
      <c r="H23" s="17"/>
      <c r="I23"/>
      <c r="J23"/>
      <c r="K23"/>
      <c r="N23"/>
      <c r="O23" s="193"/>
      <c r="P23"/>
    </row>
    <row r="24" spans="2:16" ht="16.5" customHeight="1" x14ac:dyDescent="0.25">
      <c r="B24" s="199" t="s">
        <v>47</v>
      </c>
      <c r="C24" s="187"/>
      <c r="D24"/>
      <c r="E24" s="193"/>
      <c r="F24"/>
      <c r="G24" s="193"/>
      <c r="H24" s="193"/>
      <c r="I24"/>
      <c r="J24"/>
      <c r="K24"/>
      <c r="N24"/>
      <c r="O24" s="193"/>
      <c r="P24"/>
    </row>
    <row r="25" spans="2:16" x14ac:dyDescent="0.25">
      <c r="B25" s="199"/>
      <c r="C25" s="126"/>
      <c r="D25" s="126"/>
      <c r="E25" s="191"/>
      <c r="F25" s="126"/>
      <c r="G25" s="191"/>
      <c r="H25" s="191"/>
      <c r="I25"/>
      <c r="J25"/>
      <c r="K25"/>
      <c r="O25"/>
      <c r="P25"/>
    </row>
    <row r="26" spans="2:16" x14ac:dyDescent="0.25">
      <c r="B26" s="199"/>
      <c r="C26" s="126"/>
      <c r="D26" s="126"/>
      <c r="E26" s="191"/>
      <c r="F26" s="126"/>
      <c r="G26" s="191"/>
      <c r="H26" s="191"/>
      <c r="I26"/>
      <c r="J26"/>
      <c r="K26"/>
      <c r="L26"/>
      <c r="M26" s="193"/>
      <c r="N26"/>
      <c r="O26"/>
      <c r="P26"/>
    </row>
    <row r="27" spans="2:16" x14ac:dyDescent="0.25">
      <c r="B27" s="199"/>
      <c r="C27" s="126"/>
      <c r="D27" s="126"/>
      <c r="E27" s="191"/>
      <c r="F27" s="126"/>
      <c r="G27" s="191"/>
      <c r="H27" s="191"/>
      <c r="I27"/>
      <c r="J27"/>
      <c r="K27"/>
      <c r="L27"/>
      <c r="M27" s="193"/>
      <c r="N27"/>
      <c r="O27"/>
      <c r="P27"/>
    </row>
    <row r="28" spans="2:16" x14ac:dyDescent="0.25">
      <c r="B28" s="192"/>
      <c r="C28" s="126"/>
      <c r="D28" s="126"/>
      <c r="E28" s="191"/>
      <c r="F28" s="126"/>
      <c r="G28" s="191"/>
      <c r="H28" s="191"/>
      <c r="I28"/>
      <c r="J28"/>
      <c r="K28"/>
      <c r="L28"/>
      <c r="M28"/>
      <c r="N28"/>
      <c r="O28"/>
      <c r="P28"/>
    </row>
    <row r="29" spans="2:16" x14ac:dyDescent="0.25">
      <c r="B29"/>
      <c r="C29"/>
      <c r="D29"/>
      <c r="E29"/>
      <c r="F29"/>
      <c r="G29"/>
      <c r="H29"/>
      <c r="I29"/>
      <c r="J29"/>
      <c r="K29"/>
      <c r="L29"/>
      <c r="M29"/>
      <c r="N29"/>
      <c r="O29"/>
      <c r="P29"/>
    </row>
    <row r="30" spans="2:16" x14ac:dyDescent="0.25">
      <c r="B30"/>
      <c r="C30"/>
      <c r="D30"/>
      <c r="E30"/>
      <c r="F30"/>
      <c r="G30"/>
      <c r="H30"/>
      <c r="I30"/>
      <c r="J30"/>
      <c r="K30"/>
      <c r="L30"/>
      <c r="M30"/>
      <c r="N30"/>
      <c r="O30"/>
      <c r="P30"/>
    </row>
    <row r="31" spans="2:16" x14ac:dyDescent="0.25">
      <c r="B31"/>
      <c r="C31"/>
      <c r="D31"/>
      <c r="E31"/>
      <c r="F31"/>
      <c r="G31"/>
      <c r="H31"/>
      <c r="I31"/>
      <c r="J31"/>
      <c r="K31"/>
      <c r="L31"/>
      <c r="M31"/>
      <c r="N31"/>
      <c r="O31"/>
      <c r="P31"/>
    </row>
    <row r="32" spans="2:16" x14ac:dyDescent="0.25">
      <c r="B32"/>
      <c r="C32"/>
      <c r="D32"/>
      <c r="E32"/>
      <c r="F32"/>
      <c r="G32"/>
      <c r="H32"/>
      <c r="I32"/>
      <c r="J32"/>
      <c r="K32"/>
      <c r="L32"/>
      <c r="M32"/>
      <c r="N32"/>
      <c r="O32"/>
      <c r="P32"/>
    </row>
    <row r="33" spans="2:16" x14ac:dyDescent="0.25">
      <c r="B33"/>
      <c r="C33"/>
      <c r="D33"/>
      <c r="E33"/>
      <c r="F33"/>
      <c r="G33"/>
      <c r="H33"/>
      <c r="I33"/>
      <c r="J33"/>
      <c r="K33"/>
      <c r="L33"/>
      <c r="M33"/>
      <c r="N33"/>
      <c r="O33"/>
      <c r="P33"/>
    </row>
    <row r="34" spans="2:16" x14ac:dyDescent="0.25">
      <c r="B34"/>
      <c r="C34"/>
      <c r="D34"/>
      <c r="E34"/>
      <c r="F34"/>
      <c r="G34"/>
      <c r="H34"/>
      <c r="I34"/>
      <c r="J34"/>
      <c r="K34"/>
      <c r="L34"/>
      <c r="M34"/>
      <c r="N34"/>
      <c r="O34"/>
      <c r="P34"/>
    </row>
    <row r="35" spans="2:16" x14ac:dyDescent="0.25">
      <c r="B35"/>
      <c r="C35"/>
      <c r="D35"/>
      <c r="E35"/>
      <c r="F35"/>
      <c r="G35"/>
      <c r="H35"/>
      <c r="I35"/>
      <c r="J35"/>
      <c r="K35"/>
      <c r="L35"/>
      <c r="M35"/>
      <c r="N35"/>
      <c r="O35"/>
      <c r="P35"/>
    </row>
    <row r="36" spans="2:16" x14ac:dyDescent="0.25">
      <c r="B36"/>
      <c r="C36"/>
      <c r="D36"/>
      <c r="E36"/>
      <c r="F36"/>
      <c r="G36"/>
      <c r="H36"/>
      <c r="I36"/>
      <c r="J36"/>
      <c r="K36"/>
      <c r="L36"/>
      <c r="M36"/>
      <c r="N36"/>
      <c r="O36"/>
      <c r="P36"/>
    </row>
    <row r="37" spans="2:16" x14ac:dyDescent="0.25">
      <c r="B37"/>
      <c r="C37"/>
      <c r="D37"/>
      <c r="E37"/>
      <c r="F37"/>
      <c r="G37"/>
      <c r="H37"/>
      <c r="I37"/>
      <c r="J37"/>
      <c r="K37"/>
      <c r="L37"/>
      <c r="M37"/>
      <c r="N37"/>
      <c r="O37"/>
      <c r="P37"/>
    </row>
    <row r="38" spans="2:16" x14ac:dyDescent="0.25">
      <c r="B38"/>
      <c r="C38"/>
      <c r="D38"/>
      <c r="E38"/>
      <c r="F38"/>
      <c r="G38"/>
      <c r="H38"/>
      <c r="I38"/>
      <c r="J38"/>
      <c r="K38"/>
      <c r="L38"/>
      <c r="M38"/>
      <c r="N38"/>
      <c r="O38"/>
      <c r="P38"/>
    </row>
    <row r="39" spans="2:16" x14ac:dyDescent="0.25">
      <c r="B39"/>
      <c r="C39"/>
      <c r="D39"/>
      <c r="E39"/>
      <c r="F39"/>
      <c r="G39"/>
      <c r="H39"/>
      <c r="I39"/>
      <c r="J39"/>
      <c r="K39"/>
      <c r="L39"/>
      <c r="M39"/>
      <c r="N39"/>
      <c r="O39"/>
      <c r="P39"/>
    </row>
    <row r="40" spans="2:16" x14ac:dyDescent="0.25">
      <c r="B40"/>
      <c r="C40"/>
      <c r="D40"/>
      <c r="E40"/>
      <c r="F40"/>
      <c r="G40"/>
      <c r="H40"/>
      <c r="I40"/>
      <c r="J40"/>
      <c r="K40"/>
      <c r="L40"/>
      <c r="M40"/>
      <c r="N40"/>
      <c r="O40"/>
      <c r="P40"/>
    </row>
    <row r="41" spans="2:16" x14ac:dyDescent="0.25">
      <c r="B41"/>
      <c r="C41"/>
      <c r="D41"/>
      <c r="E41"/>
      <c r="F41"/>
      <c r="G41"/>
      <c r="H41"/>
      <c r="I41"/>
      <c r="J41"/>
      <c r="K41"/>
      <c r="L41"/>
      <c r="M41"/>
      <c r="N41"/>
      <c r="O41"/>
      <c r="P41"/>
    </row>
    <row r="42" spans="2:16" x14ac:dyDescent="0.25">
      <c r="B42"/>
      <c r="C42"/>
      <c r="D42"/>
      <c r="E42"/>
      <c r="F42"/>
      <c r="G42"/>
      <c r="H42"/>
      <c r="I42"/>
      <c r="J42"/>
      <c r="K42"/>
      <c r="L42"/>
      <c r="M42"/>
      <c r="N42"/>
      <c r="O42"/>
      <c r="P42"/>
    </row>
    <row r="43" spans="2:16" x14ac:dyDescent="0.25">
      <c r="B43"/>
      <c r="C43"/>
      <c r="D43"/>
      <c r="E43"/>
      <c r="F43"/>
      <c r="G43"/>
      <c r="H43"/>
      <c r="I43"/>
      <c r="J43"/>
      <c r="K43"/>
      <c r="L43"/>
      <c r="M43"/>
      <c r="N43"/>
      <c r="O43"/>
      <c r="P43"/>
    </row>
    <row r="44" spans="2:16" x14ac:dyDescent="0.25">
      <c r="B44"/>
      <c r="C44"/>
      <c r="D44"/>
      <c r="E44"/>
      <c r="F44"/>
      <c r="G44"/>
      <c r="H44"/>
      <c r="I44"/>
      <c r="J44"/>
      <c r="K44"/>
      <c r="L44"/>
      <c r="M44"/>
      <c r="N44"/>
      <c r="O44" t="s">
        <v>48</v>
      </c>
      <c r="P44"/>
    </row>
    <row r="45" spans="2:16" x14ac:dyDescent="0.25">
      <c r="B45"/>
      <c r="D45"/>
      <c r="E45"/>
      <c r="F45"/>
      <c r="G45"/>
      <c r="H45"/>
      <c r="I45"/>
      <c r="J45"/>
      <c r="K45"/>
      <c r="L45"/>
      <c r="M45"/>
      <c r="N45"/>
      <c r="O45"/>
      <c r="P45"/>
    </row>
    <row r="46" spans="2:16" x14ac:dyDescent="0.25">
      <c r="B46"/>
      <c r="C46"/>
      <c r="D46"/>
      <c r="E46"/>
      <c r="F46"/>
      <c r="G46"/>
      <c r="H46"/>
      <c r="I46"/>
      <c r="J46"/>
      <c r="K46"/>
      <c r="L46"/>
      <c r="M46"/>
      <c r="N46"/>
      <c r="O46"/>
      <c r="P46"/>
    </row>
    <row r="47" spans="2:16" x14ac:dyDescent="0.25">
      <c r="B47"/>
      <c r="C47"/>
      <c r="D47"/>
      <c r="E47"/>
      <c r="F47"/>
      <c r="G47"/>
      <c r="H47"/>
      <c r="I47"/>
      <c r="J47"/>
      <c r="K47"/>
      <c r="L47"/>
      <c r="M47"/>
      <c r="N47"/>
      <c r="O47"/>
      <c r="P47"/>
    </row>
    <row r="59" spans="3:4" x14ac:dyDescent="0.25">
      <c r="C59"/>
      <c r="D59" s="196"/>
    </row>
    <row r="60" spans="3:4" x14ac:dyDescent="0.25">
      <c r="C60"/>
      <c r="D60" s="18"/>
    </row>
    <row r="75" spans="6:10" x14ac:dyDescent="0.25">
      <c r="F75"/>
      <c r="G75"/>
      <c r="H75"/>
      <c r="I75"/>
      <c r="J75"/>
    </row>
    <row r="76" spans="6:10" x14ac:dyDescent="0.25">
      <c r="F76"/>
      <c r="G76"/>
      <c r="H76"/>
      <c r="I76"/>
      <c r="J76"/>
    </row>
    <row r="77" spans="6:10" x14ac:dyDescent="0.25">
      <c r="F77"/>
      <c r="G77"/>
      <c r="H77"/>
      <c r="I77"/>
      <c r="J77"/>
    </row>
    <row r="78" spans="6:10" x14ac:dyDescent="0.25">
      <c r="F78"/>
      <c r="G78"/>
      <c r="H78"/>
      <c r="I78"/>
      <c r="J78"/>
    </row>
    <row r="79" spans="6:10" x14ac:dyDescent="0.25">
      <c r="F79"/>
      <c r="G79"/>
      <c r="H79"/>
      <c r="I79"/>
      <c r="J79"/>
    </row>
    <row r="80" spans="6:10" x14ac:dyDescent="0.25">
      <c r="F80"/>
      <c r="G80"/>
      <c r="H80"/>
      <c r="I80"/>
      <c r="J80"/>
    </row>
    <row r="81" spans="6:10" x14ac:dyDescent="0.25">
      <c r="F81"/>
      <c r="G81"/>
      <c r="H81"/>
      <c r="I81"/>
      <c r="J81"/>
    </row>
    <row r="82" spans="6:10" x14ac:dyDescent="0.25">
      <c r="F82"/>
      <c r="G82"/>
      <c r="H82"/>
      <c r="I82"/>
      <c r="J82"/>
    </row>
    <row r="83" spans="6:10" x14ac:dyDescent="0.25">
      <c r="F83"/>
      <c r="G83"/>
      <c r="H83"/>
      <c r="I83"/>
      <c r="J83"/>
    </row>
    <row r="84" spans="6:10" x14ac:dyDescent="0.25">
      <c r="F84"/>
      <c r="G84"/>
      <c r="H84"/>
      <c r="I84"/>
      <c r="J84"/>
    </row>
  </sheetData>
  <mergeCells count="5">
    <mergeCell ref="B1:H1"/>
    <mergeCell ref="B2:H2"/>
    <mergeCell ref="B3:H3"/>
    <mergeCell ref="B4:H4"/>
    <mergeCell ref="B5:H5"/>
  </mergeCells>
  <pageMargins left="0.7" right="0.7" top="0.75" bottom="0.75" header="0.3" footer="0.3"/>
  <pageSetup paperSize="9" scale="52" orientation="portrait" r:id="rId1"/>
  <ignoredErrors>
    <ignoredError sqref="G10 E10:F10"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7AF43-9125-428C-AE7A-AF39F7B88997}">
  <sheetPr>
    <tabColor rgb="FFFFC000"/>
    <pageSetUpPr fitToPage="1"/>
  </sheetPr>
  <dimension ref="B1:P47"/>
  <sheetViews>
    <sheetView showGridLines="0" zoomScaleNormal="100" workbookViewId="0">
      <selection activeCell="B5" sqref="B5:G5"/>
    </sheetView>
  </sheetViews>
  <sheetFormatPr baseColWidth="10" defaultColWidth="11.42578125" defaultRowHeight="15" x14ac:dyDescent="0.25"/>
  <cols>
    <col min="1" max="1" width="5.140625" style="1" customWidth="1"/>
    <col min="2" max="2" width="12.42578125" style="1" customWidth="1"/>
    <col min="3" max="3" width="14.42578125" style="1" customWidth="1"/>
    <col min="4" max="12" width="11.42578125" style="1"/>
    <col min="13" max="13" width="0" style="1" hidden="1" customWidth="1"/>
    <col min="14" max="14" width="12.7109375" style="1" hidden="1" customWidth="1"/>
    <col min="15" max="16" width="0" style="1" hidden="1" customWidth="1"/>
    <col min="17" max="16384" width="11.42578125" style="1"/>
  </cols>
  <sheetData>
    <row r="1" spans="2:16" x14ac:dyDescent="0.25">
      <c r="B1" s="339" t="s">
        <v>0</v>
      </c>
      <c r="C1" s="339"/>
      <c r="D1" s="339"/>
      <c r="E1" s="339"/>
      <c r="F1" s="339"/>
      <c r="G1" s="339"/>
    </row>
    <row r="2" spans="2:16" x14ac:dyDescent="0.25">
      <c r="B2" s="339" t="s">
        <v>33</v>
      </c>
      <c r="C2" s="339"/>
      <c r="D2" s="339"/>
      <c r="E2" s="339"/>
      <c r="F2" s="339"/>
      <c r="G2" s="339"/>
    </row>
    <row r="3" spans="2:16" x14ac:dyDescent="0.25">
      <c r="B3" s="339" t="s">
        <v>49</v>
      </c>
      <c r="C3" s="339"/>
      <c r="D3" s="339"/>
      <c r="E3" s="339"/>
      <c r="F3" s="339"/>
      <c r="G3" s="339"/>
    </row>
    <row r="4" spans="2:16" x14ac:dyDescent="0.25">
      <c r="B4" s="339" t="s">
        <v>50</v>
      </c>
      <c r="C4" s="339"/>
      <c r="D4" s="339"/>
      <c r="E4" s="339"/>
      <c r="F4" s="339"/>
      <c r="G4" s="339"/>
    </row>
    <row r="5" spans="2:16" x14ac:dyDescent="0.25">
      <c r="B5" s="339" t="s">
        <v>4</v>
      </c>
      <c r="C5" s="339"/>
      <c r="D5" s="339"/>
      <c r="E5" s="339"/>
      <c r="F5" s="339"/>
      <c r="G5" s="339"/>
    </row>
    <row r="6" spans="2:16" ht="30.75" customHeight="1" x14ac:dyDescent="0.25">
      <c r="B6" s="344" t="s">
        <v>51</v>
      </c>
      <c r="C6" s="344"/>
      <c r="D6" s="344"/>
      <c r="E6" s="344"/>
      <c r="F6" s="344"/>
      <c r="G6" s="344"/>
      <c r="H6"/>
      <c r="I6"/>
      <c r="J6"/>
      <c r="K6"/>
      <c r="L6"/>
    </row>
    <row r="7" spans="2:16" ht="15" customHeight="1" x14ac:dyDescent="0.25">
      <c r="B7" s="129"/>
      <c r="C7" s="130" t="s">
        <v>52</v>
      </c>
      <c r="D7" s="130" t="s">
        <v>53</v>
      </c>
      <c r="E7" s="130" t="s">
        <v>29</v>
      </c>
      <c r="F7" s="130" t="s">
        <v>54</v>
      </c>
      <c r="G7" s="130" t="s">
        <v>55</v>
      </c>
      <c r="H7"/>
      <c r="I7"/>
      <c r="J7"/>
      <c r="K7"/>
      <c r="L7"/>
      <c r="M7" s="1" t="s">
        <v>56</v>
      </c>
    </row>
    <row r="8" spans="2:16" x14ac:dyDescent="0.25">
      <c r="B8" s="194" t="s">
        <v>13</v>
      </c>
      <c r="C8" s="126">
        <v>17723.2</v>
      </c>
      <c r="D8" s="126">
        <v>4430.8</v>
      </c>
      <c r="E8" s="19">
        <f>+C8+D8</f>
        <v>22154</v>
      </c>
      <c r="F8" s="20">
        <f>C8/E8</f>
        <v>0.8</v>
      </c>
      <c r="G8" s="20">
        <f>+D8/E8</f>
        <v>0.2</v>
      </c>
      <c r="H8"/>
      <c r="I8"/>
      <c r="J8"/>
      <c r="K8"/>
      <c r="L8"/>
      <c r="M8" s="14">
        <v>29288</v>
      </c>
    </row>
    <row r="9" spans="2:16" x14ac:dyDescent="0.25">
      <c r="B9" s="194" t="s">
        <v>14</v>
      </c>
      <c r="C9" s="126">
        <v>17895.2</v>
      </c>
      <c r="D9" s="126">
        <v>4473.8</v>
      </c>
      <c r="E9" s="19">
        <f t="shared" ref="E9:E22" si="0">+C9+D9</f>
        <v>22369</v>
      </c>
      <c r="F9" s="20">
        <f>C9/E9</f>
        <v>0.8</v>
      </c>
      <c r="G9" s="20">
        <f>+D9/E9</f>
        <v>0.2</v>
      </c>
      <c r="H9"/>
      <c r="I9"/>
      <c r="J9"/>
      <c r="K9"/>
      <c r="L9"/>
      <c r="M9" s="14">
        <v>29900</v>
      </c>
      <c r="P9" s="14">
        <f>+E9-E8</f>
        <v>215</v>
      </c>
    </row>
    <row r="10" spans="2:16" x14ac:dyDescent="0.25">
      <c r="B10" s="1" t="s">
        <v>262</v>
      </c>
      <c r="C10" s="126">
        <v>17891.2</v>
      </c>
      <c r="D10" s="126">
        <v>4472.8</v>
      </c>
      <c r="E10" s="19">
        <f>+C10+D10</f>
        <v>22364</v>
      </c>
      <c r="F10" s="20">
        <f>C10/E10</f>
        <v>0.8</v>
      </c>
      <c r="G10" s="20">
        <f>+D10/E10</f>
        <v>0.2</v>
      </c>
      <c r="H10"/>
      <c r="I10"/>
      <c r="J10"/>
      <c r="K10"/>
      <c r="L10"/>
      <c r="M10" s="14">
        <v>30160</v>
      </c>
      <c r="P10" s="14">
        <f>+E10-E9</f>
        <v>-5</v>
      </c>
    </row>
    <row r="11" spans="2:16" ht="25.5" x14ac:dyDescent="0.25">
      <c r="B11" s="127" t="s">
        <v>57</v>
      </c>
      <c r="C11" s="80">
        <f>AVERAGE(C8:C10)</f>
        <v>17836.533333333336</v>
      </c>
      <c r="D11" s="80">
        <f>AVERAGE(D8:D10)</f>
        <v>4459.1333333333341</v>
      </c>
      <c r="E11" s="80">
        <f>AVERAGE(E8:E10)</f>
        <v>22295.666666666668</v>
      </c>
      <c r="F11" s="16">
        <f>+AVERAGE(F8:F10)</f>
        <v>0.80000000000000016</v>
      </c>
      <c r="G11" s="16">
        <f>+AVERAGE(G8:G10)</f>
        <v>0.20000000000000004</v>
      </c>
      <c r="H11"/>
      <c r="I11"/>
      <c r="J11"/>
      <c r="K11"/>
      <c r="L11"/>
      <c r="M11" s="14">
        <v>29782.666666666668</v>
      </c>
      <c r="N11" s="75">
        <f>+(E11-M11)/E11*100</f>
        <v>-33.580516393320075</v>
      </c>
      <c r="P11" s="14">
        <f>+E11-M11</f>
        <v>-7487</v>
      </c>
    </row>
    <row r="12" spans="2:16" hidden="1" x14ac:dyDescent="0.25">
      <c r="B12" s="53" t="s">
        <v>17</v>
      </c>
      <c r="C12" s="126"/>
      <c r="D12" s="126"/>
      <c r="E12" s="19">
        <f>+C12+D12</f>
        <v>0</v>
      </c>
      <c r="F12" s="20" t="e">
        <f>+C12/E12</f>
        <v>#DIV/0!</v>
      </c>
      <c r="G12" s="20" t="e">
        <f>+D12/E12</f>
        <v>#DIV/0!</v>
      </c>
      <c r="H12"/>
      <c r="I12"/>
      <c r="J12"/>
      <c r="K12"/>
      <c r="L12"/>
    </row>
    <row r="13" spans="2:16" hidden="1" x14ac:dyDescent="0.25">
      <c r="B13" s="53" t="s">
        <v>18</v>
      </c>
      <c r="C13" s="126"/>
      <c r="D13" s="126"/>
      <c r="E13" s="19">
        <f t="shared" si="0"/>
        <v>0</v>
      </c>
      <c r="F13" s="20" t="e">
        <f>+C13/E13</f>
        <v>#DIV/0!</v>
      </c>
      <c r="G13" s="20" t="e">
        <f>+D13/E13</f>
        <v>#DIV/0!</v>
      </c>
      <c r="H13"/>
      <c r="I13"/>
      <c r="J13"/>
      <c r="K13"/>
      <c r="L13"/>
    </row>
    <row r="14" spans="2:16" hidden="1" x14ac:dyDescent="0.25">
      <c r="B14" s="53" t="s">
        <v>19</v>
      </c>
      <c r="C14" s="126"/>
      <c r="D14" s="126"/>
      <c r="E14" s="19">
        <f t="shared" si="0"/>
        <v>0</v>
      </c>
      <c r="F14" s="20" t="e">
        <f>+C14/E14</f>
        <v>#DIV/0!</v>
      </c>
      <c r="G14" s="20" t="e">
        <f>+D14/E14</f>
        <v>#DIV/0!</v>
      </c>
      <c r="H14"/>
      <c r="I14"/>
      <c r="J14"/>
      <c r="K14"/>
      <c r="L14"/>
    </row>
    <row r="15" spans="2:16" ht="25.5" hidden="1" x14ac:dyDescent="0.25">
      <c r="B15" s="127" t="s">
        <v>43</v>
      </c>
      <c r="C15" s="8" t="e">
        <f>AVERAGE(C12:C14)</f>
        <v>#DIV/0!</v>
      </c>
      <c r="D15" s="8" t="e">
        <f>AVERAGE(D12:D14)</f>
        <v>#DIV/0!</v>
      </c>
      <c r="E15" s="8">
        <f>AVERAGE(E12:E14)</f>
        <v>0</v>
      </c>
      <c r="F15" s="16" t="e">
        <f>+AVERAGE(F12:F14)</f>
        <v>#DIV/0!</v>
      </c>
      <c r="G15" s="16" t="e">
        <f>+AVERAGE(G12:G14)</f>
        <v>#DIV/0!</v>
      </c>
      <c r="H15"/>
      <c r="I15"/>
      <c r="J15"/>
      <c r="K15"/>
      <c r="L15"/>
    </row>
    <row r="16" spans="2:16" hidden="1" x14ac:dyDescent="0.25">
      <c r="B16" s="53" t="s">
        <v>44</v>
      </c>
      <c r="C16" s="126"/>
      <c r="D16" s="126"/>
      <c r="E16" s="19">
        <f t="shared" si="0"/>
        <v>0</v>
      </c>
      <c r="F16" s="20" t="e">
        <f>+C16/E16</f>
        <v>#DIV/0!</v>
      </c>
      <c r="G16" s="20" t="e">
        <f>+D16/E16</f>
        <v>#DIV/0!</v>
      </c>
      <c r="H16"/>
      <c r="I16"/>
      <c r="J16"/>
      <c r="K16"/>
      <c r="L16"/>
    </row>
    <row r="17" spans="2:13" hidden="1" x14ac:dyDescent="0.25">
      <c r="B17" s="53" t="s">
        <v>22</v>
      </c>
      <c r="C17" s="126"/>
      <c r="D17" s="126"/>
      <c r="E17" s="19">
        <f t="shared" si="0"/>
        <v>0</v>
      </c>
      <c r="F17" s="20" t="e">
        <f>+C17/E17</f>
        <v>#DIV/0!</v>
      </c>
      <c r="G17" s="20" t="e">
        <f>+D17/E17</f>
        <v>#DIV/0!</v>
      </c>
      <c r="H17"/>
      <c r="I17"/>
      <c r="J17"/>
      <c r="K17"/>
      <c r="L17"/>
    </row>
    <row r="18" spans="2:13" hidden="1" x14ac:dyDescent="0.25">
      <c r="B18" s="53" t="s">
        <v>23</v>
      </c>
      <c r="C18" s="126"/>
      <c r="D18" s="126"/>
      <c r="E18" s="19">
        <f t="shared" si="0"/>
        <v>0</v>
      </c>
      <c r="F18" s="20" t="e">
        <f>+C18/E18</f>
        <v>#DIV/0!</v>
      </c>
      <c r="G18" s="20" t="e">
        <f>+D18/E18</f>
        <v>#DIV/0!</v>
      </c>
      <c r="H18"/>
      <c r="I18"/>
      <c r="J18"/>
      <c r="K18"/>
      <c r="L18"/>
    </row>
    <row r="19" spans="2:13" ht="25.5" hidden="1" x14ac:dyDescent="0.25">
      <c r="B19" s="127" t="s">
        <v>45</v>
      </c>
      <c r="C19" s="8" t="e">
        <f>AVERAGE(C16:C18)</f>
        <v>#DIV/0!</v>
      </c>
      <c r="D19" s="8" t="e">
        <f>AVERAGE(D16:D18)</f>
        <v>#DIV/0!</v>
      </c>
      <c r="E19" s="8">
        <f>AVERAGE(E16:E18)</f>
        <v>0</v>
      </c>
      <c r="F19" s="16" t="e">
        <f>+AVERAGE(F16:F18)</f>
        <v>#DIV/0!</v>
      </c>
      <c r="G19" s="16" t="e">
        <f>+AVERAGE(G16:G18)</f>
        <v>#DIV/0!</v>
      </c>
      <c r="H19"/>
      <c r="I19"/>
      <c r="J19"/>
      <c r="K19"/>
      <c r="L19"/>
    </row>
    <row r="20" spans="2:13" hidden="1" x14ac:dyDescent="0.25">
      <c r="B20" s="53" t="s">
        <v>25</v>
      </c>
      <c r="C20" s="126"/>
      <c r="D20" s="126"/>
      <c r="E20" s="19">
        <f t="shared" si="0"/>
        <v>0</v>
      </c>
      <c r="F20" s="20" t="e">
        <f>+C20/E20</f>
        <v>#DIV/0!</v>
      </c>
      <c r="G20" s="20" t="e">
        <f>+D20/E20</f>
        <v>#DIV/0!</v>
      </c>
      <c r="H20"/>
      <c r="I20"/>
      <c r="J20"/>
      <c r="K20"/>
      <c r="L20"/>
    </row>
    <row r="21" spans="2:13" hidden="1" x14ac:dyDescent="0.25">
      <c r="B21" s="53" t="s">
        <v>26</v>
      </c>
      <c r="C21" s="126"/>
      <c r="D21" s="126"/>
      <c r="E21" s="19">
        <f t="shared" si="0"/>
        <v>0</v>
      </c>
      <c r="F21" s="20" t="e">
        <f>+C21/E21</f>
        <v>#DIV/0!</v>
      </c>
      <c r="G21" s="20" t="e">
        <f>+D21/E21</f>
        <v>#DIV/0!</v>
      </c>
      <c r="H21"/>
      <c r="I21"/>
      <c r="J21"/>
      <c r="K21"/>
      <c r="L21"/>
    </row>
    <row r="22" spans="2:13" hidden="1" x14ac:dyDescent="0.25">
      <c r="B22" s="53" t="s">
        <v>27</v>
      </c>
      <c r="C22" s="126"/>
      <c r="D22" s="126"/>
      <c r="E22" s="19">
        <f t="shared" si="0"/>
        <v>0</v>
      </c>
      <c r="F22" s="20" t="e">
        <f>+C22/E22</f>
        <v>#DIV/0!</v>
      </c>
      <c r="G22" s="20" t="e">
        <f>+D22/E22</f>
        <v>#DIV/0!</v>
      </c>
      <c r="H22"/>
      <c r="I22"/>
      <c r="J22"/>
      <c r="K22"/>
      <c r="L22"/>
    </row>
    <row r="23" spans="2:13" ht="25.5" hidden="1" x14ac:dyDescent="0.25">
      <c r="B23" s="127" t="s">
        <v>46</v>
      </c>
      <c r="C23" s="8" t="e">
        <f t="shared" ref="C23:E24" si="1">AVERAGE(C20:C22)</f>
        <v>#DIV/0!</v>
      </c>
      <c r="D23" s="8" t="e">
        <f t="shared" si="1"/>
        <v>#DIV/0!</v>
      </c>
      <c r="E23" s="8">
        <f t="shared" si="1"/>
        <v>0</v>
      </c>
      <c r="F23" s="16" t="e">
        <f>+AVERAGE(F20:F22)</f>
        <v>#DIV/0!</v>
      </c>
      <c r="G23" s="16" t="e">
        <f>+AVERAGE(G20:G22)</f>
        <v>#DIV/0!</v>
      </c>
      <c r="H23"/>
      <c r="I23"/>
      <c r="J23"/>
      <c r="K23"/>
      <c r="L23"/>
    </row>
    <row r="24" spans="2:13" hidden="1" x14ac:dyDescent="0.25">
      <c r="B24" s="28" t="s">
        <v>29</v>
      </c>
      <c r="C24" s="10" t="e">
        <f t="shared" si="1"/>
        <v>#DIV/0!</v>
      </c>
      <c r="D24" s="10" t="e">
        <f t="shared" si="1"/>
        <v>#DIV/0!</v>
      </c>
      <c r="E24" s="17">
        <f t="shared" si="1"/>
        <v>0</v>
      </c>
      <c r="F24" s="10" t="e">
        <f>+AVERAGE(F21:F23)</f>
        <v>#DIV/0!</v>
      </c>
      <c r="G24" s="17" t="e">
        <f>+AVERAGE(G21:G23)</f>
        <v>#DIV/0!</v>
      </c>
      <c r="H24"/>
      <c r="I24"/>
      <c r="J24" s="74"/>
      <c r="K24" s="74"/>
      <c r="L24" s="74"/>
    </row>
    <row r="25" spans="2:13" x14ac:dyDescent="0.25">
      <c r="B25" s="199" t="s">
        <v>58</v>
      </c>
      <c r="C25"/>
      <c r="D25"/>
      <c r="E25"/>
      <c r="F25"/>
      <c r="G25"/>
      <c r="H25"/>
      <c r="I25"/>
      <c r="J25"/>
      <c r="K25"/>
      <c r="L25"/>
      <c r="M25" s="18"/>
    </row>
    <row r="26" spans="2:13" x14ac:dyDescent="0.25">
      <c r="B26" s="199"/>
      <c r="C26"/>
      <c r="D26"/>
      <c r="E26"/>
      <c r="F26"/>
      <c r="G26"/>
      <c r="H26"/>
      <c r="I26"/>
      <c r="J26"/>
      <c r="K26"/>
      <c r="L26"/>
      <c r="M26" s="18"/>
    </row>
    <row r="27" spans="2:13" x14ac:dyDescent="0.25">
      <c r="B27" s="199"/>
      <c r="C27"/>
      <c r="D27"/>
      <c r="E27"/>
      <c r="F27"/>
      <c r="G27"/>
      <c r="H27"/>
      <c r="I27"/>
      <c r="J27"/>
      <c r="K27"/>
      <c r="L27"/>
      <c r="M27" s="18"/>
    </row>
    <row r="28" spans="2:13" x14ac:dyDescent="0.25">
      <c r="B28"/>
      <c r="C28"/>
      <c r="D28"/>
      <c r="E28"/>
      <c r="F28"/>
      <c r="G28"/>
      <c r="H28"/>
      <c r="I28"/>
      <c r="J28"/>
      <c r="K28"/>
      <c r="L28"/>
    </row>
    <row r="29" spans="2:13" x14ac:dyDescent="0.25">
      <c r="B29"/>
      <c r="C29"/>
      <c r="D29"/>
      <c r="E29"/>
      <c r="F29"/>
      <c r="G29"/>
      <c r="H29"/>
      <c r="I29"/>
      <c r="J29"/>
      <c r="K29"/>
      <c r="L29"/>
    </row>
    <row r="30" spans="2:13" x14ac:dyDescent="0.25">
      <c r="B30"/>
      <c r="C30"/>
      <c r="D30"/>
      <c r="E30"/>
      <c r="F30"/>
      <c r="G30"/>
      <c r="H30"/>
      <c r="I30"/>
      <c r="J30"/>
      <c r="K30"/>
      <c r="L30"/>
    </row>
    <row r="31" spans="2:13" x14ac:dyDescent="0.25">
      <c r="B31"/>
      <c r="C31"/>
      <c r="D31"/>
      <c r="E31"/>
      <c r="F31"/>
      <c r="G31"/>
      <c r="H31"/>
      <c r="I31"/>
      <c r="J31"/>
      <c r="K31"/>
      <c r="L31"/>
    </row>
    <row r="32" spans="2:13" x14ac:dyDescent="0.25">
      <c r="B32"/>
      <c r="C32"/>
      <c r="D32"/>
      <c r="E32"/>
      <c r="F32"/>
      <c r="G32"/>
      <c r="H32"/>
      <c r="I32"/>
      <c r="J32"/>
      <c r="K32"/>
      <c r="L32"/>
    </row>
    <row r="33" spans="2:12" x14ac:dyDescent="0.25">
      <c r="B33"/>
      <c r="C33"/>
      <c r="D33"/>
      <c r="E33"/>
      <c r="F33"/>
      <c r="G33"/>
      <c r="H33"/>
      <c r="I33"/>
      <c r="J33"/>
      <c r="K33"/>
      <c r="L33"/>
    </row>
    <row r="34" spans="2:12" x14ac:dyDescent="0.25">
      <c r="B34"/>
      <c r="C34"/>
      <c r="D34"/>
      <c r="E34"/>
      <c r="F34"/>
      <c r="G34"/>
      <c r="H34"/>
      <c r="I34"/>
      <c r="J34"/>
      <c r="K34"/>
      <c r="L34"/>
    </row>
    <row r="35" spans="2:12" x14ac:dyDescent="0.25">
      <c r="B35"/>
      <c r="C35"/>
      <c r="D35"/>
      <c r="E35"/>
      <c r="F35"/>
      <c r="G35"/>
      <c r="H35"/>
      <c r="I35"/>
      <c r="J35"/>
      <c r="K35"/>
      <c r="L35"/>
    </row>
    <row r="36" spans="2:12" x14ac:dyDescent="0.25">
      <c r="B36"/>
      <c r="C36"/>
      <c r="D36"/>
      <c r="E36"/>
      <c r="F36"/>
      <c r="G36"/>
      <c r="H36"/>
      <c r="I36"/>
      <c r="J36"/>
      <c r="K36"/>
      <c r="L36"/>
    </row>
    <row r="37" spans="2:12" x14ac:dyDescent="0.25">
      <c r="B37"/>
      <c r="C37"/>
      <c r="D37"/>
      <c r="E37"/>
      <c r="F37"/>
      <c r="G37"/>
      <c r="H37"/>
      <c r="I37"/>
      <c r="J37"/>
      <c r="K37"/>
      <c r="L37"/>
    </row>
    <row r="38" spans="2:12" x14ac:dyDescent="0.25">
      <c r="B38"/>
      <c r="C38"/>
      <c r="D38"/>
      <c r="E38"/>
      <c r="F38"/>
      <c r="G38"/>
      <c r="H38"/>
      <c r="I38"/>
      <c r="J38"/>
      <c r="K38"/>
      <c r="L38"/>
    </row>
    <row r="39" spans="2:12" x14ac:dyDescent="0.25">
      <c r="B39"/>
      <c r="C39"/>
      <c r="D39"/>
      <c r="E39"/>
      <c r="F39"/>
      <c r="G39"/>
      <c r="H39"/>
      <c r="I39"/>
      <c r="J39"/>
      <c r="K39"/>
      <c r="L39"/>
    </row>
    <row r="40" spans="2:12" x14ac:dyDescent="0.25">
      <c r="B40"/>
      <c r="C40"/>
      <c r="D40"/>
      <c r="E40"/>
      <c r="F40"/>
      <c r="G40"/>
      <c r="H40"/>
      <c r="I40"/>
      <c r="J40"/>
      <c r="K40"/>
      <c r="L40"/>
    </row>
    <row r="46" spans="2:12" x14ac:dyDescent="0.25">
      <c r="B46" s="53"/>
      <c r="C46" s="126"/>
      <c r="D46" s="126"/>
      <c r="E46" s="19"/>
      <c r="F46" s="20"/>
      <c r="G46" s="20"/>
    </row>
    <row r="47" spans="2:12" x14ac:dyDescent="0.25">
      <c r="B47" s="53"/>
      <c r="C47" s="126"/>
      <c r="D47" s="126"/>
      <c r="E47" s="19"/>
      <c r="F47" s="20"/>
      <c r="G47" s="20"/>
    </row>
  </sheetData>
  <mergeCells count="6">
    <mergeCell ref="B6:G6"/>
    <mergeCell ref="B1:G1"/>
    <mergeCell ref="B2:G2"/>
    <mergeCell ref="B3:G3"/>
    <mergeCell ref="B4:G4"/>
    <mergeCell ref="B5:G5"/>
  </mergeCells>
  <pageMargins left="0.7" right="0.7" top="0.75" bottom="0.75" header="0.3" footer="0.3"/>
  <pageSetup paperSize="9" scale="67" orientation="portrait" r:id="rId1"/>
  <ignoredErrors>
    <ignoredError sqref="E11 G11"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K41"/>
  <sheetViews>
    <sheetView showGridLines="0" zoomScale="115" zoomScaleNormal="115" workbookViewId="0">
      <selection activeCell="B8" sqref="B8:D10"/>
    </sheetView>
  </sheetViews>
  <sheetFormatPr baseColWidth="10" defaultColWidth="11.42578125" defaultRowHeight="15" x14ac:dyDescent="0.25"/>
  <cols>
    <col min="1" max="1" width="11.7109375" style="1" customWidth="1"/>
    <col min="2" max="2" width="20.5703125" style="1" customWidth="1"/>
    <col min="3" max="3" width="19.7109375" style="1" customWidth="1"/>
    <col min="4" max="4" width="20" style="1" customWidth="1"/>
    <col min="5" max="16384" width="11.42578125" style="1"/>
  </cols>
  <sheetData>
    <row r="1" spans="1:11" x14ac:dyDescent="0.25">
      <c r="A1" s="339" t="s">
        <v>0</v>
      </c>
      <c r="B1" s="339"/>
      <c r="C1" s="339"/>
      <c r="D1" s="339"/>
      <c r="E1" s="21"/>
      <c r="F1" s="21"/>
    </row>
    <row r="2" spans="1:11" x14ac:dyDescent="0.25">
      <c r="A2" s="339" t="s">
        <v>33</v>
      </c>
      <c r="B2" s="339"/>
      <c r="C2" s="339"/>
      <c r="D2" s="339"/>
      <c r="E2" s="22"/>
      <c r="F2" s="22"/>
    </row>
    <row r="3" spans="1:11" x14ac:dyDescent="0.25">
      <c r="A3" s="339" t="s">
        <v>59</v>
      </c>
      <c r="B3" s="339"/>
      <c r="C3" s="339"/>
      <c r="D3" s="339"/>
      <c r="E3" s="22"/>
      <c r="F3" s="22"/>
    </row>
    <row r="4" spans="1:11" x14ac:dyDescent="0.25">
      <c r="A4" s="339" t="s">
        <v>35</v>
      </c>
      <c r="B4" s="339"/>
      <c r="C4" s="339"/>
      <c r="D4" s="339"/>
      <c r="E4" s="21"/>
      <c r="F4" s="21"/>
    </row>
    <row r="5" spans="1:11" x14ac:dyDescent="0.25">
      <c r="A5" s="339" t="s">
        <v>4</v>
      </c>
      <c r="B5" s="339"/>
      <c r="C5" s="339"/>
      <c r="D5" s="339"/>
      <c r="E5" s="22"/>
      <c r="F5" s="22"/>
    </row>
    <row r="6" spans="1:11" x14ac:dyDescent="0.25">
      <c r="A6" s="344" t="s">
        <v>60</v>
      </c>
      <c r="B6" s="344"/>
      <c r="C6" s="344"/>
      <c r="D6" s="344"/>
      <c r="E6"/>
      <c r="F6"/>
      <c r="G6"/>
      <c r="H6"/>
      <c r="I6"/>
      <c r="J6"/>
      <c r="K6"/>
    </row>
    <row r="7" spans="1:11" x14ac:dyDescent="0.25">
      <c r="A7" s="129"/>
      <c r="B7" s="258" t="s">
        <v>61</v>
      </c>
      <c r="C7" s="259" t="s">
        <v>62</v>
      </c>
      <c r="D7" s="259" t="s">
        <v>63</v>
      </c>
      <c r="E7"/>
      <c r="F7"/>
      <c r="G7"/>
      <c r="H7"/>
      <c r="I7"/>
      <c r="J7"/>
      <c r="K7"/>
    </row>
    <row r="8" spans="1:11" x14ac:dyDescent="0.25">
      <c r="A8" s="70" t="s">
        <v>13</v>
      </c>
      <c r="B8" s="313">
        <v>90382931.652419999</v>
      </c>
      <c r="C8" s="313">
        <v>19840155.728579998</v>
      </c>
      <c r="D8" s="314">
        <f>+B8+C8</f>
        <v>110223087.381</v>
      </c>
      <c r="E8"/>
      <c r="F8" s="132"/>
      <c r="G8" s="132"/>
      <c r="H8"/>
      <c r="I8"/>
      <c r="J8"/>
      <c r="K8"/>
    </row>
    <row r="9" spans="1:11" x14ac:dyDescent="0.25">
      <c r="A9" s="70" t="s">
        <v>14</v>
      </c>
      <c r="B9" s="315">
        <v>82166301.502199993</v>
      </c>
      <c r="C9" s="313">
        <v>18036505.207799997</v>
      </c>
      <c r="D9" s="314">
        <f>+B9+C9</f>
        <v>100202806.70999999</v>
      </c>
      <c r="E9"/>
      <c r="F9"/>
      <c r="G9"/>
      <c r="H9"/>
      <c r="I9"/>
      <c r="J9"/>
      <c r="K9"/>
    </row>
    <row r="10" spans="1:11" x14ac:dyDescent="0.25">
      <c r="A10" s="70" t="s">
        <v>15</v>
      </c>
      <c r="B10" s="313">
        <v>79901969.525000021</v>
      </c>
      <c r="C10" s="313">
        <v>17539456.725000005</v>
      </c>
      <c r="D10" s="314">
        <f>+B10+C10</f>
        <v>97441426.25000003</v>
      </c>
      <c r="E10"/>
      <c r="F10"/>
      <c r="G10"/>
      <c r="H10"/>
      <c r="I10"/>
      <c r="J10"/>
      <c r="K10"/>
    </row>
    <row r="11" spans="1:11" x14ac:dyDescent="0.25">
      <c r="A11" s="27" t="s">
        <v>16</v>
      </c>
      <c r="B11" s="316">
        <f>SUM(B8:B10)</f>
        <v>252451202.67962003</v>
      </c>
      <c r="C11" s="316">
        <f>SUM(C8:C10)</f>
        <v>55416117.661380008</v>
      </c>
      <c r="D11" s="316">
        <f>SUM(D8:D10)</f>
        <v>307867320.34100002</v>
      </c>
      <c r="E11"/>
      <c r="F11"/>
      <c r="G11"/>
      <c r="H11"/>
      <c r="I11"/>
      <c r="J11"/>
      <c r="K11"/>
    </row>
    <row r="12" spans="1:11" hidden="1" x14ac:dyDescent="0.25">
      <c r="A12" s="201" t="s">
        <v>17</v>
      </c>
      <c r="B12" s="131"/>
      <c r="C12" s="131"/>
      <c r="D12" s="26">
        <f>+B12+C12</f>
        <v>0</v>
      </c>
      <c r="E12"/>
      <c r="F12" s="132"/>
      <c r="G12" s="132"/>
      <c r="H12"/>
      <c r="I12"/>
      <c r="J12"/>
      <c r="K12"/>
    </row>
    <row r="13" spans="1:11" hidden="1" x14ac:dyDescent="0.25">
      <c r="A13" s="201" t="s">
        <v>18</v>
      </c>
      <c r="B13" s="131"/>
      <c r="C13" s="131"/>
      <c r="D13" s="26">
        <f>+B13+C13</f>
        <v>0</v>
      </c>
      <c r="E13"/>
      <c r="F13"/>
      <c r="G13"/>
      <c r="H13"/>
      <c r="I13"/>
      <c r="J13"/>
      <c r="K13"/>
    </row>
    <row r="14" spans="1:11" hidden="1" x14ac:dyDescent="0.25">
      <c r="A14" s="201" t="s">
        <v>19</v>
      </c>
      <c r="B14" s="131"/>
      <c r="C14" s="131"/>
      <c r="D14" s="26">
        <f>+B14+C14</f>
        <v>0</v>
      </c>
      <c r="E14"/>
      <c r="F14"/>
      <c r="G14"/>
      <c r="H14"/>
      <c r="I14"/>
      <c r="J14"/>
      <c r="K14"/>
    </row>
    <row r="15" spans="1:11" hidden="1" x14ac:dyDescent="0.25">
      <c r="A15" s="27" t="s">
        <v>20</v>
      </c>
      <c r="B15" s="8">
        <f>SUM(B12:B14)</f>
        <v>0</v>
      </c>
      <c r="C15" s="8">
        <f>SUM(C12:C14)</f>
        <v>0</v>
      </c>
      <c r="D15" s="8">
        <f>SUM(D12:D14)</f>
        <v>0</v>
      </c>
      <c r="E15"/>
      <c r="F15"/>
      <c r="G15"/>
      <c r="H15"/>
      <c r="I15"/>
      <c r="J15"/>
      <c r="K15"/>
    </row>
    <row r="16" spans="1:11" hidden="1" x14ac:dyDescent="0.25">
      <c r="A16" s="201" t="s">
        <v>44</v>
      </c>
      <c r="B16" s="131"/>
      <c r="C16" s="131"/>
      <c r="D16" s="26">
        <f>+B16+C16</f>
        <v>0</v>
      </c>
      <c r="E16"/>
      <c r="F16" s="132"/>
      <c r="G16" s="132"/>
      <c r="H16"/>
      <c r="I16"/>
      <c r="J16"/>
      <c r="K16"/>
    </row>
    <row r="17" spans="1:11" hidden="1" x14ac:dyDescent="0.25">
      <c r="A17" s="201" t="s">
        <v>22</v>
      </c>
      <c r="B17" s="131"/>
      <c r="C17" s="131"/>
      <c r="D17" s="26">
        <f>+B17+C17</f>
        <v>0</v>
      </c>
      <c r="E17"/>
      <c r="F17"/>
      <c r="G17"/>
      <c r="H17"/>
      <c r="I17"/>
      <c r="J17"/>
      <c r="K17"/>
    </row>
    <row r="18" spans="1:11" hidden="1" x14ac:dyDescent="0.25">
      <c r="A18" s="201" t="s">
        <v>23</v>
      </c>
      <c r="B18" s="131"/>
      <c r="C18" s="131"/>
      <c r="D18" s="26">
        <f>+B18+C18</f>
        <v>0</v>
      </c>
      <c r="E18"/>
      <c r="F18"/>
      <c r="G18"/>
      <c r="H18"/>
      <c r="I18"/>
      <c r="J18"/>
      <c r="K18"/>
    </row>
    <row r="19" spans="1:11" hidden="1" x14ac:dyDescent="0.25">
      <c r="A19" s="27" t="s">
        <v>24</v>
      </c>
      <c r="B19" s="8">
        <f>SUM(B16:B18)</f>
        <v>0</v>
      </c>
      <c r="C19" s="8">
        <f>SUM(C16:C18)</f>
        <v>0</v>
      </c>
      <c r="D19" s="8">
        <f>SUM(D16:D18)</f>
        <v>0</v>
      </c>
      <c r="E19"/>
      <c r="F19"/>
      <c r="G19"/>
      <c r="H19"/>
      <c r="I19"/>
      <c r="J19"/>
      <c r="K19"/>
    </row>
    <row r="20" spans="1:11" hidden="1" x14ac:dyDescent="0.25">
      <c r="A20" s="201" t="s">
        <v>25</v>
      </c>
      <c r="B20" s="131"/>
      <c r="C20" s="131"/>
      <c r="D20" s="26">
        <f>+B20+C20</f>
        <v>0</v>
      </c>
      <c r="E20"/>
      <c r="F20" s="132"/>
      <c r="G20" s="132"/>
      <c r="H20"/>
      <c r="I20"/>
      <c r="J20"/>
      <c r="K20"/>
    </row>
    <row r="21" spans="1:11" hidden="1" x14ac:dyDescent="0.25">
      <c r="A21" s="201" t="s">
        <v>26</v>
      </c>
      <c r="B21" s="131"/>
      <c r="C21" s="131"/>
      <c r="D21" s="26">
        <f>+B21+C21</f>
        <v>0</v>
      </c>
      <c r="E21"/>
      <c r="F21"/>
      <c r="G21"/>
      <c r="H21"/>
      <c r="I21"/>
      <c r="J21"/>
      <c r="K21"/>
    </row>
    <row r="22" spans="1:11" hidden="1" x14ac:dyDescent="0.25">
      <c r="A22" s="201" t="s">
        <v>27</v>
      </c>
      <c r="B22" s="131"/>
      <c r="C22" s="131"/>
      <c r="D22" s="26">
        <f>+B22+C22</f>
        <v>0</v>
      </c>
      <c r="E22"/>
      <c r="F22"/>
      <c r="G22"/>
      <c r="H22"/>
      <c r="I22"/>
      <c r="J22"/>
      <c r="K22"/>
    </row>
    <row r="23" spans="1:11" hidden="1" x14ac:dyDescent="0.25">
      <c r="A23" s="27" t="s">
        <v>28</v>
      </c>
      <c r="B23" s="8">
        <f>SUM(B20:B22)</f>
        <v>0</v>
      </c>
      <c r="C23" s="8">
        <f>SUM(C20:C22)</f>
        <v>0</v>
      </c>
      <c r="D23" s="8">
        <f>SUM(D20:D22)</f>
        <v>0</v>
      </c>
      <c r="E23"/>
      <c r="F23"/>
      <c r="G23"/>
      <c r="H23"/>
      <c r="I23"/>
      <c r="J23"/>
      <c r="K23"/>
    </row>
    <row r="24" spans="1:11" hidden="1" x14ac:dyDescent="0.25">
      <c r="A24" s="28" t="s">
        <v>29</v>
      </c>
      <c r="B24" s="23">
        <f>+B11+B15+B19+B23</f>
        <v>252451202.67962003</v>
      </c>
      <c r="C24" s="23">
        <f>+C11+C15+C19+C23</f>
        <v>55416117.661380008</v>
      </c>
      <c r="D24" s="23">
        <f>+D11+D15+D19+D23</f>
        <v>307867320.34100002</v>
      </c>
      <c r="E24"/>
      <c r="F24"/>
      <c r="G24"/>
      <c r="H24"/>
      <c r="I24"/>
      <c r="J24"/>
      <c r="K24"/>
    </row>
    <row r="25" spans="1:11" x14ac:dyDescent="0.25">
      <c r="A25" s="202" t="s">
        <v>64</v>
      </c>
      <c r="B25" s="257">
        <f>B11/D11</f>
        <v>0.82000000000000006</v>
      </c>
      <c r="C25" s="257">
        <f>C11/D11</f>
        <v>0.18000000000000002</v>
      </c>
      <c r="D25" s="203"/>
      <c r="E25"/>
      <c r="F25"/>
      <c r="G25"/>
      <c r="H25"/>
      <c r="I25"/>
      <c r="J25"/>
      <c r="K25"/>
    </row>
    <row r="26" spans="1:11" x14ac:dyDescent="0.25">
      <c r="A26" s="199" t="s">
        <v>65</v>
      </c>
      <c r="B26" s="187"/>
      <c r="C26"/>
      <c r="D26"/>
      <c r="E26"/>
      <c r="F26"/>
      <c r="G26"/>
      <c r="H26"/>
      <c r="I26"/>
      <c r="J26"/>
      <c r="K26"/>
    </row>
    <row r="27" spans="1:11" x14ac:dyDescent="0.25">
      <c r="A27" s="199"/>
      <c r="B27"/>
      <c r="C27"/>
      <c r="D27"/>
      <c r="E27"/>
      <c r="F27"/>
      <c r="G27"/>
      <c r="H27"/>
      <c r="I27"/>
      <c r="J27"/>
      <c r="K27"/>
    </row>
    <row r="28" spans="1:11" x14ac:dyDescent="0.25">
      <c r="A28"/>
      <c r="B28"/>
      <c r="C28"/>
      <c r="D28"/>
      <c r="E28"/>
      <c r="F28"/>
      <c r="G28"/>
      <c r="H28"/>
      <c r="I28"/>
      <c r="J28"/>
      <c r="K28"/>
    </row>
    <row r="29" spans="1:11" x14ac:dyDescent="0.25">
      <c r="A29"/>
      <c r="B29"/>
      <c r="C29"/>
      <c r="D29"/>
      <c r="E29"/>
      <c r="F29"/>
      <c r="G29"/>
      <c r="H29"/>
      <c r="I29"/>
      <c r="J29"/>
      <c r="K29"/>
    </row>
    <row r="30" spans="1:11" x14ac:dyDescent="0.25">
      <c r="A30"/>
      <c r="B30"/>
      <c r="C30"/>
      <c r="D30"/>
      <c r="E30"/>
      <c r="F30"/>
      <c r="G30"/>
      <c r="H30"/>
      <c r="I30"/>
      <c r="J30"/>
      <c r="K30"/>
    </row>
    <row r="31" spans="1:11" x14ac:dyDescent="0.25">
      <c r="A31"/>
      <c r="B31"/>
      <c r="C31"/>
      <c r="D31"/>
      <c r="E31"/>
      <c r="F31"/>
      <c r="G31"/>
      <c r="H31"/>
      <c r="I31"/>
      <c r="J31"/>
      <c r="K31"/>
    </row>
    <row r="32" spans="1:11" x14ac:dyDescent="0.25">
      <c r="A32"/>
      <c r="B32"/>
      <c r="C32"/>
      <c r="D32"/>
      <c r="E32"/>
      <c r="F32"/>
      <c r="G32"/>
      <c r="H32"/>
      <c r="I32"/>
      <c r="J32"/>
      <c r="K32"/>
    </row>
    <row r="33" spans="1:11" x14ac:dyDescent="0.25">
      <c r="A33"/>
      <c r="B33"/>
      <c r="C33"/>
      <c r="D33"/>
      <c r="E33"/>
      <c r="F33"/>
      <c r="G33" s="134"/>
      <c r="H33" s="134"/>
      <c r="I33" s="134"/>
      <c r="J33" s="134"/>
      <c r="K33" s="125"/>
    </row>
    <row r="34" spans="1:11" x14ac:dyDescent="0.25">
      <c r="A34"/>
      <c r="B34"/>
      <c r="C34"/>
      <c r="D34"/>
      <c r="E34"/>
      <c r="F34"/>
      <c r="G34"/>
      <c r="H34"/>
      <c r="I34"/>
      <c r="J34"/>
      <c r="K34"/>
    </row>
    <row r="35" spans="1:11" x14ac:dyDescent="0.25">
      <c r="A35"/>
      <c r="B35"/>
      <c r="C35"/>
      <c r="D35"/>
      <c r="E35"/>
      <c r="F35"/>
      <c r="G35"/>
      <c r="H35"/>
      <c r="I35"/>
      <c r="J35"/>
      <c r="K35"/>
    </row>
    <row r="36" spans="1:11" x14ac:dyDescent="0.25">
      <c r="A36"/>
      <c r="B36"/>
      <c r="C36"/>
      <c r="D36"/>
      <c r="E36"/>
      <c r="F36"/>
      <c r="G36"/>
      <c r="H36"/>
      <c r="I36"/>
      <c r="J36"/>
      <c r="K36"/>
    </row>
    <row r="37" spans="1:11" x14ac:dyDescent="0.25">
      <c r="A37"/>
      <c r="B37"/>
      <c r="C37"/>
      <c r="D37"/>
      <c r="E37"/>
      <c r="F37"/>
      <c r="G37"/>
      <c r="H37"/>
      <c r="I37"/>
      <c r="J37"/>
      <c r="K37"/>
    </row>
    <row r="38" spans="1:11" x14ac:dyDescent="0.25">
      <c r="A38"/>
      <c r="B38"/>
      <c r="C38"/>
      <c r="D38"/>
      <c r="E38"/>
      <c r="F38"/>
      <c r="G38"/>
      <c r="H38"/>
      <c r="I38"/>
      <c r="J38"/>
      <c r="K38"/>
    </row>
    <row r="39" spans="1:11" x14ac:dyDescent="0.25">
      <c r="A39"/>
      <c r="B39"/>
      <c r="C39"/>
      <c r="D39"/>
      <c r="E39"/>
      <c r="F39"/>
      <c r="G39"/>
      <c r="H39"/>
      <c r="I39"/>
      <c r="J39"/>
      <c r="K39"/>
    </row>
    <row r="40" spans="1:11" x14ac:dyDescent="0.25">
      <c r="A40" s="53"/>
      <c r="B40" s="131"/>
      <c r="C40" s="131"/>
      <c r="D40" s="26"/>
    </row>
    <row r="41" spans="1:11" x14ac:dyDescent="0.25">
      <c r="A41" s="53"/>
      <c r="B41" s="131"/>
      <c r="C41" s="131"/>
      <c r="D41" s="26"/>
    </row>
  </sheetData>
  <mergeCells count="6">
    <mergeCell ref="A6:D6"/>
    <mergeCell ref="A1:D1"/>
    <mergeCell ref="A2:D2"/>
    <mergeCell ref="A3:D3"/>
    <mergeCell ref="A5:D5"/>
    <mergeCell ref="A4:D4"/>
  </mergeCells>
  <pageMargins left="0.7" right="0.7" top="0.75" bottom="0.75" header="0.3" footer="0.3"/>
  <pageSetup paperSize="9" scale="62" orientation="portrait" r:id="rId1"/>
  <colBreaks count="1" manualBreakCount="1">
    <brk id="12" max="1048575" man="1"/>
  </colBreaks>
  <ignoredErrors>
    <ignoredError sqref="D11"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J45"/>
  <sheetViews>
    <sheetView showGridLines="0" zoomScaleNormal="100" zoomScaleSheetLayoutView="115" workbookViewId="0">
      <selection activeCell="B8" sqref="B8:D10"/>
    </sheetView>
  </sheetViews>
  <sheetFormatPr baseColWidth="10" defaultColWidth="11.42578125" defaultRowHeight="15" x14ac:dyDescent="0.25"/>
  <cols>
    <col min="1" max="1" width="21.42578125" style="1" customWidth="1"/>
    <col min="2" max="2" width="21.7109375" style="1" customWidth="1"/>
    <col min="3" max="3" width="21.140625" style="1" customWidth="1"/>
    <col min="4" max="4" width="16.7109375" style="1" customWidth="1"/>
    <col min="5" max="16384" width="11.42578125" style="1"/>
  </cols>
  <sheetData>
    <row r="1" spans="1:7" x14ac:dyDescent="0.25">
      <c r="A1" s="339" t="s">
        <v>0</v>
      </c>
      <c r="B1" s="339"/>
      <c r="C1" s="339"/>
      <c r="D1" s="339"/>
    </row>
    <row r="2" spans="1:7" x14ac:dyDescent="0.25">
      <c r="A2" s="339" t="s">
        <v>33</v>
      </c>
      <c r="B2" s="339"/>
      <c r="C2" s="339"/>
      <c r="D2" s="339"/>
    </row>
    <row r="3" spans="1:7" x14ac:dyDescent="0.25">
      <c r="A3" s="339" t="s">
        <v>66</v>
      </c>
      <c r="B3" s="339"/>
      <c r="C3" s="339"/>
      <c r="D3" s="339"/>
    </row>
    <row r="4" spans="1:7" x14ac:dyDescent="0.25">
      <c r="A4" s="339" t="s">
        <v>35</v>
      </c>
      <c r="B4" s="339"/>
      <c r="C4" s="339"/>
      <c r="D4" s="339"/>
    </row>
    <row r="5" spans="1:7" x14ac:dyDescent="0.25">
      <c r="A5" s="339" t="s">
        <v>4</v>
      </c>
      <c r="B5" s="339"/>
      <c r="C5" s="339"/>
      <c r="D5" s="339"/>
    </row>
    <row r="6" spans="1:7" x14ac:dyDescent="0.25">
      <c r="A6" s="344" t="s">
        <v>66</v>
      </c>
      <c r="B6" s="344"/>
      <c r="C6" s="344"/>
      <c r="D6" s="344"/>
      <c r="E6"/>
      <c r="F6"/>
      <c r="G6"/>
    </row>
    <row r="7" spans="1:7" x14ac:dyDescent="0.25">
      <c r="A7" s="129"/>
      <c r="B7" s="130" t="s">
        <v>67</v>
      </c>
      <c r="C7" s="130" t="s">
        <v>68</v>
      </c>
      <c r="D7" s="130" t="s">
        <v>69</v>
      </c>
      <c r="E7"/>
      <c r="F7"/>
      <c r="G7"/>
    </row>
    <row r="8" spans="1:7" x14ac:dyDescent="0.25">
      <c r="A8" s="70" t="s">
        <v>13</v>
      </c>
      <c r="B8" s="131">
        <v>24700</v>
      </c>
      <c r="C8" s="144">
        <f>+B8-B9</f>
        <v>7</v>
      </c>
      <c r="D8" s="325">
        <f>C8/B9</f>
        <v>2.8348114850362452E-4</v>
      </c>
      <c r="E8"/>
      <c r="F8"/>
      <c r="G8"/>
    </row>
    <row r="9" spans="1:7" x14ac:dyDescent="0.25">
      <c r="A9" s="70" t="s">
        <v>14</v>
      </c>
      <c r="B9" s="131">
        <v>24693</v>
      </c>
      <c r="C9" s="144">
        <f>+B9-B10</f>
        <v>-504</v>
      </c>
      <c r="D9" s="325">
        <f>C9/B10</f>
        <v>-2.0002381235861413E-2</v>
      </c>
      <c r="E9"/>
      <c r="F9"/>
      <c r="G9"/>
    </row>
    <row r="10" spans="1:7" x14ac:dyDescent="0.25">
      <c r="A10" s="70" t="s">
        <v>15</v>
      </c>
      <c r="B10" s="131">
        <v>25197</v>
      </c>
      <c r="C10" s="144">
        <f>+B10-26569</f>
        <v>-1372</v>
      </c>
      <c r="D10" s="325">
        <f>C10/28333</f>
        <v>-4.842409910704832E-2</v>
      </c>
      <c r="E10"/>
      <c r="F10"/>
      <c r="G10"/>
    </row>
    <row r="11" spans="1:7" ht="13.5" customHeight="1" x14ac:dyDescent="0.25">
      <c r="A11" s="27" t="s">
        <v>70</v>
      </c>
      <c r="B11" s="80">
        <f>SUM(B8:B10)</f>
        <v>74590</v>
      </c>
      <c r="C11" s="80">
        <f>+B11-79464</f>
        <v>-4874</v>
      </c>
      <c r="D11" s="260">
        <f>C11/79464</f>
        <v>-6.1335950870834592E-2</v>
      </c>
      <c r="E11"/>
      <c r="F11" s="74"/>
      <c r="G11" s="132"/>
    </row>
    <row r="12" spans="1:7" hidden="1" x14ac:dyDescent="0.25">
      <c r="A12" s="53" t="s">
        <v>17</v>
      </c>
      <c r="B12" s="120"/>
      <c r="C12" s="136"/>
      <c r="D12"/>
      <c r="E12"/>
      <c r="F12"/>
      <c r="G12"/>
    </row>
    <row r="13" spans="1:7" hidden="1" x14ac:dyDescent="0.25">
      <c r="A13" s="53" t="s">
        <v>18</v>
      </c>
      <c r="B13" s="120"/>
      <c r="C13" s="136">
        <f>+B13-B12</f>
        <v>0</v>
      </c>
      <c r="D13"/>
      <c r="E13"/>
      <c r="F13"/>
      <c r="G13"/>
    </row>
    <row r="14" spans="1:7" hidden="1" x14ac:dyDescent="0.25">
      <c r="A14" s="53" t="s">
        <v>19</v>
      </c>
      <c r="B14" s="120"/>
      <c r="C14" s="136">
        <f>+B14-B13</f>
        <v>0</v>
      </c>
      <c r="D14"/>
      <c r="E14"/>
      <c r="F14"/>
      <c r="G14"/>
    </row>
    <row r="15" spans="1:7" hidden="1" x14ac:dyDescent="0.25">
      <c r="A15" s="27" t="s">
        <v>20</v>
      </c>
      <c r="B15" s="8">
        <f>SUM(B12:B14)</f>
        <v>0</v>
      </c>
      <c r="C15" s="73">
        <f>+B15-B11</f>
        <v>-74590</v>
      </c>
      <c r="D15" s="16">
        <f>+(B15-B11)/B11</f>
        <v>-1</v>
      </c>
      <c r="E15"/>
      <c r="F15" s="74"/>
      <c r="G15"/>
    </row>
    <row r="16" spans="1:7" hidden="1" x14ac:dyDescent="0.25">
      <c r="A16" s="53" t="s">
        <v>44</v>
      </c>
      <c r="B16" s="120"/>
      <c r="C16" s="136">
        <f>+B16-B14</f>
        <v>0</v>
      </c>
      <c r="D16"/>
      <c r="E16"/>
      <c r="F16"/>
      <c r="G16"/>
    </row>
    <row r="17" spans="1:10" hidden="1" x14ac:dyDescent="0.25">
      <c r="A17" s="53" t="s">
        <v>22</v>
      </c>
      <c r="B17" s="120"/>
      <c r="C17" s="136">
        <f>+B17-B16</f>
        <v>0</v>
      </c>
      <c r="D17"/>
      <c r="E17"/>
      <c r="F17"/>
      <c r="G17"/>
    </row>
    <row r="18" spans="1:10" hidden="1" x14ac:dyDescent="0.25">
      <c r="A18" s="53" t="s">
        <v>23</v>
      </c>
      <c r="B18" s="120"/>
      <c r="C18" s="136">
        <f>+B18-B17</f>
        <v>0</v>
      </c>
      <c r="D18"/>
      <c r="E18"/>
      <c r="F18"/>
      <c r="G18"/>
    </row>
    <row r="19" spans="1:10" hidden="1" x14ac:dyDescent="0.25">
      <c r="A19" s="27" t="s">
        <v>24</v>
      </c>
      <c r="B19" s="8">
        <f>SUM(B16:B18)</f>
        <v>0</v>
      </c>
      <c r="C19" s="73">
        <f>+B19-B15</f>
        <v>0</v>
      </c>
      <c r="D19" s="73" t="e">
        <f>+(B19-B15)/B15</f>
        <v>#DIV/0!</v>
      </c>
      <c r="E19"/>
      <c r="F19" s="74"/>
      <c r="G19"/>
    </row>
    <row r="20" spans="1:10" hidden="1" x14ac:dyDescent="0.25">
      <c r="A20" s="53" t="s">
        <v>25</v>
      </c>
      <c r="B20" s="120"/>
      <c r="C20" s="136">
        <f>+B20-B18</f>
        <v>0</v>
      </c>
      <c r="D20"/>
      <c r="E20"/>
      <c r="F20"/>
      <c r="G20"/>
    </row>
    <row r="21" spans="1:10" hidden="1" x14ac:dyDescent="0.25">
      <c r="A21" s="53" t="s">
        <v>26</v>
      </c>
      <c r="B21" s="120"/>
      <c r="C21" s="136">
        <f>+B21-B20</f>
        <v>0</v>
      </c>
      <c r="D21"/>
      <c r="E21"/>
      <c r="F21"/>
      <c r="G21"/>
    </row>
    <row r="22" spans="1:10" hidden="1" x14ac:dyDescent="0.25">
      <c r="A22" s="53" t="s">
        <v>27</v>
      </c>
      <c r="B22" s="120"/>
      <c r="C22" s="136">
        <f>+B22-B21</f>
        <v>0</v>
      </c>
      <c r="D22"/>
      <c r="E22"/>
      <c r="F22"/>
      <c r="G22"/>
    </row>
    <row r="23" spans="1:10" hidden="1" x14ac:dyDescent="0.25">
      <c r="A23" s="27" t="s">
        <v>28</v>
      </c>
      <c r="B23" s="8">
        <f>SUM(B20:B22)</f>
        <v>0</v>
      </c>
      <c r="C23" s="73">
        <f>+B23-B19</f>
        <v>0</v>
      </c>
      <c r="D23" s="73" t="e">
        <f>+(B23-B19)/B19</f>
        <v>#DIV/0!</v>
      </c>
      <c r="E23"/>
      <c r="F23" s="74"/>
      <c r="G23"/>
    </row>
    <row r="24" spans="1:10" hidden="1" x14ac:dyDescent="0.25">
      <c r="A24" s="28" t="s">
        <v>29</v>
      </c>
      <c r="B24" s="29">
        <f>+B11+B15+B19+B23</f>
        <v>74590</v>
      </c>
      <c r="C24" s="29"/>
      <c r="D24" s="29"/>
      <c r="E24"/>
      <c r="F24"/>
      <c r="G24"/>
    </row>
    <row r="25" spans="1:10" ht="5.25" customHeight="1" x14ac:dyDescent="0.25">
      <c r="A25" s="345"/>
      <c r="B25" s="345"/>
      <c r="C25" s="345"/>
      <c r="D25" s="345"/>
      <c r="E25"/>
      <c r="F25"/>
      <c r="G25"/>
    </row>
    <row r="26" spans="1:10" ht="13.5" customHeight="1" x14ac:dyDescent="0.25">
      <c r="A26" s="199" t="s">
        <v>71</v>
      </c>
      <c r="B26" s="125"/>
      <c r="C26" s="125"/>
      <c r="D26" s="125"/>
      <c r="E26" s="125"/>
      <c r="F26" s="125"/>
      <c r="G26"/>
    </row>
    <row r="27" spans="1:10" ht="13.5" customHeight="1" x14ac:dyDescent="0.25">
      <c r="A27" s="199" t="s">
        <v>72</v>
      </c>
      <c r="B27" s="125"/>
      <c r="C27" s="125"/>
      <c r="D27" s="125"/>
      <c r="E27" s="125"/>
      <c r="F27" s="125"/>
      <c r="G27"/>
    </row>
    <row r="28" spans="1:10" ht="13.5" customHeight="1" x14ac:dyDescent="0.25">
      <c r="A28" s="199"/>
      <c r="B28" s="125"/>
      <c r="C28" s="125"/>
      <c r="D28" s="125"/>
      <c r="E28" s="125"/>
      <c r="F28" s="125"/>
      <c r="G28"/>
    </row>
    <row r="29" spans="1:10" ht="12.75" customHeight="1" x14ac:dyDescent="0.25">
      <c r="A29" s="188"/>
      <c r="B29"/>
      <c r="C29"/>
      <c r="D29"/>
      <c r="E29"/>
      <c r="F29"/>
      <c r="G29"/>
    </row>
    <row r="30" spans="1:10" x14ac:dyDescent="0.25">
      <c r="A30"/>
      <c r="B30"/>
      <c r="C30"/>
      <c r="D30"/>
      <c r="E30"/>
      <c r="F30"/>
      <c r="G30"/>
    </row>
    <row r="31" spans="1:10" x14ac:dyDescent="0.25">
      <c r="A31"/>
      <c r="B31"/>
      <c r="C31"/>
      <c r="D31"/>
      <c r="E31"/>
      <c r="F31"/>
      <c r="G31"/>
    </row>
    <row r="32" spans="1:10" x14ac:dyDescent="0.25">
      <c r="A32"/>
      <c r="B32"/>
      <c r="C32"/>
      <c r="D32"/>
      <c r="E32"/>
      <c r="F32"/>
      <c r="G32"/>
      <c r="J32" s="33"/>
    </row>
    <row r="33" spans="1:7" x14ac:dyDescent="0.25">
      <c r="A33"/>
      <c r="B33"/>
      <c r="C33"/>
      <c r="D33"/>
      <c r="E33"/>
      <c r="F33"/>
      <c r="G33"/>
    </row>
    <row r="34" spans="1:7" x14ac:dyDescent="0.25">
      <c r="A34"/>
      <c r="B34"/>
      <c r="C34"/>
      <c r="D34"/>
      <c r="E34"/>
      <c r="F34"/>
      <c r="G34"/>
    </row>
    <row r="35" spans="1:7" x14ac:dyDescent="0.25">
      <c r="A35"/>
      <c r="B35"/>
      <c r="C35"/>
      <c r="D35"/>
      <c r="E35"/>
      <c r="F35"/>
      <c r="G35"/>
    </row>
    <row r="36" spans="1:7" x14ac:dyDescent="0.25">
      <c r="A36"/>
      <c r="B36"/>
      <c r="C36"/>
      <c r="D36"/>
      <c r="E36"/>
      <c r="F36"/>
      <c r="G36"/>
    </row>
    <row r="37" spans="1:7" x14ac:dyDescent="0.25">
      <c r="A37"/>
      <c r="B37"/>
      <c r="C37"/>
      <c r="D37"/>
      <c r="E37"/>
      <c r="F37"/>
      <c r="G37"/>
    </row>
    <row r="38" spans="1:7" x14ac:dyDescent="0.25">
      <c r="A38"/>
      <c r="B38"/>
      <c r="C38"/>
      <c r="D38"/>
      <c r="E38"/>
      <c r="F38"/>
      <c r="G38"/>
    </row>
    <row r="39" spans="1:7" x14ac:dyDescent="0.25">
      <c r="A39"/>
      <c r="B39"/>
      <c r="C39"/>
      <c r="D39"/>
      <c r="E39"/>
      <c r="F39"/>
      <c r="G39"/>
    </row>
    <row r="40" spans="1:7" x14ac:dyDescent="0.25">
      <c r="A40"/>
      <c r="B40"/>
      <c r="C40"/>
      <c r="D40"/>
      <c r="E40"/>
      <c r="F40"/>
      <c r="G40"/>
    </row>
    <row r="41" spans="1:7" x14ac:dyDescent="0.25">
      <c r="A41"/>
      <c r="B41"/>
      <c r="C41"/>
      <c r="D41"/>
      <c r="E41"/>
      <c r="F41"/>
      <c r="G41"/>
    </row>
    <row r="42" spans="1:7" x14ac:dyDescent="0.25">
      <c r="A42"/>
      <c r="B42"/>
      <c r="C42"/>
      <c r="D42"/>
      <c r="E42"/>
      <c r="F42"/>
      <c r="G42"/>
    </row>
    <row r="44" spans="1:7" x14ac:dyDescent="0.25">
      <c r="A44" s="53"/>
      <c r="B44" s="120"/>
      <c r="C44" s="126"/>
      <c r="D44" s="135"/>
    </row>
    <row r="45" spans="1:7" x14ac:dyDescent="0.25">
      <c r="A45" s="53"/>
      <c r="B45" s="120"/>
      <c r="C45" s="126"/>
      <c r="D45" s="20"/>
    </row>
  </sheetData>
  <mergeCells count="7">
    <mergeCell ref="A25:D25"/>
    <mergeCell ref="A6:D6"/>
    <mergeCell ref="A1:D1"/>
    <mergeCell ref="A2:D2"/>
    <mergeCell ref="A3:D3"/>
    <mergeCell ref="A4:D4"/>
    <mergeCell ref="A5:D5"/>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pageSetUpPr fitToPage="1"/>
  </sheetPr>
  <dimension ref="B1:H45"/>
  <sheetViews>
    <sheetView showGridLines="0" zoomScaleNormal="100" zoomScaleSheetLayoutView="130" workbookViewId="0">
      <selection activeCell="E29" sqref="E29"/>
    </sheetView>
  </sheetViews>
  <sheetFormatPr baseColWidth="10" defaultColWidth="11.42578125" defaultRowHeight="15" x14ac:dyDescent="0.25"/>
  <cols>
    <col min="1" max="1" width="2.85546875" style="1" customWidth="1"/>
    <col min="2" max="2" width="15" style="1" customWidth="1"/>
    <col min="3" max="3" width="22" style="1" customWidth="1"/>
    <col min="4" max="5" width="20.42578125" style="1" customWidth="1"/>
    <col min="6" max="16384" width="11.42578125" style="1"/>
  </cols>
  <sheetData>
    <row r="1" spans="2:8" x14ac:dyDescent="0.25">
      <c r="B1" s="346" t="s">
        <v>0</v>
      </c>
      <c r="C1" s="346"/>
      <c r="D1" s="346"/>
      <c r="E1" s="346"/>
      <c r="F1" s="22"/>
      <c r="G1" s="22"/>
      <c r="H1" s="22"/>
    </row>
    <row r="2" spans="2:8" x14ac:dyDescent="0.25">
      <c r="B2" s="339" t="s">
        <v>33</v>
      </c>
      <c r="C2" s="339"/>
      <c r="D2" s="339"/>
      <c r="E2" s="339"/>
      <c r="F2" s="22"/>
      <c r="G2" s="22"/>
      <c r="H2" s="22"/>
    </row>
    <row r="3" spans="2:8" x14ac:dyDescent="0.25">
      <c r="B3" s="339" t="s">
        <v>73</v>
      </c>
      <c r="C3" s="339"/>
      <c r="D3" s="339"/>
      <c r="E3" s="339"/>
      <c r="F3" s="22"/>
      <c r="G3" s="22"/>
      <c r="H3" s="22"/>
    </row>
    <row r="4" spans="2:8" x14ac:dyDescent="0.25">
      <c r="B4" s="346" t="s">
        <v>35</v>
      </c>
      <c r="C4" s="346"/>
      <c r="D4" s="346"/>
      <c r="E4" s="346"/>
      <c r="F4" s="21"/>
      <c r="G4" s="22"/>
      <c r="H4" s="22"/>
    </row>
    <row r="5" spans="2:8" x14ac:dyDescent="0.25">
      <c r="B5" s="339" t="s">
        <v>4</v>
      </c>
      <c r="C5" s="339"/>
      <c r="D5" s="339"/>
      <c r="E5" s="339"/>
      <c r="F5" s="22"/>
      <c r="G5" s="22"/>
      <c r="H5" s="22"/>
    </row>
    <row r="6" spans="2:8" ht="15" customHeight="1" x14ac:dyDescent="0.25">
      <c r="B6" s="344" t="s">
        <v>73</v>
      </c>
      <c r="C6" s="344"/>
      <c r="D6" s="344"/>
      <c r="E6" s="344"/>
      <c r="F6"/>
      <c r="G6"/>
    </row>
    <row r="7" spans="2:8" x14ac:dyDescent="0.25">
      <c r="B7" s="129" t="s">
        <v>5</v>
      </c>
      <c r="C7" s="116" t="s">
        <v>74</v>
      </c>
      <c r="D7" s="116" t="s">
        <v>75</v>
      </c>
      <c r="E7" s="116" t="s">
        <v>76</v>
      </c>
      <c r="F7"/>
      <c r="G7"/>
    </row>
    <row r="8" spans="2:8" x14ac:dyDescent="0.25">
      <c r="B8" s="70" t="s">
        <v>13</v>
      </c>
      <c r="C8" s="164">
        <v>27</v>
      </c>
      <c r="D8" s="164">
        <v>5</v>
      </c>
      <c r="E8" s="323" t="s">
        <v>77</v>
      </c>
      <c r="F8"/>
      <c r="G8"/>
    </row>
    <row r="9" spans="2:8" x14ac:dyDescent="0.25">
      <c r="B9" s="70" t="s">
        <v>14</v>
      </c>
      <c r="C9" s="164">
        <v>320</v>
      </c>
      <c r="D9" s="164">
        <v>1</v>
      </c>
      <c r="E9" s="324">
        <v>445043750.19999999</v>
      </c>
      <c r="F9"/>
      <c r="G9"/>
      <c r="H9" s="53"/>
    </row>
    <row r="10" spans="2:8" x14ac:dyDescent="0.25">
      <c r="B10" s="70" t="s">
        <v>15</v>
      </c>
      <c r="C10" s="164">
        <v>128</v>
      </c>
      <c r="D10" s="164">
        <v>7</v>
      </c>
      <c r="E10" s="324">
        <v>106151667.39</v>
      </c>
      <c r="F10"/>
      <c r="G10"/>
      <c r="H10" s="53"/>
    </row>
    <row r="11" spans="2:8" x14ac:dyDescent="0.25">
      <c r="B11" s="279" t="s">
        <v>70</v>
      </c>
      <c r="C11" s="276">
        <f>SUM(C8:C10)</f>
        <v>475</v>
      </c>
      <c r="D11" s="277">
        <f>SUM(D8:D10)</f>
        <v>13</v>
      </c>
      <c r="E11" s="278">
        <f>SUM(E8:E10)</f>
        <v>551195417.59000003</v>
      </c>
      <c r="F11"/>
      <c r="G11"/>
      <c r="H11" s="53"/>
    </row>
    <row r="12" spans="2:8" hidden="1" x14ac:dyDescent="0.25">
      <c r="B12" s="53" t="s">
        <v>17</v>
      </c>
      <c r="C12" s="137"/>
      <c r="D12" s="137"/>
      <c r="E12" s="137"/>
      <c r="F12"/>
      <c r="G12"/>
    </row>
    <row r="13" spans="2:8" hidden="1" x14ac:dyDescent="0.25">
      <c r="B13" s="53" t="s">
        <v>18</v>
      </c>
      <c r="C13" s="137"/>
      <c r="D13" s="137"/>
      <c r="E13" s="137"/>
      <c r="F13"/>
      <c r="G13"/>
    </row>
    <row r="14" spans="2:8" hidden="1" x14ac:dyDescent="0.25">
      <c r="B14" s="53" t="s">
        <v>19</v>
      </c>
      <c r="C14" s="137"/>
      <c r="D14" s="137"/>
      <c r="E14" s="137"/>
      <c r="F14"/>
      <c r="G14"/>
    </row>
    <row r="15" spans="2:8" hidden="1" x14ac:dyDescent="0.25">
      <c r="B15" s="27" t="s">
        <v>78</v>
      </c>
      <c r="C15" s="8">
        <f>SUM(C12:C14)</f>
        <v>0</v>
      </c>
      <c r="D15" s="8">
        <f>SUM(D12:D14)</f>
        <v>0</v>
      </c>
      <c r="E15" s="8"/>
      <c r="F15"/>
      <c r="G15"/>
    </row>
    <row r="16" spans="2:8" hidden="1" x14ac:dyDescent="0.25">
      <c r="B16" s="53" t="s">
        <v>44</v>
      </c>
      <c r="C16" s="137"/>
      <c r="D16" s="137"/>
      <c r="E16" s="137"/>
      <c r="F16"/>
      <c r="G16"/>
    </row>
    <row r="17" spans="2:7" hidden="1" x14ac:dyDescent="0.25">
      <c r="B17" s="53" t="s">
        <v>22</v>
      </c>
      <c r="C17" s="137"/>
      <c r="D17" s="137"/>
      <c r="E17" s="137"/>
      <c r="F17"/>
      <c r="G17"/>
    </row>
    <row r="18" spans="2:7" hidden="1" x14ac:dyDescent="0.25">
      <c r="B18" s="53" t="s">
        <v>23</v>
      </c>
      <c r="C18" s="137"/>
      <c r="D18" s="137"/>
      <c r="E18" s="137"/>
      <c r="F18"/>
      <c r="G18"/>
    </row>
    <row r="19" spans="2:7" hidden="1" x14ac:dyDescent="0.25">
      <c r="B19" s="27" t="s">
        <v>79</v>
      </c>
      <c r="C19" s="8">
        <f>SUM(C16:C18)</f>
        <v>0</v>
      </c>
      <c r="D19" s="8">
        <f>SUM(D16:D18)</f>
        <v>0</v>
      </c>
      <c r="E19" s="8"/>
      <c r="F19"/>
      <c r="G19"/>
    </row>
    <row r="20" spans="2:7" hidden="1" x14ac:dyDescent="0.25">
      <c r="B20" s="53" t="s">
        <v>25</v>
      </c>
      <c r="C20" s="137"/>
      <c r="D20" s="137"/>
      <c r="E20" s="137"/>
      <c r="F20"/>
      <c r="G20"/>
    </row>
    <row r="21" spans="2:7" hidden="1" x14ac:dyDescent="0.25">
      <c r="B21" s="53" t="s">
        <v>26</v>
      </c>
      <c r="C21" s="137"/>
      <c r="D21" s="137"/>
      <c r="E21" s="137"/>
      <c r="F21"/>
      <c r="G21"/>
    </row>
    <row r="22" spans="2:7" hidden="1" x14ac:dyDescent="0.25">
      <c r="B22" s="53" t="s">
        <v>27</v>
      </c>
      <c r="C22" s="137"/>
      <c r="D22" s="137"/>
      <c r="E22" s="137"/>
      <c r="F22"/>
      <c r="G22"/>
    </row>
    <row r="23" spans="2:7" hidden="1" x14ac:dyDescent="0.25">
      <c r="B23" s="27" t="s">
        <v>80</v>
      </c>
      <c r="C23" s="8">
        <f>SUM(C20:C22)</f>
        <v>0</v>
      </c>
      <c r="D23" s="8">
        <f>SUM(D20:D22)</f>
        <v>0</v>
      </c>
      <c r="E23" s="8"/>
      <c r="F23"/>
      <c r="G23"/>
    </row>
    <row r="24" spans="2:7" hidden="1" x14ac:dyDescent="0.25">
      <c r="B24" s="28" t="s">
        <v>29</v>
      </c>
      <c r="C24" s="30"/>
      <c r="D24" s="30"/>
      <c r="E24" s="30"/>
      <c r="F24"/>
      <c r="G24"/>
    </row>
    <row r="25" spans="2:7" ht="3.75" customHeight="1" x14ac:dyDescent="0.25">
      <c r="B25" s="199"/>
      <c r="C25" s="199"/>
      <c r="D25" s="199"/>
      <c r="E25" s="199"/>
      <c r="F25"/>
      <c r="G25"/>
    </row>
    <row r="26" spans="2:7" ht="12" customHeight="1" x14ac:dyDescent="0.25">
      <c r="B26" s="199" t="s">
        <v>81</v>
      </c>
      <c r="C26"/>
      <c r="D26"/>
      <c r="E26"/>
      <c r="F26"/>
      <c r="G26"/>
    </row>
    <row r="27" spans="2:7" ht="12" customHeight="1" x14ac:dyDescent="0.25">
      <c r="B27" s="199"/>
      <c r="C27"/>
      <c r="D27"/>
      <c r="E27"/>
      <c r="F27"/>
      <c r="G27"/>
    </row>
    <row r="28" spans="2:7" x14ac:dyDescent="0.25">
      <c r="B28"/>
      <c r="C28"/>
      <c r="D28"/>
      <c r="E28"/>
      <c r="F28"/>
      <c r="G28"/>
    </row>
    <row r="29" spans="2:7" x14ac:dyDescent="0.25">
      <c r="B29"/>
      <c r="C29"/>
      <c r="D29"/>
      <c r="E29"/>
      <c r="F29"/>
      <c r="G29"/>
    </row>
    <row r="30" spans="2:7" x14ac:dyDescent="0.25">
      <c r="B30"/>
      <c r="C30"/>
      <c r="D30"/>
      <c r="E30"/>
      <c r="F30"/>
      <c r="G30"/>
    </row>
    <row r="31" spans="2:7" x14ac:dyDescent="0.25">
      <c r="B31"/>
      <c r="C31"/>
      <c r="D31"/>
      <c r="E31"/>
      <c r="F31"/>
      <c r="G31"/>
    </row>
    <row r="32" spans="2:7" x14ac:dyDescent="0.25">
      <c r="B32"/>
      <c r="C32"/>
      <c r="D32"/>
      <c r="E32"/>
      <c r="F32"/>
      <c r="G32"/>
    </row>
    <row r="33" spans="2:7" x14ac:dyDescent="0.25">
      <c r="B33"/>
      <c r="C33"/>
      <c r="D33"/>
      <c r="E33"/>
      <c r="F33"/>
      <c r="G33"/>
    </row>
    <row r="34" spans="2:7" x14ac:dyDescent="0.25">
      <c r="B34"/>
      <c r="C34"/>
      <c r="D34"/>
      <c r="E34"/>
      <c r="F34" s="53"/>
      <c r="G34" s="116"/>
    </row>
    <row r="35" spans="2:7" x14ac:dyDescent="0.25">
      <c r="B35"/>
      <c r="C35"/>
      <c r="D35"/>
      <c r="E35"/>
      <c r="F35" s="53"/>
      <c r="G35" s="131"/>
    </row>
    <row r="36" spans="2:7" x14ac:dyDescent="0.25">
      <c r="B36"/>
      <c r="C36"/>
      <c r="D36"/>
      <c r="E36"/>
      <c r="F36" s="53"/>
      <c r="G36" s="131"/>
    </row>
    <row r="37" spans="2:7" x14ac:dyDescent="0.25">
      <c r="B37"/>
      <c r="C37"/>
      <c r="D37"/>
      <c r="E37"/>
      <c r="F37"/>
      <c r="G37" s="131"/>
    </row>
    <row r="38" spans="2:7" x14ac:dyDescent="0.25">
      <c r="B38"/>
      <c r="C38"/>
      <c r="D38"/>
      <c r="E38"/>
      <c r="F38"/>
      <c r="G38"/>
    </row>
    <row r="39" spans="2:7" x14ac:dyDescent="0.25">
      <c r="B39"/>
      <c r="C39"/>
      <c r="D39"/>
      <c r="E39"/>
      <c r="F39"/>
      <c r="G39"/>
    </row>
    <row r="40" spans="2:7" x14ac:dyDescent="0.25">
      <c r="B40"/>
      <c r="C40"/>
      <c r="D40"/>
      <c r="E40"/>
      <c r="F40"/>
      <c r="G40"/>
    </row>
    <row r="41" spans="2:7" x14ac:dyDescent="0.25">
      <c r="B41"/>
      <c r="C41"/>
      <c r="D41"/>
      <c r="E41"/>
      <c r="F41"/>
      <c r="G41"/>
    </row>
    <row r="44" spans="2:7" x14ac:dyDescent="0.25">
      <c r="B44" s="53"/>
      <c r="C44" s="137"/>
      <c r="D44" s="137"/>
      <c r="E44" s="137"/>
    </row>
    <row r="45" spans="2:7" x14ac:dyDescent="0.25">
      <c r="B45" s="53"/>
      <c r="C45" s="137"/>
      <c r="D45" s="137"/>
      <c r="E45" s="137"/>
    </row>
  </sheetData>
  <mergeCells count="6">
    <mergeCell ref="B6:E6"/>
    <mergeCell ref="B1:E1"/>
    <mergeCell ref="B2:E2"/>
    <mergeCell ref="B3:E3"/>
    <mergeCell ref="B4:E4"/>
    <mergeCell ref="B5:E5"/>
  </mergeCells>
  <pageMargins left="0.7" right="0.7" top="0.75" bottom="0.75" header="0.3" footer="0.3"/>
  <pageSetup paperSize="9" scale="6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B1:N55"/>
  <sheetViews>
    <sheetView showGridLines="0" zoomScaleNormal="100" workbookViewId="0">
      <selection activeCell="K30" sqref="K30"/>
    </sheetView>
  </sheetViews>
  <sheetFormatPr baseColWidth="10" defaultColWidth="11.42578125" defaultRowHeight="15" x14ac:dyDescent="0.25"/>
  <cols>
    <col min="1" max="1" width="1.85546875" style="1" customWidth="1"/>
    <col min="2" max="2" width="12" style="1" customWidth="1"/>
    <col min="3" max="5" width="18.140625" style="1" customWidth="1"/>
    <col min="6" max="6" width="17.140625" style="1" customWidth="1"/>
    <col min="7" max="7" width="11.42578125" style="1"/>
    <col min="8" max="8" width="15.140625" style="1" bestFit="1" customWidth="1"/>
    <col min="9" max="9" width="14.28515625" style="1" customWidth="1"/>
    <col min="10" max="10" width="18.140625" style="1" customWidth="1"/>
    <col min="11" max="11" width="19.85546875" style="1" customWidth="1"/>
    <col min="12" max="13" width="11.42578125" style="1"/>
    <col min="14" max="14" width="16.85546875" style="1" bestFit="1" customWidth="1"/>
    <col min="15" max="16384" width="11.42578125" style="1"/>
  </cols>
  <sheetData>
    <row r="1" spans="2:14" x14ac:dyDescent="0.25">
      <c r="B1" s="348" t="s">
        <v>0</v>
      </c>
      <c r="C1" s="348"/>
      <c r="D1" s="348"/>
      <c r="E1" s="348"/>
      <c r="F1" s="348"/>
      <c r="G1" s="348"/>
      <c r="H1" s="348"/>
      <c r="I1" s="348"/>
    </row>
    <row r="2" spans="2:14" x14ac:dyDescent="0.25">
      <c r="B2" s="348" t="s">
        <v>82</v>
      </c>
      <c r="C2" s="348"/>
      <c r="D2" s="348"/>
      <c r="E2" s="348"/>
      <c r="F2" s="348"/>
      <c r="G2" s="348"/>
      <c r="H2" s="348"/>
      <c r="I2" s="348"/>
    </row>
    <row r="3" spans="2:14" x14ac:dyDescent="0.25">
      <c r="B3" s="348" t="s">
        <v>83</v>
      </c>
      <c r="C3" s="348"/>
      <c r="D3" s="348"/>
      <c r="E3" s="348"/>
      <c r="F3" s="348"/>
      <c r="G3" s="348"/>
      <c r="H3" s="348"/>
      <c r="I3" s="348"/>
    </row>
    <row r="4" spans="2:14" x14ac:dyDescent="0.25">
      <c r="B4" s="348" t="s">
        <v>3</v>
      </c>
      <c r="C4" s="348"/>
      <c r="D4" s="348"/>
      <c r="E4" s="348"/>
      <c r="F4" s="348"/>
      <c r="G4" s="348"/>
      <c r="H4" s="348"/>
      <c r="I4" s="348"/>
    </row>
    <row r="5" spans="2:14" x14ac:dyDescent="0.25">
      <c r="B5" s="348" t="s">
        <v>4</v>
      </c>
      <c r="C5" s="348"/>
      <c r="D5" s="348"/>
      <c r="E5" s="348"/>
      <c r="F5" s="348"/>
      <c r="G5" s="348"/>
      <c r="H5" s="348"/>
      <c r="I5" s="348"/>
    </row>
    <row r="6" spans="2:14" x14ac:dyDescent="0.25">
      <c r="B6" s="138"/>
      <c r="C6" s="347" t="s">
        <v>84</v>
      </c>
      <c r="D6" s="347"/>
      <c r="E6" s="347"/>
      <c r="F6" s="347" t="s">
        <v>85</v>
      </c>
      <c r="G6" s="347"/>
      <c r="H6" s="347"/>
      <c r="I6" s="347"/>
    </row>
    <row r="7" spans="2:14" ht="15" customHeight="1" x14ac:dyDescent="0.25">
      <c r="B7" s="349" t="s">
        <v>5</v>
      </c>
      <c r="C7" s="344" t="s">
        <v>86</v>
      </c>
      <c r="D7" s="344" t="s">
        <v>87</v>
      </c>
      <c r="E7" s="344" t="s">
        <v>88</v>
      </c>
      <c r="F7" s="344" t="s">
        <v>89</v>
      </c>
      <c r="G7" s="344"/>
      <c r="H7" s="344" t="s">
        <v>8</v>
      </c>
      <c r="I7" s="344"/>
      <c r="J7" s="14"/>
    </row>
    <row r="8" spans="2:14" x14ac:dyDescent="0.25">
      <c r="B8" s="349"/>
      <c r="C8" s="344"/>
      <c r="D8" s="344"/>
      <c r="E8" s="344"/>
      <c r="F8" s="344"/>
      <c r="G8" s="344"/>
      <c r="H8" s="344"/>
      <c r="I8" s="344"/>
      <c r="J8" s="14"/>
    </row>
    <row r="9" spans="2:14" ht="14.25" customHeight="1" x14ac:dyDescent="0.25">
      <c r="B9" s="139"/>
      <c r="C9" s="116" t="s">
        <v>9</v>
      </c>
      <c r="D9" s="116" t="s">
        <v>9</v>
      </c>
      <c r="E9" s="116" t="s">
        <v>9</v>
      </c>
      <c r="F9" s="116" t="s">
        <v>10</v>
      </c>
      <c r="G9" s="116" t="s">
        <v>11</v>
      </c>
      <c r="H9" s="116" t="s">
        <v>10</v>
      </c>
      <c r="I9" s="116" t="s">
        <v>11</v>
      </c>
    </row>
    <row r="10" spans="2:14" hidden="1" x14ac:dyDescent="0.25">
      <c r="B10" s="170" t="s">
        <v>12</v>
      </c>
      <c r="C10" s="205"/>
      <c r="D10" s="205"/>
      <c r="E10" s="206"/>
      <c r="F10" s="207"/>
      <c r="G10" s="209"/>
      <c r="H10" s="208"/>
      <c r="I10" s="212"/>
    </row>
    <row r="11" spans="2:14" x14ac:dyDescent="0.25">
      <c r="B11" s="85" t="s">
        <v>90</v>
      </c>
      <c r="C11" s="330">
        <v>4279085310.48</v>
      </c>
      <c r="D11" s="330">
        <v>1548142.3099999998</v>
      </c>
      <c r="E11" s="330">
        <v>4333836083.96</v>
      </c>
      <c r="F11" s="330">
        <v>4265237045.3099999</v>
      </c>
      <c r="G11" s="304">
        <v>0.9841656326694036</v>
      </c>
      <c r="H11" s="330">
        <v>68599038.650000095</v>
      </c>
      <c r="I11" s="305">
        <v>1.5828710943612399E-2</v>
      </c>
      <c r="J11" s="14"/>
    </row>
    <row r="12" spans="2:14" x14ac:dyDescent="0.25">
      <c r="B12" s="85" t="s">
        <v>14</v>
      </c>
      <c r="C12" s="330">
        <v>4146335791.1199999</v>
      </c>
      <c r="D12" s="330">
        <v>987531.05</v>
      </c>
      <c r="E12" s="330">
        <v>4259009605.8799996</v>
      </c>
      <c r="F12" s="330">
        <v>4205806974.71</v>
      </c>
      <c r="G12" s="304">
        <v>0.9875053181418455</v>
      </c>
      <c r="H12" s="330">
        <v>53202631.169999599</v>
      </c>
      <c r="I12" s="305">
        <v>1.2491784732428899E-2</v>
      </c>
      <c r="L12" s="14"/>
      <c r="N12" s="111"/>
    </row>
    <row r="13" spans="2:14" x14ac:dyDescent="0.25">
      <c r="B13" s="85" t="s">
        <v>15</v>
      </c>
      <c r="C13" s="330">
        <v>4257335791.1199999</v>
      </c>
      <c r="D13" s="330">
        <v>0</v>
      </c>
      <c r="E13" s="330">
        <v>4257335791.1199999</v>
      </c>
      <c r="F13" s="330">
        <v>4145649507.4100003</v>
      </c>
      <c r="G13" s="304">
        <v>0.97376615583319592</v>
      </c>
      <c r="H13" s="330">
        <v>111686283.70999999</v>
      </c>
      <c r="I13" s="305">
        <v>2.6233844166804059E-2</v>
      </c>
    </row>
    <row r="14" spans="2:14" x14ac:dyDescent="0.25">
      <c r="B14" s="46" t="s">
        <v>16</v>
      </c>
      <c r="C14" s="210">
        <f>SUM(C10:C13)</f>
        <v>12682756892.720001</v>
      </c>
      <c r="D14" s="211">
        <f>SUM(D10:D13)</f>
        <v>2535673.36</v>
      </c>
      <c r="E14" s="211">
        <f>SUM(E10:E13)</f>
        <v>12850181480.959999</v>
      </c>
      <c r="F14" s="211">
        <f>SUM(F10:F13)</f>
        <v>12616693527.43</v>
      </c>
      <c r="G14" s="214">
        <f>+F14/(C14+D14)</f>
        <v>0.99459223835062083</v>
      </c>
      <c r="H14" s="210">
        <f>(C14+D14)-F14</f>
        <v>68599038.650001526</v>
      </c>
      <c r="I14" s="213">
        <f>H14/(C14+D14)</f>
        <v>5.4077616493791239E-3</v>
      </c>
      <c r="J14" s="18"/>
      <c r="K14" s="36"/>
    </row>
    <row r="15" spans="2:14" hidden="1" x14ac:dyDescent="0.25">
      <c r="B15" s="85" t="s">
        <v>17</v>
      </c>
      <c r="C15" s="120">
        <v>1913412632.9166667</v>
      </c>
      <c r="D15" s="120"/>
      <c r="E15" s="120"/>
      <c r="F15" s="121"/>
      <c r="G15" s="2">
        <f t="shared" ref="G15:G28" si="0">(F15/C15)</f>
        <v>0</v>
      </c>
      <c r="H15" s="72">
        <f>+C15-F15</f>
        <v>1913412632.9166667</v>
      </c>
      <c r="I15" s="4">
        <f t="shared" ref="I15:I27" si="1">(H15/C15)</f>
        <v>1</v>
      </c>
    </row>
    <row r="16" spans="2:14" hidden="1" x14ac:dyDescent="0.25">
      <c r="B16" s="85" t="s">
        <v>18</v>
      </c>
      <c r="C16" s="120">
        <v>1913412632.9166667</v>
      </c>
      <c r="D16" s="120"/>
      <c r="E16" s="120"/>
      <c r="F16" s="121"/>
      <c r="G16" s="2">
        <f t="shared" si="0"/>
        <v>0</v>
      </c>
      <c r="H16" s="72">
        <f>+C16-F16</f>
        <v>1913412632.9166667</v>
      </c>
      <c r="I16" s="4">
        <f t="shared" si="1"/>
        <v>1</v>
      </c>
    </row>
    <row r="17" spans="2:11" hidden="1" x14ac:dyDescent="0.25">
      <c r="B17" s="85" t="s">
        <v>19</v>
      </c>
      <c r="C17" s="120">
        <v>1913412632.9166667</v>
      </c>
      <c r="D17" s="120"/>
      <c r="E17" s="120"/>
      <c r="F17" s="121"/>
      <c r="G17" s="2">
        <f t="shared" si="0"/>
        <v>0</v>
      </c>
      <c r="H17" s="72">
        <f>+C17-F17</f>
        <v>1913412632.9166667</v>
      </c>
      <c r="I17" s="4">
        <f t="shared" si="1"/>
        <v>1</v>
      </c>
    </row>
    <row r="18" spans="2:11" hidden="1" x14ac:dyDescent="0.25">
      <c r="B18" s="27" t="s">
        <v>20</v>
      </c>
      <c r="C18" s="8">
        <f>SUM(C15:C17)</f>
        <v>5740237898.75</v>
      </c>
      <c r="D18" s="8"/>
      <c r="E18" s="8"/>
      <c r="F18" s="8">
        <f>SUM(F15:F17)</f>
        <v>0</v>
      </c>
      <c r="G18" s="3">
        <f t="shared" si="0"/>
        <v>0</v>
      </c>
      <c r="H18" s="13">
        <f>SUM(H10:H13)</f>
        <v>233487953.52999967</v>
      </c>
      <c r="I18" s="5">
        <f t="shared" si="1"/>
        <v>4.0675657986377928E-2</v>
      </c>
    </row>
    <row r="19" spans="2:11" hidden="1" x14ac:dyDescent="0.25">
      <c r="B19" s="85" t="s">
        <v>21</v>
      </c>
      <c r="C19" s="120">
        <v>1913412632.9166667</v>
      </c>
      <c r="D19" s="120"/>
      <c r="E19" s="120"/>
      <c r="F19" s="121"/>
      <c r="G19" s="2">
        <f t="shared" si="0"/>
        <v>0</v>
      </c>
      <c r="H19" s="72">
        <f>+C19-F19</f>
        <v>1913412632.9166667</v>
      </c>
      <c r="I19" s="4">
        <f t="shared" si="1"/>
        <v>1</v>
      </c>
    </row>
    <row r="20" spans="2:11" hidden="1" x14ac:dyDescent="0.25">
      <c r="B20" s="85" t="s">
        <v>22</v>
      </c>
      <c r="C20" s="120">
        <v>1913412632.9166667</v>
      </c>
      <c r="D20" s="120"/>
      <c r="E20" s="120"/>
      <c r="F20" s="121"/>
      <c r="G20" s="2">
        <f t="shared" si="0"/>
        <v>0</v>
      </c>
      <c r="H20" s="72">
        <f>+C20-F20</f>
        <v>1913412632.9166667</v>
      </c>
      <c r="I20" s="4">
        <f t="shared" si="1"/>
        <v>1</v>
      </c>
    </row>
    <row r="21" spans="2:11" hidden="1" x14ac:dyDescent="0.25">
      <c r="B21" s="85" t="s">
        <v>23</v>
      </c>
      <c r="C21" s="120">
        <v>1913412632.9166667</v>
      </c>
      <c r="D21" s="120"/>
      <c r="E21" s="120"/>
      <c r="F21" s="121"/>
      <c r="G21" s="2">
        <f t="shared" si="0"/>
        <v>0</v>
      </c>
      <c r="H21" s="72">
        <f>+C21-F21</f>
        <v>1913412632.9166667</v>
      </c>
      <c r="I21" s="4">
        <f t="shared" si="1"/>
        <v>1</v>
      </c>
    </row>
    <row r="22" spans="2:11" hidden="1" x14ac:dyDescent="0.25">
      <c r="B22" s="27" t="s">
        <v>24</v>
      </c>
      <c r="C22" s="8">
        <f>SUM(C19:C21)</f>
        <v>5740237898.75</v>
      </c>
      <c r="D22" s="8"/>
      <c r="E22" s="8"/>
      <c r="F22" s="8">
        <f>SUM(F19:F21)</f>
        <v>0</v>
      </c>
      <c r="G22" s="3">
        <f t="shared" si="0"/>
        <v>0</v>
      </c>
      <c r="H22" s="13">
        <f>SUM(H19:H21)</f>
        <v>5740237898.75</v>
      </c>
      <c r="I22" s="5">
        <f t="shared" si="1"/>
        <v>1</v>
      </c>
    </row>
    <row r="23" spans="2:11" hidden="1" x14ac:dyDescent="0.25">
      <c r="B23" s="85" t="s">
        <v>25</v>
      </c>
      <c r="C23" s="120">
        <v>1913412632.9166667</v>
      </c>
      <c r="D23" s="120"/>
      <c r="E23" s="120"/>
      <c r="F23" s="121"/>
      <c r="G23" s="2">
        <f t="shared" si="0"/>
        <v>0</v>
      </c>
      <c r="H23" s="72">
        <f>+C23-F23</f>
        <v>1913412632.9166667</v>
      </c>
      <c r="I23" s="4">
        <f t="shared" si="1"/>
        <v>1</v>
      </c>
    </row>
    <row r="24" spans="2:11" hidden="1" x14ac:dyDescent="0.25">
      <c r="B24" s="85" t="s">
        <v>26</v>
      </c>
      <c r="C24" s="120">
        <v>1913412632.9166667</v>
      </c>
      <c r="D24" s="120"/>
      <c r="E24" s="120"/>
      <c r="F24" s="121"/>
      <c r="G24" s="2">
        <f t="shared" si="0"/>
        <v>0</v>
      </c>
      <c r="H24" s="72">
        <f>+C24-F24</f>
        <v>1913412632.9166667</v>
      </c>
      <c r="I24" s="4">
        <f t="shared" si="1"/>
        <v>1</v>
      </c>
    </row>
    <row r="25" spans="2:11" hidden="1" x14ac:dyDescent="0.25">
      <c r="B25" s="85" t="s">
        <v>27</v>
      </c>
      <c r="C25" s="120">
        <v>1843710155</v>
      </c>
      <c r="D25" s="120"/>
      <c r="E25" s="120"/>
      <c r="F25" s="121"/>
      <c r="G25" s="2">
        <f t="shared" si="0"/>
        <v>0</v>
      </c>
      <c r="H25" s="72">
        <f>+C25-F25</f>
        <v>1843710155</v>
      </c>
      <c r="I25" s="4">
        <f t="shared" si="1"/>
        <v>1</v>
      </c>
    </row>
    <row r="26" spans="2:11" hidden="1" x14ac:dyDescent="0.25">
      <c r="B26" s="85" t="s">
        <v>12</v>
      </c>
      <c r="C26" s="120">
        <v>1913412632.9166667</v>
      </c>
      <c r="D26" s="120"/>
      <c r="E26" s="120"/>
      <c r="F26" s="121"/>
      <c r="G26" s="2">
        <f t="shared" si="0"/>
        <v>0</v>
      </c>
      <c r="H26" s="72">
        <f>+C26-F26</f>
        <v>1913412632.9166667</v>
      </c>
      <c r="I26" s="4">
        <f t="shared" si="1"/>
        <v>1</v>
      </c>
    </row>
    <row r="27" spans="2:11" hidden="1" x14ac:dyDescent="0.25">
      <c r="B27" s="27" t="s">
        <v>28</v>
      </c>
      <c r="C27" s="8">
        <f>SUM(C23:C26)</f>
        <v>7583948053.750001</v>
      </c>
      <c r="D27" s="8"/>
      <c r="E27" s="8"/>
      <c r="F27" s="8">
        <f>SUM(F23:F26)</f>
        <v>0</v>
      </c>
      <c r="G27" s="3">
        <f t="shared" si="0"/>
        <v>0</v>
      </c>
      <c r="H27" s="13">
        <f>SUM(H23:H26)</f>
        <v>7583948053.750001</v>
      </c>
      <c r="I27" s="5">
        <f t="shared" si="1"/>
        <v>1</v>
      </c>
    </row>
    <row r="28" spans="2:11" hidden="1" x14ac:dyDescent="0.25">
      <c r="B28" s="123" t="s">
        <v>29</v>
      </c>
      <c r="C28" s="10">
        <f>+C14+C18+C22+C27</f>
        <v>31747180743.970001</v>
      </c>
      <c r="D28" s="10"/>
      <c r="E28" s="10"/>
      <c r="F28" s="10">
        <f>+F14+F18+F22+F27</f>
        <v>12616693527.43</v>
      </c>
      <c r="G28" s="17">
        <f t="shared" si="0"/>
        <v>0.3974114624280895</v>
      </c>
      <c r="H28" s="11">
        <f>+H14+H18+H22+H27</f>
        <v>13626272944.680002</v>
      </c>
      <c r="I28" s="17">
        <v>1</v>
      </c>
    </row>
    <row r="29" spans="2:11" ht="29.25" customHeight="1" x14ac:dyDescent="0.25">
      <c r="B29" s="340" t="s">
        <v>91</v>
      </c>
      <c r="C29" s="340"/>
      <c r="D29" s="340"/>
      <c r="E29" s="340"/>
      <c r="F29" s="340"/>
      <c r="G29" s="340"/>
      <c r="H29" s="340"/>
      <c r="I29" s="340"/>
    </row>
    <row r="30" spans="2:11" ht="30.75" customHeight="1" x14ac:dyDescent="0.25">
      <c r="B30" s="340" t="s">
        <v>260</v>
      </c>
      <c r="C30" s="340"/>
      <c r="D30" s="340"/>
      <c r="E30" s="340"/>
      <c r="F30" s="340"/>
      <c r="G30" s="340"/>
      <c r="H30" s="340"/>
      <c r="I30" s="340"/>
      <c r="J30" s="14"/>
      <c r="K30" s="111"/>
    </row>
    <row r="31" spans="2:11" x14ac:dyDescent="0.25">
      <c r="B31" s="341" t="s">
        <v>261</v>
      </c>
      <c r="C31" s="341"/>
      <c r="D31" s="341"/>
      <c r="E31" s="341"/>
      <c r="F31" s="341"/>
      <c r="G31" s="341"/>
      <c r="H31" s="341"/>
      <c r="I31" s="341"/>
      <c r="J31" s="14"/>
    </row>
    <row r="32" spans="2:11" x14ac:dyDescent="0.25">
      <c r="B32"/>
      <c r="C32"/>
      <c r="D32"/>
      <c r="E32"/>
      <c r="F32"/>
      <c r="G32"/>
      <c r="H32"/>
      <c r="I32"/>
    </row>
    <row r="33" spans="2:9" x14ac:dyDescent="0.25">
      <c r="B33"/>
      <c r="C33"/>
      <c r="D33"/>
      <c r="E33"/>
      <c r="F33"/>
      <c r="G33"/>
      <c r="H33"/>
      <c r="I33"/>
    </row>
    <row r="34" spans="2:9" x14ac:dyDescent="0.25">
      <c r="B34"/>
      <c r="C34"/>
      <c r="D34"/>
      <c r="E34"/>
      <c r="F34"/>
      <c r="G34"/>
      <c r="H34"/>
      <c r="I34"/>
    </row>
    <row r="35" spans="2:9" x14ac:dyDescent="0.25">
      <c r="B35"/>
      <c r="C35"/>
      <c r="D35"/>
      <c r="E35"/>
      <c r="F35"/>
      <c r="G35"/>
      <c r="H35"/>
      <c r="I35"/>
    </row>
    <row r="36" spans="2:9" x14ac:dyDescent="0.25">
      <c r="B36"/>
      <c r="C36"/>
      <c r="D36"/>
      <c r="E36"/>
      <c r="F36"/>
      <c r="G36"/>
      <c r="H36"/>
      <c r="I36"/>
    </row>
    <row r="37" spans="2:9" x14ac:dyDescent="0.25">
      <c r="B37"/>
      <c r="C37"/>
      <c r="D37"/>
      <c r="E37"/>
      <c r="F37"/>
      <c r="G37"/>
      <c r="H37"/>
      <c r="I37"/>
    </row>
    <row r="38" spans="2:9" x14ac:dyDescent="0.25">
      <c r="B38"/>
      <c r="C38"/>
      <c r="D38"/>
      <c r="E38"/>
      <c r="F38"/>
      <c r="G38"/>
      <c r="H38"/>
      <c r="I38"/>
    </row>
    <row r="39" spans="2:9" x14ac:dyDescent="0.25">
      <c r="B39"/>
      <c r="C39"/>
      <c r="D39"/>
      <c r="E39"/>
      <c r="F39"/>
      <c r="G39"/>
      <c r="H39"/>
      <c r="I39"/>
    </row>
    <row r="40" spans="2:9" x14ac:dyDescent="0.25">
      <c r="B40"/>
      <c r="C40"/>
      <c r="D40"/>
      <c r="E40"/>
      <c r="F40"/>
      <c r="G40"/>
      <c r="H40"/>
      <c r="I40"/>
    </row>
    <row r="41" spans="2:9" x14ac:dyDescent="0.25">
      <c r="B41"/>
      <c r="C41"/>
      <c r="D41"/>
      <c r="E41"/>
      <c r="F41"/>
      <c r="G41"/>
      <c r="H41"/>
      <c r="I41"/>
    </row>
    <row r="42" spans="2:9" x14ac:dyDescent="0.25">
      <c r="B42"/>
      <c r="C42"/>
      <c r="D42"/>
      <c r="E42"/>
      <c r="F42"/>
      <c r="G42"/>
      <c r="H42"/>
      <c r="I42"/>
    </row>
    <row r="43" spans="2:9" x14ac:dyDescent="0.25">
      <c r="B43"/>
      <c r="C43"/>
      <c r="D43"/>
      <c r="E43"/>
      <c r="F43"/>
      <c r="G43"/>
      <c r="H43"/>
      <c r="I43"/>
    </row>
    <row r="44" spans="2:9" x14ac:dyDescent="0.25">
      <c r="B44"/>
      <c r="C44"/>
      <c r="D44"/>
      <c r="E44"/>
      <c r="F44"/>
      <c r="G44"/>
      <c r="H44"/>
      <c r="I44"/>
    </row>
    <row r="45" spans="2:9" x14ac:dyDescent="0.25">
      <c r="B45"/>
      <c r="C45"/>
      <c r="D45"/>
      <c r="E45"/>
      <c r="F45"/>
      <c r="G45"/>
      <c r="H45"/>
      <c r="I45"/>
    </row>
    <row r="46" spans="2:9" x14ac:dyDescent="0.25">
      <c r="B46"/>
      <c r="C46"/>
      <c r="D46"/>
      <c r="E46"/>
      <c r="F46"/>
      <c r="G46"/>
      <c r="H46"/>
      <c r="I46"/>
    </row>
    <row r="47" spans="2:9" x14ac:dyDescent="0.25">
      <c r="B47"/>
      <c r="C47"/>
      <c r="D47"/>
      <c r="E47"/>
      <c r="F47"/>
      <c r="G47"/>
      <c r="H47"/>
      <c r="I47"/>
    </row>
    <row r="48" spans="2:9" x14ac:dyDescent="0.25">
      <c r="B48"/>
      <c r="C48"/>
      <c r="D48"/>
      <c r="E48"/>
      <c r="F48"/>
      <c r="G48"/>
      <c r="H48"/>
      <c r="I48"/>
    </row>
    <row r="49" spans="2:10" x14ac:dyDescent="0.25">
      <c r="B49"/>
      <c r="C49"/>
      <c r="D49"/>
      <c r="E49"/>
      <c r="F49"/>
      <c r="G49"/>
      <c r="H49"/>
      <c r="I49"/>
    </row>
    <row r="50" spans="2:10" x14ac:dyDescent="0.25">
      <c r="B50"/>
      <c r="C50"/>
      <c r="D50"/>
      <c r="E50"/>
      <c r="F50"/>
      <c r="G50"/>
      <c r="H50"/>
      <c r="I50"/>
    </row>
    <row r="51" spans="2:10" x14ac:dyDescent="0.25">
      <c r="B51"/>
      <c r="C51"/>
      <c r="D51"/>
      <c r="E51"/>
      <c r="F51"/>
      <c r="G51"/>
      <c r="H51"/>
      <c r="I51"/>
    </row>
    <row r="52" spans="2:10" x14ac:dyDescent="0.25">
      <c r="B52"/>
      <c r="C52"/>
      <c r="D52"/>
      <c r="E52"/>
      <c r="F52"/>
      <c r="G52"/>
      <c r="H52"/>
      <c r="I52"/>
    </row>
    <row r="53" spans="2:10" x14ac:dyDescent="0.25">
      <c r="C53" s="85"/>
      <c r="D53" s="120"/>
      <c r="E53" s="140"/>
      <c r="F53" s="120"/>
      <c r="G53" s="121"/>
      <c r="H53" s="2"/>
      <c r="I53" s="72"/>
      <c r="J53" s="4"/>
    </row>
    <row r="55" spans="2:10" x14ac:dyDescent="0.25">
      <c r="C55" s="85"/>
      <c r="D55" s="140"/>
      <c r="E55" s="120"/>
      <c r="F55" s="120"/>
      <c r="G55" s="121"/>
      <c r="H55" s="2"/>
      <c r="I55" s="113"/>
      <c r="J55" s="4"/>
    </row>
  </sheetData>
  <mergeCells count="16">
    <mergeCell ref="B31:I31"/>
    <mergeCell ref="F6:I6"/>
    <mergeCell ref="B29:I29"/>
    <mergeCell ref="B30:I30"/>
    <mergeCell ref="B1:I1"/>
    <mergeCell ref="B2:I2"/>
    <mergeCell ref="B3:I3"/>
    <mergeCell ref="B5:I5"/>
    <mergeCell ref="F7:G8"/>
    <mergeCell ref="H7:I8"/>
    <mergeCell ref="C7:C8"/>
    <mergeCell ref="B7:B8"/>
    <mergeCell ref="B4:I4"/>
    <mergeCell ref="D7:D8"/>
    <mergeCell ref="E7:E8"/>
    <mergeCell ref="C6:E6"/>
  </mergeCells>
  <pageMargins left="0.7" right="0.7" top="0.75" bottom="0.75" header="0.3" footer="0.3"/>
  <pageSetup paperSize="9" scale="7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B1:Z65"/>
  <sheetViews>
    <sheetView showGridLines="0" zoomScaleNormal="100" zoomScaleSheetLayoutView="130" workbookViewId="0">
      <selection activeCell="C9" sqref="C9:N11"/>
    </sheetView>
  </sheetViews>
  <sheetFormatPr baseColWidth="10" defaultColWidth="11.42578125" defaultRowHeight="15" x14ac:dyDescent="0.25"/>
  <cols>
    <col min="1" max="1" width="11.42578125" style="1"/>
    <col min="2" max="2" width="12.28515625" style="1" customWidth="1"/>
    <col min="3" max="3" width="11" style="1" customWidth="1"/>
    <col min="4" max="4" width="11.42578125" style="1" customWidth="1"/>
    <col min="5" max="5" width="17.5703125" style="1" customWidth="1"/>
    <col min="6" max="6" width="11" style="1" customWidth="1"/>
    <col min="7" max="7" width="10.140625" style="1" customWidth="1"/>
    <col min="8" max="8" width="16.42578125" style="1" customWidth="1"/>
    <col min="9" max="9" width="11.28515625" style="1" customWidth="1"/>
    <col min="10" max="10" width="11.7109375" style="1" customWidth="1"/>
    <col min="11" max="11" width="17.140625" style="1" customWidth="1"/>
    <col min="12" max="12" width="10.7109375" style="1" customWidth="1"/>
    <col min="13" max="13" width="10.28515625" style="1" customWidth="1"/>
    <col min="14" max="14" width="17.7109375" style="1" bestFit="1" customWidth="1"/>
    <col min="15" max="15" width="11" style="1" customWidth="1"/>
    <col min="16" max="16" width="15.42578125" style="1" hidden="1" customWidth="1"/>
    <col min="17" max="17" width="16.42578125" style="1" hidden="1" customWidth="1"/>
    <col min="18" max="18" width="14.7109375" style="1" hidden="1" customWidth="1"/>
    <col min="19" max="19" width="17.7109375" style="1" hidden="1" customWidth="1"/>
    <col min="20" max="20" width="16.7109375" style="1" hidden="1" customWidth="1"/>
    <col min="21" max="21" width="12.28515625" style="1" hidden="1" customWidth="1"/>
    <col min="22" max="22" width="17.7109375" style="1" hidden="1" customWidth="1"/>
    <col min="23" max="23" width="0" style="1" hidden="1" customWidth="1"/>
    <col min="24" max="16384" width="11.42578125" style="1"/>
  </cols>
  <sheetData>
    <row r="1" spans="2:26" x14ac:dyDescent="0.25">
      <c r="B1" s="348" t="s">
        <v>0</v>
      </c>
      <c r="C1" s="348"/>
      <c r="D1" s="348"/>
      <c r="E1" s="348"/>
      <c r="F1" s="348"/>
      <c r="G1" s="348"/>
      <c r="H1" s="348"/>
      <c r="I1" s="348"/>
      <c r="J1" s="348"/>
      <c r="K1" s="348"/>
      <c r="L1" s="348"/>
      <c r="M1" s="348"/>
      <c r="N1" s="348"/>
      <c r="O1" s="22"/>
    </row>
    <row r="2" spans="2:26" x14ac:dyDescent="0.25">
      <c r="B2" s="348" t="s">
        <v>82</v>
      </c>
      <c r="C2" s="348"/>
      <c r="D2" s="348"/>
      <c r="E2" s="348"/>
      <c r="F2" s="348"/>
      <c r="G2" s="348"/>
      <c r="H2" s="348"/>
      <c r="I2" s="348"/>
      <c r="J2" s="348"/>
      <c r="K2" s="348"/>
      <c r="L2" s="348"/>
      <c r="M2" s="348"/>
      <c r="N2" s="348"/>
    </row>
    <row r="3" spans="2:26" x14ac:dyDescent="0.25">
      <c r="B3" s="348" t="s">
        <v>92</v>
      </c>
      <c r="C3" s="348"/>
      <c r="D3" s="348"/>
      <c r="E3" s="348"/>
      <c r="F3" s="348"/>
      <c r="G3" s="348"/>
      <c r="H3" s="348"/>
      <c r="I3" s="348"/>
      <c r="J3" s="348"/>
      <c r="K3" s="348"/>
      <c r="L3" s="348"/>
      <c r="M3" s="348"/>
      <c r="N3" s="348"/>
    </row>
    <row r="4" spans="2:26" x14ac:dyDescent="0.25">
      <c r="B4" s="348" t="s">
        <v>3</v>
      </c>
      <c r="C4" s="348"/>
      <c r="D4" s="348"/>
      <c r="E4" s="348"/>
      <c r="F4" s="348"/>
      <c r="G4" s="348"/>
      <c r="H4" s="348"/>
      <c r="I4" s="348"/>
      <c r="J4" s="348"/>
      <c r="K4" s="348"/>
      <c r="L4" s="348"/>
      <c r="M4" s="348"/>
      <c r="N4" s="348"/>
    </row>
    <row r="5" spans="2:26" x14ac:dyDescent="0.25">
      <c r="B5" s="348" t="s">
        <v>4</v>
      </c>
      <c r="C5" s="348"/>
      <c r="D5" s="348"/>
      <c r="E5" s="348"/>
      <c r="F5" s="348"/>
      <c r="G5" s="348"/>
      <c r="H5" s="348"/>
      <c r="I5" s="348"/>
      <c r="J5" s="348"/>
      <c r="K5" s="348"/>
      <c r="L5" s="348"/>
      <c r="M5" s="348"/>
      <c r="N5" s="348"/>
    </row>
    <row r="6" spans="2:26" x14ac:dyDescent="0.25">
      <c r="B6"/>
      <c r="C6" s="351" t="s">
        <v>93</v>
      </c>
      <c r="D6" s="351"/>
      <c r="E6" s="351"/>
      <c r="F6" s="354" t="s">
        <v>94</v>
      </c>
      <c r="G6" s="354"/>
      <c r="H6" s="354"/>
      <c r="I6" s="352" t="s">
        <v>95</v>
      </c>
      <c r="J6" s="352"/>
      <c r="K6" s="352"/>
      <c r="L6" s="353" t="s">
        <v>96</v>
      </c>
      <c r="M6" s="353"/>
      <c r="N6" s="353"/>
    </row>
    <row r="7" spans="2:26" ht="25.5" x14ac:dyDescent="0.25">
      <c r="B7" s="43" t="s">
        <v>5</v>
      </c>
      <c r="C7" s="45" t="s">
        <v>97</v>
      </c>
      <c r="D7" s="45" t="s">
        <v>98</v>
      </c>
      <c r="E7" s="45" t="s">
        <v>9</v>
      </c>
      <c r="F7" s="45" t="s">
        <v>97</v>
      </c>
      <c r="G7" s="45" t="s">
        <v>98</v>
      </c>
      <c r="H7" s="45" t="s">
        <v>9</v>
      </c>
      <c r="I7" s="45" t="s">
        <v>97</v>
      </c>
      <c r="J7" s="45" t="s">
        <v>98</v>
      </c>
      <c r="K7" s="45" t="s">
        <v>9</v>
      </c>
      <c r="L7" s="45" t="s">
        <v>97</v>
      </c>
      <c r="M7" s="45" t="s">
        <v>98</v>
      </c>
      <c r="N7" s="45" t="s">
        <v>9</v>
      </c>
    </row>
    <row r="8" spans="2:26" s="174" customFormat="1" ht="15.75" hidden="1" customHeight="1" x14ac:dyDescent="0.25">
      <c r="B8" s="175" t="s">
        <v>12</v>
      </c>
      <c r="C8" s="176"/>
      <c r="D8" s="173"/>
      <c r="E8" s="215"/>
      <c r="F8" s="172"/>
      <c r="G8" s="172"/>
      <c r="H8" s="216"/>
      <c r="I8" s="171"/>
      <c r="J8" s="172"/>
      <c r="K8" s="216"/>
      <c r="L8" s="177">
        <f>+I8+F8+C8</f>
        <v>0</v>
      </c>
      <c r="M8" s="177">
        <f>+D8+G8+J8</f>
        <v>0</v>
      </c>
      <c r="N8" s="217">
        <f>+E8+H8+K8</f>
        <v>0</v>
      </c>
    </row>
    <row r="9" spans="2:26" x14ac:dyDescent="0.25">
      <c r="B9" s="44" t="s">
        <v>13</v>
      </c>
      <c r="C9" s="284">
        <v>164813</v>
      </c>
      <c r="D9" s="284">
        <v>177660</v>
      </c>
      <c r="E9" s="285">
        <v>3019754762.5</v>
      </c>
      <c r="F9" s="284">
        <v>62570</v>
      </c>
      <c r="G9" s="284">
        <v>62570</v>
      </c>
      <c r="H9" s="285">
        <v>375420000</v>
      </c>
      <c r="I9" s="284">
        <v>26828</v>
      </c>
      <c r="J9" s="284">
        <v>26940</v>
      </c>
      <c r="K9" s="285">
        <v>861226297.13</v>
      </c>
      <c r="L9" s="286">
        <f>C9+F9+I9</f>
        <v>254211</v>
      </c>
      <c r="M9" s="287">
        <f>D9+G9+J9</f>
        <v>267170</v>
      </c>
      <c r="N9" s="288">
        <f>E9+H9+K9</f>
        <v>4256401059.6300001</v>
      </c>
      <c r="V9" s="104">
        <f>+V29/1000000</f>
        <v>6514.9574338200018</v>
      </c>
    </row>
    <row r="10" spans="2:26" x14ac:dyDescent="0.25">
      <c r="B10" s="44" t="s">
        <v>14</v>
      </c>
      <c r="C10" s="284">
        <v>164545</v>
      </c>
      <c r="D10" s="289">
        <v>177432</v>
      </c>
      <c r="E10" s="285">
        <v>2985141277.8299999</v>
      </c>
      <c r="F10" s="284">
        <v>61663</v>
      </c>
      <c r="G10" s="284">
        <v>61663</v>
      </c>
      <c r="H10" s="285">
        <v>369978000</v>
      </c>
      <c r="I10" s="284">
        <v>26345</v>
      </c>
      <c r="J10" s="284">
        <v>26457</v>
      </c>
      <c r="K10" s="285">
        <v>827916727.58000004</v>
      </c>
      <c r="L10" s="286">
        <f t="shared" ref="L10:L11" si="0">C10+F10+I10</f>
        <v>252553</v>
      </c>
      <c r="M10" s="287">
        <f t="shared" ref="M10:M11" si="1">D10+G10+J10</f>
        <v>265552</v>
      </c>
      <c r="N10" s="288">
        <f t="shared" ref="N10:N11" si="2">E10+H10+K10</f>
        <v>4183036005.4099998</v>
      </c>
      <c r="R10" s="35">
        <f>+M9-M10</f>
        <v>1618</v>
      </c>
    </row>
    <row r="11" spans="2:26" x14ac:dyDescent="0.25">
      <c r="B11" s="44" t="s">
        <v>15</v>
      </c>
      <c r="C11" s="284">
        <v>163421</v>
      </c>
      <c r="D11" s="284">
        <v>176300</v>
      </c>
      <c r="E11" s="285">
        <v>2955772958.3200002</v>
      </c>
      <c r="F11" s="284">
        <v>60355</v>
      </c>
      <c r="G11" s="284">
        <v>60355</v>
      </c>
      <c r="H11" s="285">
        <v>362130000</v>
      </c>
      <c r="I11" s="284">
        <v>26351</v>
      </c>
      <c r="J11" s="284">
        <v>26461</v>
      </c>
      <c r="K11" s="285">
        <v>827746549.09000003</v>
      </c>
      <c r="L11" s="286">
        <f t="shared" si="0"/>
        <v>250127</v>
      </c>
      <c r="M11" s="287">
        <f t="shared" si="1"/>
        <v>263116</v>
      </c>
      <c r="N11" s="288">
        <f t="shared" si="2"/>
        <v>4145649507.4100003</v>
      </c>
      <c r="T11" s="33"/>
      <c r="W11" s="1">
        <f>+V29/1000000</f>
        <v>6514.9574338200018</v>
      </c>
      <c r="Y11" s="275"/>
      <c r="Z11" s="35"/>
    </row>
    <row r="12" spans="2:26" x14ac:dyDescent="0.25">
      <c r="B12" s="27" t="s">
        <v>16</v>
      </c>
      <c r="C12" s="290" cm="1">
        <f t="array" ref="C12:C14">+C9:C11</f>
        <v>164813</v>
      </c>
      <c r="D12" s="290" cm="1">
        <f t="array" ref="D12:D14">+D9:D11</f>
        <v>177660</v>
      </c>
      <c r="E12" s="291">
        <f>SUM(E8:E11)</f>
        <v>8960668998.6499996</v>
      </c>
      <c r="F12" s="290" cm="1">
        <f t="array" ref="F12:F14">+F9:F11</f>
        <v>62570</v>
      </c>
      <c r="G12" s="290" cm="1">
        <f t="array" ref="G12:G14">+G9:G11</f>
        <v>62570</v>
      </c>
      <c r="H12" s="291">
        <f>SUM(H8:H11)</f>
        <v>1107528000</v>
      </c>
      <c r="I12" s="290">
        <f>I9</f>
        <v>26828</v>
      </c>
      <c r="J12" s="290">
        <f>J9</f>
        <v>26940</v>
      </c>
      <c r="K12" s="292">
        <f>SUM(K8:K11)</f>
        <v>2516889573.8000002</v>
      </c>
      <c r="L12" s="290">
        <f>L9</f>
        <v>254211</v>
      </c>
      <c r="M12" s="290">
        <f>M9</f>
        <v>267170</v>
      </c>
      <c r="N12" s="292">
        <f>SUM(N8:N11)</f>
        <v>12585086572.450001</v>
      </c>
      <c r="T12" s="350" t="s">
        <v>56</v>
      </c>
      <c r="U12" s="350"/>
      <c r="V12" s="350"/>
      <c r="Y12" s="275"/>
      <c r="Z12" s="35"/>
    </row>
    <row r="13" spans="2:26" hidden="1" x14ac:dyDescent="0.25">
      <c r="B13" s="44" t="s">
        <v>17</v>
      </c>
      <c r="C13" s="141">
        <v>164545</v>
      </c>
      <c r="D13" s="112">
        <v>177432</v>
      </c>
      <c r="E13" s="112">
        <f>SUM(E8:E10)</f>
        <v>6004896040.3299999</v>
      </c>
      <c r="F13" s="112">
        <v>61663</v>
      </c>
      <c r="G13" s="112">
        <v>61663</v>
      </c>
      <c r="H13" s="112">
        <f>SUM(H8:H10)</f>
        <v>745398000</v>
      </c>
      <c r="I13" s="112"/>
      <c r="J13" s="112"/>
      <c r="K13" s="112">
        <f>SUM(K8:K10)</f>
        <v>1689143024.71</v>
      </c>
      <c r="L13" s="39">
        <f t="shared" ref="L13:L26" si="3">+L12</f>
        <v>254211</v>
      </c>
      <c r="M13" s="38">
        <f t="shared" ref="M13:N15" si="4">+D13+J13+G13</f>
        <v>239095</v>
      </c>
      <c r="N13" s="37">
        <f t="shared" si="4"/>
        <v>8439437065.04</v>
      </c>
    </row>
    <row r="14" spans="2:26" hidden="1" x14ac:dyDescent="0.25">
      <c r="B14" s="44" t="s">
        <v>18</v>
      </c>
      <c r="C14" s="141">
        <v>163421</v>
      </c>
      <c r="D14" s="142">
        <v>176300</v>
      </c>
      <c r="E14" s="112"/>
      <c r="F14" s="112">
        <v>60355</v>
      </c>
      <c r="G14" s="112">
        <v>60355</v>
      </c>
      <c r="H14" s="112"/>
      <c r="I14" s="112"/>
      <c r="J14" s="112"/>
      <c r="K14" s="112"/>
      <c r="L14" s="39">
        <f t="shared" si="3"/>
        <v>254211</v>
      </c>
      <c r="M14" s="38">
        <f t="shared" si="4"/>
        <v>236655</v>
      </c>
      <c r="N14" s="37">
        <f t="shared" si="4"/>
        <v>0</v>
      </c>
    </row>
    <row r="15" spans="2:26" hidden="1" x14ac:dyDescent="0.25">
      <c r="B15" s="44" t="s">
        <v>19</v>
      </c>
      <c r="C15" s="141"/>
      <c r="D15" s="112"/>
      <c r="E15" s="112"/>
      <c r="F15" s="112"/>
      <c r="G15" s="112"/>
      <c r="H15" s="112"/>
      <c r="I15" s="112"/>
      <c r="J15" s="112"/>
      <c r="K15" s="112"/>
      <c r="L15" s="39">
        <f t="shared" si="3"/>
        <v>254211</v>
      </c>
      <c r="M15" s="38">
        <f t="shared" si="4"/>
        <v>0</v>
      </c>
      <c r="N15" s="37">
        <f t="shared" si="4"/>
        <v>0</v>
      </c>
      <c r="R15" s="35">
        <f>+N9-N10</f>
        <v>73365054.220000267</v>
      </c>
      <c r="T15" s="33"/>
    </row>
    <row r="16" spans="2:26" hidden="1" x14ac:dyDescent="0.25">
      <c r="B16" s="27" t="s">
        <v>20</v>
      </c>
      <c r="C16" s="39">
        <f>+C15</f>
        <v>0</v>
      </c>
      <c r="D16" s="39">
        <f>+D15</f>
        <v>0</v>
      </c>
      <c r="E16" s="39">
        <f>+SUM(E13:E15)</f>
        <v>6004896040.3299999</v>
      </c>
      <c r="F16" s="39">
        <f>+F15</f>
        <v>0</v>
      </c>
      <c r="G16" s="39">
        <f>+G15</f>
        <v>0</v>
      </c>
      <c r="H16" s="39">
        <f>+SUM(H13:H15)</f>
        <v>745398000</v>
      </c>
      <c r="I16" s="39">
        <f>+I15</f>
        <v>0</v>
      </c>
      <c r="J16" s="39">
        <f>+J15</f>
        <v>0</v>
      </c>
      <c r="K16" s="39">
        <f>+SUM(K13:K15)</f>
        <v>1689143024.71</v>
      </c>
      <c r="L16" s="39">
        <f t="shared" si="3"/>
        <v>254211</v>
      </c>
      <c r="M16" s="40">
        <f>+M15</f>
        <v>0</v>
      </c>
      <c r="N16" s="39">
        <f>+SUM(N13:N15)</f>
        <v>8439437065.04</v>
      </c>
    </row>
    <row r="17" spans="2:26" hidden="1" x14ac:dyDescent="0.25">
      <c r="B17" s="44" t="s">
        <v>44</v>
      </c>
      <c r="C17" s="141"/>
      <c r="D17" s="112"/>
      <c r="E17" s="112"/>
      <c r="F17" s="112"/>
      <c r="G17" s="112"/>
      <c r="H17" s="112"/>
      <c r="I17" s="112"/>
      <c r="J17" s="112"/>
      <c r="K17" s="112"/>
      <c r="L17" s="39">
        <f t="shared" si="3"/>
        <v>254211</v>
      </c>
      <c r="M17" s="38">
        <f t="shared" ref="M17:N19" si="5">+D17+J17+G17</f>
        <v>0</v>
      </c>
      <c r="N17" s="37">
        <f t="shared" si="5"/>
        <v>0</v>
      </c>
    </row>
    <row r="18" spans="2:26" hidden="1" x14ac:dyDescent="0.25">
      <c r="B18" s="44" t="s">
        <v>22</v>
      </c>
      <c r="C18" s="141"/>
      <c r="D18" s="142"/>
      <c r="E18" s="112"/>
      <c r="F18" s="112"/>
      <c r="G18" s="112"/>
      <c r="H18" s="112"/>
      <c r="I18" s="112"/>
      <c r="J18" s="112"/>
      <c r="K18" s="112"/>
      <c r="L18" s="39">
        <f t="shared" si="3"/>
        <v>254211</v>
      </c>
      <c r="M18" s="38">
        <f t="shared" si="5"/>
        <v>0</v>
      </c>
      <c r="N18" s="37">
        <f t="shared" si="5"/>
        <v>0</v>
      </c>
    </row>
    <row r="19" spans="2:26" hidden="1" x14ac:dyDescent="0.25">
      <c r="B19" s="44" t="s">
        <v>23</v>
      </c>
      <c r="C19" s="141"/>
      <c r="D19" s="112"/>
      <c r="E19" s="112"/>
      <c r="F19" s="112"/>
      <c r="G19" s="112"/>
      <c r="H19" s="112"/>
      <c r="I19" s="112"/>
      <c r="J19" s="112"/>
      <c r="K19" s="112"/>
      <c r="L19" s="39">
        <f t="shared" si="3"/>
        <v>254211</v>
      </c>
      <c r="M19" s="38">
        <f t="shared" si="5"/>
        <v>0</v>
      </c>
      <c r="N19" s="37">
        <f t="shared" si="5"/>
        <v>0</v>
      </c>
      <c r="T19" s="33"/>
    </row>
    <row r="20" spans="2:26" hidden="1" x14ac:dyDescent="0.25">
      <c r="B20" s="27" t="s">
        <v>24</v>
      </c>
      <c r="C20" s="39">
        <f>+C19</f>
        <v>0</v>
      </c>
      <c r="D20" s="39">
        <f>+D19</f>
        <v>0</v>
      </c>
      <c r="E20" s="39">
        <f>+SUM(E17:E19)</f>
        <v>0</v>
      </c>
      <c r="F20" s="39">
        <f>+F19</f>
        <v>0</v>
      </c>
      <c r="G20" s="39">
        <f>+G19</f>
        <v>0</v>
      </c>
      <c r="H20" s="39">
        <f>+SUM(H17:H19)</f>
        <v>0</v>
      </c>
      <c r="I20" s="39">
        <f>+I19</f>
        <v>0</v>
      </c>
      <c r="J20" s="39">
        <f>+J19</f>
        <v>0</v>
      </c>
      <c r="K20" s="39">
        <f>+SUM(K17:K19)</f>
        <v>0</v>
      </c>
      <c r="L20" s="39">
        <f t="shared" si="3"/>
        <v>254211</v>
      </c>
      <c r="M20" s="40">
        <f>+M19</f>
        <v>0</v>
      </c>
      <c r="N20" s="39">
        <f>+SUM(N17:N19)</f>
        <v>0</v>
      </c>
    </row>
    <row r="21" spans="2:26" hidden="1" x14ac:dyDescent="0.25">
      <c r="B21" s="44" t="s">
        <v>25</v>
      </c>
      <c r="C21" s="141"/>
      <c r="D21" s="112"/>
      <c r="E21" s="112"/>
      <c r="F21" s="112"/>
      <c r="G21" s="112"/>
      <c r="H21" s="112"/>
      <c r="I21" s="112"/>
      <c r="J21" s="112"/>
      <c r="K21" s="112"/>
      <c r="L21" s="39">
        <f t="shared" si="3"/>
        <v>254211</v>
      </c>
      <c r="M21" s="38">
        <f t="shared" ref="M21:N24" si="6">+D21+J21+G21</f>
        <v>0</v>
      </c>
      <c r="N21" s="37">
        <f t="shared" si="6"/>
        <v>0</v>
      </c>
    </row>
    <row r="22" spans="2:26" hidden="1" x14ac:dyDescent="0.25">
      <c r="B22" s="44" t="s">
        <v>26</v>
      </c>
      <c r="C22" s="141"/>
      <c r="D22" s="142"/>
      <c r="E22" s="112"/>
      <c r="F22" s="112"/>
      <c r="G22" s="112"/>
      <c r="H22" s="112"/>
      <c r="I22" s="112"/>
      <c r="J22" s="112"/>
      <c r="K22" s="112"/>
      <c r="L22" s="39">
        <f t="shared" si="3"/>
        <v>254211</v>
      </c>
      <c r="M22" s="38">
        <f t="shared" si="6"/>
        <v>0</v>
      </c>
      <c r="N22" s="37">
        <f t="shared" si="6"/>
        <v>0</v>
      </c>
    </row>
    <row r="23" spans="2:26" hidden="1" x14ac:dyDescent="0.25">
      <c r="B23" s="44" t="s">
        <v>27</v>
      </c>
      <c r="C23" s="141"/>
      <c r="D23" s="112"/>
      <c r="E23" s="112"/>
      <c r="F23" s="112"/>
      <c r="G23" s="112"/>
      <c r="H23" s="112"/>
      <c r="I23" s="112"/>
      <c r="J23" s="112"/>
      <c r="K23" s="112"/>
      <c r="L23" s="39">
        <f t="shared" si="3"/>
        <v>254211</v>
      </c>
      <c r="M23" s="38">
        <f t="shared" si="6"/>
        <v>0</v>
      </c>
      <c r="N23" s="37">
        <f t="shared" si="6"/>
        <v>0</v>
      </c>
      <c r="T23" s="33"/>
    </row>
    <row r="24" spans="2:26" hidden="1" x14ac:dyDescent="0.25">
      <c r="B24" s="44" t="s">
        <v>12</v>
      </c>
      <c r="C24" s="141"/>
      <c r="D24" s="112"/>
      <c r="E24" s="112"/>
      <c r="F24" s="112"/>
      <c r="G24" s="112"/>
      <c r="H24" s="112"/>
      <c r="I24" s="112"/>
      <c r="J24" s="112"/>
      <c r="K24" s="112"/>
      <c r="L24" s="39">
        <f t="shared" si="3"/>
        <v>254211</v>
      </c>
      <c r="M24" s="38">
        <f t="shared" si="6"/>
        <v>0</v>
      </c>
      <c r="N24" s="37">
        <f t="shared" si="6"/>
        <v>0</v>
      </c>
    </row>
    <row r="25" spans="2:26" hidden="1" x14ac:dyDescent="0.25">
      <c r="B25" s="27" t="s">
        <v>28</v>
      </c>
      <c r="C25" s="39">
        <f>+C24</f>
        <v>0</v>
      </c>
      <c r="D25" s="39">
        <f>+D24</f>
        <v>0</v>
      </c>
      <c r="E25" s="39">
        <f>+SUM(E21:E24)</f>
        <v>0</v>
      </c>
      <c r="F25" s="39">
        <f>+F24</f>
        <v>0</v>
      </c>
      <c r="G25" s="39">
        <f>+G24</f>
        <v>0</v>
      </c>
      <c r="H25" s="39">
        <f>+SUM(H21:H24)</f>
        <v>0</v>
      </c>
      <c r="I25" s="39">
        <f>+I24</f>
        <v>0</v>
      </c>
      <c r="J25" s="39">
        <f>+J24</f>
        <v>0</v>
      </c>
      <c r="K25" s="39">
        <f>+SUM(K21:K24)</f>
        <v>0</v>
      </c>
      <c r="L25" s="39">
        <f t="shared" si="3"/>
        <v>254211</v>
      </c>
      <c r="M25" s="40">
        <f>+M24</f>
        <v>0</v>
      </c>
      <c r="N25" s="39">
        <f>+SUM(N21:N24)</f>
        <v>0</v>
      </c>
    </row>
    <row r="26" spans="2:26" hidden="1" x14ac:dyDescent="0.25">
      <c r="B26" s="28" t="s">
        <v>29</v>
      </c>
      <c r="C26" s="41">
        <f>+C25</f>
        <v>0</v>
      </c>
      <c r="D26" s="41">
        <f>+D25</f>
        <v>0</v>
      </c>
      <c r="E26" s="41">
        <f>+E12+E16+E20+E25</f>
        <v>14965565038.98</v>
      </c>
      <c r="F26" s="41">
        <f>+F25</f>
        <v>0</v>
      </c>
      <c r="G26" s="41">
        <f>+G25</f>
        <v>0</v>
      </c>
      <c r="H26" s="41">
        <f>+H12+H16+H20+H25</f>
        <v>1852926000</v>
      </c>
      <c r="I26" s="41">
        <f>+I25</f>
        <v>0</v>
      </c>
      <c r="J26" s="41">
        <f>+J25</f>
        <v>0</v>
      </c>
      <c r="K26" s="41">
        <f>+K12+K16+K20+K25</f>
        <v>4206032598.5100002</v>
      </c>
      <c r="L26" s="39">
        <f t="shared" si="3"/>
        <v>254211</v>
      </c>
      <c r="M26" s="42">
        <f>+M25</f>
        <v>0</v>
      </c>
      <c r="N26" s="41">
        <f>+N12+N16+N20+N25</f>
        <v>21024523637.490002</v>
      </c>
    </row>
    <row r="27" spans="2:26" x14ac:dyDescent="0.25">
      <c r="B27" s="125" t="s">
        <v>99</v>
      </c>
      <c r="C27" s="187"/>
      <c r="D27"/>
      <c r="E27" s="317">
        <f>E12/N12</f>
        <v>0.71200694147514176</v>
      </c>
      <c r="F27" s="318"/>
      <c r="G27" s="318"/>
      <c r="H27" s="317">
        <f>H12/N12</f>
        <v>8.8003208688646473E-2</v>
      </c>
      <c r="I27" s="318"/>
      <c r="J27" s="318"/>
      <c r="K27" s="319">
        <f>K12/N12</f>
        <v>0.19998984983621174</v>
      </c>
      <c r="L27"/>
      <c r="M27"/>
      <c r="N27"/>
      <c r="Q27" s="1" t="s">
        <v>100</v>
      </c>
      <c r="R27" s="34" t="s">
        <v>101</v>
      </c>
      <c r="S27" s="76" t="s">
        <v>9</v>
      </c>
      <c r="T27" s="34" t="s">
        <v>102</v>
      </c>
      <c r="U27" s="76" t="s">
        <v>101</v>
      </c>
      <c r="V27" s="1" t="s">
        <v>9</v>
      </c>
      <c r="Z27" s="35"/>
    </row>
    <row r="28" spans="2:26" x14ac:dyDescent="0.25">
      <c r="B28"/>
      <c r="C28"/>
      <c r="D28"/>
      <c r="E28"/>
      <c r="F28"/>
      <c r="G28"/>
      <c r="H28"/>
      <c r="I28"/>
      <c r="J28"/>
      <c r="K28"/>
      <c r="L28"/>
      <c r="M28"/>
      <c r="N28"/>
      <c r="R28" s="74"/>
      <c r="S28" s="36"/>
      <c r="T28" s="75">
        <v>145883</v>
      </c>
      <c r="U28" s="14">
        <v>158341</v>
      </c>
      <c r="V28" s="14">
        <v>6070129138.6299992</v>
      </c>
      <c r="Z28" s="83"/>
    </row>
    <row r="29" spans="2:26" x14ac:dyDescent="0.25">
      <c r="B29"/>
      <c r="C29"/>
      <c r="D29"/>
      <c r="E29"/>
      <c r="F29"/>
      <c r="G29"/>
      <c r="H29"/>
      <c r="I29"/>
      <c r="J29"/>
      <c r="K29"/>
      <c r="L29"/>
      <c r="M29"/>
      <c r="N29"/>
      <c r="R29" s="81"/>
      <c r="S29" s="81"/>
      <c r="T29" s="35">
        <f>+L12-T28</f>
        <v>108328</v>
      </c>
      <c r="U29" s="35">
        <f>+M12-U28</f>
        <v>108829</v>
      </c>
      <c r="V29" s="35">
        <f>+N12-V28</f>
        <v>6514957433.8200016</v>
      </c>
    </row>
    <row r="30" spans="2:26" x14ac:dyDescent="0.25">
      <c r="B30"/>
      <c r="C30"/>
      <c r="D30"/>
      <c r="E30"/>
      <c r="F30"/>
      <c r="G30"/>
      <c r="H30"/>
      <c r="I30"/>
      <c r="J30"/>
      <c r="K30"/>
      <c r="L30"/>
      <c r="M30"/>
      <c r="N30"/>
      <c r="S30" s="36"/>
    </row>
    <row r="31" spans="2:26" x14ac:dyDescent="0.25">
      <c r="B31"/>
      <c r="C31"/>
      <c r="D31"/>
      <c r="E31"/>
      <c r="F31"/>
      <c r="G31"/>
      <c r="H31"/>
      <c r="I31"/>
      <c r="J31"/>
      <c r="K31"/>
      <c r="L31"/>
      <c r="M31"/>
      <c r="N31"/>
      <c r="Y31" s="275"/>
      <c r="Z31" s="35"/>
    </row>
    <row r="32" spans="2:26" x14ac:dyDescent="0.25">
      <c r="B32"/>
      <c r="C32"/>
      <c r="D32"/>
      <c r="E32"/>
      <c r="F32"/>
      <c r="G32"/>
      <c r="H32"/>
      <c r="I32"/>
      <c r="J32"/>
      <c r="K32"/>
      <c r="L32"/>
      <c r="M32"/>
      <c r="N32"/>
      <c r="T32" s="83">
        <f>+(L12-T28)/T28</f>
        <v>0.74256767409499391</v>
      </c>
      <c r="U32" s="83">
        <f>+(M12-U28)/U28</f>
        <v>0.68730777246575425</v>
      </c>
      <c r="V32" s="83">
        <f>+(N12-V28)/V28</f>
        <v>1.0732815208755835</v>
      </c>
      <c r="Y32" s="275"/>
      <c r="Z32" s="35"/>
    </row>
    <row r="33" spans="2:26" x14ac:dyDescent="0.25">
      <c r="B33"/>
      <c r="C33"/>
      <c r="D33"/>
      <c r="E33"/>
      <c r="F33"/>
      <c r="G33"/>
      <c r="H33"/>
      <c r="I33"/>
      <c r="J33"/>
      <c r="K33"/>
      <c r="L33"/>
      <c r="M33"/>
      <c r="N33"/>
      <c r="Z33" s="35"/>
    </row>
    <row r="34" spans="2:26" x14ac:dyDescent="0.25">
      <c r="B34"/>
      <c r="C34"/>
      <c r="D34"/>
      <c r="E34"/>
      <c r="F34"/>
      <c r="G34"/>
      <c r="H34"/>
      <c r="I34"/>
      <c r="J34"/>
      <c r="K34"/>
      <c r="L34"/>
      <c r="M34"/>
      <c r="N34"/>
      <c r="Z34" s="83"/>
    </row>
    <row r="35" spans="2:26" x14ac:dyDescent="0.25">
      <c r="B35"/>
      <c r="C35"/>
      <c r="D35"/>
      <c r="E35"/>
      <c r="F35"/>
      <c r="G35"/>
      <c r="H35"/>
      <c r="I35"/>
      <c r="J35"/>
      <c r="K35"/>
      <c r="L35"/>
      <c r="M35"/>
      <c r="N35"/>
      <c r="T35" s="1" t="s">
        <v>103</v>
      </c>
    </row>
    <row r="36" spans="2:26" x14ac:dyDescent="0.25">
      <c r="B36"/>
      <c r="C36"/>
      <c r="D36"/>
      <c r="E36"/>
      <c r="F36"/>
      <c r="G36"/>
      <c r="H36"/>
      <c r="I36"/>
      <c r="J36"/>
      <c r="K36"/>
      <c r="L36"/>
      <c r="M36"/>
      <c r="N36"/>
      <c r="T36" s="111" t="s">
        <v>102</v>
      </c>
      <c r="U36" s="111" t="s">
        <v>101</v>
      </c>
      <c r="V36" s="111" t="s">
        <v>9</v>
      </c>
    </row>
    <row r="37" spans="2:26" x14ac:dyDescent="0.25">
      <c r="B37"/>
      <c r="C37"/>
      <c r="D37"/>
      <c r="E37"/>
      <c r="F37"/>
      <c r="G37"/>
      <c r="H37"/>
      <c r="I37"/>
      <c r="J37"/>
      <c r="K37"/>
      <c r="L37"/>
      <c r="M37"/>
      <c r="N37"/>
      <c r="T37" s="111">
        <v>139458</v>
      </c>
      <c r="U37" s="111">
        <v>151810</v>
      </c>
      <c r="V37" s="111">
        <v>5844095640.5</v>
      </c>
    </row>
    <row r="38" spans="2:26" x14ac:dyDescent="0.25">
      <c r="B38"/>
      <c r="C38"/>
      <c r="D38"/>
      <c r="E38"/>
      <c r="F38"/>
      <c r="G38"/>
      <c r="H38"/>
      <c r="I38"/>
      <c r="J38"/>
      <c r="K38"/>
      <c r="L38"/>
      <c r="M38"/>
      <c r="N38"/>
      <c r="T38" s="111">
        <f>L12-T37</f>
        <v>114753</v>
      </c>
      <c r="U38" s="111">
        <f>M12-U37</f>
        <v>115360</v>
      </c>
      <c r="V38" s="111">
        <f>N12-V37</f>
        <v>6740990931.9500008</v>
      </c>
    </row>
    <row r="39" spans="2:26" x14ac:dyDescent="0.25">
      <c r="B39"/>
      <c r="C39"/>
      <c r="D39"/>
      <c r="E39"/>
      <c r="F39"/>
      <c r="G39"/>
      <c r="H39"/>
      <c r="I39"/>
      <c r="J39"/>
      <c r="K39"/>
      <c r="L39"/>
      <c r="M39"/>
      <c r="N39"/>
      <c r="T39" s="111"/>
      <c r="U39" s="111"/>
      <c r="V39" s="111"/>
    </row>
    <row r="40" spans="2:26" x14ac:dyDescent="0.25">
      <c r="B40"/>
      <c r="C40"/>
      <c r="D40"/>
      <c r="E40"/>
      <c r="F40"/>
      <c r="G40"/>
      <c r="H40"/>
      <c r="I40"/>
      <c r="J40"/>
      <c r="K40"/>
      <c r="L40"/>
      <c r="M40"/>
      <c r="N40"/>
      <c r="T40" s="111"/>
      <c r="U40" s="111"/>
      <c r="V40" s="111"/>
    </row>
    <row r="41" spans="2:26" x14ac:dyDescent="0.25">
      <c r="B41"/>
      <c r="C41"/>
      <c r="D41"/>
      <c r="E41"/>
      <c r="F41"/>
      <c r="G41"/>
      <c r="H41"/>
      <c r="I41"/>
      <c r="J41"/>
      <c r="K41"/>
      <c r="L41"/>
      <c r="M41"/>
      <c r="N41"/>
      <c r="T41" s="83">
        <f>+(L12-T37)/T37</f>
        <v>0.82284989028954958</v>
      </c>
      <c r="U41" s="83">
        <f>+(M12-U37)/U37</f>
        <v>0.75989723997101644</v>
      </c>
      <c r="V41" s="83">
        <f>+(N12-V37)/V37</f>
        <v>1.1534703308471634</v>
      </c>
    </row>
    <row r="42" spans="2:26" x14ac:dyDescent="0.25">
      <c r="B42"/>
      <c r="C42"/>
      <c r="D42"/>
      <c r="E42"/>
      <c r="F42"/>
      <c r="G42"/>
      <c r="H42"/>
      <c r="I42"/>
      <c r="J42"/>
      <c r="K42"/>
      <c r="L42"/>
      <c r="M42"/>
      <c r="N42"/>
    </row>
    <row r="43" spans="2:26" x14ac:dyDescent="0.25">
      <c r="B43"/>
      <c r="C43"/>
      <c r="D43"/>
      <c r="E43"/>
      <c r="F43"/>
      <c r="G43"/>
      <c r="H43"/>
      <c r="I43"/>
      <c r="J43"/>
      <c r="K43"/>
      <c r="L43"/>
      <c r="M43"/>
      <c r="N43"/>
    </row>
    <row r="44" spans="2:26" x14ac:dyDescent="0.25">
      <c r="B44"/>
      <c r="C44"/>
      <c r="D44"/>
      <c r="E44"/>
      <c r="F44"/>
      <c r="G44"/>
      <c r="H44"/>
      <c r="I44"/>
      <c r="J44"/>
      <c r="K44"/>
      <c r="L44"/>
      <c r="M44"/>
      <c r="N44"/>
    </row>
    <row r="45" spans="2:26" x14ac:dyDescent="0.25">
      <c r="B45"/>
      <c r="C45"/>
      <c r="D45"/>
      <c r="E45"/>
      <c r="F45"/>
      <c r="G45"/>
      <c r="H45"/>
      <c r="I45"/>
      <c r="J45"/>
      <c r="K45"/>
      <c r="L45"/>
      <c r="M45"/>
      <c r="N45"/>
    </row>
    <row r="46" spans="2:26" x14ac:dyDescent="0.25">
      <c r="B46"/>
      <c r="C46"/>
      <c r="D46"/>
      <c r="E46"/>
      <c r="F46"/>
      <c r="G46"/>
      <c r="H46"/>
      <c r="I46"/>
      <c r="J46"/>
      <c r="K46"/>
      <c r="L46"/>
      <c r="M46"/>
      <c r="N46"/>
    </row>
    <row r="47" spans="2:26" x14ac:dyDescent="0.25">
      <c r="B47"/>
      <c r="C47"/>
      <c r="D47"/>
      <c r="E47"/>
      <c r="F47"/>
      <c r="G47"/>
      <c r="H47"/>
      <c r="I47"/>
      <c r="J47"/>
      <c r="K47"/>
      <c r="L47"/>
      <c r="M47"/>
      <c r="N47"/>
    </row>
    <row r="48" spans="2:26" x14ac:dyDescent="0.25">
      <c r="B48"/>
      <c r="C48"/>
      <c r="D48"/>
      <c r="E48"/>
      <c r="F48"/>
      <c r="G48"/>
      <c r="H48"/>
      <c r="I48"/>
      <c r="J48"/>
      <c r="K48"/>
      <c r="L48"/>
      <c r="M48"/>
      <c r="N48"/>
    </row>
    <row r="49" spans="2:15" x14ac:dyDescent="0.25">
      <c r="B49"/>
      <c r="C49"/>
      <c r="D49"/>
      <c r="E49"/>
      <c r="F49"/>
      <c r="G49"/>
      <c r="H49"/>
      <c r="I49"/>
      <c r="J49"/>
      <c r="K49"/>
      <c r="L49"/>
      <c r="M49"/>
      <c r="N49"/>
    </row>
    <row r="50" spans="2:15" x14ac:dyDescent="0.25">
      <c r="B50"/>
      <c r="C50"/>
      <c r="D50"/>
      <c r="E50"/>
      <c r="F50"/>
      <c r="G50"/>
      <c r="H50"/>
      <c r="I50"/>
      <c r="J50"/>
      <c r="K50"/>
      <c r="L50"/>
      <c r="M50"/>
      <c r="N50"/>
    </row>
    <row r="51" spans="2:15" x14ac:dyDescent="0.25">
      <c r="B51"/>
      <c r="C51"/>
      <c r="D51"/>
      <c r="E51"/>
      <c r="F51"/>
      <c r="G51"/>
      <c r="H51"/>
      <c r="I51"/>
      <c r="J51"/>
      <c r="K51"/>
      <c r="L51"/>
      <c r="M51"/>
      <c r="N51"/>
    </row>
    <row r="52" spans="2:15" x14ac:dyDescent="0.25">
      <c r="B52"/>
      <c r="C52"/>
      <c r="D52"/>
      <c r="E52"/>
      <c r="F52"/>
      <c r="G52"/>
      <c r="H52"/>
      <c r="I52"/>
      <c r="J52"/>
      <c r="K52"/>
      <c r="L52"/>
      <c r="M52"/>
      <c r="N52"/>
    </row>
    <row r="53" spans="2:15" x14ac:dyDescent="0.25">
      <c r="B53"/>
      <c r="C53"/>
      <c r="D53"/>
      <c r="E53"/>
      <c r="F53"/>
      <c r="G53"/>
      <c r="H53"/>
      <c r="I53"/>
      <c r="J53"/>
      <c r="K53"/>
      <c r="L53"/>
      <c r="M53"/>
      <c r="N53"/>
    </row>
    <row r="54" spans="2:15" x14ac:dyDescent="0.25">
      <c r="B54"/>
      <c r="C54"/>
      <c r="D54"/>
      <c r="E54"/>
      <c r="F54"/>
      <c r="G54"/>
      <c r="H54"/>
      <c r="I54"/>
      <c r="J54"/>
      <c r="K54"/>
      <c r="L54"/>
      <c r="M54"/>
      <c r="N54"/>
    </row>
    <row r="55" spans="2:15" x14ac:dyDescent="0.25">
      <c r="B55"/>
      <c r="C55"/>
      <c r="D55"/>
      <c r="E55"/>
      <c r="F55"/>
      <c r="G55"/>
      <c r="H55"/>
      <c r="I55"/>
      <c r="J55"/>
      <c r="K55"/>
      <c r="L55"/>
      <c r="M55"/>
      <c r="N55"/>
    </row>
    <row r="56" spans="2:15" x14ac:dyDescent="0.25">
      <c r="B56"/>
      <c r="C56"/>
      <c r="D56"/>
      <c r="E56"/>
      <c r="F56"/>
      <c r="G56"/>
      <c r="H56"/>
      <c r="I56"/>
      <c r="J56"/>
      <c r="K56"/>
      <c r="L56"/>
      <c r="M56"/>
      <c r="N56"/>
    </row>
    <row r="57" spans="2:15" x14ac:dyDescent="0.25">
      <c r="B57"/>
      <c r="C57"/>
      <c r="D57"/>
      <c r="E57"/>
      <c r="F57"/>
      <c r="G57"/>
      <c r="H57"/>
      <c r="I57"/>
      <c r="J57"/>
      <c r="K57"/>
      <c r="L57"/>
      <c r="M57"/>
      <c r="N57"/>
    </row>
    <row r="63" spans="2:15" x14ac:dyDescent="0.25">
      <c r="C63" s="44"/>
      <c r="D63" s="141"/>
      <c r="E63" s="112"/>
      <c r="F63" s="112"/>
      <c r="G63" s="112"/>
      <c r="H63" s="112"/>
      <c r="I63" s="112"/>
      <c r="J63" s="112"/>
      <c r="K63" s="112"/>
      <c r="L63" s="112"/>
      <c r="M63" s="37"/>
      <c r="N63" s="38"/>
      <c r="O63" s="37"/>
    </row>
    <row r="65" spans="3:15" x14ac:dyDescent="0.25">
      <c r="C65" s="44"/>
      <c r="D65" s="141"/>
      <c r="E65" s="112"/>
      <c r="F65" s="112"/>
      <c r="G65" s="112"/>
      <c r="H65" s="112"/>
      <c r="I65" s="112"/>
      <c r="J65" s="112"/>
      <c r="K65" s="112"/>
      <c r="L65" s="112"/>
      <c r="M65" s="37"/>
      <c r="N65" s="38"/>
      <c r="O65" s="114"/>
    </row>
  </sheetData>
  <mergeCells count="10">
    <mergeCell ref="T12:V12"/>
    <mergeCell ref="B1:N1"/>
    <mergeCell ref="B2:N2"/>
    <mergeCell ref="B3:N3"/>
    <mergeCell ref="B5:N5"/>
    <mergeCell ref="C6:E6"/>
    <mergeCell ref="I6:K6"/>
    <mergeCell ref="L6:N6"/>
    <mergeCell ref="B4:N4"/>
    <mergeCell ref="F6:H6"/>
  </mergeCells>
  <pageMargins left="0.7" right="0.7" top="0.75" bottom="0.75" header="0.3" footer="0.3"/>
  <pageSetup paperSize="9" scale="48" orientation="portrait" r:id="rId1"/>
  <colBreaks count="1" manualBreakCount="1">
    <brk id="15" max="1048575" man="1"/>
  </colBreaks>
  <ignoredErrors>
    <ignoredError sqref="K12"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pageSetUpPr fitToPage="1"/>
  </sheetPr>
  <dimension ref="B1:S42"/>
  <sheetViews>
    <sheetView showGridLines="0" topLeftCell="A4" zoomScaleNormal="100" workbookViewId="0">
      <selection activeCell="C36" sqref="C36:O38"/>
    </sheetView>
  </sheetViews>
  <sheetFormatPr baseColWidth="10" defaultColWidth="11.42578125" defaultRowHeight="15" x14ac:dyDescent="0.25"/>
  <cols>
    <col min="1" max="1" width="11.42578125" style="1"/>
    <col min="2" max="2" width="12.28515625" style="1" customWidth="1"/>
    <col min="3" max="3" width="10.7109375" style="1" customWidth="1"/>
    <col min="4" max="4" width="13.5703125" style="1" customWidth="1"/>
    <col min="5" max="5" width="12" style="1" bestFit="1" customWidth="1"/>
    <col min="6" max="6" width="13" style="1" bestFit="1" customWidth="1"/>
    <col min="7" max="7" width="13.5703125" style="1" customWidth="1"/>
    <col min="8" max="12" width="10.5703125" style="1" customWidth="1"/>
    <col min="13" max="13" width="17.7109375" style="1" customWidth="1"/>
    <col min="14" max="14" width="14.85546875" style="1" customWidth="1"/>
    <col min="15" max="15" width="14.7109375" style="1" customWidth="1"/>
    <col min="16" max="16" width="14.5703125" style="1" bestFit="1" customWidth="1"/>
    <col min="17" max="17" width="13.5703125" style="1" customWidth="1"/>
    <col min="18" max="18" width="15.28515625" style="1" customWidth="1"/>
    <col min="19" max="19" width="17" style="1" customWidth="1"/>
    <col min="20" max="16384" width="11.42578125" style="1"/>
  </cols>
  <sheetData>
    <row r="1" spans="2:19" x14ac:dyDescent="0.25">
      <c r="B1" s="348" t="s">
        <v>0</v>
      </c>
      <c r="C1" s="348"/>
      <c r="D1" s="348"/>
      <c r="E1" s="348"/>
      <c r="F1" s="348"/>
      <c r="G1" s="348"/>
      <c r="H1" s="348"/>
      <c r="I1" s="348"/>
      <c r="J1" s="348"/>
      <c r="K1" s="348"/>
      <c r="L1" s="348"/>
      <c r="M1" s="348"/>
      <c r="N1" s="348"/>
      <c r="O1" s="348"/>
      <c r="P1" s="348"/>
      <c r="Q1" s="348"/>
      <c r="R1" s="348"/>
      <c r="S1" s="348"/>
    </row>
    <row r="2" spans="2:19" x14ac:dyDescent="0.25">
      <c r="B2" s="348" t="s">
        <v>82</v>
      </c>
      <c r="C2" s="348"/>
      <c r="D2" s="348"/>
      <c r="E2" s="348"/>
      <c r="F2" s="348"/>
      <c r="G2" s="348"/>
      <c r="H2" s="348"/>
      <c r="I2" s="348"/>
      <c r="J2" s="348"/>
      <c r="K2" s="348"/>
      <c r="L2" s="348"/>
      <c r="M2" s="348"/>
      <c r="N2" s="348"/>
      <c r="O2" s="348"/>
      <c r="P2" s="348"/>
      <c r="Q2" s="348"/>
      <c r="R2" s="348"/>
      <c r="S2" s="348"/>
    </row>
    <row r="3" spans="2:19" x14ac:dyDescent="0.25">
      <c r="B3" s="348" t="s">
        <v>104</v>
      </c>
      <c r="C3" s="348"/>
      <c r="D3" s="348"/>
      <c r="E3" s="348"/>
      <c r="F3" s="348"/>
      <c r="G3" s="348"/>
      <c r="H3" s="348"/>
      <c r="I3" s="348"/>
      <c r="J3" s="348"/>
      <c r="K3" s="348"/>
      <c r="L3" s="348"/>
      <c r="M3" s="348"/>
      <c r="N3" s="348"/>
      <c r="O3" s="348"/>
      <c r="P3" s="348"/>
      <c r="Q3" s="348"/>
      <c r="R3" s="348"/>
      <c r="S3" s="348"/>
    </row>
    <row r="4" spans="2:19" x14ac:dyDescent="0.25">
      <c r="B4" s="348" t="s">
        <v>3</v>
      </c>
      <c r="C4" s="348"/>
      <c r="D4" s="348"/>
      <c r="E4" s="348"/>
      <c r="F4" s="348"/>
      <c r="G4" s="348"/>
      <c r="H4" s="348"/>
      <c r="I4" s="348"/>
      <c r="J4" s="348"/>
      <c r="K4" s="348"/>
      <c r="L4" s="348"/>
      <c r="M4" s="348"/>
      <c r="N4" s="348"/>
      <c r="O4" s="348"/>
      <c r="P4" s="348"/>
      <c r="Q4" s="348"/>
      <c r="R4" s="348"/>
      <c r="S4" s="348"/>
    </row>
    <row r="5" spans="2:19" x14ac:dyDescent="0.25">
      <c r="B5" s="348" t="s">
        <v>4</v>
      </c>
      <c r="C5" s="348"/>
      <c r="D5" s="348"/>
      <c r="E5" s="348"/>
      <c r="F5" s="348"/>
      <c r="G5" s="348"/>
      <c r="H5" s="348"/>
      <c r="I5" s="348"/>
      <c r="J5" s="348"/>
      <c r="K5" s="348"/>
      <c r="L5" s="348"/>
      <c r="M5" s="348"/>
      <c r="N5" s="348"/>
      <c r="O5" s="348"/>
      <c r="P5" s="348"/>
      <c r="Q5" s="348"/>
      <c r="R5" s="348"/>
      <c r="S5" s="348"/>
    </row>
    <row r="6" spans="2:19" ht="30" customHeight="1" x14ac:dyDescent="0.25">
      <c r="B6" s="22"/>
      <c r="C6" s="359" t="s">
        <v>105</v>
      </c>
      <c r="D6" s="359"/>
      <c r="E6" s="359"/>
      <c r="F6" s="359"/>
      <c r="G6" s="359"/>
      <c r="H6" s="364" t="s">
        <v>106</v>
      </c>
      <c r="I6" s="364"/>
      <c r="J6" s="364"/>
      <c r="K6" s="364"/>
      <c r="L6" s="364"/>
      <c r="M6" s="362" t="s">
        <v>107</v>
      </c>
      <c r="N6" s="362"/>
      <c r="O6" s="363" t="s">
        <v>108</v>
      </c>
      <c r="P6" s="363"/>
      <c r="Q6" s="361" t="s">
        <v>96</v>
      </c>
      <c r="R6" s="361"/>
      <c r="S6" s="22"/>
    </row>
    <row r="7" spans="2:19" ht="23.25" customHeight="1" x14ac:dyDescent="0.25">
      <c r="B7" s="45" t="s">
        <v>5</v>
      </c>
      <c r="C7" s="45" t="s">
        <v>109</v>
      </c>
      <c r="D7" s="45" t="s">
        <v>110</v>
      </c>
      <c r="E7" s="45" t="s">
        <v>111</v>
      </c>
      <c r="F7" s="45" t="s">
        <v>112</v>
      </c>
      <c r="G7" s="45" t="s">
        <v>113</v>
      </c>
      <c r="H7" s="45" t="s">
        <v>109</v>
      </c>
      <c r="I7" s="45" t="s">
        <v>110</v>
      </c>
      <c r="J7" s="45" t="s">
        <v>111</v>
      </c>
      <c r="K7" s="45" t="s">
        <v>112</v>
      </c>
      <c r="L7" s="45" t="s">
        <v>113</v>
      </c>
      <c r="M7" s="45" t="s">
        <v>109</v>
      </c>
      <c r="N7" s="45" t="s">
        <v>110</v>
      </c>
      <c r="O7" s="45" t="s">
        <v>109</v>
      </c>
      <c r="P7" s="45" t="s">
        <v>114</v>
      </c>
      <c r="Q7" s="45" t="s">
        <v>109</v>
      </c>
      <c r="R7" s="45" t="s">
        <v>110</v>
      </c>
    </row>
    <row r="8" spans="2:19" ht="1.5" hidden="1" customHeight="1" x14ac:dyDescent="0.25">
      <c r="B8" s="44" t="s">
        <v>12</v>
      </c>
      <c r="C8" s="197"/>
      <c r="D8" s="219"/>
      <c r="E8" s="219"/>
      <c r="F8" s="219"/>
      <c r="G8" s="219"/>
      <c r="H8" s="197"/>
      <c r="I8" s="219"/>
      <c r="J8" s="219"/>
      <c r="K8" s="219"/>
      <c r="L8" s="219"/>
      <c r="M8" s="197"/>
      <c r="N8" s="219"/>
      <c r="O8" s="219"/>
      <c r="P8" s="219"/>
      <c r="Q8" s="197">
        <f>C8+H8+M8+O8</f>
        <v>0</v>
      </c>
      <c r="R8" s="219">
        <f>D8+I8+N8+P8</f>
        <v>0</v>
      </c>
    </row>
    <row r="9" spans="2:19" ht="13.5" customHeight="1" x14ac:dyDescent="0.25">
      <c r="B9" s="44" t="s">
        <v>13</v>
      </c>
      <c r="C9" s="252">
        <v>224</v>
      </c>
      <c r="D9" s="159">
        <v>2682743.71</v>
      </c>
      <c r="E9" s="159">
        <v>267469.53000000003</v>
      </c>
      <c r="F9" s="159">
        <v>80482.3</v>
      </c>
      <c r="G9" s="159">
        <v>2334791.88</v>
      </c>
      <c r="H9" s="264">
        <v>2</v>
      </c>
      <c r="I9" s="255">
        <v>25000</v>
      </c>
      <c r="J9" s="159">
        <v>2492.5</v>
      </c>
      <c r="K9" s="255">
        <v>750</v>
      </c>
      <c r="L9" s="255">
        <v>21757.5</v>
      </c>
      <c r="M9" s="252">
        <v>649</v>
      </c>
      <c r="N9" s="159">
        <v>12676665.07</v>
      </c>
      <c r="O9" s="252">
        <v>956</v>
      </c>
      <c r="P9" s="159">
        <v>12446215.09</v>
      </c>
      <c r="Q9" s="185">
        <f>C9+H9+M9+O9</f>
        <v>1831</v>
      </c>
      <c r="R9" s="221">
        <f>+G9+L9+N9+P9</f>
        <v>27479429.539999999</v>
      </c>
    </row>
    <row r="10" spans="2:19" x14ac:dyDescent="0.25">
      <c r="B10" s="44" t="s">
        <v>115</v>
      </c>
      <c r="C10" s="252">
        <v>224</v>
      </c>
      <c r="D10" s="159">
        <v>2682743.71</v>
      </c>
      <c r="E10" s="159">
        <v>267469.53000000003</v>
      </c>
      <c r="F10" s="159">
        <v>80482.3</v>
      </c>
      <c r="G10" s="159">
        <v>2334791.88</v>
      </c>
      <c r="H10" s="264">
        <v>2</v>
      </c>
      <c r="I10" s="255">
        <v>25000</v>
      </c>
      <c r="J10" s="159">
        <v>2492.5</v>
      </c>
      <c r="K10" s="255">
        <v>750</v>
      </c>
      <c r="L10" s="255">
        <v>21757.5</v>
      </c>
      <c r="M10" s="252">
        <v>650</v>
      </c>
      <c r="N10" s="159">
        <v>12591529.83</v>
      </c>
      <c r="O10" s="252">
        <v>954</v>
      </c>
      <c r="P10" s="159">
        <v>12220616.310000001</v>
      </c>
      <c r="Q10" s="185">
        <f>C10+H10+M10+O10</f>
        <v>1830</v>
      </c>
      <c r="R10" s="221">
        <f>+G10+L10+N10+P10</f>
        <v>27168695.520000003</v>
      </c>
    </row>
    <row r="11" spans="2:19" x14ac:dyDescent="0.25">
      <c r="B11" s="44" t="s">
        <v>15</v>
      </c>
      <c r="C11" s="252">
        <v>226</v>
      </c>
      <c r="D11" s="159">
        <v>2692910.97</v>
      </c>
      <c r="E11" s="159">
        <v>268483.21000000002</v>
      </c>
      <c r="F11" s="159">
        <v>80787.31</v>
      </c>
      <c r="G11" s="159">
        <v>2343640.4500000002</v>
      </c>
      <c r="H11" s="264">
        <v>2</v>
      </c>
      <c r="I11" s="255">
        <v>25000</v>
      </c>
      <c r="J11" s="159">
        <v>2492.5</v>
      </c>
      <c r="K11" s="255">
        <v>750</v>
      </c>
      <c r="L11" s="255">
        <v>21757.5</v>
      </c>
      <c r="M11" s="252">
        <v>651</v>
      </c>
      <c r="N11" s="159">
        <v>12602278.449999999</v>
      </c>
      <c r="O11" s="252">
        <v>952</v>
      </c>
      <c r="P11" s="159">
        <v>12207387.51</v>
      </c>
      <c r="Q11" s="185">
        <f>C11+H11+M11+O11</f>
        <v>1831</v>
      </c>
      <c r="R11" s="221">
        <f>+G11+L11+N11+P11</f>
        <v>27175063.909999996</v>
      </c>
    </row>
    <row r="12" spans="2:19" x14ac:dyDescent="0.25">
      <c r="B12" s="27" t="s">
        <v>116</v>
      </c>
      <c r="C12" s="184">
        <f>C9</f>
        <v>224</v>
      </c>
      <c r="D12" s="261">
        <f>+SUM(D8:D11)</f>
        <v>8058398.3900000006</v>
      </c>
      <c r="E12" s="262">
        <f>+SUM(E9:E11)</f>
        <v>803422.27</v>
      </c>
      <c r="F12" s="262">
        <f>+SUM(F9:F11)</f>
        <v>241751.91</v>
      </c>
      <c r="G12" s="262">
        <f>+SUM(G8:G11)</f>
        <v>7013224.21</v>
      </c>
      <c r="H12" s="263">
        <f>+H9</f>
        <v>2</v>
      </c>
      <c r="I12" s="262">
        <f>SUM(I8:I11)</f>
        <v>75000</v>
      </c>
      <c r="J12" s="262">
        <f>SUM(J9:J11)</f>
        <v>7477.5</v>
      </c>
      <c r="K12" s="262">
        <f>SUM(K9:K11)</f>
        <v>2250</v>
      </c>
      <c r="L12" s="262">
        <f>SUM(L8:L11)</f>
        <v>65272.5</v>
      </c>
      <c r="M12" s="184">
        <f>+M9</f>
        <v>649</v>
      </c>
      <c r="N12" s="262">
        <f>+SUM(N8:N11)</f>
        <v>37870473.349999994</v>
      </c>
      <c r="O12" s="220">
        <f>O9</f>
        <v>956</v>
      </c>
      <c r="P12" s="262">
        <f>+SUM(P8:P11)</f>
        <v>36874218.909999996</v>
      </c>
      <c r="Q12" s="184">
        <f>+Q9</f>
        <v>1831</v>
      </c>
      <c r="R12" s="220">
        <f>SUM(R8:R11)</f>
        <v>81823188.969999999</v>
      </c>
    </row>
    <row r="13" spans="2:19" x14ac:dyDescent="0.25">
      <c r="B13" s="189" t="s">
        <v>117</v>
      </c>
      <c r="D13" s="270">
        <f>+D12/R12</f>
        <v>9.8485508710184425E-2</v>
      </c>
      <c r="E13" s="250"/>
      <c r="F13" s="250"/>
      <c r="G13" s="250"/>
      <c r="H13" s="250"/>
      <c r="I13" s="270">
        <f>+I12/R12</f>
        <v>9.1661057145424037E-4</v>
      </c>
      <c r="J13" s="250"/>
      <c r="K13" s="250"/>
      <c r="L13" s="250"/>
      <c r="M13" s="250"/>
      <c r="N13" s="270">
        <f>+N12/R12</f>
        <v>0.46283301624781437</v>
      </c>
      <c r="O13" s="250"/>
      <c r="P13" s="270">
        <f>+P12/R12</f>
        <v>0.45065731822698474</v>
      </c>
    </row>
    <row r="14" spans="2:19" x14ac:dyDescent="0.25">
      <c r="B14" s="189"/>
      <c r="D14" s="256"/>
      <c r="I14" s="256"/>
      <c r="N14" s="256"/>
      <c r="P14" s="256"/>
    </row>
    <row r="15" spans="2:19" x14ac:dyDescent="0.25">
      <c r="B15" s="189"/>
      <c r="D15" s="256"/>
      <c r="I15" s="256"/>
      <c r="N15" s="256"/>
      <c r="P15" s="256"/>
    </row>
    <row r="16" spans="2:19" x14ac:dyDescent="0.25">
      <c r="Q16" s="36"/>
    </row>
    <row r="17" spans="3:18" x14ac:dyDescent="0.25">
      <c r="D17" s="35"/>
      <c r="E17"/>
      <c r="F17"/>
      <c r="G17"/>
      <c r="H17"/>
      <c r="I17"/>
      <c r="J17"/>
      <c r="K17"/>
      <c r="L17"/>
      <c r="M17"/>
      <c r="N17"/>
      <c r="O17"/>
      <c r="P17"/>
      <c r="R17" s="35"/>
    </row>
    <row r="19" spans="3:18" x14ac:dyDescent="0.25">
      <c r="C19" s="14"/>
    </row>
    <row r="20" spans="3:18" x14ac:dyDescent="0.25">
      <c r="N20" s="1" t="s">
        <v>118</v>
      </c>
    </row>
    <row r="29" spans="3:18" x14ac:dyDescent="0.25">
      <c r="F29" s="186"/>
    </row>
    <row r="32" spans="3:18" ht="4.5" customHeight="1" x14ac:dyDescent="0.25"/>
    <row r="33" spans="2:15" ht="41.25" customHeight="1" x14ac:dyDescent="0.25">
      <c r="B33"/>
      <c r="C33" s="359" t="s">
        <v>119</v>
      </c>
      <c r="D33" s="359"/>
      <c r="E33" s="360" t="s">
        <v>120</v>
      </c>
      <c r="F33" s="360"/>
      <c r="G33" s="364" t="s">
        <v>106</v>
      </c>
      <c r="H33" s="364"/>
      <c r="I33" s="364"/>
      <c r="J33" s="364"/>
      <c r="K33" s="365" t="s">
        <v>121</v>
      </c>
      <c r="L33" s="365"/>
      <c r="M33" s="365"/>
      <c r="N33" s="361" t="s">
        <v>96</v>
      </c>
      <c r="O33" s="361"/>
    </row>
    <row r="34" spans="2:15" ht="38.25" customHeight="1" x14ac:dyDescent="0.25">
      <c r="B34" s="195" t="s">
        <v>5</v>
      </c>
      <c r="C34" s="195" t="s">
        <v>109</v>
      </c>
      <c r="D34" s="195" t="s">
        <v>110</v>
      </c>
      <c r="E34" s="195" t="s">
        <v>109</v>
      </c>
      <c r="F34" s="195" t="s">
        <v>110</v>
      </c>
      <c r="G34" s="357" t="s">
        <v>109</v>
      </c>
      <c r="H34" s="357"/>
      <c r="I34" s="344" t="s">
        <v>110</v>
      </c>
      <c r="J34" s="344"/>
      <c r="K34" s="358" t="s">
        <v>109</v>
      </c>
      <c r="L34" s="358"/>
      <c r="M34" s="195" t="s">
        <v>9</v>
      </c>
      <c r="N34" s="195" t="s">
        <v>109</v>
      </c>
      <c r="O34" s="195" t="s">
        <v>110</v>
      </c>
    </row>
    <row r="35" spans="2:15" ht="0.75" customHeight="1" x14ac:dyDescent="0.25">
      <c r="B35" s="44" t="s">
        <v>12</v>
      </c>
      <c r="C35" s="183" t="s">
        <v>77</v>
      </c>
      <c r="D35" s="32" t="s">
        <v>77</v>
      </c>
      <c r="E35" s="183" t="s">
        <v>77</v>
      </c>
      <c r="F35" s="32" t="s">
        <v>77</v>
      </c>
      <c r="G35" s="355" t="s">
        <v>77</v>
      </c>
      <c r="H35" s="355"/>
      <c r="I35" s="355" t="s">
        <v>77</v>
      </c>
      <c r="J35" s="355"/>
      <c r="K35" s="355" t="s">
        <v>77</v>
      </c>
      <c r="L35" s="355"/>
      <c r="M35" s="197" t="s">
        <v>77</v>
      </c>
      <c r="N35" s="183" t="s">
        <v>77</v>
      </c>
      <c r="O35" s="183" t="s">
        <v>77</v>
      </c>
    </row>
    <row r="36" spans="2:15" x14ac:dyDescent="0.25">
      <c r="B36" s="44" t="s">
        <v>90</v>
      </c>
      <c r="C36" s="252">
        <v>0</v>
      </c>
      <c r="D36" s="236">
        <v>0</v>
      </c>
      <c r="E36" s="252">
        <v>4</v>
      </c>
      <c r="F36" s="236">
        <v>1605347</v>
      </c>
      <c r="G36" s="320">
        <v>0</v>
      </c>
      <c r="H36" s="320"/>
      <c r="I36" s="320">
        <v>0</v>
      </c>
      <c r="J36" s="320"/>
      <c r="K36" s="355">
        <v>5</v>
      </c>
      <c r="L36" s="355"/>
      <c r="M36" s="236">
        <v>3773821</v>
      </c>
      <c r="N36" s="185">
        <f>C36+E36+K36</f>
        <v>9</v>
      </c>
      <c r="O36" s="221">
        <f>D36+F36+M36</f>
        <v>5379168</v>
      </c>
    </row>
    <row r="37" spans="2:15" x14ac:dyDescent="0.25">
      <c r="B37" s="44" t="s">
        <v>14</v>
      </c>
      <c r="C37" s="252">
        <v>0</v>
      </c>
      <c r="D37" s="236">
        <v>0</v>
      </c>
      <c r="E37" s="252">
        <v>0</v>
      </c>
      <c r="F37" s="236">
        <v>0</v>
      </c>
      <c r="G37" s="320">
        <v>0</v>
      </c>
      <c r="H37" s="320"/>
      <c r="I37" s="320">
        <v>0</v>
      </c>
      <c r="J37" s="320"/>
      <c r="K37" s="355">
        <v>2</v>
      </c>
      <c r="L37" s="355"/>
      <c r="M37" s="236">
        <v>443043.69</v>
      </c>
      <c r="N37" s="185">
        <f>C37+E37+K37</f>
        <v>2</v>
      </c>
      <c r="O37" s="221">
        <f>D37+F37+M37</f>
        <v>443043.69</v>
      </c>
    </row>
    <row r="38" spans="2:15" x14ac:dyDescent="0.25">
      <c r="B38" s="44" t="s">
        <v>15</v>
      </c>
      <c r="C38" s="252">
        <v>3</v>
      </c>
      <c r="D38" s="236">
        <v>1279192.3</v>
      </c>
      <c r="E38" s="252">
        <v>4</v>
      </c>
      <c r="F38" s="236">
        <v>2827955</v>
      </c>
      <c r="G38" s="320">
        <v>0</v>
      </c>
      <c r="H38" s="320"/>
      <c r="I38" s="320">
        <v>0</v>
      </c>
      <c r="J38" s="320"/>
      <c r="K38" s="355">
        <v>0</v>
      </c>
      <c r="L38" s="355"/>
      <c r="M38" s="236">
        <v>0</v>
      </c>
      <c r="N38" s="185">
        <f>C38+E38+K38</f>
        <v>7</v>
      </c>
      <c r="O38" s="221">
        <f>D38+F38+M38</f>
        <v>4107147.3</v>
      </c>
    </row>
    <row r="39" spans="2:15" x14ac:dyDescent="0.25">
      <c r="B39" s="27" t="s">
        <v>70</v>
      </c>
      <c r="C39" s="184">
        <f>SUM(C36:C38)</f>
        <v>3</v>
      </c>
      <c r="D39" s="222">
        <f>+SUM(D36:D38)</f>
        <v>1279192.3</v>
      </c>
      <c r="E39" s="184">
        <f>SUM(E36:E38)</f>
        <v>8</v>
      </c>
      <c r="F39" s="222">
        <f>+SUM(F36:F38)</f>
        <v>4433302</v>
      </c>
      <c r="G39" s="321">
        <f>SUM(G36:G38)</f>
        <v>0</v>
      </c>
      <c r="H39" s="321"/>
      <c r="I39" s="322">
        <f>SUM(I36:I38)</f>
        <v>0</v>
      </c>
      <c r="J39" s="321"/>
      <c r="K39" s="356">
        <f>SUM(K36:K38)</f>
        <v>7</v>
      </c>
      <c r="L39" s="356"/>
      <c r="M39" s="220">
        <f>+SUM(M36:M38)</f>
        <v>4216864.6900000004</v>
      </c>
      <c r="N39" s="184">
        <f>SUM(N36:N38)</f>
        <v>18</v>
      </c>
      <c r="O39" s="220">
        <f>SUM(O36:O38)</f>
        <v>9929358.9900000002</v>
      </c>
    </row>
    <row r="40" spans="2:15" x14ac:dyDescent="0.25">
      <c r="B40" s="189" t="s">
        <v>117</v>
      </c>
    </row>
    <row r="42" spans="2:15" ht="15" customHeight="1" x14ac:dyDescent="0.25"/>
  </sheetData>
  <mergeCells count="25">
    <mergeCell ref="C33:D33"/>
    <mergeCell ref="E33:F33"/>
    <mergeCell ref="N33:O33"/>
    <mergeCell ref="B1:S1"/>
    <mergeCell ref="B2:S2"/>
    <mergeCell ref="B3:S3"/>
    <mergeCell ref="B4:S4"/>
    <mergeCell ref="B5:S5"/>
    <mergeCell ref="C6:G6"/>
    <mergeCell ref="M6:N6"/>
    <mergeCell ref="O6:P6"/>
    <mergeCell ref="Q6:R6"/>
    <mergeCell ref="H6:L6"/>
    <mergeCell ref="K33:M33"/>
    <mergeCell ref="G33:J33"/>
    <mergeCell ref="K37:L37"/>
    <mergeCell ref="K38:L38"/>
    <mergeCell ref="K39:L39"/>
    <mergeCell ref="K35:L35"/>
    <mergeCell ref="G34:H34"/>
    <mergeCell ref="I34:J34"/>
    <mergeCell ref="G35:H35"/>
    <mergeCell ref="I35:J35"/>
    <mergeCell ref="K36:L36"/>
    <mergeCell ref="K34:L34"/>
  </mergeCells>
  <pageMargins left="0.7" right="0.7" top="0.75" bottom="0.75" header="0.3" footer="0.3"/>
  <pageSetup paperSize="9" scale="50" orientation="landscape" r:id="rId1"/>
  <ignoredErrors>
    <ignoredError sqref="O39 Q8:Q9 R8 O36:O38 N36:N39 M39 K39 I39 G39 C39 D13 I13 N13 P13 B12 P12 C12:N12 R12 Q10:Q12 R9:R11" unlockedFormula="1"/>
    <ignoredError sqref="O12 F39 D39:E39" formula="1"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13</vt:i4>
      </vt:variant>
    </vt:vector>
  </HeadingPairs>
  <TitlesOfParts>
    <vt:vector size="32" baseType="lpstr">
      <vt:lpstr>Presupuesto Adm.</vt:lpstr>
      <vt:lpstr>Afiliados y Cotizantes</vt:lpstr>
      <vt:lpstr>Cotizantes</vt:lpstr>
      <vt:lpstr>Empleador</vt:lpstr>
      <vt:lpstr>Aportes</vt:lpstr>
      <vt:lpstr>Traspaso</vt:lpstr>
      <vt:lpstr>Presupuesto de Pensiones</vt:lpstr>
      <vt:lpstr>Nómina</vt:lpstr>
      <vt:lpstr>Autoseguro</vt:lpstr>
      <vt:lpstr>Movimientos</vt:lpstr>
      <vt:lpstr>Hoja1</vt:lpstr>
      <vt:lpstr>Tipo de Pension</vt:lpstr>
      <vt:lpstr>Modalidad</vt:lpstr>
      <vt:lpstr>Retroactivos</vt:lpstr>
      <vt:lpstr>Reintegros</vt:lpstr>
      <vt:lpstr>Créditos Rechazados</vt:lpstr>
      <vt:lpstr>PUC</vt:lpstr>
      <vt:lpstr>Recuperación Fondos</vt:lpstr>
      <vt:lpstr>Servicios</vt:lpstr>
      <vt:lpstr>'Afiliados y Cotizantes'!Área_de_impresión</vt:lpstr>
      <vt:lpstr>Aportes!Área_de_impresión</vt:lpstr>
      <vt:lpstr>Autoseguro!Área_de_impresión</vt:lpstr>
      <vt:lpstr>Cotizantes!Área_de_impresión</vt:lpstr>
      <vt:lpstr>Modalidad!Área_de_impresión</vt:lpstr>
      <vt:lpstr>Movimientos!Área_de_impresión</vt:lpstr>
      <vt:lpstr>Nómina!Área_de_impresión</vt:lpstr>
      <vt:lpstr>'Presupuesto de Pensiones'!Área_de_impresión</vt:lpstr>
      <vt:lpstr>'Recuperación Fondos'!Área_de_impresión</vt:lpstr>
      <vt:lpstr>Retroactivos!Área_de_impresión</vt:lpstr>
      <vt:lpstr>Servicios!Área_de_impresión</vt:lpstr>
      <vt:lpstr>'Tipo de Pension'!Área_de_impresión</vt:lpstr>
      <vt:lpstr>Traspaso!Área_de_impresión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Cesar Roa</dc:creator>
  <cp:keywords/>
  <dc:description/>
  <cp:lastModifiedBy>Elangel Graciel Peña Cuello</cp:lastModifiedBy>
  <cp:revision/>
  <dcterms:created xsi:type="dcterms:W3CDTF">2019-06-03T16:17:46Z</dcterms:created>
  <dcterms:modified xsi:type="dcterms:W3CDTF">2026-04-10T14:49:31Z</dcterms:modified>
  <cp:category/>
  <cp:contentStatus/>
</cp:coreProperties>
</file>