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charts/chart19.xml" ContentType="application/vnd.openxmlformats-officedocument.drawingml.chart+xml"/>
  <Override PartName="/xl/charts/chart2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drawings/drawing13.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charts/chart27.xml" ContentType="application/vnd.openxmlformats-officedocument.drawingml.chart+xml"/>
  <Override PartName="/xl/drawings/drawing14.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3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7.xml" ContentType="application/vnd.openxmlformats-officedocument.drawing+xml"/>
  <Override PartName="/xl/charts/chart34.xml" ContentType="application/vnd.openxmlformats-officedocument.drawingml.chart+xml"/>
  <Override PartName="/xl/charts/style11.xml" ContentType="application/vnd.ms-office.chartstyle+xml"/>
  <Override PartName="/xl/charts/colors11.xml" ContentType="application/vnd.ms-office.chartcolorstyle+xml"/>
  <Override PartName="/xl/charts/chart35.xml" ContentType="application/vnd.openxmlformats-officedocument.drawingml.chart+xml"/>
  <Override PartName="/xl/charts/style12.xml" ContentType="application/vnd.ms-office.chartstyle+xml"/>
  <Override PartName="/xl/charts/colors12.xml" ContentType="application/vnd.ms-office.chartcolorstyle+xml"/>
  <Override PartName="/xl/charts/chart36.xml" ContentType="application/vnd.openxmlformats-officedocument.drawingml.chart+xml"/>
  <Override PartName="/xl/charts/style13.xml" ContentType="application/vnd.ms-office.chartstyle+xml"/>
  <Override PartName="/xl/charts/colors13.xml" ContentType="application/vnd.ms-office.chartcolorstyle+xml"/>
  <Override PartName="/xl/charts/chart37.xml" ContentType="application/vnd.openxmlformats-officedocument.drawingml.chart+xml"/>
  <Override PartName="/xl/charts/style14.xml" ContentType="application/vnd.ms-office.chartstyle+xml"/>
  <Override PartName="/xl/charts/colors14.xml" ContentType="application/vnd.ms-office.chartcolorstyle+xml"/>
  <Override PartName="/xl/charts/chart38.xml" ContentType="application/vnd.openxmlformats-officedocument.drawingml.chart+xml"/>
  <Override PartName="/xl/charts/style15.xml" ContentType="application/vnd.ms-office.chartstyle+xml"/>
  <Override PartName="/xl/charts/colors15.xml" ContentType="application/vnd.ms-office.chartcolorstyle+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4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41.xml" ContentType="application/vnd.openxmlformats-officedocument.drawingml.chart+xml"/>
  <Override PartName="/xl/drawings/drawing20.xml" ContentType="application/vnd.openxmlformats-officedocument.drawing+xml"/>
  <Override PartName="/xl/charts/chart4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43.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charts/chart44.xml" ContentType="application/vnd.openxmlformats-officedocument.drawingml.chart+xml"/>
  <Override PartName="/xl/drawings/drawing2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24226"/>
  <mc:AlternateContent xmlns:mc="http://schemas.openxmlformats.org/markup-compatibility/2006">
    <mc:Choice Requires="x15">
      <x15ac:absPath xmlns:x15ac="http://schemas.microsoft.com/office/spreadsheetml/2010/11/ac" url="https://hacienda365-my.sharepoint.com/personal/jgil_dgjp_gob_do/Documents/Trabajos DFMEPPP/Estadísticas/Boletín Estadístico/T4/"/>
    </mc:Choice>
  </mc:AlternateContent>
  <xr:revisionPtr revIDLastSave="2801" documentId="8_{4D457BD9-E697-465C-9DCF-AC3B8AB554B8}" xr6:coauthVersionLast="47" xr6:coauthVersionMax="47" xr10:uidLastSave="{ADA88CE0-EA54-45B8-B5BE-B454466AE0CA}"/>
  <bookViews>
    <workbookView minimized="1" xWindow="7305" yWindow="4290" windowWidth="21600" windowHeight="11295" firstSheet="7" activeTab="7" xr2:uid="{00000000-000D-0000-FFFF-FFFF00000000}"/>
  </bookViews>
  <sheets>
    <sheet name="Presupuesto Adm." sheetId="1" r:id="rId1"/>
    <sheet name="Afiliados y Cotizantes" sheetId="21" r:id="rId2"/>
    <sheet name="Cotizantes" sheetId="4" r:id="rId3"/>
    <sheet name="Empleador" sheetId="7" r:id="rId4"/>
    <sheet name="Aportes" sheetId="5" r:id="rId5"/>
    <sheet name="Traspasos " sheetId="25" r:id="rId6"/>
    <sheet name="Presupuesto de Pensiones" sheetId="2" r:id="rId7"/>
    <sheet name="Nómina" sheetId="8" r:id="rId8"/>
    <sheet name="Autoseguro" sheetId="22" r:id="rId9"/>
    <sheet name="Movimientos" sheetId="9" r:id="rId10"/>
    <sheet name="Hoja1" sheetId="18" state="hidden" r:id="rId11"/>
    <sheet name="Tipo de Pension" sheetId="12" r:id="rId12"/>
    <sheet name="Modalidad" sheetId="10" r:id="rId13"/>
    <sheet name="Retroactivos" sheetId="11" r:id="rId14"/>
    <sheet name="Reintegros" sheetId="16" state="hidden" r:id="rId15"/>
    <sheet name="Créditos Rechazados" sheetId="17" state="hidden" r:id="rId16"/>
    <sheet name="PUC" sheetId="23" r:id="rId17"/>
    <sheet name="Recuperación Fondos" sheetId="15" r:id="rId18"/>
    <sheet name="Servicios" sheetId="13" r:id="rId19"/>
    <sheet name="Hoja2" sheetId="26" r:id="rId20"/>
  </sheets>
  <externalReferences>
    <externalReference r:id="rId21"/>
    <externalReference r:id="rId22"/>
    <externalReference r:id="rId23"/>
  </externalReferences>
  <definedNames>
    <definedName name="_Toc172020404" localSheetId="8">Autoseguro!$G$10</definedName>
    <definedName name="_xlnm.Print_Area" localSheetId="1">'Afiliados y Cotizantes'!$A$2:$M$79</definedName>
    <definedName name="_xlnm.Print_Area" localSheetId="4">Aportes!$A$1:$D$43</definedName>
    <definedName name="_xlnm.Print_Area" localSheetId="8">Autoseguro!$A$2:$R$44</definedName>
    <definedName name="_xlnm.Print_Area" localSheetId="2">Cotizantes!$A$1:$K$43</definedName>
    <definedName name="_xlnm.Print_Area" localSheetId="3">Empleador!$A$1:$J$47</definedName>
    <definedName name="_xlnm.Print_Area" localSheetId="12">Modalidad!$A$2:$R$53</definedName>
    <definedName name="_xlnm.Print_Area" localSheetId="9">Movimientos!$C$2:$S$50</definedName>
    <definedName name="_xlnm.Print_Area" localSheetId="7">Nómina!$B$2:$P$66</definedName>
    <definedName name="_xlnm.Print_Area" localSheetId="0">'Presupuesto Adm.'!$B$2:$G$55</definedName>
    <definedName name="_xlnm.Print_Area" localSheetId="6">'Presupuesto de Pensiones'!$C$2:$J$90</definedName>
    <definedName name="_xlnm.Print_Area" localSheetId="16">PUC!$B$2:$K$14</definedName>
    <definedName name="_xlnm.Print_Area" localSheetId="17">'Recuperación Fondos'!$A$2:$H$65</definedName>
    <definedName name="_xlnm.Print_Area" localSheetId="13">Retroactivos!$A$2:$M$51</definedName>
    <definedName name="_xlnm.Print_Area" localSheetId="18">Servicios!$C$2:$X$54</definedName>
    <definedName name="_xlnm.Print_Area" localSheetId="11">'Tipo de Pension'!$B$2:$AB$25</definedName>
    <definedName name="_xlnm.Print_Area" localSheetId="5">'Traspasos '!$A$1:$I$45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13" l="1"/>
  <c r="N63" i="13"/>
  <c r="N62" i="13"/>
  <c r="N61" i="13"/>
  <c r="M64" i="13"/>
  <c r="M63" i="13"/>
  <c r="M62" i="13"/>
  <c r="M61" i="13"/>
  <c r="C27" i="25" l="1"/>
  <c r="B27" i="25"/>
  <c r="C23" i="25"/>
  <c r="B23" i="25"/>
  <c r="D15" i="25"/>
  <c r="C15" i="25"/>
  <c r="B15" i="25"/>
  <c r="D11" i="25"/>
  <c r="C11" i="25"/>
  <c r="B11" i="25"/>
  <c r="D28" i="25" l="1"/>
  <c r="C28" i="25"/>
  <c r="B28" i="25"/>
  <c r="I19" i="2"/>
  <c r="J19" i="2" s="1"/>
  <c r="G9" i="15"/>
  <c r="H9" i="15" s="1"/>
  <c r="G10" i="15"/>
  <c r="H10" i="15" s="1"/>
  <c r="G8" i="15"/>
  <c r="H8" i="15" s="1"/>
  <c r="I18" i="2" l="1"/>
  <c r="J18" i="2" s="1"/>
  <c r="I17" i="2"/>
  <c r="J17" i="2" s="1"/>
  <c r="I16" i="2"/>
  <c r="H19" i="2"/>
  <c r="H18" i="2"/>
  <c r="H17" i="2"/>
  <c r="H16" i="2"/>
  <c r="J16" i="2" l="1"/>
  <c r="I20" i="2"/>
  <c r="B11" i="5"/>
  <c r="C10" i="5"/>
  <c r="C15" i="10" l="1"/>
  <c r="B15" i="10"/>
  <c r="K13" i="9"/>
  <c r="J13" i="9"/>
  <c r="I13" i="9"/>
  <c r="H13" i="9"/>
  <c r="G13" i="9"/>
  <c r="F13" i="9"/>
  <c r="E13" i="9"/>
  <c r="D13" i="9"/>
  <c r="I41" i="22"/>
  <c r="G41" i="22"/>
  <c r="F41" i="22"/>
  <c r="O14" i="22"/>
  <c r="B14" i="22"/>
  <c r="D20" i="2" l="1"/>
  <c r="E20" i="2"/>
  <c r="D9" i="7"/>
  <c r="D10" i="7"/>
  <c r="D8" i="7"/>
  <c r="C11" i="7"/>
  <c r="B11" i="7"/>
  <c r="D11" i="7" s="1"/>
  <c r="B11" i="4"/>
  <c r="C11" i="4"/>
  <c r="D9" i="4"/>
  <c r="D10" i="4"/>
  <c r="D8" i="4"/>
  <c r="D11" i="4" l="1"/>
  <c r="M65" i="13"/>
  <c r="L14" i="22"/>
  <c r="M14" i="22"/>
  <c r="N14" i="22"/>
  <c r="L18" i="22"/>
  <c r="M18" i="22"/>
  <c r="N18" i="22"/>
  <c r="M34" i="22"/>
  <c r="N34" i="22"/>
  <c r="M35" i="22"/>
  <c r="N35" i="22"/>
  <c r="M36" i="22"/>
  <c r="N36" i="22"/>
  <c r="L37" i="22"/>
  <c r="L42" i="22"/>
  <c r="B41" i="22"/>
  <c r="C41" i="22"/>
  <c r="D41" i="22"/>
  <c r="E41" i="22"/>
  <c r="H41" i="22"/>
  <c r="J41" i="22"/>
  <c r="K41" i="22"/>
  <c r="J13" i="11"/>
  <c r="K13" i="11"/>
  <c r="L13" i="11"/>
  <c r="M13" i="11"/>
  <c r="B13" i="11"/>
  <c r="F20" i="2"/>
  <c r="G20" i="2"/>
  <c r="H20" i="2" s="1"/>
  <c r="L62" i="13"/>
  <c r="L61" i="13"/>
  <c r="D65" i="13"/>
  <c r="I22" i="13"/>
  <c r="I23" i="13"/>
  <c r="I24" i="13"/>
  <c r="M19" i="12"/>
  <c r="M18" i="12"/>
  <c r="M17" i="12"/>
  <c r="M16" i="12"/>
  <c r="M15" i="12"/>
  <c r="M14" i="12"/>
  <c r="M13" i="12"/>
  <c r="M11" i="12"/>
  <c r="M37" i="22" l="1"/>
  <c r="N37" i="22"/>
  <c r="P14" i="22"/>
  <c r="N65" i="13"/>
  <c r="I20" i="12"/>
  <c r="H14" i="22"/>
  <c r="I14" i="22"/>
  <c r="J14" i="22"/>
  <c r="K14" i="22"/>
  <c r="C14" i="22"/>
  <c r="E14" i="8"/>
  <c r="B11" i="21" l="1"/>
  <c r="L12" i="12" l="1"/>
  <c r="L13" i="12"/>
  <c r="L14" i="12"/>
  <c r="L15" i="12"/>
  <c r="L16" i="12"/>
  <c r="L17" i="12"/>
  <c r="L18" i="12"/>
  <c r="L19" i="12"/>
  <c r="L11" i="12" l="1"/>
  <c r="K11" i="12" l="1"/>
  <c r="K13" i="12"/>
  <c r="M12" i="12"/>
  <c r="K14" i="12"/>
  <c r="K15" i="12"/>
  <c r="K16" i="12"/>
  <c r="K17" i="12"/>
  <c r="K18" i="12"/>
  <c r="K19" i="12"/>
  <c r="C20" i="12"/>
  <c r="E20" i="12"/>
  <c r="K12" i="12"/>
  <c r="G20" i="12"/>
  <c r="H20" i="12"/>
  <c r="J20" i="12"/>
  <c r="G34" i="12"/>
  <c r="E34" i="12"/>
  <c r="M34" i="12" s="1"/>
  <c r="D34" i="12"/>
  <c r="C34" i="12"/>
  <c r="J33" i="12"/>
  <c r="J32" i="12"/>
  <c r="J31" i="12"/>
  <c r="J30" i="12"/>
  <c r="J29" i="12"/>
  <c r="J28" i="12"/>
  <c r="J27" i="12"/>
  <c r="J26" i="12"/>
  <c r="K30" i="12"/>
  <c r="M30" i="12"/>
  <c r="K31" i="12"/>
  <c r="M31" i="12"/>
  <c r="K32" i="12"/>
  <c r="M32" i="12"/>
  <c r="K33" i="12"/>
  <c r="M33" i="12"/>
  <c r="F19" i="12" l="1"/>
  <c r="F18" i="12"/>
  <c r="F17" i="12"/>
  <c r="F16" i="12"/>
  <c r="F15" i="12"/>
  <c r="F14" i="12"/>
  <c r="F13" i="12"/>
  <c r="F12" i="12"/>
  <c r="F11" i="12"/>
  <c r="F20" i="12" s="1"/>
  <c r="F26" i="12"/>
  <c r="F27" i="12"/>
  <c r="F28" i="12"/>
  <c r="F29" i="12"/>
  <c r="F30" i="12"/>
  <c r="F31" i="12"/>
  <c r="F32" i="12"/>
  <c r="M20" i="12"/>
  <c r="K20" i="12"/>
  <c r="H29" i="12"/>
  <c r="J34" i="12"/>
  <c r="H27" i="12"/>
  <c r="H31" i="12"/>
  <c r="K34" i="12"/>
  <c r="H32" i="12"/>
  <c r="L20" i="12"/>
  <c r="H26" i="12"/>
  <c r="H28" i="12"/>
  <c r="H30" i="12"/>
  <c r="H33" i="12"/>
  <c r="F33" i="12"/>
  <c r="N20" i="12"/>
  <c r="N16" i="12"/>
  <c r="D20" i="12" l="1"/>
  <c r="N12" i="12"/>
  <c r="N15" i="12"/>
  <c r="N13" i="12"/>
  <c r="N19" i="12"/>
  <c r="N17" i="12"/>
  <c r="N18" i="12"/>
  <c r="N14" i="12"/>
  <c r="F34" i="12"/>
  <c r="H34" i="12"/>
  <c r="N11" i="12"/>
  <c r="B15" i="5" l="1"/>
  <c r="B19" i="5"/>
  <c r="C8" i="5"/>
  <c r="D8" i="5" s="1"/>
  <c r="C9" i="5"/>
  <c r="D9" i="5" s="1"/>
  <c r="O34" i="13"/>
  <c r="C19" i="5" l="1"/>
  <c r="D8" i="21" l="1"/>
  <c r="Q14" i="22" l="1"/>
  <c r="M19" i="22" s="1"/>
  <c r="E13" i="23"/>
  <c r="N15" i="10"/>
  <c r="L15" i="10"/>
  <c r="H15" i="10"/>
  <c r="D15" i="10"/>
  <c r="I15" i="10"/>
  <c r="D19" i="10"/>
  <c r="E19" i="10"/>
  <c r="F19" i="10"/>
  <c r="G19" i="10"/>
  <c r="H19" i="10"/>
  <c r="I19" i="10"/>
  <c r="J19" i="10"/>
  <c r="K19" i="10"/>
  <c r="L19" i="10"/>
  <c r="M19" i="10"/>
  <c r="N19" i="10"/>
  <c r="O19" i="10"/>
  <c r="P19" i="10"/>
  <c r="Q19" i="10"/>
  <c r="C19" i="10"/>
  <c r="H13" i="23"/>
  <c r="G13" i="23"/>
  <c r="F13" i="23"/>
  <c r="D13" i="23"/>
  <c r="C13" i="23"/>
  <c r="K11" i="23"/>
  <c r="J11" i="23"/>
  <c r="I11" i="23"/>
  <c r="K9" i="23"/>
  <c r="J9" i="23"/>
  <c r="I9" i="23"/>
  <c r="C19" i="22" l="1"/>
  <c r="H19" i="22"/>
  <c r="O19" i="22"/>
  <c r="I13" i="23"/>
  <c r="K13" i="23"/>
  <c r="J13" i="23"/>
  <c r="G11" i="21"/>
  <c r="D10" i="21"/>
  <c r="D9" i="21"/>
  <c r="Q19" i="22" l="1"/>
  <c r="K53" i="12"/>
  <c r="K35" i="12"/>
  <c r="K36" i="12"/>
  <c r="G64" i="12"/>
  <c r="K48" i="13" l="1"/>
  <c r="K49" i="13"/>
  <c r="K50" i="13"/>
  <c r="K51" i="13"/>
  <c r="J48" i="13"/>
  <c r="J49" i="13"/>
  <c r="J50" i="13"/>
  <c r="J51" i="13"/>
  <c r="H48" i="13"/>
  <c r="H49" i="13"/>
  <c r="H50" i="13"/>
  <c r="H51" i="13"/>
  <c r="G48" i="13"/>
  <c r="G49" i="13"/>
  <c r="G50" i="13"/>
  <c r="G51" i="13"/>
  <c r="E48" i="13"/>
  <c r="E49" i="13"/>
  <c r="E50" i="13"/>
  <c r="E51" i="13"/>
  <c r="D48" i="13"/>
  <c r="D49" i="13"/>
  <c r="D50" i="13"/>
  <c r="D51" i="13"/>
  <c r="L13" i="13"/>
  <c r="L14" i="13"/>
  <c r="L15" i="13"/>
  <c r="L16" i="13"/>
  <c r="L17" i="13"/>
  <c r="L18" i="13"/>
  <c r="L19" i="13"/>
  <c r="L20" i="13"/>
  <c r="L21" i="13"/>
  <c r="L22" i="13"/>
  <c r="L23" i="13"/>
  <c r="L24" i="13"/>
  <c r="L12" i="13"/>
  <c r="I13" i="13"/>
  <c r="I14" i="13"/>
  <c r="I15" i="13"/>
  <c r="I16" i="13"/>
  <c r="I17" i="13"/>
  <c r="I18" i="13"/>
  <c r="I19" i="13"/>
  <c r="I20" i="13"/>
  <c r="I21" i="13"/>
  <c r="I12" i="13"/>
  <c r="F13" i="13"/>
  <c r="F14" i="13"/>
  <c r="F15" i="13"/>
  <c r="F16" i="13"/>
  <c r="F17" i="13"/>
  <c r="F18" i="13"/>
  <c r="F19" i="13"/>
  <c r="F20" i="13"/>
  <c r="F21" i="13"/>
  <c r="F22" i="13"/>
  <c r="F23" i="13"/>
  <c r="F24" i="13"/>
  <c r="F12" i="13"/>
  <c r="D25" i="13"/>
  <c r="K65" i="13"/>
  <c r="J65" i="13"/>
  <c r="H65" i="13"/>
  <c r="G65" i="13"/>
  <c r="E65" i="13"/>
  <c r="L45" i="13" l="1"/>
  <c r="L38" i="13"/>
  <c r="M48" i="13"/>
  <c r="F42" i="13"/>
  <c r="I51" i="13"/>
  <c r="L49" i="13"/>
  <c r="M49" i="13"/>
  <c r="N51" i="13"/>
  <c r="L44" i="13"/>
  <c r="L43" i="13"/>
  <c r="L42" i="13"/>
  <c r="L41" i="13"/>
  <c r="M51" i="13"/>
  <c r="K52" i="13"/>
  <c r="L40" i="13"/>
  <c r="M50" i="13"/>
  <c r="L51" i="13"/>
  <c r="L50" i="13"/>
  <c r="L39" i="13"/>
  <c r="I45" i="13"/>
  <c r="L48" i="13"/>
  <c r="L37" i="13"/>
  <c r="J52" i="13"/>
  <c r="L47" i="13"/>
  <c r="L36" i="13"/>
  <c r="F41" i="13"/>
  <c r="L46" i="13"/>
  <c r="L35" i="13"/>
  <c r="F50" i="13"/>
  <c r="F39" i="13"/>
  <c r="I41" i="13"/>
  <c r="F49" i="13"/>
  <c r="F38" i="13"/>
  <c r="I40" i="13"/>
  <c r="F48" i="13"/>
  <c r="F37" i="13"/>
  <c r="F47" i="13"/>
  <c r="F36" i="13"/>
  <c r="N50" i="13"/>
  <c r="F46" i="13"/>
  <c r="F35" i="13"/>
  <c r="I49" i="13"/>
  <c r="I38" i="13"/>
  <c r="N49" i="13"/>
  <c r="F45" i="13"/>
  <c r="I48" i="13"/>
  <c r="I37" i="13"/>
  <c r="N48" i="13"/>
  <c r="F44" i="13"/>
  <c r="G52" i="13"/>
  <c r="I47" i="13"/>
  <c r="I36" i="13"/>
  <c r="F43" i="13"/>
  <c r="I46" i="13"/>
  <c r="I35" i="13"/>
  <c r="D52" i="13"/>
  <c r="I44" i="13"/>
  <c r="I43" i="13"/>
  <c r="I42" i="13"/>
  <c r="I50" i="13"/>
  <c r="I39" i="13"/>
  <c r="F40" i="13"/>
  <c r="F51" i="13"/>
  <c r="H52" i="13"/>
  <c r="E52" i="13"/>
  <c r="F34" i="13"/>
  <c r="O12" i="13"/>
  <c r="P15" i="10"/>
  <c r="M52" i="13" l="1"/>
  <c r="N52" i="13"/>
  <c r="H58" i="12"/>
  <c r="I64" i="12"/>
  <c r="J53" i="12" s="1"/>
  <c r="M53" i="12"/>
  <c r="E64" i="12"/>
  <c r="F57" i="12" s="1"/>
  <c r="M35" i="12"/>
  <c r="M36" i="12"/>
  <c r="M37" i="12"/>
  <c r="M38" i="12"/>
  <c r="M39" i="12"/>
  <c r="M40" i="12"/>
  <c r="M41" i="12"/>
  <c r="M42" i="12"/>
  <c r="K37" i="12"/>
  <c r="K38" i="12"/>
  <c r="K39" i="12"/>
  <c r="K40" i="12"/>
  <c r="K41" i="12"/>
  <c r="K42" i="12"/>
  <c r="G43" i="12"/>
  <c r="C43" i="12"/>
  <c r="O52" i="13" l="1"/>
  <c r="H35" i="12"/>
  <c r="H42" i="12"/>
  <c r="H41" i="12"/>
  <c r="F62" i="12"/>
  <c r="F56" i="12"/>
  <c r="M43" i="12"/>
  <c r="F61" i="12"/>
  <c r="F55" i="12"/>
  <c r="H37" i="12"/>
  <c r="D38" i="12"/>
  <c r="F60" i="12"/>
  <c r="F54" i="12"/>
  <c r="J54" i="12"/>
  <c r="H36" i="12"/>
  <c r="K43" i="12"/>
  <c r="F59" i="12"/>
  <c r="F53" i="12"/>
  <c r="F58" i="12"/>
  <c r="F63" i="12"/>
  <c r="J57" i="12"/>
  <c r="J59" i="12"/>
  <c r="J58" i="12"/>
  <c r="J63" i="12"/>
  <c r="J62" i="12"/>
  <c r="J56" i="12"/>
  <c r="J61" i="12"/>
  <c r="J55" i="12"/>
  <c r="J60" i="12"/>
  <c r="H63" i="12"/>
  <c r="H57" i="12"/>
  <c r="H54" i="12"/>
  <c r="H62" i="12"/>
  <c r="H56" i="12"/>
  <c r="H61" i="12"/>
  <c r="H55" i="12"/>
  <c r="H59" i="12"/>
  <c r="H60" i="12"/>
  <c r="H53" i="12"/>
  <c r="H40" i="12"/>
  <c r="H39" i="12"/>
  <c r="H38" i="12"/>
  <c r="D37" i="12"/>
  <c r="D42" i="12"/>
  <c r="D36" i="12"/>
  <c r="D41" i="12"/>
  <c r="D35" i="12"/>
  <c r="D40" i="12"/>
  <c r="D39" i="12"/>
  <c r="N31" i="12" l="1"/>
  <c r="N34" i="12"/>
  <c r="N32" i="12"/>
  <c r="N30" i="12"/>
  <c r="N33" i="12"/>
  <c r="L32" i="12"/>
  <c r="L33" i="12"/>
  <c r="L31" i="12"/>
  <c r="L34" i="12"/>
  <c r="L30" i="12"/>
  <c r="L37" i="12"/>
  <c r="L39" i="12"/>
  <c r="L38" i="12"/>
  <c r="L35" i="12"/>
  <c r="L41" i="12"/>
  <c r="L42" i="12"/>
  <c r="N40" i="12"/>
  <c r="N35" i="12"/>
  <c r="N41" i="12"/>
  <c r="L36" i="12"/>
  <c r="N39" i="12"/>
  <c r="N37" i="12"/>
  <c r="N36" i="12"/>
  <c r="N38" i="12"/>
  <c r="L40" i="12"/>
  <c r="N42" i="12"/>
  <c r="L43" i="12" l="1"/>
  <c r="N43" i="12"/>
  <c r="N25" i="13" l="1"/>
  <c r="M25" i="13"/>
  <c r="O13" i="13"/>
  <c r="O14" i="13"/>
  <c r="O15" i="13"/>
  <c r="O16" i="13"/>
  <c r="O17" i="13"/>
  <c r="O18" i="13"/>
  <c r="O19" i="13"/>
  <c r="O20" i="13"/>
  <c r="O21" i="13"/>
  <c r="O22" i="13"/>
  <c r="O23" i="13"/>
  <c r="O24" i="13"/>
  <c r="O25" i="13" l="1"/>
  <c r="C11" i="21"/>
  <c r="E11" i="21"/>
  <c r="O44" i="13" l="1"/>
  <c r="O45" i="13"/>
  <c r="O46" i="13"/>
  <c r="O47" i="13"/>
  <c r="O48" i="13"/>
  <c r="O49" i="13"/>
  <c r="O50" i="13"/>
  <c r="O51" i="13"/>
  <c r="O35" i="13"/>
  <c r="O36" i="13"/>
  <c r="O37" i="13"/>
  <c r="O38" i="13"/>
  <c r="O39" i="13"/>
  <c r="O40" i="13"/>
  <c r="O41" i="13"/>
  <c r="O42" i="13"/>
  <c r="F11" i="15" l="1"/>
  <c r="E11" i="15"/>
  <c r="D11" i="15"/>
  <c r="C11" i="15"/>
  <c r="E13" i="11"/>
  <c r="D17" i="11"/>
  <c r="E17" i="11"/>
  <c r="D21" i="11"/>
  <c r="E21" i="11"/>
  <c r="D25" i="11"/>
  <c r="E25" i="11"/>
  <c r="D29" i="11"/>
  <c r="E29" i="11"/>
  <c r="G15" i="10"/>
  <c r="E15" i="10"/>
  <c r="K15" i="10"/>
  <c r="M15" i="10"/>
  <c r="J15" i="10"/>
  <c r="F15" i="10"/>
  <c r="O15" i="10" l="1"/>
  <c r="Q15" i="10"/>
  <c r="R14" i="10"/>
  <c r="R11" i="10"/>
  <c r="F13" i="11"/>
  <c r="R13" i="10"/>
  <c r="G13" i="11"/>
  <c r="C13" i="11"/>
  <c r="G11" i="15"/>
  <c r="H11" i="15" s="1"/>
  <c r="H13" i="11"/>
  <c r="I13" i="11"/>
  <c r="D30" i="11"/>
  <c r="D13" i="11"/>
  <c r="E30" i="11"/>
  <c r="R15" i="10" l="1"/>
  <c r="Q34" i="10" s="1"/>
  <c r="O13" i="9"/>
  <c r="M13" i="9"/>
  <c r="O34" i="10" l="1"/>
  <c r="P13" i="9"/>
  <c r="N13" i="9"/>
  <c r="L13" i="9"/>
  <c r="D14" i="22"/>
  <c r="H42" i="22" l="1"/>
  <c r="E42" i="22"/>
  <c r="C42" i="22"/>
  <c r="N42" i="22" s="1"/>
  <c r="Q13" i="9"/>
  <c r="H37" i="22" l="1"/>
  <c r="E37" i="22"/>
  <c r="F14" i="22" l="1"/>
  <c r="E14" i="22"/>
  <c r="H14" i="8" l="1"/>
  <c r="F14" i="8"/>
  <c r="D14" i="8"/>
  <c r="I14" i="8"/>
  <c r="K14" i="8"/>
  <c r="J14" i="8"/>
  <c r="G14" i="8"/>
  <c r="C14" i="8"/>
  <c r="E15" i="2"/>
  <c r="F15" i="2"/>
  <c r="G15" i="2"/>
  <c r="D15" i="2"/>
  <c r="I14" i="2"/>
  <c r="J14" i="2" s="1"/>
  <c r="D10" i="5"/>
  <c r="D12" i="5"/>
  <c r="D13" i="5"/>
  <c r="F8" i="21"/>
  <c r="E9" i="4"/>
  <c r="E8" i="4"/>
  <c r="F10" i="4"/>
  <c r="F9" i="4"/>
  <c r="F8" i="4"/>
  <c r="E10" i="4"/>
  <c r="E11" i="4"/>
  <c r="N14" i="8" l="1"/>
  <c r="F11" i="4"/>
  <c r="C29" i="7"/>
  <c r="M14" i="8"/>
  <c r="L14" i="8"/>
  <c r="H15" i="2"/>
  <c r="I15" i="2"/>
  <c r="J15" i="2" s="1"/>
  <c r="B29" i="7" l="1"/>
  <c r="F9" i="21"/>
  <c r="F10" i="21"/>
  <c r="F12" i="21"/>
  <c r="D12" i="21"/>
  <c r="D15" i="1"/>
  <c r="C15" i="1"/>
  <c r="D11" i="21" l="1"/>
  <c r="F11" i="21"/>
  <c r="E15" i="1"/>
  <c r="F15" i="1"/>
  <c r="G15" i="1" s="1"/>
  <c r="L64" i="13" l="1"/>
  <c r="I64" i="13"/>
  <c r="F64" i="13"/>
  <c r="L63" i="13"/>
  <c r="I63" i="13"/>
  <c r="F63" i="13"/>
  <c r="I62" i="13"/>
  <c r="F62" i="13"/>
  <c r="I61" i="13"/>
  <c r="F61" i="13"/>
  <c r="I65" i="13" l="1"/>
  <c r="L65" i="13"/>
  <c r="F65" i="13"/>
  <c r="E18" i="8" l="1"/>
  <c r="I17" i="9" l="1"/>
  <c r="H17" i="9"/>
  <c r="G17" i="9"/>
  <c r="F17" i="9"/>
  <c r="D14" i="5" l="1"/>
  <c r="D19" i="1" l="1"/>
  <c r="C19" i="1"/>
  <c r="F10" i="1"/>
  <c r="G10" i="1" s="1"/>
  <c r="E10" i="1"/>
  <c r="Q9" i="22" l="1"/>
  <c r="P9" i="22"/>
  <c r="K18" i="8"/>
  <c r="H18" i="8"/>
  <c r="I12" i="2" l="1"/>
  <c r="J17" i="9" l="1"/>
  <c r="J37" i="22"/>
  <c r="D37" i="22"/>
  <c r="F37" i="22"/>
  <c r="B37" i="22"/>
  <c r="Q16" i="22" l="1"/>
  <c r="Q15" i="22"/>
  <c r="P15" i="22"/>
  <c r="P16" i="22"/>
  <c r="P17" i="22"/>
  <c r="Q17" i="22"/>
  <c r="J18" i="22"/>
  <c r="B15" i="21" l="1"/>
  <c r="E43" i="12" l="1"/>
  <c r="I43" i="12"/>
  <c r="J36" i="12" l="1"/>
  <c r="J35" i="12"/>
  <c r="J40" i="12"/>
  <c r="J42" i="12"/>
  <c r="J37" i="12"/>
  <c r="J39" i="12"/>
  <c r="J41" i="12"/>
  <c r="J38" i="12"/>
  <c r="F41" i="12"/>
  <c r="F42" i="12"/>
  <c r="F37" i="12"/>
  <c r="F39" i="12"/>
  <c r="F38" i="12"/>
  <c r="F40" i="12"/>
  <c r="F35" i="12"/>
  <c r="F36" i="12"/>
  <c r="K17" i="9"/>
  <c r="C37" i="22"/>
  <c r="E18" i="22"/>
  <c r="D18" i="22"/>
  <c r="B18" i="22"/>
  <c r="P18" i="22"/>
  <c r="D13" i="21" l="1"/>
  <c r="F13" i="21"/>
  <c r="D14" i="21"/>
  <c r="F14" i="21"/>
  <c r="C15" i="21"/>
  <c r="E15" i="21"/>
  <c r="G15" i="21"/>
  <c r="D16" i="21"/>
  <c r="F16" i="21"/>
  <c r="D17" i="21"/>
  <c r="F17" i="21"/>
  <c r="D18" i="21"/>
  <c r="F18" i="21"/>
  <c r="B19" i="21"/>
  <c r="B28" i="21" s="1"/>
  <c r="C19" i="21"/>
  <c r="E19" i="21"/>
  <c r="D20" i="21"/>
  <c r="F20" i="21"/>
  <c r="D21" i="21"/>
  <c r="F21" i="21"/>
  <c r="D22" i="21"/>
  <c r="F22" i="21"/>
  <c r="B23" i="21"/>
  <c r="C23" i="21"/>
  <c r="E23" i="21"/>
  <c r="D24" i="21"/>
  <c r="F24" i="21"/>
  <c r="D25" i="21"/>
  <c r="F25" i="21"/>
  <c r="D26" i="21"/>
  <c r="F26" i="21"/>
  <c r="B27" i="21"/>
  <c r="C27" i="21"/>
  <c r="E27" i="21"/>
  <c r="D23" i="21" l="1"/>
  <c r="D19" i="21"/>
  <c r="F19" i="21"/>
  <c r="C28" i="21"/>
  <c r="D28" i="21" s="1"/>
  <c r="F27" i="21"/>
  <c r="D27" i="21"/>
  <c r="F23" i="21"/>
  <c r="E28" i="21"/>
  <c r="F28" i="21" s="1"/>
  <c r="F15" i="21"/>
  <c r="D15" i="21"/>
  <c r="G12" i="15"/>
  <c r="M55" i="12" l="1"/>
  <c r="M56" i="12"/>
  <c r="M57" i="12"/>
  <c r="M58" i="12"/>
  <c r="M59" i="12"/>
  <c r="M60" i="12"/>
  <c r="M61" i="12"/>
  <c r="M62" i="12"/>
  <c r="M63" i="12"/>
  <c r="M54" i="12"/>
  <c r="K55" i="12"/>
  <c r="K56" i="12"/>
  <c r="K57" i="12"/>
  <c r="K58" i="12"/>
  <c r="K59" i="12"/>
  <c r="K60" i="12"/>
  <c r="K61" i="12"/>
  <c r="K62" i="12"/>
  <c r="K63" i="12"/>
  <c r="K54" i="12"/>
  <c r="M64" i="12" l="1"/>
  <c r="K64" i="12"/>
  <c r="L53" i="12" s="1"/>
  <c r="F43" i="12"/>
  <c r="D43" i="12"/>
  <c r="H43" i="12"/>
  <c r="J43" i="12"/>
  <c r="N57" i="12" l="1"/>
  <c r="N53" i="12"/>
  <c r="N54" i="12"/>
  <c r="N55" i="12"/>
  <c r="N59" i="12"/>
  <c r="N61" i="12"/>
  <c r="N60" i="12"/>
  <c r="N62" i="12"/>
  <c r="N56" i="12"/>
  <c r="N58" i="12"/>
  <c r="N63" i="12"/>
  <c r="L63" i="12"/>
  <c r="L57" i="12"/>
  <c r="L60" i="12"/>
  <c r="L55" i="12"/>
  <c r="L56" i="12"/>
  <c r="L58" i="12"/>
  <c r="L54" i="12"/>
  <c r="L62" i="12"/>
  <c r="L59" i="12"/>
  <c r="L61" i="12"/>
  <c r="N64" i="12" l="1"/>
  <c r="L64" i="12"/>
  <c r="G17" i="11" l="1"/>
  <c r="F17" i="11"/>
  <c r="C17" i="11"/>
  <c r="B17" i="11"/>
  <c r="L9" i="8"/>
  <c r="M9" i="8"/>
  <c r="N9" i="8"/>
  <c r="H11" i="2"/>
  <c r="I11" i="2" l="1"/>
  <c r="J11" i="2" l="1"/>
  <c r="Q10" i="10" l="1"/>
  <c r="P10" i="10"/>
  <c r="O10" i="10"/>
  <c r="N10" i="10"/>
  <c r="J18" i="8" l="1"/>
  <c r="I18" i="8"/>
  <c r="F18" i="8"/>
  <c r="E19" i="8"/>
  <c r="H19" i="8"/>
  <c r="K19" i="8"/>
  <c r="E16" i="1" l="1"/>
  <c r="H20" i="10" l="1"/>
  <c r="H12" i="15"/>
  <c r="G14" i="15"/>
  <c r="H14" i="15" s="1"/>
  <c r="I17" i="11"/>
  <c r="B19" i="10"/>
  <c r="G18" i="8"/>
  <c r="D18" i="8"/>
  <c r="C18" i="8"/>
  <c r="N15" i="8"/>
  <c r="M15" i="8"/>
  <c r="M18" i="8" s="1"/>
  <c r="L15" i="8"/>
  <c r="L18" i="8" s="1"/>
  <c r="N17" i="8"/>
  <c r="M17" i="8"/>
  <c r="L17" i="8"/>
  <c r="H14" i="2" l="1"/>
  <c r="H12" i="2"/>
  <c r="J12" i="2" l="1"/>
  <c r="D14" i="7"/>
  <c r="D12" i="7"/>
  <c r="D14" i="4"/>
  <c r="F14" i="4" s="1"/>
  <c r="D12" i="4"/>
  <c r="F16" i="1"/>
  <c r="F18" i="1"/>
  <c r="E18" i="1"/>
  <c r="D29" i="2"/>
  <c r="D30" i="2" s="1"/>
  <c r="G29" i="2"/>
  <c r="F12" i="4" l="1"/>
  <c r="E12" i="4"/>
  <c r="G16" i="1"/>
  <c r="G18" i="1"/>
  <c r="I13" i="2"/>
  <c r="H29" i="2"/>
  <c r="H13" i="2"/>
  <c r="E14" i="4"/>
  <c r="I29" i="2"/>
  <c r="J29" i="2" s="1"/>
  <c r="G30" i="2"/>
  <c r="J13" i="2" l="1"/>
  <c r="H30" i="2"/>
  <c r="I30" i="2" l="1"/>
  <c r="C72" i="18" l="1"/>
  <c r="D69" i="18" s="1"/>
  <c r="A72" i="18"/>
  <c r="B71" i="18"/>
  <c r="B70" i="18"/>
  <c r="B69" i="18"/>
  <c r="B68" i="18"/>
  <c r="B67" i="18"/>
  <c r="B66" i="18"/>
  <c r="B65" i="18"/>
  <c r="B64" i="18"/>
  <c r="B63" i="18"/>
  <c r="D71" i="18" l="1"/>
  <c r="D65" i="18"/>
  <c r="D68" i="18"/>
  <c r="D66" i="18"/>
  <c r="B72" i="18"/>
  <c r="D63" i="18"/>
  <c r="D70" i="18"/>
  <c r="D64" i="18"/>
  <c r="D67" i="18"/>
  <c r="D72" i="18" l="1"/>
  <c r="G9" i="16" l="1"/>
  <c r="F9" i="16"/>
  <c r="C9" i="16"/>
  <c r="B9" i="16"/>
  <c r="M52" i="12" l="1"/>
  <c r="K52" i="12"/>
  <c r="C64" i="12" l="1"/>
  <c r="D54" i="12" l="1"/>
  <c r="D53" i="12"/>
  <c r="D63" i="12"/>
  <c r="D62" i="12"/>
  <c r="D60" i="12"/>
  <c r="D59" i="12"/>
  <c r="D58" i="12"/>
  <c r="D56" i="12"/>
  <c r="D55" i="12"/>
  <c r="D61" i="12"/>
  <c r="D57" i="12"/>
  <c r="F52" i="12"/>
  <c r="F64" i="12" l="1"/>
  <c r="P39" i="17" l="1"/>
  <c r="N39" i="17"/>
  <c r="P38" i="17"/>
  <c r="N38" i="17"/>
  <c r="P37" i="17"/>
  <c r="N37" i="17"/>
  <c r="P36" i="17"/>
  <c r="N36" i="17"/>
  <c r="P35" i="17"/>
  <c r="N35" i="17"/>
  <c r="P34" i="17"/>
  <c r="N34" i="17"/>
  <c r="P33" i="17"/>
  <c r="N33" i="17"/>
  <c r="P32" i="17"/>
  <c r="N32" i="17"/>
  <c r="G23" i="17"/>
  <c r="F23" i="17"/>
  <c r="E23" i="17"/>
  <c r="D23" i="17"/>
  <c r="C23" i="17"/>
  <c r="B23" i="17"/>
  <c r="I22" i="17"/>
  <c r="H22" i="17"/>
  <c r="I21" i="17"/>
  <c r="H21" i="17"/>
  <c r="I20" i="17"/>
  <c r="H20" i="17"/>
  <c r="G19" i="17"/>
  <c r="F19" i="17"/>
  <c r="E19" i="17"/>
  <c r="D19" i="17"/>
  <c r="C19" i="17"/>
  <c r="B19" i="17"/>
  <c r="I18" i="17"/>
  <c r="H18" i="17"/>
  <c r="I17" i="17"/>
  <c r="H17" i="17"/>
  <c r="I16" i="17"/>
  <c r="H16" i="17"/>
  <c r="G15" i="17"/>
  <c r="F15" i="17"/>
  <c r="E15" i="17"/>
  <c r="D15" i="17"/>
  <c r="C15" i="17"/>
  <c r="B15" i="17"/>
  <c r="I14" i="17"/>
  <c r="H14" i="17"/>
  <c r="I13" i="17"/>
  <c r="H13" i="17"/>
  <c r="I12" i="17"/>
  <c r="H12" i="17"/>
  <c r="G11" i="17"/>
  <c r="F11" i="17"/>
  <c r="E11" i="17"/>
  <c r="D11" i="17"/>
  <c r="C11" i="17"/>
  <c r="B11" i="17"/>
  <c r="I10" i="17"/>
  <c r="H10" i="17"/>
  <c r="I9" i="17"/>
  <c r="H9" i="17"/>
  <c r="I8" i="17"/>
  <c r="H8" i="17"/>
  <c r="P39" i="16"/>
  <c r="N39" i="16"/>
  <c r="P38" i="16"/>
  <c r="N38" i="16"/>
  <c r="P37" i="16"/>
  <c r="N37" i="16"/>
  <c r="P36" i="16"/>
  <c r="N36" i="16"/>
  <c r="P35" i="16"/>
  <c r="N35" i="16"/>
  <c r="P34" i="16"/>
  <c r="N34" i="16"/>
  <c r="P33" i="16"/>
  <c r="N33" i="16"/>
  <c r="P32" i="16"/>
  <c r="N32" i="16"/>
  <c r="G23" i="16"/>
  <c r="F23" i="16"/>
  <c r="E23" i="16"/>
  <c r="D23" i="16"/>
  <c r="C23" i="16"/>
  <c r="B23" i="16"/>
  <c r="I22" i="16"/>
  <c r="H22" i="16"/>
  <c r="I21" i="16"/>
  <c r="H21" i="16"/>
  <c r="I20" i="16"/>
  <c r="H20" i="16"/>
  <c r="G19" i="16"/>
  <c r="F19" i="16"/>
  <c r="E19" i="16"/>
  <c r="D19" i="16"/>
  <c r="C19" i="16"/>
  <c r="B19" i="16"/>
  <c r="I18" i="16"/>
  <c r="H18" i="16"/>
  <c r="I17" i="16"/>
  <c r="H17" i="16"/>
  <c r="I16" i="16"/>
  <c r="H16" i="16"/>
  <c r="G15" i="16"/>
  <c r="F15" i="16"/>
  <c r="E15" i="16"/>
  <c r="D15" i="16"/>
  <c r="C15" i="16"/>
  <c r="B15" i="16"/>
  <c r="I14" i="16"/>
  <c r="H14" i="16"/>
  <c r="I13" i="16"/>
  <c r="H13" i="16"/>
  <c r="I12" i="16"/>
  <c r="H12" i="16"/>
  <c r="G11" i="16"/>
  <c r="F11" i="16"/>
  <c r="E11" i="16"/>
  <c r="D11" i="16"/>
  <c r="C11" i="16"/>
  <c r="B11" i="16"/>
  <c r="I10" i="16"/>
  <c r="H10" i="16"/>
  <c r="I9" i="16"/>
  <c r="H9" i="16"/>
  <c r="I8" i="16"/>
  <c r="H8" i="16"/>
  <c r="G24" i="16" l="1"/>
  <c r="E24" i="17"/>
  <c r="G24" i="17"/>
  <c r="E24" i="16"/>
  <c r="F24" i="16"/>
  <c r="B24" i="16"/>
  <c r="F24" i="17"/>
  <c r="D24" i="17"/>
  <c r="H15" i="16"/>
  <c r="H11" i="17"/>
  <c r="H15" i="17"/>
  <c r="H19" i="17"/>
  <c r="D24" i="16"/>
  <c r="I11" i="16"/>
  <c r="B24" i="17"/>
  <c r="H23" i="17"/>
  <c r="I11" i="17"/>
  <c r="C24" i="17"/>
  <c r="H11" i="16"/>
  <c r="H19" i="16"/>
  <c r="H23" i="16"/>
  <c r="C24" i="16"/>
  <c r="I19" i="17"/>
  <c r="I15" i="17"/>
  <c r="I23" i="17"/>
  <c r="I15" i="16"/>
  <c r="I23" i="16"/>
  <c r="I19" i="16"/>
  <c r="H24" i="17" l="1"/>
  <c r="I24" i="16"/>
  <c r="I24" i="17"/>
  <c r="H24" i="16"/>
  <c r="B15" i="4"/>
  <c r="D17" i="9" l="1"/>
  <c r="F17" i="1"/>
  <c r="F19" i="1" s="1"/>
  <c r="C15" i="4" l="1"/>
  <c r="E17" i="9" l="1"/>
  <c r="D15" i="15" l="1"/>
  <c r="F15" i="15" l="1"/>
  <c r="E15" i="15"/>
  <c r="C15" i="15"/>
  <c r="C15" i="7"/>
  <c r="B15" i="7"/>
  <c r="B28" i="7" s="1"/>
  <c r="C15" i="5" l="1"/>
  <c r="B28" i="5"/>
  <c r="C28" i="7"/>
  <c r="D52" i="12"/>
  <c r="D64" i="12" s="1"/>
  <c r="E19" i="1"/>
  <c r="D15" i="5" l="1"/>
  <c r="O43" i="13"/>
  <c r="L34" i="13"/>
  <c r="I34" i="13"/>
  <c r="K25" i="13"/>
  <c r="J25" i="13"/>
  <c r="H25" i="13"/>
  <c r="G25" i="13"/>
  <c r="E25" i="13"/>
  <c r="F27" i="15"/>
  <c r="E27" i="15"/>
  <c r="D27" i="15"/>
  <c r="C27" i="15"/>
  <c r="G26" i="15"/>
  <c r="H26" i="15" s="1"/>
  <c r="G25" i="15"/>
  <c r="H25" i="15" s="1"/>
  <c r="G24" i="15"/>
  <c r="H24" i="15" s="1"/>
  <c r="F23" i="15"/>
  <c r="E23" i="15"/>
  <c r="D23" i="15"/>
  <c r="C23" i="15"/>
  <c r="G22" i="15"/>
  <c r="H22" i="15" s="1"/>
  <c r="G21" i="15"/>
  <c r="H21" i="15" s="1"/>
  <c r="G20" i="15"/>
  <c r="H20" i="15" s="1"/>
  <c r="F19" i="15"/>
  <c r="E19" i="15"/>
  <c r="D19" i="15"/>
  <c r="C19" i="15"/>
  <c r="G18" i="15"/>
  <c r="H18" i="15" s="1"/>
  <c r="G17" i="15"/>
  <c r="H17" i="15" s="1"/>
  <c r="G16" i="15"/>
  <c r="H16" i="15" s="1"/>
  <c r="G13" i="15"/>
  <c r="H13" i="15" s="1"/>
  <c r="G29" i="11"/>
  <c r="F29" i="11"/>
  <c r="C29" i="11"/>
  <c r="B29" i="11"/>
  <c r="G25" i="11"/>
  <c r="F25" i="11"/>
  <c r="C25" i="11"/>
  <c r="B25" i="11"/>
  <c r="G21" i="11"/>
  <c r="F21" i="11"/>
  <c r="C21" i="11"/>
  <c r="B21" i="11"/>
  <c r="J17" i="11"/>
  <c r="H17" i="11"/>
  <c r="I32" i="10"/>
  <c r="H32" i="10"/>
  <c r="H33" i="10" s="1"/>
  <c r="G32" i="10"/>
  <c r="F32" i="10"/>
  <c r="F33" i="10" s="1"/>
  <c r="M32" i="10"/>
  <c r="L32" i="10"/>
  <c r="L33" i="10" s="1"/>
  <c r="K32" i="10"/>
  <c r="J32" i="10"/>
  <c r="J33" i="10" s="1"/>
  <c r="E32" i="10"/>
  <c r="D32" i="10"/>
  <c r="D33" i="10" s="1"/>
  <c r="C32" i="10"/>
  <c r="B32" i="10"/>
  <c r="B33" i="10" s="1"/>
  <c r="Q31" i="10"/>
  <c r="P31" i="10"/>
  <c r="O31" i="10"/>
  <c r="N31" i="10"/>
  <c r="Q30" i="10"/>
  <c r="P30" i="10"/>
  <c r="P32" i="10" s="1"/>
  <c r="P33" i="10" s="1"/>
  <c r="O30" i="10"/>
  <c r="N30" i="10"/>
  <c r="N32" i="10" s="1"/>
  <c r="N33" i="10" s="1"/>
  <c r="Q29" i="10"/>
  <c r="P29" i="10"/>
  <c r="O29" i="10"/>
  <c r="N29" i="10"/>
  <c r="Q28" i="10"/>
  <c r="P28" i="10"/>
  <c r="O28" i="10"/>
  <c r="N28" i="10"/>
  <c r="I27" i="10"/>
  <c r="H27" i="10"/>
  <c r="G27" i="10"/>
  <c r="F27" i="10"/>
  <c r="M27" i="10"/>
  <c r="L27" i="10"/>
  <c r="K27" i="10"/>
  <c r="J27" i="10"/>
  <c r="E27" i="10"/>
  <c r="D27" i="10"/>
  <c r="C27" i="10"/>
  <c r="B27" i="10"/>
  <c r="Q26" i="10"/>
  <c r="P26" i="10"/>
  <c r="P27" i="10" s="1"/>
  <c r="O26" i="10"/>
  <c r="N26" i="10"/>
  <c r="N27" i="10" s="1"/>
  <c r="Q25" i="10"/>
  <c r="P25" i="10"/>
  <c r="O25" i="10"/>
  <c r="N25" i="10"/>
  <c r="Q24" i="10"/>
  <c r="P24" i="10"/>
  <c r="O24" i="10"/>
  <c r="N24" i="10"/>
  <c r="I23" i="10"/>
  <c r="H23" i="10"/>
  <c r="G23" i="10"/>
  <c r="F23" i="10"/>
  <c r="M23" i="10"/>
  <c r="L23" i="10"/>
  <c r="K23" i="10"/>
  <c r="J23" i="10"/>
  <c r="E23" i="10"/>
  <c r="D23" i="10"/>
  <c r="C23" i="10"/>
  <c r="B23" i="10"/>
  <c r="Q22" i="10"/>
  <c r="P22" i="10"/>
  <c r="P23" i="10" s="1"/>
  <c r="O22" i="10"/>
  <c r="N22" i="10"/>
  <c r="N23" i="10" s="1"/>
  <c r="Q21" i="10"/>
  <c r="P21" i="10"/>
  <c r="O21" i="10"/>
  <c r="N21" i="10"/>
  <c r="Q20" i="10"/>
  <c r="P20" i="10"/>
  <c r="O20" i="10"/>
  <c r="N20" i="10"/>
  <c r="H52" i="12"/>
  <c r="O29" i="9"/>
  <c r="N29" i="9"/>
  <c r="M29" i="9"/>
  <c r="L29" i="9"/>
  <c r="K29" i="9"/>
  <c r="J29" i="9"/>
  <c r="E29" i="9"/>
  <c r="D29" i="9"/>
  <c r="Q28" i="9"/>
  <c r="P28" i="9"/>
  <c r="Q27" i="9"/>
  <c r="P27" i="9"/>
  <c r="Q26" i="9"/>
  <c r="P26" i="9"/>
  <c r="O25" i="9"/>
  <c r="N25" i="9"/>
  <c r="M25" i="9"/>
  <c r="L25" i="9"/>
  <c r="K25" i="9"/>
  <c r="J25" i="9"/>
  <c r="E25" i="9"/>
  <c r="D25" i="9"/>
  <c r="Q24" i="9"/>
  <c r="P24" i="9"/>
  <c r="Q23" i="9"/>
  <c r="P23" i="9"/>
  <c r="Q22" i="9"/>
  <c r="P22" i="9"/>
  <c r="O21" i="9"/>
  <c r="N21" i="9"/>
  <c r="M21" i="9"/>
  <c r="L21" i="9"/>
  <c r="K21" i="9"/>
  <c r="J21" i="9"/>
  <c r="E21" i="9"/>
  <c r="D21" i="9"/>
  <c r="Q20" i="9"/>
  <c r="P20" i="9"/>
  <c r="Q19" i="9"/>
  <c r="P19" i="9"/>
  <c r="Q18" i="9"/>
  <c r="P18" i="9"/>
  <c r="O17" i="9"/>
  <c r="N17" i="9"/>
  <c r="M17" i="9"/>
  <c r="L17" i="9"/>
  <c r="H31" i="8"/>
  <c r="G31" i="8"/>
  <c r="G32" i="8" s="1"/>
  <c r="F31" i="8"/>
  <c r="F32" i="8" s="1"/>
  <c r="K31" i="8"/>
  <c r="J31" i="8"/>
  <c r="J32" i="8" s="1"/>
  <c r="I31" i="8"/>
  <c r="I32" i="8" s="1"/>
  <c r="E31" i="8"/>
  <c r="D31" i="8"/>
  <c r="D32" i="8" s="1"/>
  <c r="C31" i="8"/>
  <c r="C32" i="8" s="1"/>
  <c r="N30" i="8"/>
  <c r="M30" i="8"/>
  <c r="M31" i="8" s="1"/>
  <c r="M32" i="8" s="1"/>
  <c r="L30" i="8"/>
  <c r="L31" i="8" s="1"/>
  <c r="L32" i="8" s="1"/>
  <c r="N29" i="8"/>
  <c r="M29" i="8"/>
  <c r="L29" i="8"/>
  <c r="N28" i="8"/>
  <c r="M28" i="8"/>
  <c r="L28" i="8"/>
  <c r="N27" i="8"/>
  <c r="M27" i="8"/>
  <c r="L27" i="8"/>
  <c r="H26" i="8"/>
  <c r="G26" i="8"/>
  <c r="F26" i="8"/>
  <c r="K26" i="8"/>
  <c r="J26" i="8"/>
  <c r="I26" i="8"/>
  <c r="E26" i="8"/>
  <c r="D26" i="8"/>
  <c r="C26" i="8"/>
  <c r="N25" i="8"/>
  <c r="M25" i="8"/>
  <c r="M26" i="8" s="1"/>
  <c r="L25" i="8"/>
  <c r="L26" i="8" s="1"/>
  <c r="N24" i="8"/>
  <c r="M24" i="8"/>
  <c r="L24" i="8"/>
  <c r="N23" i="8"/>
  <c r="M23" i="8"/>
  <c r="L23" i="8"/>
  <c r="H22" i="8"/>
  <c r="G22" i="8"/>
  <c r="F22" i="8"/>
  <c r="K22" i="8"/>
  <c r="J22" i="8"/>
  <c r="I22" i="8"/>
  <c r="E22" i="8"/>
  <c r="D22" i="8"/>
  <c r="C22" i="8"/>
  <c r="N21" i="8"/>
  <c r="M21" i="8"/>
  <c r="M22" i="8" s="1"/>
  <c r="L21" i="8"/>
  <c r="L22" i="8" s="1"/>
  <c r="N20" i="8"/>
  <c r="M20" i="8"/>
  <c r="L20" i="8"/>
  <c r="N19" i="8"/>
  <c r="M19" i="8"/>
  <c r="L19" i="8"/>
  <c r="N16" i="8"/>
  <c r="N18" i="8" s="1"/>
  <c r="M16" i="8"/>
  <c r="L16" i="8"/>
  <c r="B27" i="5"/>
  <c r="C26" i="5"/>
  <c r="D26" i="5" s="1"/>
  <c r="C25" i="5"/>
  <c r="D25" i="5" s="1"/>
  <c r="C24" i="5"/>
  <c r="D24" i="5" s="1"/>
  <c r="B23" i="5"/>
  <c r="C11" i="5" s="1"/>
  <c r="D11" i="5" s="1"/>
  <c r="C22" i="5"/>
  <c r="D22" i="5" s="1"/>
  <c r="C21" i="5"/>
  <c r="D21" i="5" s="1"/>
  <c r="C20" i="5"/>
  <c r="D20" i="5" s="1"/>
  <c r="C18" i="5"/>
  <c r="D18" i="5" s="1"/>
  <c r="C17" i="5"/>
  <c r="D17" i="5" s="1"/>
  <c r="D16" i="5"/>
  <c r="C27" i="7"/>
  <c r="B27" i="7"/>
  <c r="D26" i="7"/>
  <c r="D25" i="7"/>
  <c r="D24" i="7"/>
  <c r="C23" i="7"/>
  <c r="B23" i="7"/>
  <c r="D22" i="7"/>
  <c r="D21" i="7"/>
  <c r="D20" i="7"/>
  <c r="C19" i="7"/>
  <c r="B19" i="7"/>
  <c r="D18" i="7"/>
  <c r="D17" i="7"/>
  <c r="D16" i="7"/>
  <c r="D13" i="7"/>
  <c r="C27" i="4"/>
  <c r="C28" i="4" s="1"/>
  <c r="B27" i="4"/>
  <c r="B28" i="4" s="1"/>
  <c r="D26" i="4"/>
  <c r="F26" i="4" s="1"/>
  <c r="D25" i="4"/>
  <c r="D24" i="4"/>
  <c r="F24" i="4" s="1"/>
  <c r="F27" i="4" s="1"/>
  <c r="C23" i="4"/>
  <c r="B23" i="4"/>
  <c r="D22" i="4"/>
  <c r="F22" i="4" s="1"/>
  <c r="D21" i="4"/>
  <c r="F21" i="4" s="1"/>
  <c r="D20" i="4"/>
  <c r="F20" i="4" s="1"/>
  <c r="F23" i="4" s="1"/>
  <c r="C19" i="4"/>
  <c r="B19" i="4"/>
  <c r="D18" i="4"/>
  <c r="E18" i="4" s="1"/>
  <c r="D17" i="4"/>
  <c r="E17" i="4" s="1"/>
  <c r="D16" i="4"/>
  <c r="F16" i="4" s="1"/>
  <c r="F19" i="4" s="1"/>
  <c r="D13" i="4"/>
  <c r="F32" i="1"/>
  <c r="D32" i="1"/>
  <c r="C32" i="1"/>
  <c r="G31" i="1"/>
  <c r="E31" i="1"/>
  <c r="G30" i="1"/>
  <c r="E30" i="1"/>
  <c r="G29" i="1"/>
  <c r="E29" i="1"/>
  <c r="G28" i="1"/>
  <c r="E28" i="1"/>
  <c r="F27" i="1"/>
  <c r="D27" i="1"/>
  <c r="C27" i="1"/>
  <c r="G26" i="1"/>
  <c r="E26" i="1"/>
  <c r="G25" i="1"/>
  <c r="E25" i="1"/>
  <c r="G24" i="1"/>
  <c r="E24" i="1"/>
  <c r="F23" i="1"/>
  <c r="D23" i="1"/>
  <c r="C23" i="1"/>
  <c r="G22" i="1"/>
  <c r="E22" i="1"/>
  <c r="G21" i="1"/>
  <c r="E21" i="1"/>
  <c r="G20" i="1"/>
  <c r="E20" i="1"/>
  <c r="G17" i="1"/>
  <c r="E17" i="1"/>
  <c r="C28" i="5" l="1"/>
  <c r="D28" i="5" s="1"/>
  <c r="D30" i="9"/>
  <c r="I25" i="13"/>
  <c r="S19" i="10"/>
  <c r="D33" i="1"/>
  <c r="C28" i="15"/>
  <c r="E28" i="15"/>
  <c r="L25" i="13"/>
  <c r="F52" i="13"/>
  <c r="E30" i="9"/>
  <c r="L52" i="13"/>
  <c r="F17" i="4"/>
  <c r="L30" i="9"/>
  <c r="J30" i="9"/>
  <c r="P25" i="9"/>
  <c r="E32" i="1"/>
  <c r="I52" i="13"/>
  <c r="I21" i="11"/>
  <c r="N30" i="9"/>
  <c r="P29" i="9"/>
  <c r="D28" i="15"/>
  <c r="E27" i="1"/>
  <c r="C27" i="5"/>
  <c r="D27" i="5" s="1"/>
  <c r="O30" i="9"/>
  <c r="G30" i="11"/>
  <c r="J25" i="11"/>
  <c r="F25" i="13"/>
  <c r="G27" i="1"/>
  <c r="G32" i="1"/>
  <c r="D27" i="7"/>
  <c r="P21" i="9"/>
  <c r="E16" i="4"/>
  <c r="E19" i="4" s="1"/>
  <c r="E24" i="4"/>
  <c r="E27" i="4" s="1"/>
  <c r="D23" i="7"/>
  <c r="F18" i="4"/>
  <c r="D15" i="4"/>
  <c r="D19" i="4"/>
  <c r="U47" i="8"/>
  <c r="U44" i="8"/>
  <c r="K33" i="10"/>
  <c r="C33" i="1"/>
  <c r="D27" i="4"/>
  <c r="D28" i="4" s="1"/>
  <c r="E26" i="4"/>
  <c r="F28" i="15"/>
  <c r="Q29" i="9"/>
  <c r="D19" i="7"/>
  <c r="T35" i="8"/>
  <c r="T47" i="8"/>
  <c r="T44" i="8"/>
  <c r="Q21" i="9"/>
  <c r="Q25" i="9"/>
  <c r="H25" i="11"/>
  <c r="D15" i="7"/>
  <c r="E21" i="4"/>
  <c r="G19" i="15"/>
  <c r="H19" i="15" s="1"/>
  <c r="G23" i="15"/>
  <c r="H23" i="15" s="1"/>
  <c r="G27" i="15"/>
  <c r="H27" i="15" s="1"/>
  <c r="E23" i="1"/>
  <c r="D23" i="4"/>
  <c r="C23" i="5"/>
  <c r="D23" i="5" s="1"/>
  <c r="K30" i="9"/>
  <c r="O23" i="10"/>
  <c r="G23" i="1"/>
  <c r="E25" i="4"/>
  <c r="E28" i="4" s="1"/>
  <c r="I33" i="10"/>
  <c r="E20" i="4"/>
  <c r="E23" i="4" s="1"/>
  <c r="E22" i="4"/>
  <c r="F25" i="4"/>
  <c r="F28" i="4" s="1"/>
  <c r="M30" i="9"/>
  <c r="F30" i="11"/>
  <c r="H21" i="11"/>
  <c r="I25" i="11"/>
  <c r="H29" i="11"/>
  <c r="J29" i="11"/>
  <c r="M33" i="10"/>
  <c r="O32" i="10"/>
  <c r="I29" i="11"/>
  <c r="J21" i="11"/>
  <c r="B30" i="11"/>
  <c r="C30" i="11"/>
  <c r="J52" i="12"/>
  <c r="Q17" i="9"/>
  <c r="T38" i="8"/>
  <c r="E13" i="4"/>
  <c r="E15" i="4" s="1"/>
  <c r="F13" i="4"/>
  <c r="Q27" i="10"/>
  <c r="G33" i="10"/>
  <c r="Q32" i="10"/>
  <c r="Q23" i="10"/>
  <c r="O27" i="10"/>
  <c r="E33" i="10"/>
  <c r="G15" i="15"/>
  <c r="P17" i="9"/>
  <c r="R21" i="8"/>
  <c r="N22" i="8"/>
  <c r="K32" i="8"/>
  <c r="N26" i="8"/>
  <c r="N31" i="8"/>
  <c r="R16" i="8"/>
  <c r="G19" i="1"/>
  <c r="H64" i="12"/>
  <c r="U38" i="8"/>
  <c r="U35" i="8"/>
  <c r="E32" i="8"/>
  <c r="H32" i="8"/>
  <c r="D19" i="5"/>
  <c r="D28" i="7" l="1"/>
  <c r="Q30" i="9"/>
  <c r="E33" i="1"/>
  <c r="I30" i="11"/>
  <c r="P30" i="9"/>
  <c r="V47" i="8"/>
  <c r="V44" i="8"/>
  <c r="V38" i="8"/>
  <c r="V35" i="8"/>
  <c r="H33" i="8"/>
  <c r="N32" i="8"/>
  <c r="H30" i="11"/>
  <c r="O33" i="10"/>
  <c r="K33" i="8"/>
  <c r="J30" i="11"/>
  <c r="Q33" i="10"/>
  <c r="F15" i="4"/>
  <c r="E33" i="8"/>
  <c r="J64" i="12"/>
  <c r="F33" i="1"/>
  <c r="G33" i="1" s="1"/>
  <c r="H15" i="15"/>
  <c r="G28" i="15"/>
  <c r="H28" i="15" s="1"/>
  <c r="V15" i="8" l="1"/>
  <c r="W17" i="8"/>
  <c r="C33" i="10" l="1"/>
  <c r="C18" i="22" l="1"/>
  <c r="F18" i="22"/>
  <c r="H18" i="22"/>
  <c r="O18" i="22"/>
  <c r="Q18" i="22"/>
</calcChain>
</file>

<file path=xl/sharedStrings.xml><?xml version="1.0" encoding="utf-8"?>
<sst xmlns="http://schemas.openxmlformats.org/spreadsheetml/2006/main" count="936" uniqueCount="303">
  <si>
    <t>Dirección General de Jubilaciones y Pensiones a Cargo del Estado</t>
  </si>
  <si>
    <t>Departamento Administrativo y Financiero</t>
  </si>
  <si>
    <t>Ejecución Presupuesto Administrativo</t>
  </si>
  <si>
    <t>Estadísticas Trimestre Octubre-Diciembre</t>
  </si>
  <si>
    <t>Año 2025</t>
  </si>
  <si>
    <t>Mes</t>
  </si>
  <si>
    <t>Presupuesto Programado</t>
  </si>
  <si>
    <t>Presupuesto Ejecutado</t>
  </si>
  <si>
    <t>Restante</t>
  </si>
  <si>
    <t>Monto</t>
  </si>
  <si>
    <t>Absoluto (RD$)</t>
  </si>
  <si>
    <t>Relativo</t>
  </si>
  <si>
    <t>Regalía</t>
  </si>
  <si>
    <t>Diciembre</t>
  </si>
  <si>
    <t>Regalia</t>
  </si>
  <si>
    <t>Noviembre</t>
  </si>
  <si>
    <t>Octubre</t>
  </si>
  <si>
    <t>4to Trimestre</t>
  </si>
  <si>
    <t>Marzo</t>
  </si>
  <si>
    <t>Febrero</t>
  </si>
  <si>
    <t>Enero</t>
  </si>
  <si>
    <t>1er Trimestre</t>
  </si>
  <si>
    <t>Abril</t>
  </si>
  <si>
    <t>Mayo</t>
  </si>
  <si>
    <t>Junio</t>
  </si>
  <si>
    <t>2do Trimestre</t>
  </si>
  <si>
    <t xml:space="preserve">Julio </t>
  </si>
  <si>
    <t>Agosto</t>
  </si>
  <si>
    <t>Septiembre</t>
  </si>
  <si>
    <t>3er Trimestre</t>
  </si>
  <si>
    <t>Total</t>
  </si>
  <si>
    <r>
      <t xml:space="preserve">Fuente: </t>
    </r>
    <r>
      <rPr>
        <sz val="8"/>
        <color rgb="FF000000"/>
        <rFont val="Calibri"/>
        <family val="2"/>
        <scheme val="minor"/>
      </rPr>
      <t>SIGEF, Departamento Financiero.</t>
    </r>
  </si>
  <si>
    <t>División de Seguimiento al Sistema de Reparto</t>
  </si>
  <si>
    <t>Afiliados y Cotizantes</t>
  </si>
  <si>
    <t>Afiliados al Sistema de Reparto</t>
  </si>
  <si>
    <t>Cotizantes</t>
  </si>
  <si>
    <t>% Cotizantes</t>
  </si>
  <si>
    <t>No Cotizantes</t>
  </si>
  <si>
    <t>% No Cotizantes</t>
  </si>
  <si>
    <t>Afiliados Policia Nacional</t>
  </si>
  <si>
    <t>Promedio
4to Trimestre</t>
  </si>
  <si>
    <t>Promedio 1er Trimestre</t>
  </si>
  <si>
    <t>Promedio
2do Trimestre</t>
  </si>
  <si>
    <t>Julio</t>
  </si>
  <si>
    <t>Promedio
3er Trimestre</t>
  </si>
  <si>
    <r>
      <rPr>
        <b/>
        <sz val="8"/>
        <color rgb="FF000000"/>
        <rFont val="Calibri"/>
        <family val="2"/>
      </rPr>
      <t>Fuente:</t>
    </r>
    <r>
      <rPr>
        <sz val="8"/>
        <color rgb="FF000000"/>
        <rFont val="Calibri"/>
        <family val="2"/>
      </rPr>
      <t xml:space="preserve"> Departamento de Gestión del Sistema de Reparto y Control de Pensionados.</t>
    </r>
  </si>
  <si>
    <t xml:space="preserve"> </t>
  </si>
  <si>
    <t>Distribución de Cotizantes por Tipo de Empleador</t>
  </si>
  <si>
    <t>Cantidad de Cotizantes por Tipo de Empleador</t>
  </si>
  <si>
    <t xml:space="preserve">Público 
</t>
  </si>
  <si>
    <t>Privado</t>
  </si>
  <si>
    <t>% Público</t>
  </si>
  <si>
    <t>% Privado</t>
  </si>
  <si>
    <t>Promedio
4To Trimestre</t>
  </si>
  <si>
    <t>Promedio
1er Trimestre</t>
  </si>
  <si>
    <r>
      <rPr>
        <b/>
        <sz val="8"/>
        <color rgb="FF000000"/>
        <rFont val="Calibri"/>
        <family val="2"/>
      </rPr>
      <t>Fuente:</t>
    </r>
    <r>
      <rPr>
        <sz val="8"/>
        <color indexed="8"/>
        <rFont val="Calibri"/>
        <family val="2"/>
      </rPr>
      <t xml:space="preserve"> Data extraída de UNIPAGO, analizada por la División de Seguimiento al Sistema de Reparto</t>
    </r>
  </si>
  <si>
    <t>Individualización por tipo de Empleador</t>
  </si>
  <si>
    <t>Individualización de aportes por tipo de Empleador</t>
  </si>
  <si>
    <t>Público (RD$)</t>
  </si>
  <si>
    <t>Privado (RD$)</t>
  </si>
  <si>
    <t>Total (RD$)</t>
  </si>
  <si>
    <t>Porcentaje</t>
  </si>
  <si>
    <t>Distribución de Aportes</t>
  </si>
  <si>
    <t>Cantidad de Aportes</t>
  </si>
  <si>
    <t>Δ Absoluta</t>
  </si>
  <si>
    <t>Δ Relativa</t>
  </si>
  <si>
    <r>
      <rPr>
        <b/>
        <sz val="8"/>
        <color theme="1"/>
        <rFont val="Calibri"/>
        <family val="2"/>
        <scheme val="minor"/>
      </rPr>
      <t>Fuente:</t>
    </r>
    <r>
      <rPr>
        <sz val="8"/>
        <color theme="1"/>
        <rFont val="Calibri"/>
        <family val="2"/>
        <scheme val="minor"/>
      </rPr>
      <t xml:space="preserve"> Data extraída de UNIPAGO, analizada por la División de Seguimiento al Sistema de Reparto</t>
    </r>
  </si>
  <si>
    <t>Cantidad de Traspasos</t>
  </si>
  <si>
    <t>Recibidos (SCI a Reparto)</t>
  </si>
  <si>
    <t>Cedidos (Reparto a SCI)</t>
  </si>
  <si>
    <t>Monto Traspasado (RD$)</t>
  </si>
  <si>
    <t>T3</t>
  </si>
  <si>
    <t>T4</t>
  </si>
  <si>
    <r>
      <rPr>
        <b/>
        <sz val="8"/>
        <color indexed="8"/>
        <rFont val="Calibri"/>
        <family val="2"/>
      </rPr>
      <t>Fuente:</t>
    </r>
    <r>
      <rPr>
        <sz val="8"/>
        <color indexed="8"/>
        <rFont val="Calibri"/>
        <family val="2"/>
      </rPr>
      <t xml:space="preserve"> Data extraída de UNIPAGO, analizada por la División de Seguimiento al Sistema de Reparto</t>
    </r>
  </si>
  <si>
    <t>Departamento de Gestión Financiera de Pensiones</t>
  </si>
  <si>
    <t>Ejecución Presupuesto Pensionados</t>
  </si>
  <si>
    <t>Programación Presupuestaria</t>
  </si>
  <si>
    <t>Ejecución Presupuestaria</t>
  </si>
  <si>
    <t>Programación Ordinaria (RD$)</t>
  </si>
  <si>
    <t>Ajuste de Partidas Devengadas</t>
  </si>
  <si>
    <t>Programación Total</t>
  </si>
  <si>
    <t xml:space="preserve"> Ejecutado</t>
  </si>
  <si>
    <r>
      <rPr>
        <b/>
        <sz val="8"/>
        <color theme="1"/>
        <rFont val="Calibri"/>
        <family val="2"/>
        <scheme val="minor"/>
      </rPr>
      <t>Nota 1</t>
    </r>
    <r>
      <rPr>
        <sz val="8"/>
        <color theme="1"/>
        <rFont val="Calibri"/>
        <family val="2"/>
        <scheme val="minor"/>
      </rPr>
      <t xml:space="preserve">: Se presenta la información en base a los trámites gestionados dentro del mes por las distintas divisiones del departamento de Gestión Financiera. </t>
    </r>
  </si>
  <si>
    <r>
      <rPr>
        <b/>
        <sz val="8"/>
        <rFont val="Calibri"/>
        <family val="2"/>
        <scheme val="minor"/>
      </rPr>
      <t>Nota 2</t>
    </r>
    <r>
      <rPr>
        <sz val="8"/>
        <rFont val="Calibri"/>
        <family val="2"/>
        <scheme val="minor"/>
      </rPr>
      <t xml:space="preserve">: El monto de ajuste de partidas devengadas, corresponde a los rechazos en transferencia, reintegro de cheques, recuperaciones y devoluciones de pensiones </t>
    </r>
  </si>
  <si>
    <t>de las diferentes nominas (civil, policia, solidaria y adicionales).</t>
  </si>
  <si>
    <r>
      <rPr>
        <b/>
        <sz val="8"/>
        <color theme="1"/>
        <rFont val="Calibri"/>
        <family val="2"/>
        <scheme val="minor"/>
      </rPr>
      <t>Fuente:</t>
    </r>
    <r>
      <rPr>
        <sz val="8"/>
        <color theme="1"/>
        <rFont val="Calibri"/>
        <family val="2"/>
        <scheme val="minor"/>
      </rPr>
      <t xml:space="preserve"> SIGEF, División de Presupuesto de Pensiones</t>
    </r>
  </si>
  <si>
    <t>Nómina de Pensionados</t>
  </si>
  <si>
    <t>Pensiones Civiles</t>
  </si>
  <si>
    <t>Pensiones Solidarias</t>
  </si>
  <si>
    <t>PN</t>
  </si>
  <si>
    <t>TOTAL</t>
  </si>
  <si>
    <t>Cantidad Pensionados</t>
  </si>
  <si>
    <t>Cantidad Pensiones</t>
  </si>
  <si>
    <t>Enero-Abril 2021</t>
  </si>
  <si>
    <r>
      <rPr>
        <b/>
        <sz val="8"/>
        <color theme="1"/>
        <rFont val="Calibri"/>
        <family val="2"/>
        <scheme val="minor"/>
      </rPr>
      <t>Fuente:</t>
    </r>
    <r>
      <rPr>
        <sz val="8"/>
        <color theme="1"/>
        <rFont val="Calibri"/>
        <family val="2"/>
        <scheme val="minor"/>
      </rPr>
      <t xml:space="preserve"> SJP</t>
    </r>
  </si>
  <si>
    <t>Abril-Junio 2020</t>
  </si>
  <si>
    <t>Pensionados</t>
  </si>
  <si>
    <t>Pensiones</t>
  </si>
  <si>
    <t>Nóminas Autoseguro</t>
  </si>
  <si>
    <t>Nómina Mensual Discapacidad Civil</t>
  </si>
  <si>
    <t>Nómina Mensual Discapacidad Policía Nacional</t>
  </si>
  <si>
    <t>Nómina Mensual Sobrevivencia Civil</t>
  </si>
  <si>
    <t>Nómina Mensual Sobrevivencia Policía</t>
  </si>
  <si>
    <t>Cantidad Beneficiarios</t>
  </si>
  <si>
    <t>Monto Bruto
(RD$)</t>
  </si>
  <si>
    <t>AFP
(RD$)</t>
  </si>
  <si>
    <t>SFS
(RD$)</t>
  </si>
  <si>
    <t>Monto Neto
(RD$)</t>
  </si>
  <si>
    <t>Monto
(RD$)</t>
  </si>
  <si>
    <t>-</t>
  </si>
  <si>
    <t xml:space="preserve">                              -  </t>
  </si>
  <si>
    <r>
      <rPr>
        <b/>
        <sz val="8"/>
        <color theme="1"/>
        <rFont val="Calibri"/>
        <family val="2"/>
        <scheme val="minor"/>
      </rPr>
      <t>Fuente</t>
    </r>
    <r>
      <rPr>
        <sz val="8"/>
        <color theme="1"/>
        <rFont val="Calibri"/>
        <family val="2"/>
        <scheme val="minor"/>
      </rPr>
      <t>:  División de Presupuesto de Pensiones</t>
    </r>
  </si>
  <si>
    <t>.</t>
  </si>
  <si>
    <t>Nómina Deuda Retroactiva
Discapacidad Civil</t>
  </si>
  <si>
    <t>Nómina Deuda Retroactiva
Discapacidad PN</t>
  </si>
  <si>
    <t>Nómina Deuda Retroactiva
Sobrevivencia Civil</t>
  </si>
  <si>
    <t>Nómina Deuda Retroactiva
Sobrevivencia Policía Nacional</t>
  </si>
  <si>
    <t>Cantidad
 Beneficiarios</t>
  </si>
  <si>
    <t>Movimientos en Nómina</t>
  </si>
  <si>
    <t>TOTAL GENERAL</t>
  </si>
  <si>
    <t>Inclusiones</t>
  </si>
  <si>
    <t>Pensiones por Sobrevivencia</t>
  </si>
  <si>
    <t>Reactivaciones &amp; Reinclusiones</t>
  </si>
  <si>
    <t>Ajustes Monto Pensiones</t>
  </si>
  <si>
    <t>Exclusiones</t>
  </si>
  <si>
    <t>Suspensiones</t>
  </si>
  <si>
    <t>Cantidad</t>
  </si>
  <si>
    <t>Tipo Cantidad Porcentaje Monto Porcentaje</t>
  </si>
  <si>
    <t>PENSIÓN</t>
  </si>
  <si>
    <t>CIVIL</t>
  </si>
  <si>
    <t>IDSS</t>
  </si>
  <si>
    <t>GLORIAS</t>
  </si>
  <si>
    <t>DEL</t>
  </si>
  <si>
    <t>DEPORTE</t>
  </si>
  <si>
    <t>PABELLÓN</t>
  </si>
  <si>
    <t>DE</t>
  </si>
  <si>
    <t>LA</t>
  </si>
  <si>
    <t>FAMA</t>
  </si>
  <si>
    <t>PODER</t>
  </si>
  <si>
    <t>LEGISLATIVO</t>
  </si>
  <si>
    <t>EJECUTIVO</t>
  </si>
  <si>
    <t>POLICÍA</t>
  </si>
  <si>
    <t>NACIONAL</t>
  </si>
  <si>
    <t>SOLIDARIA</t>
  </si>
  <si>
    <t>PENSION</t>
  </si>
  <si>
    <t>POR</t>
  </si>
  <si>
    <t>SOBREVIVENCIA</t>
  </si>
  <si>
    <t>Rango</t>
  </si>
  <si>
    <t>Cantidad*</t>
  </si>
  <si>
    <t>Monto*</t>
  </si>
  <si>
    <t>Menos</t>
  </si>
  <si>
    <t>de</t>
  </si>
  <si>
    <t>RD$5117.50</t>
  </si>
  <si>
    <t>Igual</t>
  </si>
  <si>
    <t>a</t>
  </si>
  <si>
    <t>RD$5117.51</t>
  </si>
  <si>
    <t>&gt;=100,000.00</t>
  </si>
  <si>
    <t>18-30</t>
  </si>
  <si>
    <t>30-40</t>
  </si>
  <si>
    <t>40-50</t>
  </si>
  <si>
    <t>50-60</t>
  </si>
  <si>
    <t>60-70</t>
  </si>
  <si>
    <t>70-80</t>
  </si>
  <si>
    <t>80-90</t>
  </si>
  <si>
    <t>90-100</t>
  </si>
  <si>
    <t>con</t>
  </si>
  <si>
    <t>Nacimiento</t>
  </si>
  <si>
    <t>Trimestre Abril-Junio
Al 30 de Junio 2021</t>
  </si>
  <si>
    <t xml:space="preserve">Cantidad </t>
  </si>
  <si>
    <t xml:space="preserve">Tipo de Pensión </t>
  </si>
  <si>
    <t>Trimestre Octubre-Diciembre 
Al 30 de Diciembre 2024</t>
  </si>
  <si>
    <t>Trimestre Octubre-Diciembre 
Al 30 de Diciembre 2025</t>
  </si>
  <si>
    <t>Variaciones</t>
  </si>
  <si>
    <t xml:space="preserve">Tipo  </t>
  </si>
  <si>
    <t>Cantidad 
 Absoluta</t>
  </si>
  <si>
    <t>Porcentual</t>
  </si>
  <si>
    <t>Monto
 Absoluto</t>
  </si>
  <si>
    <t xml:space="preserve"> Porcentual</t>
  </si>
  <si>
    <t>PENSIÓN CIVIL</t>
  </si>
  <si>
    <t>GLORIAS DEL DEPORTE</t>
  </si>
  <si>
    <t>PABELLÓN DE LA FAMA</t>
  </si>
  <si>
    <t>PODER LEGISLATIVO</t>
  </si>
  <si>
    <t>PODER EJECUTIVO</t>
  </si>
  <si>
    <t>POLICÍA NACIONAL</t>
  </si>
  <si>
    <t>PENSIÓN SOLIDARIA</t>
  </si>
  <si>
    <t>PENSION POR SOBREVIVENCIA</t>
  </si>
  <si>
    <t>TOTALES:</t>
  </si>
  <si>
    <r>
      <rPr>
        <b/>
        <sz val="8"/>
        <color theme="1"/>
        <rFont val="Calibri"/>
        <family val="2"/>
        <scheme val="minor"/>
      </rPr>
      <t>Fuente:</t>
    </r>
    <r>
      <rPr>
        <sz val="8"/>
        <color theme="1"/>
        <rFont val="Calibri"/>
        <family val="2"/>
        <scheme val="minor"/>
      </rPr>
      <t xml:space="preserve"> SJP.</t>
    </r>
  </si>
  <si>
    <t>Cantidad 
(Var Absoluta)</t>
  </si>
  <si>
    <t>Porcentaje
(Var Porcentual)</t>
  </si>
  <si>
    <t>Monto
(Var Absoluta)</t>
  </si>
  <si>
    <t>30,000.00 - 40,000.00</t>
  </si>
  <si>
    <t>40,000.00 - 50,000.00</t>
  </si>
  <si>
    <t>50,000.00 - 60,000.00</t>
  </si>
  <si>
    <t>60,000.00 - 70,000.00</t>
  </si>
  <si>
    <t>70,000.00 - 80,000.00</t>
  </si>
  <si>
    <t>80,000.00 - 90,000.00</t>
  </si>
  <si>
    <t>90,000.00 - 100,000.00</t>
  </si>
  <si>
    <r>
      <rPr>
        <b/>
        <sz val="8"/>
        <color theme="1"/>
        <rFont val="Calibri"/>
        <family val="2"/>
        <scheme val="minor"/>
      </rPr>
      <t>Nota:</t>
    </r>
    <r>
      <rPr>
        <sz val="8"/>
        <color theme="1"/>
        <rFont val="Calibri"/>
        <family val="2"/>
        <scheme val="minor"/>
      </rPr>
      <t xml:space="preserve"> No incluye los pensionados de la Policía Nacional </t>
    </r>
  </si>
  <si>
    <r>
      <rPr>
        <b/>
        <sz val="8"/>
        <rFont val="Calibri"/>
        <family val="2"/>
        <scheme val="minor"/>
      </rPr>
      <t>Nota 2</t>
    </r>
    <r>
      <rPr>
        <sz val="8"/>
        <rFont val="Calibri"/>
        <family val="2"/>
        <scheme val="minor"/>
      </rPr>
      <t>: Incluye los montos y cantidad de Pensiones Solidarias.</t>
    </r>
  </si>
  <si>
    <r>
      <rPr>
        <b/>
        <sz val="8"/>
        <color theme="1"/>
        <rFont val="Calibri"/>
        <family val="2"/>
        <scheme val="minor"/>
      </rPr>
      <t xml:space="preserve">Fuente: </t>
    </r>
    <r>
      <rPr>
        <sz val="8"/>
        <color theme="1"/>
        <rFont val="Calibri"/>
        <family val="2"/>
        <scheme val="minor"/>
      </rPr>
      <t>SIJUPEN.</t>
    </r>
  </si>
  <si>
    <t>Pensiones por Edad</t>
  </si>
  <si>
    <t>Trimestre abril-junio
Al 30 de junio 2023</t>
  </si>
  <si>
    <t>Trimestre abril-junio
Al 30 de junio 2024</t>
  </si>
  <si>
    <t xml:space="preserve">Cantidad* </t>
  </si>
  <si>
    <t>Monto
 Absoluta</t>
  </si>
  <si>
    <t>Menos 18 años</t>
  </si>
  <si>
    <t>0-18</t>
  </si>
  <si>
    <t>Sin fecha de nacimiento</t>
  </si>
  <si>
    <r>
      <rPr>
        <b/>
        <sz val="8"/>
        <color rgb="FF000000"/>
        <rFont val="Calibri"/>
        <family val="2"/>
        <scheme val="minor"/>
      </rPr>
      <t>Nota 1:</t>
    </r>
    <r>
      <rPr>
        <sz val="8"/>
        <color rgb="FF000000"/>
        <rFont val="Calibri"/>
        <family val="2"/>
        <scheme val="minor"/>
      </rPr>
      <t xml:space="preserve"> No incluye los pensionados de la Policía Nacional ni los pensionados por pensión solidaria.</t>
    </r>
  </si>
  <si>
    <r>
      <rPr>
        <b/>
        <sz val="8"/>
        <color rgb="FF000000"/>
        <rFont val="Calibri"/>
        <family val="2"/>
        <scheme val="minor"/>
      </rPr>
      <t>Nota 2:</t>
    </r>
    <r>
      <rPr>
        <sz val="8"/>
        <color rgb="FF000000"/>
        <rFont val="Calibri"/>
        <family val="2"/>
        <scheme val="minor"/>
      </rPr>
      <t xml:space="preserve"> Existe una diferencia de 1 pensionado y RD$60,000.00 pesos en el monto, debido a problemas con la sincronización de sistemas.</t>
    </r>
  </si>
  <si>
    <t>Nota: D</t>
  </si>
  <si>
    <t>Modalidad de Pago</t>
  </si>
  <si>
    <t>Electrónico</t>
  </si>
  <si>
    <t>Cheque</t>
  </si>
  <si>
    <t xml:space="preserve">Electrónico </t>
  </si>
  <si>
    <t>Total Monto</t>
  </si>
  <si>
    <t>Cantidad de Pensiones</t>
  </si>
  <si>
    <t>Cantidad  Pensiones</t>
  </si>
  <si>
    <t>Cantidad Electrónico</t>
  </si>
  <si>
    <t>Cantidad Cheque</t>
  </si>
  <si>
    <t>Electrónico Cheque</t>
  </si>
  <si>
    <t>Pago de Retroactivos</t>
  </si>
  <si>
    <t>Solidaria</t>
  </si>
  <si>
    <t>Cantidad 
Pensionados</t>
  </si>
  <si>
    <t>Cantidad 
Pensiones</t>
  </si>
  <si>
    <t xml:space="preserve">                             -  </t>
  </si>
  <si>
    <t xml:space="preserve">                                   -  </t>
  </si>
  <si>
    <t xml:space="preserve">                     -  </t>
  </si>
  <si>
    <t xml:space="preserve">                               -  </t>
  </si>
  <si>
    <t>Diciembre**</t>
  </si>
  <si>
    <r>
      <rPr>
        <b/>
        <sz val="8"/>
        <color theme="1"/>
        <rFont val="Calibri"/>
        <family val="2"/>
        <scheme val="minor"/>
      </rPr>
      <t xml:space="preserve">Fuente: </t>
    </r>
    <r>
      <rPr>
        <sz val="8"/>
        <color theme="1"/>
        <rFont val="Calibri"/>
        <family val="2"/>
        <scheme val="minor"/>
      </rPr>
      <t xml:space="preserve">Departamento de Gestión Financiera de Pensiones </t>
    </r>
  </si>
  <si>
    <t>Direccion General de Jubilaciones y Pensiones a Cargo del Estado</t>
  </si>
  <si>
    <t>Reintegro de Cheques</t>
  </si>
  <si>
    <t>Estadíticas Trimestre Abril-Junio</t>
  </si>
  <si>
    <t>Año 2021</t>
  </si>
  <si>
    <t>DGJP</t>
  </si>
  <si>
    <t>Cantidad 
de Cheques</t>
  </si>
  <si>
    <t xml:space="preserve"> *Estos totales incluyen las nóminas adicionales de regalía de pensionados inactivos.</t>
  </si>
  <si>
    <t>Fuente: SIJUPEN</t>
  </si>
  <si>
    <t>Créditos Rechazados</t>
  </si>
  <si>
    <t>Estadíticas Trimestre Enero-Marzo</t>
  </si>
  <si>
    <t xml:space="preserve">Cantidad 
</t>
  </si>
  <si>
    <t>Pagos Únicos Compensatorios</t>
  </si>
  <si>
    <r>
      <rPr>
        <b/>
        <sz val="8"/>
        <color theme="1"/>
        <rFont val="Calibri"/>
        <family val="2"/>
        <scheme val="minor"/>
      </rPr>
      <t xml:space="preserve">Fuente: </t>
    </r>
    <r>
      <rPr>
        <sz val="8"/>
        <color theme="1"/>
        <rFont val="Calibri"/>
        <family val="2"/>
        <scheme val="minor"/>
      </rPr>
      <t>Departamento de Gestión Financiera de Pensiones.</t>
    </r>
  </si>
  <si>
    <t>Recuperación de Fondos</t>
  </si>
  <si>
    <t>Cantidad 
Solicitudes</t>
  </si>
  <si>
    <t>Monto total solicitado (RD$)</t>
  </si>
  <si>
    <t>Monto 
Recuperado años anteriores
(RD$)</t>
  </si>
  <si>
    <t>Monto Recuperado 
Años en curso
(RD$)</t>
  </si>
  <si>
    <t>Total 
Recuperado
(RD$)</t>
  </si>
  <si>
    <t>% Recuperado</t>
  </si>
  <si>
    <r>
      <rPr>
        <b/>
        <sz val="8"/>
        <color theme="1"/>
        <rFont val="Calibri"/>
        <family val="2"/>
        <scheme val="minor"/>
      </rPr>
      <t xml:space="preserve">Fuente: </t>
    </r>
    <r>
      <rPr>
        <sz val="8"/>
        <color theme="1"/>
        <rFont val="Calibri"/>
        <family val="2"/>
        <scheme val="minor"/>
      </rPr>
      <t>SJP</t>
    </r>
  </si>
  <si>
    <t>Dirección de Servicios y Trámite de Pensiones</t>
  </si>
  <si>
    <t>Gestión de Servicios a Pensionados</t>
  </si>
  <si>
    <t>Solicitudes Recibidas</t>
  </si>
  <si>
    <t xml:space="preserve">Septiembre </t>
  </si>
  <si>
    <t xml:space="preserve">Descripción </t>
  </si>
  <si>
    <t>Recibidas</t>
  </si>
  <si>
    <t>Procesadas</t>
  </si>
  <si>
    <t>% Eficiencia</t>
  </si>
  <si>
    <t>Modificación Datos Críticos</t>
  </si>
  <si>
    <t>Pensión por sobrevivencia</t>
  </si>
  <si>
    <t>Registro de Poderes</t>
  </si>
  <si>
    <t>Solicitud Aplicación/Suspensión de Descuento 2%</t>
  </si>
  <si>
    <t>Solicitud Pago Único Compensatorio</t>
  </si>
  <si>
    <t>Solicitud Pensión</t>
  </si>
  <si>
    <t>Solicitud Re-activación/Re-inclusión Pensión</t>
  </si>
  <si>
    <t>Solicitud Traspaso</t>
  </si>
  <si>
    <t>Solicitud de Exclusión</t>
  </si>
  <si>
    <t>Solicitud de Inclusión a Nómina</t>
  </si>
  <si>
    <t>Solicitud de Reajuste de Pensión</t>
  </si>
  <si>
    <t>Solicitud de Reclamación de Deuda</t>
  </si>
  <si>
    <t>Solicitud de actualización de datos  Pensionados</t>
  </si>
  <si>
    <t>Total:</t>
  </si>
  <si>
    <r>
      <rPr>
        <b/>
        <sz val="8"/>
        <rFont val="Calibri"/>
        <family val="2"/>
        <scheme val="minor"/>
      </rPr>
      <t>Fuente:</t>
    </r>
    <r>
      <rPr>
        <sz val="8"/>
        <rFont val="Calibri"/>
        <family val="2"/>
        <scheme val="minor"/>
      </rPr>
      <t xml:space="preserve"> SJP, Division de Atencion al Publico</t>
    </r>
  </si>
  <si>
    <t>Cantidad de Tramites Procesados</t>
  </si>
  <si>
    <t>Pensión por Sobrevivencia Conyugue</t>
  </si>
  <si>
    <t>Pensión por Sobrevivencia Concubina</t>
  </si>
  <si>
    <t>Pensión por Sobrevivencia Menor</t>
  </si>
  <si>
    <t>Pensión por Sobrevivencia Padres</t>
  </si>
  <si>
    <t>Pension por Sobrevivencia Estudiante PN</t>
  </si>
  <si>
    <t>Solicitud Modificación Monto Pensión</t>
  </si>
  <si>
    <t>Reactivacion</t>
  </si>
  <si>
    <t>Reinclusion</t>
  </si>
  <si>
    <t>Solicitud de Suspension de Descuento SDL</t>
  </si>
  <si>
    <t>Solicitud de aplicacion de Descuento ADL</t>
  </si>
  <si>
    <t>Reembolso - RE</t>
  </si>
  <si>
    <t>Retroactivo – RTI</t>
  </si>
  <si>
    <t>Retroactivo – RT</t>
  </si>
  <si>
    <t xml:space="preserve">IDSS </t>
  </si>
  <si>
    <t>Convenio España-RD</t>
  </si>
  <si>
    <t xml:space="preserve">Solicitud de Pensión </t>
  </si>
  <si>
    <t>Reajuste de Pensión</t>
  </si>
  <si>
    <r>
      <rPr>
        <b/>
        <sz val="8"/>
        <rFont val="Calibri"/>
        <family val="2"/>
        <scheme val="minor"/>
      </rPr>
      <t xml:space="preserve">Fuente: </t>
    </r>
    <r>
      <rPr>
        <sz val="8"/>
        <rFont val="Calibri"/>
        <family val="2"/>
        <scheme val="minor"/>
      </rPr>
      <t>SJP,</t>
    </r>
    <r>
      <rPr>
        <b/>
        <sz val="8"/>
        <rFont val="Calibri"/>
        <family val="2"/>
        <scheme val="minor"/>
      </rPr>
      <t xml:space="preserve"> </t>
    </r>
    <r>
      <rPr>
        <sz val="8"/>
        <rFont val="Calibri"/>
        <family val="2"/>
        <scheme val="minor"/>
      </rPr>
      <t>Departamento de Trámite de Pensiones</t>
    </r>
  </si>
  <si>
    <t>Solicitudes Recibidas y Otorgadas Autoseguro</t>
  </si>
  <si>
    <t>Otorgadas</t>
  </si>
  <si>
    <t>Sobrevivencia Civil</t>
  </si>
  <si>
    <t>Sobrevivencia Policía Nacional</t>
  </si>
  <si>
    <t>Discapacidad Civil</t>
  </si>
  <si>
    <t>Discapacidad Policía Nacional</t>
  </si>
  <si>
    <r>
      <rPr>
        <b/>
        <sz val="8"/>
        <rFont val="Calibri"/>
        <family val="2"/>
        <scheme val="minor"/>
      </rPr>
      <t xml:space="preserve">Fuente: </t>
    </r>
    <r>
      <rPr>
        <sz val="8"/>
        <rFont val="Calibri"/>
        <family val="2"/>
        <scheme val="minor"/>
      </rPr>
      <t>Departamento de Autoseguro</t>
    </r>
  </si>
  <si>
    <r>
      <rPr>
        <b/>
        <sz val="8"/>
        <rFont val="Calibri"/>
        <family val="2"/>
        <scheme val="minor"/>
      </rPr>
      <t>Nota</t>
    </r>
    <r>
      <rPr>
        <sz val="8"/>
        <rFont val="Calibri"/>
        <family val="2"/>
        <scheme val="minor"/>
      </rPr>
      <t>: El proceso de análisis de solicitudes de pensiones de autoseguro requiere de la intervención de varias instituciones, siendo un proceso que puede tardar incluso varios meses. Esto provoca que, el número de otorgamientos sea superior al número de expedientes recibidos en algunas ocasiones, y viceversa.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</si>
</sst>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8" formatCode="&quot;$&quot;#,##0.00_);[Red]\(&quot;$&quot;#,##0.00\)"/>
    <numFmt numFmtId="43" formatCode="_(* #,##0.00_);_(* \(#,##0.00\);_(* &quot;-&quot;??_);_(@_)"/>
    <numFmt numFmtId="164" formatCode="0.0%"/>
    <numFmt numFmtId="165" formatCode="_(* #,##0_);_(* \(#,##0\);_(* &quot;-&quot;??_);_(@_)"/>
    <numFmt numFmtId="166" formatCode="&quot;RD$&quot;#,##0.00"/>
    <numFmt numFmtId="167" formatCode="&quot;$&quot;#,##0.00"/>
    <numFmt numFmtId="168" formatCode="_(* #,##0.0_);_(* \(#,##0.0\);_(* &quot;-&quot;??_);_(@_)"/>
    <numFmt numFmtId="169" formatCode="#,##0.0_);\(#,##0.0\)"/>
    <numFmt numFmtId="170" formatCode="0_);\(0\)"/>
  </numFmts>
  <fonts count="67">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i/>
      <sz val="10"/>
      <color rgb="FF000000"/>
      <name val="Calibri"/>
      <family val="2"/>
      <scheme val="minor"/>
    </font>
    <font>
      <b/>
      <sz val="10"/>
      <color rgb="FF000000"/>
      <name val="Calibri"/>
      <family val="2"/>
      <scheme val="minor"/>
    </font>
    <font>
      <sz val="10"/>
      <color indexed="8"/>
      <name val="Arial"/>
      <family val="2"/>
    </font>
    <font>
      <b/>
      <sz val="11"/>
      <color rgb="FFFF0000"/>
      <name val="Calibri"/>
      <family val="2"/>
      <scheme val="minor"/>
    </font>
    <font>
      <b/>
      <sz val="12"/>
      <color theme="1"/>
      <name val="Calibri"/>
      <family val="2"/>
      <scheme val="minor"/>
    </font>
    <font>
      <sz val="8"/>
      <color rgb="FF000000"/>
      <name val="Calibri"/>
      <family val="2"/>
      <scheme val="minor"/>
    </font>
    <font>
      <b/>
      <i/>
      <sz val="10"/>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10"/>
      <name val="Calibri"/>
      <family val="2"/>
      <scheme val="minor"/>
    </font>
    <font>
      <b/>
      <i/>
      <sz val="10"/>
      <name val="Calibri"/>
      <family val="2"/>
      <scheme val="minor"/>
    </font>
    <font>
      <b/>
      <sz val="8"/>
      <color rgb="FF000000"/>
      <name val="Calibri"/>
      <family val="2"/>
      <scheme val="minor"/>
    </font>
    <font>
      <sz val="11"/>
      <color rgb="FF000000"/>
      <name val="Calibri"/>
      <family val="2"/>
      <scheme val="minor"/>
    </font>
    <font>
      <sz val="8"/>
      <color rgb="FFFF0000"/>
      <name val="Calibri"/>
      <family val="2"/>
      <scheme val="minor"/>
    </font>
    <font>
      <sz val="8"/>
      <name val="Calibri"/>
      <family val="2"/>
      <scheme val="minor"/>
    </font>
    <font>
      <sz val="10"/>
      <name val="Calibri"/>
      <family val="2"/>
      <scheme val="minor"/>
    </font>
    <font>
      <b/>
      <sz val="8"/>
      <name val="Calibri"/>
      <family val="2"/>
      <scheme val="minor"/>
    </font>
    <font>
      <sz val="11"/>
      <name val="Calibri"/>
      <family val="2"/>
      <scheme val="minor"/>
    </font>
    <font>
      <sz val="7"/>
      <color theme="1"/>
      <name val="Calibri"/>
      <family val="2"/>
      <scheme val="minor"/>
    </font>
    <font>
      <sz val="11"/>
      <color theme="0"/>
      <name val="Calibri"/>
      <family val="2"/>
      <scheme val="minor"/>
    </font>
    <font>
      <b/>
      <i/>
      <sz val="9"/>
      <color rgb="FF000000"/>
      <name val="Calibri"/>
      <family val="2"/>
      <scheme val="minor"/>
    </font>
    <font>
      <b/>
      <sz val="8"/>
      <color indexed="8"/>
      <name val="Calibri"/>
      <family val="2"/>
    </font>
    <font>
      <sz val="8"/>
      <color indexed="8"/>
      <name val="Calibri"/>
      <family val="2"/>
    </font>
    <font>
      <sz val="7"/>
      <name val="Calibri"/>
      <family val="2"/>
      <scheme val="minor"/>
    </font>
    <font>
      <b/>
      <sz val="7"/>
      <name val="Calibri"/>
      <family val="2"/>
      <scheme val="minor"/>
    </font>
    <font>
      <b/>
      <sz val="11"/>
      <name val="Calibri"/>
      <family val="2"/>
      <scheme val="minor"/>
    </font>
    <font>
      <b/>
      <sz val="8"/>
      <color rgb="FF000000"/>
      <name val="Calibri"/>
      <family val="2"/>
    </font>
    <font>
      <sz val="9"/>
      <color theme="1"/>
      <name val="Calibri"/>
      <family val="2"/>
      <scheme val="minor"/>
    </font>
    <font>
      <b/>
      <sz val="11"/>
      <color rgb="FF000000"/>
      <name val="Calibri"/>
      <family val="2"/>
      <scheme val="minor"/>
    </font>
    <font>
      <b/>
      <sz val="11"/>
      <color theme="3" tint="0.39997558519241921"/>
      <name val="Calibri"/>
      <family val="2"/>
      <scheme val="minor"/>
    </font>
    <font>
      <b/>
      <i/>
      <sz val="8"/>
      <color theme="1"/>
      <name val="Calibri"/>
      <family val="2"/>
      <scheme val="minor"/>
    </font>
    <font>
      <i/>
      <sz val="8"/>
      <name val="Calibri"/>
      <family val="2"/>
      <scheme val="minor"/>
    </font>
    <font>
      <b/>
      <i/>
      <sz val="8"/>
      <color rgb="FF000000"/>
      <name val="Calibri"/>
      <family val="2"/>
      <scheme val="minor"/>
    </font>
    <font>
      <b/>
      <i/>
      <sz val="8"/>
      <name val="Calibri"/>
      <family val="2"/>
      <scheme val="minor"/>
    </font>
    <font>
      <sz val="11"/>
      <color rgb="FFFF0000"/>
      <name val="Calibri"/>
      <family val="2"/>
      <scheme val="minor"/>
    </font>
    <font>
      <b/>
      <sz val="9"/>
      <color rgb="FFFF0000"/>
      <name val="Calibri"/>
      <family val="2"/>
      <scheme val="minor"/>
    </font>
    <font>
      <sz val="9"/>
      <color rgb="FF000000"/>
      <name val="Calibri"/>
      <family val="2"/>
      <scheme val="minor"/>
    </font>
    <font>
      <sz val="9"/>
      <color indexed="8"/>
      <name val="Arial"/>
      <family val="2"/>
    </font>
    <font>
      <sz val="9"/>
      <color indexed="8"/>
      <name val="Calibri"/>
      <family val="2"/>
      <scheme val="minor"/>
    </font>
    <font>
      <sz val="8"/>
      <color rgb="FF000000"/>
      <name val="Calibri"/>
      <family val="2"/>
    </font>
    <font>
      <sz val="10"/>
      <color rgb="FFFF0000"/>
      <name val="Calibri"/>
      <family val="2"/>
      <scheme val="minor"/>
    </font>
    <font>
      <b/>
      <i/>
      <sz val="8"/>
      <color rgb="FFFF0000"/>
      <name val="Calibri"/>
      <family val="2"/>
      <scheme val="minor"/>
    </font>
    <font>
      <sz val="8"/>
      <color theme="1"/>
      <name val="Calibri"/>
      <family val="2"/>
    </font>
    <font>
      <b/>
      <sz val="8"/>
      <color theme="1"/>
      <name val="Calibri"/>
      <family val="2"/>
    </font>
    <font>
      <sz val="8"/>
      <color indexed="8"/>
      <name val="Arial"/>
      <family val="2"/>
    </font>
    <font>
      <b/>
      <sz val="8"/>
      <color theme="0"/>
      <name val="Calibri"/>
      <family val="2"/>
      <scheme val="minor"/>
    </font>
    <font>
      <b/>
      <sz val="10"/>
      <color theme="0"/>
      <name val="Calibri"/>
      <family val="2"/>
      <scheme val="minor"/>
    </font>
    <font>
      <i/>
      <sz val="10"/>
      <name val="Calibri"/>
      <family val="2"/>
      <scheme val="minor"/>
    </font>
    <font>
      <b/>
      <sz val="10"/>
      <color rgb="FF000000"/>
      <name val="Calibri"/>
      <family val="2"/>
    </font>
    <font>
      <sz val="11"/>
      <color rgb="FF000000"/>
      <name val="Aptos Narrow"/>
      <family val="2"/>
    </font>
    <font>
      <sz val="10"/>
      <color rgb="FF000000"/>
      <name val="Aptos Narrow"/>
      <family val="2"/>
    </font>
    <font>
      <b/>
      <sz val="10"/>
      <color rgb="FF000000"/>
      <name val="Aptos Narrow"/>
      <family val="2"/>
    </font>
    <font>
      <sz val="10"/>
      <name val="Calibri"/>
      <family val="2"/>
    </font>
    <font>
      <sz val="10"/>
      <color rgb="FF000000"/>
      <name val="Calibri"/>
      <family val="2"/>
    </font>
    <font>
      <i/>
      <sz val="10"/>
      <name val="Calibri"/>
      <family val="2"/>
    </font>
    <font>
      <b/>
      <sz val="10"/>
      <name val="Calibri"/>
      <family val="2"/>
    </font>
    <font>
      <sz val="11"/>
      <color rgb="FF000000"/>
      <name val="Calibri"/>
      <family val="2"/>
    </font>
    <font>
      <b/>
      <sz val="11"/>
      <color rgb="FF000000"/>
      <name val="Calibri"/>
      <family val="2"/>
    </font>
    <font>
      <sz val="9"/>
      <name val="Calibri"/>
      <family val="2"/>
      <scheme val="minor"/>
    </font>
  </fonts>
  <fills count="29">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6" tint="0.79998168889431442"/>
        <bgColor rgb="FF000000"/>
      </patternFill>
    </fill>
    <fill>
      <patternFill patternType="solid">
        <fgColor theme="6" tint="0.39997558519241921"/>
        <bgColor indexed="64"/>
      </patternFill>
    </fill>
    <fill>
      <patternFill patternType="solid">
        <fgColor theme="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2"/>
        <bgColor indexed="64"/>
      </patternFill>
    </fill>
    <fill>
      <patternFill patternType="solid">
        <fgColor rgb="FFFFFFFF"/>
        <bgColor rgb="FF000000"/>
      </patternFill>
    </fill>
    <fill>
      <patternFill patternType="solid">
        <fgColor rgb="FFF8CBAD"/>
        <bgColor rgb="FF000000"/>
      </patternFill>
    </fill>
    <fill>
      <patternFill patternType="solid">
        <fgColor rgb="FF70AD47"/>
        <bgColor rgb="FF000000"/>
      </patternFill>
    </fill>
    <fill>
      <patternFill patternType="solid">
        <fgColor rgb="FF2F75B5"/>
        <bgColor rgb="FF000000"/>
      </patternFill>
    </fill>
    <fill>
      <patternFill patternType="solid">
        <fgColor rgb="FF92D050"/>
        <bgColor rgb="FF000000"/>
      </patternFill>
    </fill>
    <fill>
      <patternFill patternType="solid">
        <fgColor rgb="FF00B0F0"/>
        <bgColor rgb="FF000000"/>
      </patternFill>
    </fill>
    <fill>
      <patternFill patternType="solid">
        <fgColor rgb="FFA6A6A6"/>
        <bgColor rgb="FF000000"/>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dashDot">
        <color rgb="FF000000"/>
      </right>
      <top/>
      <bottom/>
      <diagonal/>
    </border>
  </borders>
  <cellStyleXfs count="5">
    <xf numFmtId="0" fontId="0" fillId="0" borderId="0"/>
    <xf numFmtId="9" fontId="2" fillId="0" borderId="0" applyFont="0" applyFill="0" applyBorder="0" applyAlignment="0" applyProtection="0"/>
    <xf numFmtId="43" fontId="2" fillId="0" borderId="0" applyFont="0" applyFill="0" applyBorder="0" applyAlignment="0" applyProtection="0"/>
    <xf numFmtId="0" fontId="9" fillId="0" borderId="0">
      <alignment vertical="top"/>
    </xf>
    <xf numFmtId="43" fontId="1" fillId="0" borderId="0" applyFont="0" applyFill="0" applyBorder="0" applyAlignment="0" applyProtection="0"/>
  </cellStyleXfs>
  <cellXfs count="622">
    <xf numFmtId="0" fontId="0" fillId="0" borderId="0" xfId="0"/>
    <xf numFmtId="0" fontId="0" fillId="0" borderId="0" xfId="0" applyProtection="1">
      <protection locked="0"/>
    </xf>
    <xf numFmtId="9" fontId="6" fillId="0" borderId="0" xfId="0" applyNumberFormat="1" applyFont="1" applyAlignment="1">
      <alignment horizontal="center" vertical="center"/>
    </xf>
    <xf numFmtId="9" fontId="8" fillId="7" borderId="0" xfId="0" applyNumberFormat="1" applyFont="1" applyFill="1" applyAlignment="1">
      <alignment horizontal="center" vertical="center"/>
    </xf>
    <xf numFmtId="9" fontId="5" fillId="0" borderId="0" xfId="0" applyNumberFormat="1" applyFont="1" applyAlignment="1">
      <alignment horizontal="center" vertical="center"/>
    </xf>
    <xf numFmtId="9" fontId="4" fillId="7" borderId="0" xfId="0" applyNumberFormat="1" applyFont="1" applyFill="1" applyAlignment="1">
      <alignment horizontal="center" vertical="center"/>
    </xf>
    <xf numFmtId="9" fontId="4" fillId="9" borderId="0" xfId="0" applyNumberFormat="1" applyFont="1" applyFill="1" applyAlignment="1">
      <alignment horizontal="center" vertical="center"/>
    </xf>
    <xf numFmtId="9" fontId="8" fillId="9" borderId="0" xfId="0" applyNumberFormat="1" applyFont="1" applyFill="1" applyAlignment="1">
      <alignment horizontal="center" vertical="center"/>
    </xf>
    <xf numFmtId="3" fontId="7" fillId="7" borderId="0" xfId="0" applyNumberFormat="1" applyFont="1" applyFill="1" applyAlignment="1">
      <alignment horizontal="center" vertical="center"/>
    </xf>
    <xf numFmtId="165" fontId="7" fillId="7" borderId="0" xfId="2" applyNumberFormat="1" applyFont="1" applyFill="1" applyBorder="1" applyAlignment="1" applyProtection="1">
      <alignment horizontal="center" vertical="center"/>
    </xf>
    <xf numFmtId="3" fontId="7" fillId="9" borderId="0" xfId="0" applyNumberFormat="1" applyFont="1" applyFill="1" applyAlignment="1">
      <alignment horizontal="center" vertical="center"/>
    </xf>
    <xf numFmtId="165" fontId="7" fillId="9" borderId="0" xfId="2" applyNumberFormat="1" applyFont="1" applyFill="1" applyBorder="1" applyAlignment="1" applyProtection="1">
      <alignment horizontal="center" vertical="center"/>
    </xf>
    <xf numFmtId="0" fontId="7" fillId="7" borderId="0" xfId="0" applyFont="1" applyFill="1" applyAlignment="1" applyProtection="1">
      <alignment horizontal="left" vertical="center"/>
      <protection locked="0"/>
    </xf>
    <xf numFmtId="165" fontId="7" fillId="7" borderId="0" xfId="0" applyNumberFormat="1" applyFont="1" applyFill="1" applyAlignment="1">
      <alignment horizontal="center" vertical="center"/>
    </xf>
    <xf numFmtId="3" fontId="0" fillId="0" borderId="0" xfId="0" applyNumberFormat="1" applyProtection="1">
      <protection locked="0"/>
    </xf>
    <xf numFmtId="0" fontId="15" fillId="0" borderId="0" xfId="0" applyFont="1" applyProtection="1">
      <protection locked="0"/>
    </xf>
    <xf numFmtId="9" fontId="7" fillId="7" borderId="0" xfId="1" applyFont="1" applyFill="1" applyBorder="1" applyAlignment="1" applyProtection="1">
      <alignment horizontal="center" vertical="center"/>
    </xf>
    <xf numFmtId="9" fontId="7" fillId="9" borderId="0" xfId="1" applyFont="1" applyFill="1" applyBorder="1" applyAlignment="1" applyProtection="1">
      <alignment horizontal="center" vertical="center"/>
    </xf>
    <xf numFmtId="9" fontId="0" fillId="0" borderId="0" xfId="1" applyFont="1" applyProtection="1">
      <protection locked="0"/>
    </xf>
    <xf numFmtId="3" fontId="3" fillId="0" borderId="0" xfId="0" applyNumberFormat="1" applyFont="1" applyAlignment="1">
      <alignment horizontal="center" vertical="center"/>
    </xf>
    <xf numFmtId="9" fontId="0" fillId="0" borderId="0" xfId="1" applyFont="1" applyAlignment="1" applyProtection="1">
      <alignment horizontal="center" vertical="center"/>
    </xf>
    <xf numFmtId="0" fontId="4" fillId="0" borderId="0" xfId="0" applyFont="1" applyProtection="1">
      <protection locked="0"/>
    </xf>
    <xf numFmtId="0" fontId="3" fillId="0" borderId="0" xfId="0" applyFont="1" applyProtection="1">
      <protection locked="0"/>
    </xf>
    <xf numFmtId="3" fontId="4" fillId="0" borderId="0" xfId="0" applyNumberFormat="1" applyFont="1" applyAlignment="1">
      <alignment horizontal="center"/>
    </xf>
    <xf numFmtId="0" fontId="7" fillId="7" borderId="0" xfId="0" applyFont="1" applyFill="1" applyAlignment="1">
      <alignment horizontal="left" vertical="center"/>
    </xf>
    <xf numFmtId="0" fontId="7" fillId="9" borderId="0" xfId="0" applyFont="1" applyFill="1" applyAlignment="1">
      <alignment horizontal="left" vertical="center" wrapText="1"/>
    </xf>
    <xf numFmtId="0" fontId="5" fillId="0" borderId="0" xfId="0" applyFont="1" applyAlignment="1" applyProtection="1">
      <alignment horizontal="left" vertical="center"/>
      <protection locked="0"/>
    </xf>
    <xf numFmtId="165" fontId="5" fillId="0" borderId="0" xfId="2" applyNumberFormat="1" applyFont="1" applyBorder="1" applyAlignment="1" applyProtection="1">
      <alignment horizontal="center"/>
      <protection locked="0"/>
    </xf>
    <xf numFmtId="2" fontId="0" fillId="0" borderId="0" xfId="0" applyNumberFormat="1" applyProtection="1">
      <protection locked="0"/>
    </xf>
    <xf numFmtId="0" fontId="0" fillId="0" borderId="0" xfId="0" applyAlignment="1" applyProtection="1">
      <alignment horizontal="center"/>
      <protection locked="0"/>
    </xf>
    <xf numFmtId="165" fontId="0" fillId="0" borderId="0" xfId="0" applyNumberFormat="1" applyProtection="1">
      <protection locked="0"/>
    </xf>
    <xf numFmtId="43" fontId="0" fillId="0" borderId="0" xfId="0" applyNumberFormat="1" applyProtection="1">
      <protection locked="0"/>
    </xf>
    <xf numFmtId="165" fontId="4" fillId="0" borderId="0" xfId="2" applyNumberFormat="1" applyFont="1" applyFill="1" applyBorder="1" applyAlignment="1" applyProtection="1">
      <alignment horizontal="center"/>
    </xf>
    <xf numFmtId="165" fontId="4" fillId="0" borderId="0" xfId="2" applyNumberFormat="1" applyFont="1" applyFill="1" applyBorder="1" applyAlignment="1" applyProtection="1">
      <alignment horizontal="center" vertical="center"/>
    </xf>
    <xf numFmtId="165" fontId="13" fillId="7" borderId="0" xfId="2" applyNumberFormat="1" applyFont="1" applyFill="1" applyBorder="1" applyAlignment="1" applyProtection="1">
      <alignment horizontal="center"/>
    </xf>
    <xf numFmtId="165" fontId="13" fillId="7" borderId="0" xfId="2" applyNumberFormat="1" applyFont="1" applyFill="1" applyBorder="1" applyAlignment="1" applyProtection="1">
      <alignment horizontal="center" vertical="center"/>
    </xf>
    <xf numFmtId="165" fontId="13" fillId="9" borderId="0" xfId="2" applyNumberFormat="1" applyFont="1" applyFill="1" applyBorder="1" applyAlignment="1" applyProtection="1">
      <alignment horizontal="center"/>
    </xf>
    <xf numFmtId="0" fontId="4" fillId="5" borderId="0" xfId="0" applyFont="1" applyFill="1" applyAlignment="1">
      <alignment horizontal="left" vertical="center" wrapText="1"/>
    </xf>
    <xf numFmtId="0" fontId="5" fillId="0" borderId="0" xfId="0" applyFont="1" applyAlignment="1">
      <alignment horizontal="left" vertical="center"/>
    </xf>
    <xf numFmtId="0" fontId="4" fillId="5" borderId="0" xfId="0" applyFont="1" applyFill="1" applyAlignment="1">
      <alignment horizontal="center" vertical="center" wrapText="1"/>
    </xf>
    <xf numFmtId="0" fontId="7" fillId="7" borderId="0" xfId="0" applyFont="1" applyFill="1" applyAlignment="1">
      <alignment horizontal="center" vertical="center"/>
    </xf>
    <xf numFmtId="3" fontId="4" fillId="0" borderId="0" xfId="0" applyNumberFormat="1" applyFont="1" applyAlignment="1">
      <alignment horizontal="center" vertical="center"/>
    </xf>
    <xf numFmtId="165" fontId="7" fillId="9" borderId="0" xfId="2" applyNumberFormat="1" applyFont="1" applyFill="1" applyBorder="1" applyAlignment="1" applyProtection="1">
      <alignment horizontal="center"/>
    </xf>
    <xf numFmtId="0" fontId="7" fillId="9" borderId="0" xfId="0" applyFont="1" applyFill="1" applyAlignment="1">
      <alignment horizontal="center" vertical="center"/>
    </xf>
    <xf numFmtId="165" fontId="7" fillId="9" borderId="0" xfId="2" applyNumberFormat="1" applyFont="1" applyFill="1" applyBorder="1" applyAlignment="1" applyProtection="1">
      <alignment horizontal="left" vertical="center"/>
    </xf>
    <xf numFmtId="3" fontId="9" fillId="0" borderId="0" xfId="0" applyNumberFormat="1" applyFont="1" applyAlignment="1" applyProtection="1">
      <alignment horizontal="center" vertical="top"/>
      <protection locked="0"/>
    </xf>
    <xf numFmtId="4" fontId="9" fillId="0" borderId="0" xfId="0" applyNumberFormat="1" applyFont="1" applyAlignment="1" applyProtection="1">
      <alignment horizontal="center" vertical="top"/>
      <protection locked="0"/>
    </xf>
    <xf numFmtId="0" fontId="3" fillId="0" borderId="0" xfId="0" applyFont="1" applyAlignment="1">
      <alignment horizontal="left"/>
    </xf>
    <xf numFmtId="0" fontId="3" fillId="0" borderId="0" xfId="0" applyFont="1" applyAlignment="1">
      <alignment horizontal="center"/>
    </xf>
    <xf numFmtId="43" fontId="4" fillId="0" borderId="0" xfId="2" applyFont="1" applyFill="1" applyBorder="1" applyAlignment="1" applyProtection="1">
      <alignment horizontal="center" vertical="center"/>
    </xf>
    <xf numFmtId="43" fontId="5" fillId="0" borderId="0" xfId="2" applyFont="1" applyBorder="1" applyAlignment="1" applyProtection="1">
      <alignment horizontal="center"/>
      <protection locked="0"/>
    </xf>
    <xf numFmtId="0" fontId="7" fillId="9" borderId="0" xfId="0" applyFont="1" applyFill="1" applyAlignment="1" applyProtection="1">
      <alignment horizontal="left" vertical="center"/>
      <protection locked="0"/>
    </xf>
    <xf numFmtId="0" fontId="15" fillId="0" borderId="0" xfId="0" applyFont="1" applyAlignment="1" applyProtection="1">
      <alignment horizontal="left" vertical="center"/>
      <protection locked="0"/>
    </xf>
    <xf numFmtId="2" fontId="9" fillId="0" borderId="0" xfId="0" applyNumberFormat="1" applyFont="1" applyAlignment="1" applyProtection="1">
      <alignment horizontal="center" vertical="top"/>
      <protection locked="0"/>
    </xf>
    <xf numFmtId="2" fontId="0" fillId="0" borderId="0" xfId="0" applyNumberFormat="1" applyAlignment="1" applyProtection="1">
      <alignment horizontal="center"/>
      <protection locked="0"/>
    </xf>
    <xf numFmtId="43" fontId="4" fillId="0" borderId="0" xfId="2" applyFont="1" applyFill="1" applyBorder="1" applyAlignment="1" applyProtection="1">
      <alignment horizontal="center"/>
    </xf>
    <xf numFmtId="3" fontId="4" fillId="0" borderId="0" xfId="0" applyNumberFormat="1" applyFont="1"/>
    <xf numFmtId="9" fontId="5" fillId="0" borderId="0" xfId="1" applyFont="1" applyBorder="1" applyAlignment="1" applyProtection="1">
      <alignment horizontal="center"/>
    </xf>
    <xf numFmtId="165" fontId="4" fillId="0" borderId="0" xfId="2" applyNumberFormat="1" applyFont="1" applyBorder="1" applyAlignment="1" applyProtection="1"/>
    <xf numFmtId="3" fontId="7" fillId="7" borderId="0" xfId="0" applyNumberFormat="1" applyFont="1" applyFill="1" applyAlignment="1">
      <alignment horizontal="right" vertical="center"/>
    </xf>
    <xf numFmtId="0" fontId="5" fillId="0" borderId="0" xfId="0" applyFont="1" applyAlignment="1">
      <alignment horizontal="left"/>
    </xf>
    <xf numFmtId="0" fontId="7" fillId="9" borderId="0" xfId="0" applyFont="1" applyFill="1" applyAlignment="1">
      <alignment horizontal="left" vertical="center"/>
    </xf>
    <xf numFmtId="165" fontId="6" fillId="0" borderId="0" xfId="2" applyNumberFormat="1" applyFont="1" applyFill="1" applyBorder="1" applyAlignment="1" applyProtection="1">
      <alignment horizontal="center" vertical="center"/>
    </xf>
    <xf numFmtId="43" fontId="7" fillId="7" borderId="0" xfId="2" applyFont="1" applyFill="1" applyBorder="1" applyAlignment="1" applyProtection="1">
      <alignment horizontal="center" vertical="center"/>
    </xf>
    <xf numFmtId="3" fontId="0" fillId="0" borderId="0" xfId="0" applyNumberFormat="1"/>
    <xf numFmtId="4" fontId="0" fillId="0" borderId="0" xfId="0" applyNumberFormat="1" applyProtection="1">
      <protection locked="0"/>
    </xf>
    <xf numFmtId="9" fontId="9" fillId="0" borderId="0" xfId="1" applyFont="1" applyBorder="1" applyAlignment="1" applyProtection="1">
      <alignment horizontal="center" vertical="top"/>
    </xf>
    <xf numFmtId="164" fontId="9" fillId="0" borderId="0" xfId="1" applyNumberFormat="1" applyFont="1" applyBorder="1" applyAlignment="1" applyProtection="1">
      <alignment horizontal="center" vertical="top"/>
    </xf>
    <xf numFmtId="3" fontId="17" fillId="0" borderId="0" xfId="0" applyNumberFormat="1" applyFont="1" applyAlignment="1">
      <alignment horizontal="center" vertical="center"/>
    </xf>
    <xf numFmtId="3" fontId="18" fillId="7" borderId="0" xfId="0" applyNumberFormat="1" applyFont="1" applyFill="1" applyAlignment="1">
      <alignment horizontal="center" vertical="center"/>
    </xf>
    <xf numFmtId="165" fontId="0" fillId="11" borderId="0" xfId="0" applyNumberFormat="1" applyFill="1" applyProtection="1">
      <protection locked="0"/>
    </xf>
    <xf numFmtId="10" fontId="0" fillId="0" borderId="0" xfId="1" applyNumberFormat="1" applyFont="1" applyProtection="1">
      <protection locked="0"/>
    </xf>
    <xf numFmtId="0" fontId="6" fillId="0" borderId="0" xfId="0" applyFont="1" applyAlignment="1">
      <alignment vertical="center"/>
    </xf>
    <xf numFmtId="0" fontId="6" fillId="0" borderId="0" xfId="0" applyFont="1" applyAlignment="1">
      <alignment horizontal="left" vertical="center"/>
    </xf>
    <xf numFmtId="0" fontId="5" fillId="0" borderId="0" xfId="0" applyFont="1"/>
    <xf numFmtId="0" fontId="4" fillId="5" borderId="0" xfId="0" applyFont="1" applyFill="1" applyAlignment="1">
      <alignment horizontal="left" vertical="center"/>
    </xf>
    <xf numFmtId="3" fontId="9" fillId="0" borderId="4" xfId="0" applyNumberFormat="1" applyFont="1" applyBorder="1" applyAlignment="1" applyProtection="1">
      <alignment horizontal="center" vertical="top"/>
      <protection locked="0"/>
    </xf>
    <xf numFmtId="9" fontId="0" fillId="0" borderId="5" xfId="1" applyFont="1" applyBorder="1" applyAlignment="1" applyProtection="1">
      <alignment horizontal="center"/>
    </xf>
    <xf numFmtId="164" fontId="0" fillId="0" borderId="5" xfId="1" applyNumberFormat="1" applyFont="1" applyBorder="1" applyAlignment="1" applyProtection="1">
      <alignment horizontal="center"/>
    </xf>
    <xf numFmtId="3" fontId="7" fillId="7" borderId="6" xfId="0" applyNumberFormat="1" applyFont="1" applyFill="1" applyBorder="1" applyAlignment="1">
      <alignment horizontal="center" vertical="center"/>
    </xf>
    <xf numFmtId="9" fontId="7" fillId="7" borderId="7" xfId="1" applyFont="1" applyFill="1" applyBorder="1" applyAlignment="1" applyProtection="1">
      <alignment horizontal="center" vertical="center"/>
    </xf>
    <xf numFmtId="3" fontId="7" fillId="7" borderId="7" xfId="0" applyNumberFormat="1" applyFont="1" applyFill="1" applyBorder="1" applyAlignment="1">
      <alignment horizontal="center" vertical="center"/>
    </xf>
    <xf numFmtId="9" fontId="7" fillId="7" borderId="8" xfId="1" applyFont="1" applyFill="1" applyBorder="1" applyAlignment="1" applyProtection="1">
      <alignment horizontal="center" vertical="center"/>
    </xf>
    <xf numFmtId="9" fontId="0" fillId="0" borderId="0" xfId="0" applyNumberFormat="1"/>
    <xf numFmtId="10" fontId="0" fillId="0" borderId="0" xfId="0" applyNumberFormat="1"/>
    <xf numFmtId="4" fontId="0" fillId="0" borderId="0" xfId="0" applyNumberFormat="1"/>
    <xf numFmtId="14" fontId="0" fillId="0" borderId="0" xfId="0" applyNumberFormat="1"/>
    <xf numFmtId="167" fontId="0" fillId="0" borderId="0" xfId="0" applyNumberFormat="1" applyProtection="1">
      <protection locked="0"/>
    </xf>
    <xf numFmtId="0" fontId="3" fillId="0" borderId="4"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5" xfId="0" applyFont="1" applyBorder="1" applyAlignment="1">
      <alignment horizontal="center" vertical="center"/>
    </xf>
    <xf numFmtId="43" fontId="0" fillId="0" borderId="0" xfId="2" applyFont="1" applyProtection="1">
      <protection locked="0"/>
    </xf>
    <xf numFmtId="165" fontId="5" fillId="0" borderId="0" xfId="2" applyNumberFormat="1" applyFont="1" applyBorder="1" applyAlignment="1" applyProtection="1">
      <alignment horizontal="center"/>
    </xf>
    <xf numFmtId="165" fontId="23" fillId="0" borderId="0" xfId="2" applyNumberFormat="1" applyFont="1" applyFill="1" applyBorder="1" applyAlignment="1" applyProtection="1">
      <alignment horizontal="center" vertical="center"/>
    </xf>
    <xf numFmtId="165" fontId="17" fillId="0" borderId="0" xfId="2" applyNumberFormat="1" applyFont="1" applyFill="1" applyBorder="1" applyAlignment="1" applyProtection="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3" fontId="20" fillId="0" borderId="0" xfId="0" applyNumberFormat="1" applyFont="1" applyAlignment="1">
      <alignment horizontal="center" vertical="center"/>
    </xf>
    <xf numFmtId="168" fontId="6" fillId="0" borderId="0" xfId="2" applyNumberFormat="1" applyFont="1" applyFill="1" applyBorder="1" applyAlignment="1" applyProtection="1">
      <alignment vertical="center"/>
    </xf>
    <xf numFmtId="0" fontId="7" fillId="7" borderId="0" xfId="0" applyFont="1" applyFill="1" applyAlignment="1">
      <alignment vertical="center"/>
    </xf>
    <xf numFmtId="3" fontId="0" fillId="0" borderId="0" xfId="0" applyNumberFormat="1" applyAlignment="1">
      <alignment horizontal="center"/>
    </xf>
    <xf numFmtId="3" fontId="6" fillId="0" borderId="0" xfId="0" applyNumberFormat="1" applyFont="1" applyAlignment="1">
      <alignment horizontal="center" vertical="center"/>
    </xf>
    <xf numFmtId="43" fontId="6" fillId="0" borderId="0" xfId="2" applyFont="1" applyFill="1" applyBorder="1" applyAlignment="1" applyProtection="1">
      <alignment horizontal="center" vertical="center"/>
    </xf>
    <xf numFmtId="0" fontId="7" fillId="9" borderId="0" xfId="0" applyFont="1" applyFill="1" applyAlignment="1">
      <alignment vertical="center"/>
    </xf>
    <xf numFmtId="0" fontId="26" fillId="0" borderId="0" xfId="0" applyFont="1"/>
    <xf numFmtId="0" fontId="15" fillId="0" borderId="0" xfId="0" applyFont="1"/>
    <xf numFmtId="3" fontId="0" fillId="0" borderId="0" xfId="0" applyNumberFormat="1" applyAlignment="1">
      <alignment horizontal="center" vertical="center"/>
    </xf>
    <xf numFmtId="0" fontId="7" fillId="7" borderId="0" xfId="0" applyFont="1" applyFill="1" applyAlignment="1">
      <alignment horizontal="left" vertical="center" wrapText="1"/>
    </xf>
    <xf numFmtId="0" fontId="22" fillId="0" borderId="0" xfId="0" applyFont="1"/>
    <xf numFmtId="0" fontId="4" fillId="0" borderId="0" xfId="0" applyFont="1" applyAlignment="1">
      <alignment horizontal="left" vertical="center"/>
    </xf>
    <xf numFmtId="0" fontId="4" fillId="0" borderId="0" xfId="0" applyFont="1" applyAlignment="1">
      <alignment horizontal="center" vertical="center"/>
    </xf>
    <xf numFmtId="3" fontId="5" fillId="0" borderId="0" xfId="0" applyNumberFormat="1" applyFont="1" applyAlignment="1">
      <alignment horizontal="center"/>
    </xf>
    <xf numFmtId="9" fontId="0" fillId="0" borderId="0" xfId="1" applyFont="1" applyProtection="1"/>
    <xf numFmtId="0" fontId="21" fillId="0" borderId="0" xfId="0" applyFont="1"/>
    <xf numFmtId="10" fontId="0" fillId="0" borderId="0" xfId="1" applyNumberFormat="1" applyFont="1" applyAlignment="1" applyProtection="1">
      <alignment horizontal="center" vertical="center"/>
    </xf>
    <xf numFmtId="43" fontId="0" fillId="0" borderId="0" xfId="2" applyFont="1" applyBorder="1" applyAlignment="1" applyProtection="1">
      <alignment horizontal="center"/>
    </xf>
    <xf numFmtId="0" fontId="0" fillId="0" borderId="0" xfId="0" applyAlignment="1">
      <alignment horizontal="center"/>
    </xf>
    <xf numFmtId="0" fontId="4" fillId="0" borderId="0" xfId="0" applyFont="1" applyAlignment="1">
      <alignment horizontal="left" vertical="center" wrapText="1"/>
    </xf>
    <xf numFmtId="3" fontId="25" fillId="0" borderId="0" xfId="0" applyNumberFormat="1" applyFont="1" applyAlignment="1">
      <alignment horizontal="center"/>
    </xf>
    <xf numFmtId="165" fontId="5" fillId="0" borderId="0" xfId="2" applyNumberFormat="1" applyFont="1" applyBorder="1" applyAlignment="1" applyProtection="1"/>
    <xf numFmtId="165" fontId="5" fillId="0" borderId="0" xfId="2" applyNumberFormat="1" applyFont="1" applyBorder="1" applyAlignment="1" applyProtection="1">
      <alignment horizontal="center" vertical="center"/>
    </xf>
    <xf numFmtId="3" fontId="5" fillId="0" borderId="0" xfId="0" applyNumberFormat="1" applyFont="1" applyAlignment="1">
      <alignment horizontal="center" vertical="center"/>
    </xf>
    <xf numFmtId="39" fontId="5" fillId="0" borderId="0" xfId="2" applyNumberFormat="1" applyFont="1" applyBorder="1" applyAlignment="1" applyProtection="1">
      <alignment horizontal="center" vertical="center"/>
    </xf>
    <xf numFmtId="43" fontId="5" fillId="0" borderId="0" xfId="2" applyFont="1" applyBorder="1" applyAlignment="1" applyProtection="1">
      <alignment horizontal="center" vertical="center"/>
    </xf>
    <xf numFmtId="165" fontId="0" fillId="0" borderId="0" xfId="0" applyNumberFormat="1"/>
    <xf numFmtId="43" fontId="5" fillId="0" borderId="0" xfId="2" applyFont="1" applyBorder="1" applyAlignment="1" applyProtection="1">
      <alignment horizontal="center"/>
    </xf>
    <xf numFmtId="0" fontId="5" fillId="0" borderId="0" xfId="2" applyNumberFormat="1" applyFont="1" applyBorder="1" applyAlignment="1" applyProtection="1">
      <alignment horizontal="center" vertical="center"/>
    </xf>
    <xf numFmtId="0" fontId="5" fillId="0" borderId="0" xfId="2" applyNumberFormat="1" applyFont="1" applyBorder="1" applyAlignment="1" applyProtection="1">
      <alignment horizontal="center"/>
    </xf>
    <xf numFmtId="0" fontId="15" fillId="0" borderId="0" xfId="0" applyFont="1" applyAlignment="1">
      <alignment horizontal="left" vertical="center"/>
    </xf>
    <xf numFmtId="0" fontId="5" fillId="0" borderId="0" xfId="0" applyFont="1" applyAlignment="1">
      <alignment horizontal="center"/>
    </xf>
    <xf numFmtId="3" fontId="5" fillId="0" borderId="0" xfId="2" applyNumberFormat="1" applyFont="1" applyBorder="1" applyAlignment="1" applyProtection="1"/>
    <xf numFmtId="0" fontId="10" fillId="5" borderId="0" xfId="0" applyFont="1" applyFill="1"/>
    <xf numFmtId="0" fontId="5" fillId="0" borderId="0" xfId="0" applyFont="1" applyAlignment="1">
      <alignment vertical="center" wrapText="1"/>
    </xf>
    <xf numFmtId="9" fontId="5" fillId="0" borderId="0" xfId="1" applyFont="1" applyFill="1" applyBorder="1" applyAlignment="1" applyProtection="1">
      <alignment horizontal="center" vertical="center" wrapText="1"/>
    </xf>
    <xf numFmtId="3" fontId="5" fillId="0" borderId="0" xfId="0" applyNumberFormat="1" applyFont="1" applyAlignment="1">
      <alignment horizontal="center" vertical="center" wrapText="1"/>
    </xf>
    <xf numFmtId="3" fontId="0" fillId="0" borderId="0" xfId="0" applyNumberFormat="1" applyAlignment="1" applyProtection="1">
      <alignment horizontal="center"/>
      <protection locked="0"/>
    </xf>
    <xf numFmtId="0" fontId="5" fillId="0" borderId="0" xfId="0" applyFont="1" applyAlignment="1">
      <alignment horizontal="left" vertical="center" wrapText="1"/>
    </xf>
    <xf numFmtId="0" fontId="27" fillId="12" borderId="0" xfId="0" applyFont="1" applyFill="1" applyProtection="1">
      <protection locked="0"/>
    </xf>
    <xf numFmtId="165" fontId="5" fillId="0" borderId="0" xfId="2" applyNumberFormat="1" applyFont="1" applyBorder="1" applyAlignment="1" applyProtection="1">
      <alignment horizontal="center" vertical="center"/>
      <protection locked="0"/>
    </xf>
    <xf numFmtId="165" fontId="5" fillId="0" borderId="0" xfId="2" applyNumberFormat="1" applyFont="1" applyBorder="1" applyAlignment="1" applyProtection="1">
      <alignment horizontal="right"/>
      <protection locked="0"/>
    </xf>
    <xf numFmtId="165" fontId="4" fillId="0" borderId="0" xfId="2" applyNumberFormat="1" applyFont="1" applyBorder="1" applyAlignment="1" applyProtection="1">
      <alignment vertical="center"/>
    </xf>
    <xf numFmtId="3" fontId="7" fillId="7" borderId="0" xfId="0" applyNumberFormat="1" applyFont="1" applyFill="1" applyAlignment="1">
      <alignment vertical="center"/>
    </xf>
    <xf numFmtId="0" fontId="5" fillId="12" borderId="0" xfId="0" applyFont="1" applyFill="1" applyAlignment="1">
      <alignment horizontal="left" vertical="center"/>
    </xf>
    <xf numFmtId="165" fontId="4" fillId="12" borderId="0" xfId="0" applyNumberFormat="1" applyFont="1" applyFill="1" applyAlignment="1">
      <alignment horizontal="center" vertical="center" wrapText="1"/>
    </xf>
    <xf numFmtId="43" fontId="4" fillId="12" borderId="0" xfId="0" applyNumberFormat="1" applyFont="1" applyFill="1" applyAlignment="1">
      <alignment horizontal="center" vertical="center" wrapText="1"/>
    </xf>
    <xf numFmtId="165" fontId="13" fillId="7" borderId="0" xfId="2" applyNumberFormat="1" applyFont="1" applyFill="1" applyBorder="1" applyAlignment="1" applyProtection="1">
      <alignment horizontal="right"/>
    </xf>
    <xf numFmtId="3" fontId="0" fillId="0" borderId="0" xfId="0" applyNumberFormat="1" applyAlignment="1" applyProtection="1">
      <alignment horizontal="center" vertical="center"/>
      <protection locked="0"/>
    </xf>
    <xf numFmtId="165" fontId="6" fillId="0" borderId="0" xfId="2" applyNumberFormat="1" applyFont="1" applyFill="1" applyBorder="1" applyAlignment="1" applyProtection="1">
      <alignment horizontal="left" vertical="center" indent="1"/>
    </xf>
    <xf numFmtId="165" fontId="6" fillId="0" borderId="0" xfId="2" applyNumberFormat="1" applyFont="1" applyFill="1" applyBorder="1" applyAlignment="1" applyProtection="1">
      <alignment horizontal="left" vertical="center"/>
    </xf>
    <xf numFmtId="165" fontId="18" fillId="7" borderId="0" xfId="2" applyNumberFormat="1" applyFont="1" applyFill="1" applyBorder="1" applyAlignment="1" applyProtection="1">
      <alignment horizontal="left" vertical="center"/>
    </xf>
    <xf numFmtId="9" fontId="0" fillId="0" borderId="0" xfId="0" applyNumberFormat="1" applyProtection="1">
      <protection locked="0"/>
    </xf>
    <xf numFmtId="0" fontId="0" fillId="12" borderId="0" xfId="0" applyFill="1"/>
    <xf numFmtId="3" fontId="5" fillId="0" borderId="0" xfId="2" applyNumberFormat="1" applyFont="1" applyBorder="1" applyAlignment="1" applyProtection="1">
      <alignment horizontal="right"/>
      <protection locked="0"/>
    </xf>
    <xf numFmtId="0" fontId="5" fillId="12" borderId="0" xfId="0" applyFont="1" applyFill="1"/>
    <xf numFmtId="0" fontId="15" fillId="12" borderId="0" xfId="0" applyFont="1" applyFill="1"/>
    <xf numFmtId="3" fontId="5" fillId="0" borderId="0" xfId="2" applyNumberFormat="1" applyFont="1" applyBorder="1" applyAlignment="1" applyProtection="1">
      <alignment horizontal="right"/>
    </xf>
    <xf numFmtId="3" fontId="18" fillId="7" borderId="0" xfId="0" applyNumberFormat="1" applyFont="1" applyFill="1" applyAlignment="1">
      <alignment horizontal="right"/>
    </xf>
    <xf numFmtId="0" fontId="4" fillId="0" borderId="0" xfId="0" applyFont="1" applyAlignment="1" applyProtection="1">
      <alignment horizontal="center"/>
      <protection locked="0"/>
    </xf>
    <xf numFmtId="9" fontId="0" fillId="0" borderId="0" xfId="1" applyFont="1" applyFill="1" applyBorder="1" applyAlignment="1" applyProtection="1">
      <alignment horizontal="center" vertical="center"/>
    </xf>
    <xf numFmtId="3" fontId="0" fillId="0" borderId="0" xfId="0" applyNumberFormat="1" applyAlignment="1">
      <alignment horizontal="left" vertical="center"/>
    </xf>
    <xf numFmtId="164" fontId="0" fillId="0" borderId="0" xfId="0" applyNumberFormat="1"/>
    <xf numFmtId="0" fontId="0" fillId="0" borderId="0" xfId="0" applyAlignment="1">
      <alignment horizontal="left"/>
    </xf>
    <xf numFmtId="1" fontId="0" fillId="0" borderId="0" xfId="0" applyNumberFormat="1" applyProtection="1">
      <protection locked="0"/>
    </xf>
    <xf numFmtId="0" fontId="28" fillId="7" borderId="0" xfId="0" applyFont="1" applyFill="1" applyAlignment="1">
      <alignment horizontal="left" vertical="center" wrapText="1"/>
    </xf>
    <xf numFmtId="3" fontId="5" fillId="0" borderId="0" xfId="0" applyNumberFormat="1" applyFont="1" applyAlignment="1" applyProtection="1">
      <alignment horizontal="center"/>
      <protection locked="0"/>
    </xf>
    <xf numFmtId="165" fontId="5" fillId="0" borderId="0" xfId="2" applyNumberFormat="1" applyFont="1" applyBorder="1" applyAlignment="1" applyProtection="1">
      <protection locked="0"/>
    </xf>
    <xf numFmtId="3" fontId="5" fillId="0" borderId="0" xfId="2" applyNumberFormat="1" applyFont="1" applyBorder="1" applyAlignment="1" applyProtection="1">
      <alignment horizontal="center"/>
      <protection locked="0"/>
    </xf>
    <xf numFmtId="0" fontId="30" fillId="0" borderId="0" xfId="0" applyFont="1"/>
    <xf numFmtId="165" fontId="33" fillId="0" borderId="0" xfId="0" applyNumberFormat="1" applyFont="1" applyProtection="1">
      <protection locked="0"/>
    </xf>
    <xf numFmtId="3" fontId="17" fillId="7" borderId="0" xfId="0" applyNumberFormat="1" applyFont="1" applyFill="1" applyAlignment="1">
      <alignment horizontal="center" vertical="center"/>
    </xf>
    <xf numFmtId="0" fontId="3" fillId="0" borderId="0" xfId="0" applyFont="1" applyAlignment="1" applyProtection="1">
      <alignment horizontal="center"/>
      <protection locked="0"/>
    </xf>
    <xf numFmtId="0" fontId="4" fillId="0" borderId="0" xfId="0" applyFont="1" applyAlignment="1">
      <alignment horizontal="left"/>
    </xf>
    <xf numFmtId="164" fontId="6" fillId="0" borderId="0" xfId="0" applyNumberFormat="1" applyFont="1" applyAlignment="1">
      <alignment horizontal="center" vertical="center"/>
    </xf>
    <xf numFmtId="0" fontId="5" fillId="0" borderId="0" xfId="0" applyFont="1" applyAlignment="1">
      <alignment horizontal="center" vertical="center"/>
    </xf>
    <xf numFmtId="9" fontId="23" fillId="0" borderId="0" xfId="1" applyFont="1" applyFill="1" applyBorder="1" applyAlignment="1" applyProtection="1">
      <alignment horizontal="center" vertical="center" wrapText="1"/>
    </xf>
    <xf numFmtId="9" fontId="18" fillId="7" borderId="0" xfId="1" applyFont="1" applyFill="1" applyBorder="1" applyAlignment="1" applyProtection="1">
      <alignment horizontal="center" vertical="center"/>
    </xf>
    <xf numFmtId="164" fontId="4" fillId="7" borderId="0" xfId="0" applyNumberFormat="1" applyFont="1" applyFill="1" applyAlignment="1">
      <alignment horizontal="center" vertical="center"/>
    </xf>
    <xf numFmtId="164" fontId="8" fillId="7" borderId="0" xfId="0" applyNumberFormat="1" applyFont="1" applyFill="1" applyAlignment="1">
      <alignment horizontal="center" vertical="center"/>
    </xf>
    <xf numFmtId="164" fontId="0" fillId="0" borderId="0" xfId="1" applyNumberFormat="1" applyFont="1" applyFill="1" applyBorder="1" applyAlignment="1" applyProtection="1">
      <alignment horizontal="center"/>
    </xf>
    <xf numFmtId="4" fontId="9" fillId="0" borderId="0" xfId="0" applyNumberFormat="1" applyFont="1" applyAlignment="1">
      <alignment horizontal="center" vertical="top"/>
    </xf>
    <xf numFmtId="0" fontId="11" fillId="0" borderId="0" xfId="0" applyFont="1"/>
    <xf numFmtId="0" fontId="22" fillId="0" borderId="0" xfId="0" applyFont="1" applyAlignment="1">
      <alignment wrapText="1"/>
    </xf>
    <xf numFmtId="0" fontId="3" fillId="5" borderId="0" xfId="0" applyFont="1" applyFill="1" applyAlignment="1">
      <alignment horizontal="center"/>
    </xf>
    <xf numFmtId="1" fontId="5" fillId="0" borderId="0" xfId="2" applyNumberFormat="1" applyFont="1" applyBorder="1" applyAlignment="1" applyProtection="1">
      <alignment horizontal="center"/>
      <protection locked="0"/>
    </xf>
    <xf numFmtId="165" fontId="4" fillId="0" borderId="0" xfId="2" applyNumberFormat="1" applyFont="1" applyFill="1" applyAlignment="1">
      <alignment horizontal="center" vertical="center" wrapText="1"/>
    </xf>
    <xf numFmtId="165" fontId="5" fillId="0" borderId="0" xfId="2" applyNumberFormat="1" applyFont="1" applyFill="1" applyAlignment="1">
      <alignment horizontal="center" vertical="center" wrapText="1"/>
    </xf>
    <xf numFmtId="3" fontId="0" fillId="0" borderId="0" xfId="0" applyNumberFormat="1" applyAlignment="1">
      <alignment horizontal="right" vertical="center"/>
    </xf>
    <xf numFmtId="9" fontId="0" fillId="0" borderId="0" xfId="1" applyFont="1" applyFill="1" applyBorder="1" applyAlignment="1" applyProtection="1">
      <alignment horizontal="right" vertical="center"/>
    </xf>
    <xf numFmtId="165" fontId="4" fillId="0" borderId="0" xfId="2" applyNumberFormat="1" applyFont="1" applyFill="1" applyAlignment="1">
      <alignment horizontal="right" vertical="center" wrapText="1"/>
    </xf>
    <xf numFmtId="3" fontId="25" fillId="0" borderId="0" xfId="0" applyNumberFormat="1" applyFont="1" applyAlignment="1">
      <alignment horizontal="right" vertical="center"/>
    </xf>
    <xf numFmtId="3" fontId="17" fillId="7" borderId="0" xfId="0" applyNumberFormat="1" applyFont="1" applyFill="1" applyAlignment="1">
      <alignment horizontal="right" vertical="center"/>
    </xf>
    <xf numFmtId="9" fontId="17" fillId="7" borderId="0" xfId="1" applyFont="1" applyFill="1" applyBorder="1" applyAlignment="1" applyProtection="1">
      <alignment horizontal="right" vertical="center"/>
    </xf>
    <xf numFmtId="3" fontId="8" fillId="7" borderId="0" xfId="0" applyNumberFormat="1" applyFont="1" applyFill="1" applyAlignment="1">
      <alignment horizontal="center" vertical="center"/>
    </xf>
    <xf numFmtId="3" fontId="33" fillId="7" borderId="0" xfId="0" applyNumberFormat="1" applyFont="1" applyFill="1" applyAlignment="1">
      <alignment horizontal="center" vertical="center"/>
    </xf>
    <xf numFmtId="9" fontId="36" fillId="7" borderId="0" xfId="1" applyFont="1" applyFill="1" applyBorder="1" applyAlignment="1" applyProtection="1">
      <alignment horizontal="center" vertical="center"/>
    </xf>
    <xf numFmtId="43" fontId="0" fillId="0" borderId="0" xfId="2" applyFont="1"/>
    <xf numFmtId="0" fontId="8" fillId="7" borderId="0" xfId="0" applyFont="1" applyFill="1" applyAlignment="1">
      <alignment horizontal="left" vertical="center"/>
    </xf>
    <xf numFmtId="3" fontId="36" fillId="7" borderId="0" xfId="0" applyNumberFormat="1" applyFont="1" applyFill="1" applyAlignment="1">
      <alignment horizontal="center" vertical="center"/>
    </xf>
    <xf numFmtId="0" fontId="8" fillId="15" borderId="0" xfId="0" applyFont="1" applyFill="1" applyAlignment="1">
      <alignment horizontal="left" vertical="center" wrapText="1"/>
    </xf>
    <xf numFmtId="3" fontId="8" fillId="15" borderId="0" xfId="0" applyNumberFormat="1" applyFont="1" applyFill="1" applyAlignment="1">
      <alignment horizontal="center" vertical="center" wrapText="1"/>
    </xf>
    <xf numFmtId="9" fontId="18" fillId="15" borderId="0" xfId="1" applyFont="1" applyFill="1" applyBorder="1" applyAlignment="1" applyProtection="1">
      <alignment horizontal="center" vertical="center"/>
    </xf>
    <xf numFmtId="0" fontId="37" fillId="0" borderId="0" xfId="0" applyFont="1" applyProtection="1">
      <protection locked="0"/>
    </xf>
    <xf numFmtId="43" fontId="0" fillId="0" borderId="0" xfId="0" applyNumberFormat="1"/>
    <xf numFmtId="10" fontId="0" fillId="0" borderId="0" xfId="1" applyNumberFormat="1" applyFont="1"/>
    <xf numFmtId="1" fontId="5" fillId="0" borderId="0" xfId="2" applyNumberFormat="1" applyFont="1" applyBorder="1" applyAlignment="1" applyProtection="1">
      <protection locked="0"/>
    </xf>
    <xf numFmtId="1" fontId="5" fillId="0" borderId="0" xfId="2" applyNumberFormat="1" applyFont="1" applyBorder="1" applyAlignment="1" applyProtection="1">
      <alignment vertical="center"/>
      <protection locked="0"/>
    </xf>
    <xf numFmtId="0" fontId="0" fillId="0" borderId="9" xfId="0" applyBorder="1" applyProtection="1">
      <protection locked="0"/>
    </xf>
    <xf numFmtId="3" fontId="5" fillId="0" borderId="0" xfId="0" applyNumberFormat="1" applyFont="1" applyAlignment="1" applyProtection="1">
      <alignment horizontal="center" vertical="center"/>
      <protection locked="0"/>
    </xf>
    <xf numFmtId="3" fontId="5" fillId="0" borderId="0" xfId="0" applyNumberFormat="1" applyFont="1" applyAlignment="1" applyProtection="1">
      <alignment vertical="center"/>
      <protection locked="0"/>
    </xf>
    <xf numFmtId="3" fontId="13" fillId="12" borderId="0" xfId="0" applyNumberFormat="1" applyFont="1" applyFill="1" applyAlignment="1" applyProtection="1">
      <alignment horizontal="center" vertical="center"/>
      <protection locked="0"/>
    </xf>
    <xf numFmtId="3" fontId="13" fillId="7" borderId="0" xfId="0" applyNumberFormat="1" applyFont="1" applyFill="1" applyAlignment="1" applyProtection="1">
      <alignment horizontal="center" vertical="center"/>
      <protection locked="0"/>
    </xf>
    <xf numFmtId="3" fontId="13" fillId="7" borderId="0" xfId="0" applyNumberFormat="1" applyFont="1" applyFill="1" applyAlignment="1" applyProtection="1">
      <alignment vertical="center"/>
      <protection locked="0"/>
    </xf>
    <xf numFmtId="0" fontId="4" fillId="5" borderId="0" xfId="0" applyFont="1" applyFill="1" applyAlignment="1">
      <alignment vertical="center"/>
    </xf>
    <xf numFmtId="165" fontId="4" fillId="7" borderId="0" xfId="2" applyNumberFormat="1" applyFont="1" applyFill="1" applyAlignment="1">
      <alignment horizontal="center" vertical="center" wrapText="1"/>
    </xf>
    <xf numFmtId="165" fontId="4" fillId="7" borderId="0" xfId="2" applyNumberFormat="1" applyFont="1" applyFill="1" applyAlignment="1">
      <alignment horizontal="left" vertical="center" wrapText="1"/>
    </xf>
    <xf numFmtId="9" fontId="4" fillId="7" borderId="0" xfId="1" applyFont="1" applyFill="1" applyAlignment="1">
      <alignment horizontal="center" vertical="center" wrapText="1"/>
    </xf>
    <xf numFmtId="9" fontId="0" fillId="0" borderId="9" xfId="1" applyFont="1" applyBorder="1" applyProtection="1">
      <protection locked="0"/>
    </xf>
    <xf numFmtId="3" fontId="36" fillId="0" borderId="0" xfId="0" applyNumberFormat="1" applyFont="1" applyAlignment="1">
      <alignment horizontal="center" vertical="center"/>
    </xf>
    <xf numFmtId="164" fontId="3" fillId="0" borderId="0" xfId="1" applyNumberFormat="1" applyFont="1" applyAlignment="1" applyProtection="1">
      <alignment horizontal="center" vertical="center"/>
    </xf>
    <xf numFmtId="0" fontId="16" fillId="5" borderId="0" xfId="0" applyFont="1" applyFill="1" applyAlignment="1">
      <alignment horizontal="center" vertical="center" wrapText="1"/>
    </xf>
    <xf numFmtId="165" fontId="39" fillId="0" borderId="0" xfId="2" applyNumberFormat="1" applyFont="1" applyBorder="1" applyAlignment="1" applyProtection="1">
      <alignment horizontal="center"/>
      <protection locked="0"/>
    </xf>
    <xf numFmtId="165" fontId="15" fillId="0" borderId="0" xfId="2" applyNumberFormat="1" applyFont="1" applyBorder="1" applyAlignment="1" applyProtection="1">
      <protection locked="0"/>
    </xf>
    <xf numFmtId="165" fontId="15" fillId="0" borderId="0" xfId="2" applyNumberFormat="1" applyFont="1" applyBorder="1" applyAlignment="1" applyProtection="1">
      <alignment horizontal="center"/>
      <protection locked="0"/>
    </xf>
    <xf numFmtId="43" fontId="39" fillId="0" borderId="0" xfId="2" applyFont="1" applyBorder="1" applyAlignment="1" applyProtection="1">
      <alignment horizontal="center"/>
      <protection locked="0"/>
    </xf>
    <xf numFmtId="165" fontId="16" fillId="0" borderId="0" xfId="2" applyNumberFormat="1" applyFont="1" applyFill="1" applyBorder="1" applyAlignment="1" applyProtection="1">
      <alignment horizontal="center"/>
    </xf>
    <xf numFmtId="165" fontId="16" fillId="0" borderId="0" xfId="2" applyNumberFormat="1" applyFont="1" applyFill="1" applyBorder="1" applyAlignment="1" applyProtection="1">
      <alignment horizontal="center" vertical="center"/>
    </xf>
    <xf numFmtId="165" fontId="15" fillId="0" borderId="0" xfId="2" applyNumberFormat="1" applyFont="1" applyBorder="1" applyAlignment="1" applyProtection="1">
      <alignment horizontal="center" vertical="center"/>
      <protection locked="0"/>
    </xf>
    <xf numFmtId="165" fontId="24" fillId="0" borderId="0" xfId="2" applyNumberFormat="1" applyFont="1" applyFill="1" applyBorder="1" applyAlignment="1" applyProtection="1">
      <alignment horizontal="center"/>
    </xf>
    <xf numFmtId="0" fontId="40" fillId="7" borderId="0" xfId="0" applyFont="1" applyFill="1" applyAlignment="1">
      <alignment horizontal="left" vertical="center"/>
    </xf>
    <xf numFmtId="165" fontId="38" fillId="7" borderId="0" xfId="2" applyNumberFormat="1" applyFont="1" applyFill="1" applyBorder="1" applyAlignment="1" applyProtection="1">
      <alignment horizontal="center"/>
    </xf>
    <xf numFmtId="165" fontId="41" fillId="7" borderId="0" xfId="2" applyNumberFormat="1" applyFont="1" applyFill="1" applyBorder="1" applyAlignment="1" applyProtection="1">
      <alignment horizontal="center"/>
    </xf>
    <xf numFmtId="165" fontId="15" fillId="0" borderId="0" xfId="2" applyNumberFormat="1" applyFont="1" applyBorder="1" applyAlignment="1" applyProtection="1"/>
    <xf numFmtId="165" fontId="15" fillId="0" borderId="0" xfId="2" applyNumberFormat="1" applyFont="1" applyBorder="1" applyAlignment="1" applyProtection="1">
      <alignment horizontal="center"/>
    </xf>
    <xf numFmtId="165" fontId="15" fillId="0" borderId="0" xfId="2" applyNumberFormat="1" applyFont="1" applyBorder="1" applyAlignment="1" applyProtection="1">
      <alignment horizontal="center" vertical="center"/>
    </xf>
    <xf numFmtId="165" fontId="38" fillId="7" borderId="0" xfId="2" applyNumberFormat="1" applyFont="1" applyFill="1" applyBorder="1" applyAlignment="1" applyProtection="1">
      <alignment horizontal="center" vertical="center"/>
    </xf>
    <xf numFmtId="0" fontId="40" fillId="9" borderId="0" xfId="0" applyFont="1" applyFill="1" applyAlignment="1">
      <alignment horizontal="left" vertical="center" wrapText="1"/>
    </xf>
    <xf numFmtId="165" fontId="38" fillId="9" borderId="0" xfId="2" applyNumberFormat="1" applyFont="1" applyFill="1" applyBorder="1" applyAlignment="1" applyProtection="1">
      <alignment horizontal="center"/>
    </xf>
    <xf numFmtId="165" fontId="38" fillId="9" borderId="0" xfId="2" applyNumberFormat="1" applyFont="1" applyFill="1" applyBorder="1" applyAlignment="1" applyProtection="1">
      <alignment horizontal="center" vertical="center"/>
    </xf>
    <xf numFmtId="0" fontId="15" fillId="0" borderId="0" xfId="0" applyFont="1" applyAlignment="1">
      <alignment horizontal="center"/>
    </xf>
    <xf numFmtId="9" fontId="16" fillId="0" borderId="0" xfId="1" applyFont="1" applyAlignment="1" applyProtection="1">
      <alignment horizontal="center"/>
    </xf>
    <xf numFmtId="0" fontId="16"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center"/>
      <protection locked="0"/>
    </xf>
    <xf numFmtId="0" fontId="16" fillId="0" borderId="0" xfId="0" applyFont="1" applyAlignment="1">
      <alignment horizontal="center" vertical="center" wrapText="1"/>
    </xf>
    <xf numFmtId="0" fontId="36" fillId="7" borderId="0" xfId="0" applyFont="1" applyFill="1" applyAlignment="1">
      <alignment horizontal="center" vertical="center"/>
    </xf>
    <xf numFmtId="10" fontId="45" fillId="0" borderId="0" xfId="1" applyNumberFormat="1" applyFont="1" applyBorder="1" applyAlignment="1" applyProtection="1">
      <alignment horizontal="center" vertical="top"/>
    </xf>
    <xf numFmtId="10" fontId="45" fillId="11" borderId="0" xfId="1" applyNumberFormat="1" applyFont="1" applyFill="1" applyBorder="1" applyAlignment="1" applyProtection="1">
      <alignment horizontal="center" vertical="top"/>
    </xf>
    <xf numFmtId="10" fontId="35" fillId="0" borderId="0" xfId="1" applyNumberFormat="1" applyFont="1" applyBorder="1" applyAlignment="1" applyProtection="1">
      <alignment horizontal="center"/>
    </xf>
    <xf numFmtId="0" fontId="47" fillId="0" borderId="0" xfId="0" applyFont="1"/>
    <xf numFmtId="165" fontId="48"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165" fontId="4" fillId="12" borderId="0" xfId="2" applyNumberFormat="1" applyFont="1" applyFill="1" applyAlignment="1">
      <alignment horizontal="center" vertical="center" wrapText="1"/>
    </xf>
    <xf numFmtId="0" fontId="50" fillId="0" borderId="0" xfId="0" applyFont="1"/>
    <xf numFmtId="3" fontId="23" fillId="0" borderId="0" xfId="0" applyNumberFormat="1" applyFont="1" applyAlignment="1">
      <alignment horizontal="center" vertical="center"/>
    </xf>
    <xf numFmtId="164" fontId="5" fillId="0" borderId="0" xfId="0" applyNumberFormat="1" applyFont="1" applyAlignment="1">
      <alignment horizontal="center" vertical="center"/>
    </xf>
    <xf numFmtId="3" fontId="6" fillId="0" borderId="0" xfId="0" applyNumberFormat="1" applyFont="1" applyAlignment="1" applyProtection="1">
      <alignment horizontal="center" vertical="center"/>
      <protection locked="0"/>
    </xf>
    <xf numFmtId="9" fontId="17" fillId="7" borderId="0" xfId="0" applyNumberFormat="1" applyFont="1" applyFill="1" applyAlignment="1">
      <alignment horizontal="center" vertical="center"/>
    </xf>
    <xf numFmtId="0" fontId="16" fillId="0" borderId="0" xfId="0" applyFont="1" applyProtection="1">
      <protection locked="0"/>
    </xf>
    <xf numFmtId="0" fontId="15" fillId="12" borderId="0" xfId="0" applyFont="1" applyFill="1" applyProtection="1">
      <protection locked="0"/>
    </xf>
    <xf numFmtId="0" fontId="21" fillId="0" borderId="0" xfId="0" applyFont="1" applyAlignment="1" applyProtection="1">
      <alignment horizontal="center" wrapText="1"/>
      <protection locked="0"/>
    </xf>
    <xf numFmtId="3" fontId="15" fillId="0" borderId="0" xfId="2" applyNumberFormat="1" applyFont="1" applyBorder="1" applyAlignment="1" applyProtection="1">
      <alignment horizontal="center"/>
      <protection locked="0"/>
    </xf>
    <xf numFmtId="3" fontId="21" fillId="0" borderId="0" xfId="2" applyNumberFormat="1" applyFont="1" applyBorder="1" applyAlignment="1" applyProtection="1">
      <alignment horizontal="center"/>
      <protection locked="0"/>
    </xf>
    <xf numFmtId="3" fontId="38" fillId="12" borderId="0" xfId="0" applyNumberFormat="1" applyFont="1" applyFill="1" applyAlignment="1" applyProtection="1">
      <alignment horizontal="center" vertical="center"/>
      <protection locked="0"/>
    </xf>
    <xf numFmtId="3" fontId="38" fillId="7" borderId="0" xfId="0" applyNumberFormat="1" applyFont="1" applyFill="1" applyAlignment="1" applyProtection="1">
      <alignment horizontal="center" vertical="center"/>
      <protection locked="0"/>
    </xf>
    <xf numFmtId="3" fontId="38" fillId="7" borderId="0" xfId="0" applyNumberFormat="1" applyFont="1" applyFill="1" applyAlignment="1">
      <alignment horizontal="center" vertical="center"/>
    </xf>
    <xf numFmtId="3" fontId="49" fillId="7" borderId="0" xfId="0" applyNumberFormat="1" applyFont="1" applyFill="1" applyAlignment="1" applyProtection="1">
      <alignment horizontal="center" vertical="center"/>
      <protection locked="0"/>
    </xf>
    <xf numFmtId="0" fontId="42" fillId="0" borderId="0" xfId="0" applyFont="1"/>
    <xf numFmtId="0" fontId="8" fillId="7" borderId="0" xfId="0" applyFont="1" applyFill="1" applyAlignment="1">
      <alignment horizontal="left" vertical="center" wrapText="1"/>
    </xf>
    <xf numFmtId="0" fontId="3" fillId="0" borderId="0" xfId="0" applyFont="1" applyAlignment="1" applyProtection="1">
      <alignment vertical="center"/>
      <protection locked="0"/>
    </xf>
    <xf numFmtId="0" fontId="14" fillId="6" borderId="0" xfId="0" applyFont="1" applyFill="1" applyAlignment="1">
      <alignment vertical="center"/>
    </xf>
    <xf numFmtId="0" fontId="4" fillId="0" borderId="0" xfId="0" applyFont="1" applyAlignment="1">
      <alignment vertical="center"/>
    </xf>
    <xf numFmtId="0" fontId="14" fillId="5" borderId="0" xfId="0" applyFont="1" applyFill="1" applyAlignment="1">
      <alignment horizontal="center" vertical="center"/>
    </xf>
    <xf numFmtId="3" fontId="46" fillId="0" borderId="0" xfId="0" applyNumberFormat="1" applyFont="1" applyAlignment="1" applyProtection="1">
      <alignment horizontal="center" vertical="top"/>
      <protection locked="0"/>
    </xf>
    <xf numFmtId="0" fontId="19" fillId="17" borderId="0" xfId="0" applyFont="1" applyFill="1" applyAlignment="1">
      <alignment horizontal="center" vertical="center"/>
    </xf>
    <xf numFmtId="0" fontId="15" fillId="0" borderId="0" xfId="0" applyFont="1" applyAlignment="1">
      <alignment horizontal="left" vertical="top" wrapText="1"/>
    </xf>
    <xf numFmtId="3" fontId="9" fillId="0" borderId="0" xfId="0" applyNumberFormat="1" applyFont="1" applyAlignment="1">
      <alignment horizontal="center"/>
    </xf>
    <xf numFmtId="166" fontId="14" fillId="0" borderId="0" xfId="0" applyNumberFormat="1" applyFont="1" applyAlignment="1">
      <alignment horizontal="left" vertical="center"/>
    </xf>
    <xf numFmtId="0" fontId="14" fillId="0" borderId="0" xfId="0" applyFont="1" applyAlignment="1">
      <alignment horizontal="left" vertical="center"/>
    </xf>
    <xf numFmtId="3" fontId="48" fillId="0" borderId="0" xfId="0" applyNumberFormat="1" applyFont="1" applyAlignment="1">
      <alignment horizontal="center" vertical="center"/>
    </xf>
    <xf numFmtId="43" fontId="6" fillId="0" borderId="0" xfId="1" applyNumberFormat="1" applyFont="1" applyBorder="1" applyAlignment="1">
      <alignment horizontal="center" vertical="center"/>
    </xf>
    <xf numFmtId="0" fontId="22" fillId="0" borderId="0" xfId="0" applyFont="1" applyAlignment="1">
      <alignment horizontal="left" vertical="center"/>
    </xf>
    <xf numFmtId="166" fontId="14" fillId="11" borderId="0" xfId="0" applyNumberFormat="1" applyFont="1" applyFill="1" applyAlignment="1">
      <alignment vertical="center"/>
    </xf>
    <xf numFmtId="9" fontId="35" fillId="11" borderId="0" xfId="1" applyFont="1" applyFill="1" applyBorder="1" applyAlignment="1" applyProtection="1">
      <alignment horizontal="center"/>
    </xf>
    <xf numFmtId="166" fontId="14" fillId="0" borderId="0" xfId="0" applyNumberFormat="1" applyFont="1" applyAlignment="1">
      <alignment vertical="center"/>
    </xf>
    <xf numFmtId="9" fontId="35" fillId="0" borderId="0" xfId="1" applyFont="1" applyFill="1" applyBorder="1" applyAlignment="1" applyProtection="1">
      <alignment horizontal="center"/>
    </xf>
    <xf numFmtId="0" fontId="12" fillId="0" borderId="0" xfId="0" applyFont="1" applyAlignment="1">
      <alignment horizontal="left" vertical="center"/>
    </xf>
    <xf numFmtId="3" fontId="9" fillId="0" borderId="0" xfId="0" applyNumberFormat="1" applyFont="1" applyAlignment="1">
      <alignment vertical="top"/>
    </xf>
    <xf numFmtId="4" fontId="9" fillId="0" borderId="0" xfId="0" applyNumberFormat="1" applyFont="1" applyAlignment="1">
      <alignment vertical="top"/>
    </xf>
    <xf numFmtId="0" fontId="15" fillId="5" borderId="0" xfId="0" applyFont="1" applyFill="1"/>
    <xf numFmtId="169" fontId="16" fillId="0" borderId="0" xfId="2" applyNumberFormat="1" applyFont="1" applyFill="1" applyBorder="1" applyAlignment="1" applyProtection="1">
      <alignment horizontal="right" vertical="center"/>
      <protection locked="0"/>
    </xf>
    <xf numFmtId="0" fontId="36" fillId="0" borderId="0" xfId="0" applyFont="1" applyAlignment="1">
      <alignment horizontal="center" vertical="center"/>
    </xf>
    <xf numFmtId="0" fontId="36" fillId="7" borderId="0" xfId="0" applyFont="1" applyFill="1" applyAlignment="1" applyProtection="1">
      <alignment horizontal="left" vertical="center" wrapText="1"/>
      <protection locked="0"/>
    </xf>
    <xf numFmtId="43" fontId="5" fillId="0" borderId="0" xfId="0" applyNumberFormat="1" applyFont="1" applyAlignment="1" applyProtection="1">
      <alignment horizontal="center"/>
      <protection locked="0"/>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9" fontId="19" fillId="17" borderId="16" xfId="1" applyFont="1" applyFill="1" applyBorder="1" applyAlignment="1" applyProtection="1">
      <alignment horizontal="center" vertical="center"/>
    </xf>
    <xf numFmtId="4" fontId="24" fillId="17" borderId="16" xfId="0" applyNumberFormat="1" applyFont="1" applyFill="1" applyBorder="1" applyAlignment="1">
      <alignment horizontal="center" vertical="center"/>
    </xf>
    <xf numFmtId="9" fontId="19" fillId="17" borderId="17" xfId="1" applyFont="1" applyFill="1" applyBorder="1" applyAlignment="1" applyProtection="1">
      <alignment horizontal="center" vertical="center"/>
    </xf>
    <xf numFmtId="3" fontId="45" fillId="0" borderId="13" xfId="0" applyNumberFormat="1" applyFont="1" applyBorder="1" applyAlignment="1">
      <alignment horizontal="center" vertical="top"/>
    </xf>
    <xf numFmtId="3" fontId="35" fillId="0" borderId="0" xfId="0" applyNumberFormat="1" applyFont="1" applyAlignment="1">
      <alignment horizontal="center"/>
    </xf>
    <xf numFmtId="3" fontId="45" fillId="0" borderId="0" xfId="0" applyNumberFormat="1" applyFont="1" applyAlignment="1">
      <alignment horizontal="center" vertical="top"/>
    </xf>
    <xf numFmtId="3" fontId="19" fillId="17" borderId="16" xfId="0" applyNumberFormat="1" applyFont="1" applyFill="1" applyBorder="1" applyAlignment="1">
      <alignment horizontal="center" vertical="center"/>
    </xf>
    <xf numFmtId="0" fontId="14" fillId="5" borderId="13"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4" xfId="0" applyFont="1" applyFill="1" applyBorder="1" applyAlignment="1">
      <alignment horizontal="center" vertical="center" wrapText="1"/>
    </xf>
    <xf numFmtId="10" fontId="35" fillId="0" borderId="14" xfId="1" applyNumberFormat="1" applyFont="1" applyBorder="1" applyAlignment="1" applyProtection="1">
      <alignment horizontal="center"/>
    </xf>
    <xf numFmtId="4" fontId="45" fillId="0" borderId="0" xfId="0" applyNumberFormat="1" applyFont="1" applyAlignment="1">
      <alignment horizontal="center" vertical="top"/>
    </xf>
    <xf numFmtId="10" fontId="45" fillId="0" borderId="14" xfId="1" applyNumberFormat="1" applyFont="1" applyBorder="1" applyAlignment="1" applyProtection="1">
      <alignment horizontal="center" vertical="top"/>
    </xf>
    <xf numFmtId="3" fontId="24" fillId="17" borderId="16" xfId="0" applyNumberFormat="1" applyFont="1" applyFill="1" applyBorder="1" applyAlignment="1">
      <alignment horizontal="center" vertical="center"/>
    </xf>
    <xf numFmtId="9" fontId="35" fillId="11" borderId="14" xfId="1" applyFont="1" applyFill="1" applyBorder="1" applyAlignment="1" applyProtection="1">
      <alignment horizontal="center"/>
    </xf>
    <xf numFmtId="4" fontId="45" fillId="0" borderId="0" xfId="0" applyNumberFormat="1" applyFont="1" applyAlignment="1" applyProtection="1">
      <alignment horizontal="center" vertical="top"/>
      <protection locked="0"/>
    </xf>
    <xf numFmtId="4" fontId="35" fillId="0" borderId="0" xfId="0" applyNumberFormat="1" applyFont="1" applyAlignment="1" applyProtection="1">
      <alignment horizontal="center"/>
      <protection locked="0"/>
    </xf>
    <xf numFmtId="4" fontId="16" fillId="17" borderId="16" xfId="0" applyNumberFormat="1" applyFont="1" applyFill="1" applyBorder="1" applyProtection="1">
      <protection locked="0"/>
    </xf>
    <xf numFmtId="164" fontId="35" fillId="0" borderId="0" xfId="1" applyNumberFormat="1" applyFont="1" applyFill="1" applyBorder="1" applyAlignment="1" applyProtection="1">
      <alignment horizontal="center"/>
    </xf>
    <xf numFmtId="3" fontId="28" fillId="7" borderId="0" xfId="0" applyNumberFormat="1" applyFont="1" applyFill="1" applyAlignment="1">
      <alignment horizontal="center" vertical="center"/>
    </xf>
    <xf numFmtId="0" fontId="14" fillId="5" borderId="18" xfId="0" applyFont="1" applyFill="1" applyBorder="1" applyAlignment="1">
      <alignment vertical="center"/>
    </xf>
    <xf numFmtId="0" fontId="14" fillId="5" borderId="19" xfId="0" applyFont="1" applyFill="1" applyBorder="1" applyAlignment="1">
      <alignment vertical="center"/>
    </xf>
    <xf numFmtId="0" fontId="43" fillId="5" borderId="0" xfId="0" applyFont="1" applyFill="1"/>
    <xf numFmtId="0" fontId="14" fillId="5" borderId="20" xfId="0" applyFont="1" applyFill="1" applyBorder="1" applyAlignment="1">
      <alignment vertical="center"/>
    </xf>
    <xf numFmtId="0" fontId="13" fillId="0" borderId="0" xfId="0" applyFont="1" applyAlignment="1" applyProtection="1">
      <alignment horizontal="center"/>
      <protection locked="0"/>
    </xf>
    <xf numFmtId="43" fontId="13" fillId="0" borderId="0" xfId="0" applyNumberFormat="1" applyFont="1" applyAlignment="1" applyProtection="1">
      <alignment horizontal="center"/>
      <protection locked="0"/>
    </xf>
    <xf numFmtId="4" fontId="52" fillId="0" borderId="0" xfId="0" applyNumberFormat="1" applyFont="1" applyAlignment="1">
      <alignment vertical="top"/>
    </xf>
    <xf numFmtId="0" fontId="51" fillId="0" borderId="0" xfId="0" applyFont="1"/>
    <xf numFmtId="43" fontId="5" fillId="0" borderId="0" xfId="2" applyFont="1" applyBorder="1" applyAlignment="1" applyProtection="1">
      <alignment horizontal="right" vertical="center"/>
      <protection locked="0"/>
    </xf>
    <xf numFmtId="43" fontId="5" fillId="0" borderId="0" xfId="2" applyFont="1" applyBorder="1" applyAlignment="1" applyProtection="1">
      <alignment vertical="center"/>
      <protection locked="0"/>
    </xf>
    <xf numFmtId="43" fontId="0" fillId="0" borderId="0" xfId="0" applyNumberFormat="1" applyAlignment="1">
      <alignment horizontal="right" vertical="center"/>
    </xf>
    <xf numFmtId="165" fontId="0" fillId="0" borderId="0" xfId="0" applyNumberFormat="1" applyAlignment="1">
      <alignment horizontal="right" vertical="center"/>
    </xf>
    <xf numFmtId="37" fontId="5" fillId="0" borderId="0" xfId="2" applyNumberFormat="1" applyFont="1" applyBorder="1" applyAlignment="1" applyProtection="1">
      <alignment horizontal="center"/>
    </xf>
    <xf numFmtId="43" fontId="5" fillId="0" borderId="0" xfId="2" applyFont="1" applyBorder="1" applyAlignment="1" applyProtection="1">
      <alignment horizontal="center" vertical="center"/>
      <protection locked="0"/>
    </xf>
    <xf numFmtId="0" fontId="8" fillId="7" borderId="0" xfId="0" applyFont="1" applyFill="1" applyAlignment="1">
      <alignment horizontal="center" vertical="center"/>
    </xf>
    <xf numFmtId="3" fontId="16" fillId="7" borderId="0" xfId="2" applyNumberFormat="1" applyFont="1" applyFill="1" applyBorder="1" applyAlignment="1" applyProtection="1">
      <alignment horizontal="center"/>
      <protection locked="0"/>
    </xf>
    <xf numFmtId="3" fontId="4" fillId="7" borderId="0" xfId="2" applyNumberFormat="1" applyFont="1" applyFill="1" applyBorder="1" applyAlignment="1" applyProtection="1">
      <alignment horizontal="center"/>
    </xf>
    <xf numFmtId="0" fontId="22" fillId="0" borderId="0" xfId="0" applyFont="1" applyAlignment="1">
      <alignment horizontal="left"/>
    </xf>
    <xf numFmtId="43" fontId="15" fillId="0" borderId="0" xfId="0" applyNumberFormat="1" applyFont="1" applyProtection="1">
      <protection locked="0"/>
    </xf>
    <xf numFmtId="3" fontId="16" fillId="5" borderId="0" xfId="0" applyNumberFormat="1" applyFont="1" applyFill="1" applyAlignment="1">
      <alignment vertical="center" wrapText="1"/>
    </xf>
    <xf numFmtId="0" fontId="16" fillId="5" borderId="0" xfId="0" applyFont="1" applyFill="1" applyAlignment="1">
      <alignment vertical="center" wrapText="1"/>
    </xf>
    <xf numFmtId="43" fontId="5" fillId="0" borderId="0" xfId="2" applyFont="1" applyBorder="1" applyAlignment="1" applyProtection="1">
      <alignment horizontal="left"/>
    </xf>
    <xf numFmtId="0" fontId="3" fillId="0" borderId="0" xfId="0" applyFont="1" applyAlignment="1">
      <alignment horizontal="left" vertical="center" wrapText="1"/>
    </xf>
    <xf numFmtId="165" fontId="6" fillId="0" borderId="0" xfId="2" applyNumberFormat="1" applyFont="1" applyFill="1" applyBorder="1" applyAlignment="1" applyProtection="1">
      <alignment horizontal="right" vertical="center"/>
    </xf>
    <xf numFmtId="165" fontId="23" fillId="0" borderId="0" xfId="2" applyNumberFormat="1" applyFont="1" applyFill="1" applyBorder="1" applyAlignment="1" applyProtection="1">
      <alignment horizontal="right" vertical="center"/>
    </xf>
    <xf numFmtId="165" fontId="18" fillId="7" borderId="0" xfId="0" applyNumberFormat="1" applyFont="1" applyFill="1" applyAlignment="1">
      <alignment horizontal="right" vertical="center"/>
    </xf>
    <xf numFmtId="4" fontId="8" fillId="7" borderId="0" xfId="0" applyNumberFormat="1" applyFont="1" applyFill="1" applyAlignment="1">
      <alignment horizontal="center" vertical="center"/>
    </xf>
    <xf numFmtId="0" fontId="8" fillId="13" borderId="0" xfId="0" applyFont="1" applyFill="1" applyAlignment="1">
      <alignment horizontal="center" vertical="center" wrapText="1"/>
    </xf>
    <xf numFmtId="3" fontId="8" fillId="13" borderId="0" xfId="0" applyNumberFormat="1" applyFont="1" applyFill="1" applyAlignment="1">
      <alignment horizontal="center" vertical="center" wrapText="1"/>
    </xf>
    <xf numFmtId="0" fontId="4" fillId="15" borderId="0" xfId="0" applyFont="1" applyFill="1" applyAlignment="1">
      <alignment horizontal="center" vertical="center"/>
    </xf>
    <xf numFmtId="9" fontId="4" fillId="15" borderId="0" xfId="1" applyFont="1" applyFill="1" applyAlignment="1" applyProtection="1">
      <alignment horizontal="center" vertical="center"/>
    </xf>
    <xf numFmtId="43" fontId="5" fillId="0" borderId="0" xfId="2" applyFont="1" applyBorder="1" applyAlignment="1" applyProtection="1"/>
    <xf numFmtId="43" fontId="8" fillId="7" borderId="0" xfId="0" applyNumberFormat="1" applyFont="1" applyFill="1" applyAlignment="1">
      <alignment horizontal="center" vertical="center"/>
    </xf>
    <xf numFmtId="43" fontId="17" fillId="7" borderId="0" xfId="0" applyNumberFormat="1" applyFont="1" applyFill="1" applyAlignment="1">
      <alignment horizontal="center" vertical="center"/>
    </xf>
    <xf numFmtId="37" fontId="5" fillId="0" borderId="0" xfId="2" applyNumberFormat="1" applyFont="1" applyBorder="1" applyAlignment="1" applyProtection="1"/>
    <xf numFmtId="37" fontId="3" fillId="9" borderId="0" xfId="2" applyNumberFormat="1" applyFont="1" applyFill="1" applyBorder="1" applyAlignment="1" applyProtection="1">
      <alignment horizontal="center" vertical="center"/>
      <protection locked="0"/>
    </xf>
    <xf numFmtId="10" fontId="35" fillId="0" borderId="0" xfId="1" applyNumberFormat="1" applyFont="1" applyFill="1" applyBorder="1" applyAlignment="1" applyProtection="1">
      <alignment horizontal="center"/>
    </xf>
    <xf numFmtId="10" fontId="28" fillId="7" borderId="0" xfId="1" applyNumberFormat="1" applyFont="1" applyFill="1" applyBorder="1" applyAlignment="1" applyProtection="1">
      <alignment horizontal="center" vertical="center"/>
    </xf>
    <xf numFmtId="9" fontId="53" fillId="12" borderId="0" xfId="1" applyFont="1" applyFill="1" applyBorder="1" applyAlignment="1" applyProtection="1">
      <alignment horizontal="center" vertical="center"/>
      <protection locked="0"/>
    </xf>
    <xf numFmtId="0" fontId="53" fillId="12" borderId="0" xfId="0" applyFont="1" applyFill="1" applyProtection="1">
      <protection locked="0"/>
    </xf>
    <xf numFmtId="164" fontId="53" fillId="12" borderId="0" xfId="1" applyNumberFormat="1" applyFont="1" applyFill="1" applyBorder="1" applyAlignment="1" applyProtection="1">
      <alignment horizontal="center" vertical="center"/>
      <protection locked="0"/>
    </xf>
    <xf numFmtId="10" fontId="17" fillId="7" borderId="0" xfId="1" applyNumberFormat="1" applyFont="1" applyFill="1" applyBorder="1" applyAlignment="1" applyProtection="1">
      <alignment horizontal="center" vertical="center"/>
    </xf>
    <xf numFmtId="37" fontId="4" fillId="7" borderId="0" xfId="2" applyNumberFormat="1" applyFont="1" applyFill="1" applyBorder="1" applyAlignment="1" applyProtection="1">
      <alignment horizontal="center"/>
      <protection locked="0"/>
    </xf>
    <xf numFmtId="43" fontId="4" fillId="7" borderId="0" xfId="2" applyFont="1" applyFill="1" applyBorder="1" applyAlignment="1" applyProtection="1">
      <alignment horizontal="center"/>
      <protection locked="0"/>
    </xf>
    <xf numFmtId="9" fontId="54" fillId="12" borderId="0" xfId="1" applyFont="1" applyFill="1" applyAlignment="1" applyProtection="1">
      <alignment horizontal="center"/>
      <protection locked="0"/>
    </xf>
    <xf numFmtId="1" fontId="45" fillId="0" borderId="13" xfId="0" applyNumberFormat="1" applyFont="1" applyBorder="1" applyAlignment="1">
      <alignment horizontal="center" vertical="top"/>
    </xf>
    <xf numFmtId="1" fontId="19" fillId="17" borderId="15" xfId="0" applyNumberFormat="1" applyFont="1" applyFill="1" applyBorder="1" applyAlignment="1">
      <alignment horizontal="center" vertical="center"/>
    </xf>
    <xf numFmtId="1" fontId="24" fillId="17" borderId="15" xfId="0" applyNumberFormat="1" applyFont="1" applyFill="1" applyBorder="1" applyAlignment="1">
      <alignment horizontal="center" vertical="center"/>
    </xf>
    <xf numFmtId="170" fontId="4" fillId="7" borderId="0" xfId="2" applyNumberFormat="1" applyFont="1" applyFill="1" applyBorder="1" applyAlignment="1" applyProtection="1">
      <alignment horizontal="center"/>
      <protection locked="0"/>
    </xf>
    <xf numFmtId="1" fontId="8" fillId="7" borderId="0" xfId="0" applyNumberFormat="1" applyFont="1" applyFill="1" applyAlignment="1">
      <alignment horizontal="center" vertical="center"/>
    </xf>
    <xf numFmtId="0" fontId="4" fillId="5" borderId="0" xfId="0" applyFont="1" applyFill="1" applyAlignment="1">
      <alignment horizontal="center" vertical="center"/>
    </xf>
    <xf numFmtId="9" fontId="8" fillId="7" borderId="0" xfId="1" applyFont="1" applyFill="1" applyAlignment="1" applyProtection="1">
      <alignment horizontal="center" vertical="center" wrapText="1"/>
      <protection locked="0"/>
    </xf>
    <xf numFmtId="9" fontId="5" fillId="0" borderId="0" xfId="1" applyFont="1" applyFill="1" applyBorder="1" applyAlignment="1" applyProtection="1">
      <alignment horizontal="center" vertical="center"/>
    </xf>
    <xf numFmtId="37" fontId="8" fillId="7" borderId="0" xfId="2" applyNumberFormat="1" applyFont="1" applyFill="1" applyAlignment="1" applyProtection="1">
      <alignment horizontal="center" vertical="center" wrapText="1"/>
      <protection locked="0"/>
    </xf>
    <xf numFmtId="37" fontId="8" fillId="7" borderId="0" xfId="0" applyNumberFormat="1" applyFont="1" applyFill="1" applyAlignment="1">
      <alignment horizontal="center" vertical="center" wrapText="1"/>
    </xf>
    <xf numFmtId="9" fontId="8" fillId="7" borderId="0" xfId="1" applyFont="1" applyFill="1" applyAlignment="1">
      <alignment horizontal="left" vertical="center" wrapText="1" indent="4"/>
    </xf>
    <xf numFmtId="9" fontId="8" fillId="7" borderId="0" xfId="1" applyFont="1" applyFill="1" applyAlignment="1">
      <alignment horizontal="center" vertical="center" wrapText="1"/>
    </xf>
    <xf numFmtId="3" fontId="23" fillId="12" borderId="0" xfId="0" applyNumberFormat="1" applyFont="1" applyFill="1" applyAlignment="1">
      <alignment horizontal="center"/>
    </xf>
    <xf numFmtId="43" fontId="8" fillId="7" borderId="0" xfId="2" applyFont="1" applyFill="1" applyAlignment="1">
      <alignment horizontal="center" vertical="center"/>
    </xf>
    <xf numFmtId="0" fontId="23" fillId="12" borderId="0" xfId="0" applyFont="1" applyFill="1" applyAlignment="1">
      <alignment horizontal="center" vertical="center" wrapText="1"/>
    </xf>
    <xf numFmtId="165" fontId="23" fillId="0" borderId="0" xfId="2" applyNumberFormat="1" applyFont="1" applyBorder="1" applyAlignment="1" applyProtection="1">
      <alignment horizontal="center"/>
      <protection locked="0"/>
    </xf>
    <xf numFmtId="165" fontId="55" fillId="0" borderId="0" xfId="2" applyNumberFormat="1" applyFont="1" applyBorder="1" applyAlignment="1" applyProtection="1">
      <alignment horizontal="center"/>
      <protection locked="0"/>
    </xf>
    <xf numFmtId="165" fontId="17" fillId="12" borderId="0" xfId="0" applyNumberFormat="1" applyFont="1" applyFill="1" applyAlignment="1">
      <alignment horizontal="center" vertical="center" wrapText="1"/>
    </xf>
    <xf numFmtId="0" fontId="56" fillId="16" borderId="0" xfId="0" applyFont="1" applyFill="1" applyAlignment="1">
      <alignment horizontal="center" vertical="center"/>
    </xf>
    <xf numFmtId="43" fontId="56" fillId="16" borderId="0" xfId="2" applyFont="1" applyFill="1" applyBorder="1" applyAlignment="1" applyProtection="1">
      <alignment horizontal="center" vertical="center"/>
      <protection locked="0"/>
    </xf>
    <xf numFmtId="37" fontId="56" fillId="16" borderId="0" xfId="2" applyNumberFormat="1" applyFont="1" applyFill="1" applyBorder="1" applyAlignment="1" applyProtection="1">
      <alignment vertical="center"/>
      <protection locked="0"/>
    </xf>
    <xf numFmtId="0" fontId="5" fillId="5" borderId="0" xfId="0" applyFont="1" applyFill="1"/>
    <xf numFmtId="0" fontId="4" fillId="13" borderId="0" xfId="0" applyFont="1" applyFill="1" applyAlignment="1" applyProtection="1">
      <alignment horizontal="center"/>
      <protection locked="0"/>
    </xf>
    <xf numFmtId="165" fontId="4" fillId="0" borderId="0" xfId="0" applyNumberFormat="1" applyFont="1" applyAlignment="1">
      <alignment horizontal="center" vertical="center"/>
    </xf>
    <xf numFmtId="0" fontId="4" fillId="0" borderId="0" xfId="0" applyFont="1" applyAlignment="1" applyProtection="1">
      <alignment horizontal="center" wrapText="1"/>
      <protection locked="0"/>
    </xf>
    <xf numFmtId="165" fontId="23" fillId="0" borderId="0" xfId="2" applyNumberFormat="1" applyFont="1" applyBorder="1" applyAlignment="1" applyProtection="1">
      <alignment horizontal="center" vertical="center"/>
      <protection locked="0"/>
    </xf>
    <xf numFmtId="39" fontId="5" fillId="0" borderId="0" xfId="2" applyNumberFormat="1" applyFont="1" applyBorder="1" applyAlignment="1" applyProtection="1">
      <alignment horizontal="center" vertical="center"/>
      <protection locked="0"/>
    </xf>
    <xf numFmtId="165" fontId="4" fillId="0" borderId="0" xfId="0" applyNumberFormat="1" applyFont="1" applyAlignment="1">
      <alignment horizontal="center" vertical="center" wrapText="1"/>
    </xf>
    <xf numFmtId="37" fontId="4" fillId="7" borderId="0" xfId="2" applyNumberFormat="1" applyFont="1" applyFill="1" applyBorder="1" applyAlignment="1" applyProtection="1">
      <alignment horizontal="center" vertical="center"/>
      <protection locked="0"/>
    </xf>
    <xf numFmtId="37" fontId="5" fillId="0" borderId="0" xfId="2" applyNumberFormat="1" applyFont="1" applyBorder="1" applyAlignment="1" applyProtection="1">
      <alignment horizontal="right" vertical="center"/>
      <protection locked="0"/>
    </xf>
    <xf numFmtId="165" fontId="4" fillId="15" borderId="0" xfId="2" applyNumberFormat="1" applyFont="1" applyFill="1" applyBorder="1" applyAlignment="1" applyProtection="1">
      <alignment horizontal="center" vertical="center"/>
    </xf>
    <xf numFmtId="0" fontId="4" fillId="15" borderId="0" xfId="0" applyFont="1" applyFill="1" applyAlignment="1" applyProtection="1">
      <alignment horizontal="center"/>
      <protection locked="0"/>
    </xf>
    <xf numFmtId="165" fontId="5" fillId="0" borderId="0" xfId="2" applyNumberFormat="1" applyFont="1" applyBorder="1" applyAlignment="1" applyProtection="1">
      <alignment vertical="center"/>
      <protection locked="0"/>
    </xf>
    <xf numFmtId="165" fontId="13" fillId="7" borderId="0" xfId="2" applyNumberFormat="1" applyFont="1" applyFill="1" applyBorder="1" applyAlignment="1" applyProtection="1">
      <alignment vertical="center"/>
    </xf>
    <xf numFmtId="165" fontId="4" fillId="15" borderId="0" xfId="0" applyNumberFormat="1" applyFont="1" applyFill="1" applyAlignment="1" applyProtection="1">
      <alignment horizontal="center"/>
      <protection locked="0"/>
    </xf>
    <xf numFmtId="43" fontId="4" fillId="15" borderId="0" xfId="2" applyFont="1" applyFill="1" applyBorder="1" applyAlignment="1" applyProtection="1">
      <alignment horizontal="center" vertical="center"/>
    </xf>
    <xf numFmtId="37" fontId="13" fillId="7" borderId="0" xfId="2" applyNumberFormat="1" applyFont="1" applyFill="1" applyBorder="1" applyAlignment="1" applyProtection="1">
      <alignment horizontal="right" vertical="center"/>
    </xf>
    <xf numFmtId="165" fontId="13" fillId="15" borderId="0" xfId="2" applyNumberFormat="1" applyFont="1" applyFill="1" applyBorder="1" applyAlignment="1" applyProtection="1">
      <alignment vertical="center"/>
    </xf>
    <xf numFmtId="37" fontId="13" fillId="15" borderId="0" xfId="2" applyNumberFormat="1" applyFont="1" applyFill="1" applyBorder="1" applyAlignment="1" applyProtection="1">
      <alignment horizontal="right" vertical="center"/>
    </xf>
    <xf numFmtId="165" fontId="13" fillId="9" borderId="0" xfId="2" applyNumberFormat="1" applyFont="1" applyFill="1" applyBorder="1" applyAlignment="1" applyProtection="1">
      <alignment vertical="center"/>
    </xf>
    <xf numFmtId="37" fontId="13" fillId="9" borderId="0" xfId="2" applyNumberFormat="1" applyFont="1" applyFill="1" applyBorder="1" applyAlignment="1" applyProtection="1">
      <alignment horizontal="right" vertical="center"/>
    </xf>
    <xf numFmtId="9" fontId="4" fillId="0" borderId="0" xfId="1" applyFont="1" applyFill="1" applyBorder="1" applyAlignment="1" applyProtection="1">
      <alignment horizontal="center"/>
    </xf>
    <xf numFmtId="0" fontId="4" fillId="0" borderId="0" xfId="0" applyFont="1"/>
    <xf numFmtId="10" fontId="4" fillId="0" borderId="0" xfId="1" applyNumberFormat="1" applyFont="1" applyFill="1" applyBorder="1" applyAlignment="1" applyProtection="1">
      <alignment horizontal="center"/>
    </xf>
    <xf numFmtId="10" fontId="4" fillId="0" borderId="0" xfId="0" applyNumberFormat="1" applyFont="1" applyAlignment="1" applyProtection="1">
      <alignment horizontal="center"/>
      <protection locked="0"/>
    </xf>
    <xf numFmtId="10" fontId="8" fillId="7" borderId="0" xfId="1" applyNumberFormat="1" applyFont="1" applyFill="1" applyAlignment="1">
      <alignment vertical="center"/>
    </xf>
    <xf numFmtId="4" fontId="56" fillId="16" borderId="0" xfId="2" applyNumberFormat="1" applyFont="1" applyFill="1" applyBorder="1" applyAlignment="1" applyProtection="1">
      <alignment vertical="center"/>
      <protection locked="0"/>
    </xf>
    <xf numFmtId="4" fontId="56" fillId="16" borderId="0" xfId="2" applyNumberFormat="1" applyFont="1" applyFill="1" applyBorder="1" applyAlignment="1" applyProtection="1">
      <alignment horizontal="center" vertical="center"/>
      <protection locked="0"/>
    </xf>
    <xf numFmtId="3" fontId="4" fillId="7" borderId="0" xfId="2" applyNumberFormat="1" applyFont="1" applyFill="1" applyBorder="1" applyAlignment="1" applyProtection="1">
      <alignment horizontal="center" vertical="center"/>
      <protection locked="0"/>
    </xf>
    <xf numFmtId="3" fontId="56" fillId="16" borderId="0" xfId="2" applyNumberFormat="1" applyFont="1" applyFill="1" applyBorder="1" applyAlignment="1" applyProtection="1">
      <alignment vertical="center"/>
      <protection locked="0"/>
    </xf>
    <xf numFmtId="4" fontId="5" fillId="0" borderId="0" xfId="0" applyNumberFormat="1" applyFont="1" applyAlignment="1" applyProtection="1">
      <alignment horizontal="center"/>
      <protection locked="0"/>
    </xf>
    <xf numFmtId="4" fontId="4" fillId="7" borderId="0" xfId="2" applyNumberFormat="1" applyFont="1" applyFill="1" applyBorder="1" applyAlignment="1" applyProtection="1">
      <alignment horizontal="center"/>
    </xf>
    <xf numFmtId="0" fontId="14" fillId="6" borderId="11" xfId="0" applyFont="1" applyFill="1" applyBorder="1" applyAlignment="1">
      <alignment horizontal="center" vertical="center" wrapText="1"/>
    </xf>
    <xf numFmtId="3" fontId="44" fillId="0" borderId="0" xfId="0" applyNumberFormat="1" applyFont="1" applyAlignment="1">
      <alignment horizontal="center" vertical="center"/>
    </xf>
    <xf numFmtId="0" fontId="14" fillId="21" borderId="0" xfId="0" applyFont="1" applyFill="1" applyAlignment="1">
      <alignment horizontal="left"/>
    </xf>
    <xf numFmtId="0" fontId="14" fillId="5" borderId="21" xfId="0" applyFont="1" applyFill="1" applyBorder="1" applyAlignment="1">
      <alignment horizontal="center" vertical="center"/>
    </xf>
    <xf numFmtId="4" fontId="46" fillId="0" borderId="0" xfId="0" applyNumberFormat="1" applyFont="1" applyAlignment="1" applyProtection="1">
      <alignment horizontal="center" vertical="top"/>
      <protection locked="0"/>
    </xf>
    <xf numFmtId="43" fontId="5" fillId="12" borderId="0" xfId="0" applyNumberFormat="1" applyFont="1" applyFill="1" applyAlignment="1" applyProtection="1">
      <alignment horizontal="center"/>
      <protection locked="0"/>
    </xf>
    <xf numFmtId="0" fontId="13" fillId="12" borderId="0" xfId="0" applyFont="1" applyFill="1" applyAlignment="1" applyProtection="1">
      <alignment horizontal="center"/>
      <protection locked="0"/>
    </xf>
    <xf numFmtId="43" fontId="13" fillId="12" borderId="0" xfId="0" applyNumberFormat="1" applyFont="1" applyFill="1" applyAlignment="1" applyProtection="1">
      <alignment horizontal="center"/>
      <protection locked="0"/>
    </xf>
    <xf numFmtId="0" fontId="0" fillId="12" borderId="0" xfId="0" applyFill="1" applyProtection="1">
      <protection locked="0"/>
    </xf>
    <xf numFmtId="0" fontId="14" fillId="8" borderId="0" xfId="0" applyFont="1" applyFill="1" applyAlignment="1">
      <alignment horizontal="center" vertical="center" wrapText="1"/>
    </xf>
    <xf numFmtId="0" fontId="14" fillId="6" borderId="10" xfId="0" applyFont="1" applyFill="1" applyBorder="1" applyAlignment="1">
      <alignment horizontal="center" vertical="center" wrapText="1"/>
    </xf>
    <xf numFmtId="0" fontId="14" fillId="6" borderId="12" xfId="0" applyFont="1" applyFill="1" applyBorder="1" applyAlignment="1">
      <alignment horizontal="center" vertical="center" wrapText="1"/>
    </xf>
    <xf numFmtId="9" fontId="35" fillId="0" borderId="14" xfId="1" applyFont="1" applyBorder="1" applyAlignment="1" applyProtection="1">
      <alignment horizontal="center"/>
    </xf>
    <xf numFmtId="1" fontId="46" fillId="0" borderId="0" xfId="0" applyNumberFormat="1" applyFont="1" applyAlignment="1" applyProtection="1">
      <alignment horizontal="center" vertical="top"/>
      <protection locked="0"/>
    </xf>
    <xf numFmtId="10" fontId="35" fillId="0" borderId="0" xfId="1" applyNumberFormat="1" applyFont="1" applyBorder="1" applyAlignment="1" applyProtection="1">
      <alignment horizontal="center"/>
      <protection locked="0"/>
    </xf>
    <xf numFmtId="9" fontId="35" fillId="0" borderId="0" xfId="1" applyFont="1" applyBorder="1" applyAlignment="1" applyProtection="1">
      <alignment horizontal="center"/>
    </xf>
    <xf numFmtId="0" fontId="14" fillId="0" borderId="0" xfId="0" applyFont="1" applyAlignment="1">
      <alignment vertical="top"/>
    </xf>
    <xf numFmtId="3" fontId="45" fillId="0" borderId="0" xfId="0" applyNumberFormat="1" applyFont="1" applyAlignment="1" applyProtection="1">
      <alignment horizontal="center" vertical="top"/>
      <protection locked="0"/>
    </xf>
    <xf numFmtId="1" fontId="19" fillId="17" borderId="16" xfId="0" applyNumberFormat="1" applyFont="1" applyFill="1" applyBorder="1" applyAlignment="1">
      <alignment horizontal="center" vertical="center"/>
    </xf>
    <xf numFmtId="37" fontId="1" fillId="0" borderId="0" xfId="0" applyNumberFormat="1" applyFont="1" applyProtection="1">
      <protection locked="0"/>
    </xf>
    <xf numFmtId="0" fontId="5" fillId="12" borderId="0" xfId="0" applyFont="1" applyFill="1" applyAlignment="1" applyProtection="1">
      <alignment horizontal="left"/>
      <protection locked="0"/>
    </xf>
    <xf numFmtId="3" fontId="5" fillId="12" borderId="0" xfId="0" applyNumberFormat="1" applyFont="1" applyFill="1" applyAlignment="1" applyProtection="1">
      <alignment horizontal="left" vertical="center"/>
      <protection locked="0"/>
    </xf>
    <xf numFmtId="0" fontId="3" fillId="12" borderId="0" xfId="0" applyFont="1" applyFill="1" applyAlignment="1">
      <alignment horizontal="left"/>
    </xf>
    <xf numFmtId="3" fontId="8" fillId="7" borderId="0" xfId="0" applyNumberFormat="1" applyFont="1" applyFill="1" applyAlignment="1" applyProtection="1">
      <alignment horizontal="center" vertical="center"/>
      <protection locked="0"/>
    </xf>
    <xf numFmtId="0" fontId="5" fillId="0" borderId="0" xfId="0" applyFont="1" applyAlignment="1" applyProtection="1">
      <alignment horizontal="left"/>
      <protection locked="0"/>
    </xf>
    <xf numFmtId="3" fontId="5" fillId="0" borderId="0" xfId="0" applyNumberFormat="1" applyFont="1" applyAlignment="1" applyProtection="1">
      <alignment horizontal="left" vertical="center"/>
      <protection locked="0"/>
    </xf>
    <xf numFmtId="0" fontId="14" fillId="6" borderId="22" xfId="0" applyFont="1" applyFill="1" applyBorder="1" applyAlignment="1">
      <alignment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wrapText="1"/>
    </xf>
    <xf numFmtId="0" fontId="19" fillId="17" borderId="6" xfId="0" applyFont="1" applyFill="1" applyBorder="1" applyAlignment="1">
      <alignment horizontal="center" vertical="center"/>
    </xf>
    <xf numFmtId="4" fontId="19" fillId="17" borderId="23" xfId="0" applyNumberFormat="1" applyFont="1" applyFill="1" applyBorder="1" applyAlignment="1">
      <alignment horizontal="center" vertical="center"/>
    </xf>
    <xf numFmtId="4" fontId="19" fillId="17" borderId="7" xfId="0" applyNumberFormat="1" applyFont="1" applyFill="1" applyBorder="1" applyAlignment="1">
      <alignment horizontal="center" vertical="center"/>
    </xf>
    <xf numFmtId="3" fontId="19" fillId="17" borderId="7" xfId="0" applyNumberFormat="1" applyFont="1" applyFill="1" applyBorder="1" applyAlignment="1">
      <alignment horizontal="center" vertical="center"/>
    </xf>
    <xf numFmtId="4" fontId="16" fillId="17" borderId="7" xfId="0" applyNumberFormat="1" applyFont="1" applyFill="1" applyBorder="1" applyAlignment="1">
      <alignment horizontal="center" vertical="center"/>
    </xf>
    <xf numFmtId="3" fontId="19" fillId="17" borderId="23" xfId="0" applyNumberFormat="1" applyFont="1" applyFill="1" applyBorder="1" applyAlignment="1">
      <alignment horizontal="center" vertical="center"/>
    </xf>
    <xf numFmtId="10" fontId="19" fillId="17" borderId="8" xfId="1" applyNumberFormat="1" applyFont="1" applyFill="1" applyBorder="1" applyAlignment="1" applyProtection="1">
      <alignment horizontal="center" vertical="center"/>
    </xf>
    <xf numFmtId="9" fontId="19" fillId="17" borderId="7" xfId="1" applyFont="1" applyFill="1" applyBorder="1" applyAlignment="1" applyProtection="1">
      <alignment horizontal="center" vertical="center"/>
    </xf>
    <xf numFmtId="10" fontId="19" fillId="17" borderId="7" xfId="1" applyNumberFormat="1" applyFont="1" applyFill="1" applyBorder="1" applyAlignment="1" applyProtection="1">
      <alignment horizontal="center" vertical="center"/>
    </xf>
    <xf numFmtId="9" fontId="19" fillId="17" borderId="24" xfId="1" applyFont="1" applyFill="1" applyBorder="1" applyAlignment="1" applyProtection="1">
      <alignment horizontal="center" vertical="center"/>
    </xf>
    <xf numFmtId="0" fontId="19" fillId="0" borderId="0" xfId="0" applyFont="1" applyProtection="1">
      <protection locked="0"/>
    </xf>
    <xf numFmtId="3" fontId="28" fillId="7" borderId="0" xfId="0" applyNumberFormat="1" applyFont="1" applyFill="1" applyAlignment="1">
      <alignment horizontal="left" vertical="center"/>
    </xf>
    <xf numFmtId="0" fontId="3" fillId="0" borderId="0" xfId="0" applyFont="1"/>
    <xf numFmtId="0" fontId="8" fillId="7" borderId="0" xfId="0" applyFont="1" applyFill="1" applyAlignment="1">
      <alignment vertical="center"/>
    </xf>
    <xf numFmtId="10" fontId="8" fillId="7" borderId="0" xfId="0" applyNumberFormat="1" applyFont="1" applyFill="1" applyAlignment="1">
      <alignment horizontal="center" vertical="center"/>
    </xf>
    <xf numFmtId="43" fontId="8" fillId="7" borderId="0" xfId="2" applyFont="1" applyFill="1" applyBorder="1" applyAlignment="1" applyProtection="1">
      <alignment horizontal="center" vertical="center"/>
    </xf>
    <xf numFmtId="164" fontId="4" fillId="7" borderId="0" xfId="1" applyNumberFormat="1" applyFont="1" applyFill="1" applyAlignment="1">
      <alignment horizontal="center" vertical="center"/>
    </xf>
    <xf numFmtId="9" fontId="5" fillId="12" borderId="0" xfId="1" applyFont="1" applyFill="1" applyAlignment="1">
      <alignment horizontal="center"/>
    </xf>
    <xf numFmtId="0" fontId="8" fillId="12" borderId="0" xfId="0" applyFont="1" applyFill="1" applyAlignment="1">
      <alignment horizontal="left" vertical="center"/>
    </xf>
    <xf numFmtId="3" fontId="5" fillId="12" borderId="0" xfId="0" applyNumberFormat="1" applyFont="1" applyFill="1" applyAlignment="1">
      <alignment horizontal="center" vertical="center"/>
    </xf>
    <xf numFmtId="10" fontId="5" fillId="12" borderId="0" xfId="1" applyNumberFormat="1" applyFont="1" applyFill="1" applyAlignment="1">
      <alignment horizontal="center" vertical="center"/>
    </xf>
    <xf numFmtId="37" fontId="0" fillId="0" borderId="0" xfId="0" applyNumberFormat="1"/>
    <xf numFmtId="3" fontId="57" fillId="0" borderId="0" xfId="0" applyNumberFormat="1" applyFont="1" applyAlignment="1">
      <alignment horizontal="center"/>
    </xf>
    <xf numFmtId="3" fontId="58" fillId="0" borderId="0" xfId="0" applyNumberFormat="1" applyFont="1" applyAlignment="1">
      <alignment horizontal="center"/>
    </xf>
    <xf numFmtId="3" fontId="59" fillId="0" borderId="0" xfId="0" applyNumberFormat="1" applyFont="1" applyAlignment="1">
      <alignment horizontal="center"/>
    </xf>
    <xf numFmtId="4" fontId="60" fillId="0" borderId="0" xfId="0" applyNumberFormat="1" applyFont="1"/>
    <xf numFmtId="4" fontId="61" fillId="0" borderId="0" xfId="0" applyNumberFormat="1" applyFont="1"/>
    <xf numFmtId="0" fontId="61" fillId="0" borderId="0" xfId="0" applyFont="1"/>
    <xf numFmtId="3" fontId="61" fillId="0" borderId="0" xfId="0" applyNumberFormat="1" applyFont="1"/>
    <xf numFmtId="3" fontId="60" fillId="0" borderId="0" xfId="0" applyNumberFormat="1" applyFont="1"/>
    <xf numFmtId="3" fontId="62" fillId="0" borderId="0" xfId="0" applyNumberFormat="1" applyFont="1"/>
    <xf numFmtId="4" fontId="62" fillId="0" borderId="0" xfId="0" applyNumberFormat="1" applyFont="1"/>
    <xf numFmtId="3" fontId="56" fillId="0" borderId="0" xfId="0" applyNumberFormat="1" applyFont="1"/>
    <xf numFmtId="4" fontId="56" fillId="0" borderId="0" xfId="0" applyNumberFormat="1" applyFont="1"/>
    <xf numFmtId="3" fontId="63" fillId="0" borderId="0" xfId="0" applyNumberFormat="1" applyFont="1"/>
    <xf numFmtId="4" fontId="63" fillId="0" borderId="0" xfId="0" applyNumberFormat="1" applyFont="1"/>
    <xf numFmtId="0" fontId="61" fillId="0" borderId="0" xfId="0" applyFont="1" applyAlignment="1">
      <alignment horizontal="center"/>
    </xf>
    <xf numFmtId="4" fontId="61" fillId="0" borderId="0" xfId="0" applyNumberFormat="1" applyFont="1" applyAlignment="1">
      <alignment horizontal="center"/>
    </xf>
    <xf numFmtId="0" fontId="56" fillId="0" borderId="0" xfId="0" applyFont="1" applyAlignment="1">
      <alignment horizontal="center"/>
    </xf>
    <xf numFmtId="4" fontId="56" fillId="0" borderId="0" xfId="0" applyNumberFormat="1" applyFont="1" applyAlignment="1">
      <alignment horizontal="center"/>
    </xf>
    <xf numFmtId="3" fontId="61" fillId="0" borderId="0" xfId="0" applyNumberFormat="1" applyFont="1" applyAlignment="1">
      <alignment horizontal="center"/>
    </xf>
    <xf numFmtId="3" fontId="60" fillId="0" borderId="0" xfId="0" applyNumberFormat="1" applyFont="1" applyAlignment="1">
      <alignment horizontal="center"/>
    </xf>
    <xf numFmtId="4" fontId="60" fillId="0" borderId="0" xfId="0" applyNumberFormat="1" applyFont="1" applyAlignment="1">
      <alignment horizontal="center"/>
    </xf>
    <xf numFmtId="0" fontId="60" fillId="0" borderId="0" xfId="0" applyFont="1" applyAlignment="1">
      <alignment horizontal="center"/>
    </xf>
    <xf numFmtId="0" fontId="63" fillId="0" borderId="0" xfId="0" applyFont="1" applyAlignment="1">
      <alignment horizontal="center"/>
    </xf>
    <xf numFmtId="4" fontId="63" fillId="0" borderId="0" xfId="0" applyNumberFormat="1" applyFont="1" applyAlignment="1">
      <alignment horizontal="center"/>
    </xf>
    <xf numFmtId="3" fontId="56" fillId="0" borderId="0" xfId="0" applyNumberFormat="1" applyFont="1" applyAlignment="1">
      <alignment horizontal="center"/>
    </xf>
    <xf numFmtId="3" fontId="63" fillId="0" borderId="0" xfId="0" applyNumberFormat="1" applyFont="1" applyAlignment="1">
      <alignment horizontal="center"/>
    </xf>
    <xf numFmtId="39" fontId="3" fillId="9" borderId="0" xfId="2" applyNumberFormat="1" applyFont="1" applyFill="1" applyBorder="1" applyAlignment="1" applyProtection="1">
      <alignment horizontal="center" vertical="center"/>
      <protection locked="0"/>
    </xf>
    <xf numFmtId="43" fontId="3" fillId="9" borderId="0" xfId="2" applyFont="1" applyFill="1" applyBorder="1" applyAlignment="1" applyProtection="1">
      <alignment horizontal="center" vertical="center"/>
      <protection locked="0"/>
    </xf>
    <xf numFmtId="3" fontId="64" fillId="0" borderId="0" xfId="0" applyNumberFormat="1" applyFont="1" applyAlignment="1">
      <alignment horizontal="center"/>
    </xf>
    <xf numFmtId="9" fontId="61" fillId="0" borderId="0" xfId="0" applyNumberFormat="1" applyFont="1" applyAlignment="1">
      <alignment horizontal="center"/>
    </xf>
    <xf numFmtId="37" fontId="56" fillId="12" borderId="0" xfId="2" applyNumberFormat="1" applyFont="1" applyFill="1" applyBorder="1" applyAlignment="1" applyProtection="1">
      <alignment vertical="center"/>
      <protection locked="0"/>
    </xf>
    <xf numFmtId="4" fontId="16" fillId="7" borderId="0" xfId="2" applyNumberFormat="1" applyFont="1" applyFill="1" applyBorder="1" applyAlignment="1" applyProtection="1">
      <alignment horizontal="center"/>
      <protection locked="0"/>
    </xf>
    <xf numFmtId="37" fontId="16" fillId="7" borderId="0" xfId="2" applyNumberFormat="1" applyFont="1" applyFill="1" applyBorder="1" applyAlignment="1" applyProtection="1">
      <alignment horizontal="center"/>
      <protection locked="0"/>
    </xf>
    <xf numFmtId="3" fontId="54" fillId="0" borderId="0" xfId="2" applyNumberFormat="1" applyFont="1" applyFill="1" applyBorder="1" applyAlignment="1" applyProtection="1">
      <alignment horizontal="center"/>
    </xf>
    <xf numFmtId="4" fontId="54" fillId="0" borderId="0" xfId="2" applyNumberFormat="1" applyFont="1" applyFill="1" applyBorder="1" applyAlignment="1" applyProtection="1">
      <alignment horizontal="right"/>
    </xf>
    <xf numFmtId="39" fontId="4" fillId="7" borderId="0" xfId="2" applyNumberFormat="1" applyFont="1" applyFill="1" applyBorder="1" applyAlignment="1" applyProtection="1">
      <alignment horizontal="center" vertical="center"/>
      <protection locked="0"/>
    </xf>
    <xf numFmtId="43" fontId="4" fillId="7" borderId="0" xfId="2" applyFont="1" applyFill="1" applyBorder="1" applyAlignment="1" applyProtection="1">
      <alignment horizontal="center" vertical="center"/>
      <protection locked="0"/>
    </xf>
    <xf numFmtId="10" fontId="9" fillId="0" borderId="0" xfId="1" applyNumberFormat="1" applyFont="1" applyBorder="1" applyAlignment="1" applyProtection="1">
      <alignment horizontal="center" vertical="top"/>
    </xf>
    <xf numFmtId="0" fontId="3" fillId="0" borderId="0" xfId="0" applyFont="1" applyAlignment="1">
      <alignment horizontal="left" vertical="top"/>
    </xf>
    <xf numFmtId="3" fontId="9" fillId="0" borderId="0" xfId="0" applyNumberFormat="1" applyFont="1" applyAlignment="1">
      <alignment horizontal="center" vertical="top"/>
    </xf>
    <xf numFmtId="10" fontId="0" fillId="0" borderId="0" xfId="1" applyNumberFormat="1" applyFont="1" applyBorder="1" applyAlignment="1" applyProtection="1">
      <alignment horizontal="center"/>
    </xf>
    <xf numFmtId="0" fontId="3" fillId="0" borderId="0" xfId="0" applyFont="1" applyAlignment="1">
      <alignment vertical="top"/>
    </xf>
    <xf numFmtId="3" fontId="0" fillId="12" borderId="0" xfId="0" applyNumberFormat="1" applyFill="1" applyAlignment="1">
      <alignment horizontal="center"/>
    </xf>
    <xf numFmtId="164" fontId="0" fillId="12" borderId="0" xfId="1" applyNumberFormat="1" applyFont="1" applyFill="1" applyBorder="1" applyAlignment="1" applyProtection="1">
      <alignment horizontal="center"/>
    </xf>
    <xf numFmtId="3" fontId="5" fillId="12" borderId="0" xfId="0" applyNumberFormat="1" applyFont="1" applyFill="1" applyAlignment="1">
      <alignment horizontal="center"/>
    </xf>
    <xf numFmtId="3" fontId="58" fillId="0" borderId="0" xfId="0" applyNumberFormat="1" applyFont="1" applyAlignment="1">
      <alignment horizontal="center" vertical="center"/>
    </xf>
    <xf numFmtId="3" fontId="59" fillId="0" borderId="0" xfId="0" applyNumberFormat="1" applyFont="1" applyAlignment="1">
      <alignment horizontal="center" vertical="center"/>
    </xf>
    <xf numFmtId="3" fontId="58" fillId="0" borderId="0" xfId="0" applyNumberFormat="1" applyFont="1" applyAlignment="1">
      <alignment horizontal="center" vertical="top"/>
    </xf>
    <xf numFmtId="0" fontId="4" fillId="0" borderId="0" xfId="0" applyFont="1" applyAlignment="1">
      <alignment horizontal="center" vertical="top" wrapText="1"/>
    </xf>
    <xf numFmtId="3" fontId="6" fillId="0" borderId="0" xfId="0" applyNumberFormat="1" applyFont="1" applyAlignment="1">
      <alignment horizontal="center"/>
    </xf>
    <xf numFmtId="0" fontId="6" fillId="0" borderId="0" xfId="0" applyFont="1" applyAlignment="1">
      <alignment horizontal="center"/>
    </xf>
    <xf numFmtId="8" fontId="6" fillId="0" borderId="0" xfId="0" applyNumberFormat="1" applyFont="1" applyAlignment="1">
      <alignment horizontal="center"/>
    </xf>
    <xf numFmtId="43" fontId="8" fillId="7" borderId="0" xfId="2" applyFont="1" applyFill="1" applyAlignment="1">
      <alignment horizontal="left" vertical="center"/>
    </xf>
    <xf numFmtId="3" fontId="4" fillId="12" borderId="0" xfId="0" applyNumberFormat="1" applyFont="1" applyFill="1" applyAlignment="1" applyProtection="1">
      <alignment horizontal="left" vertical="center"/>
      <protection locked="0"/>
    </xf>
    <xf numFmtId="0" fontId="4" fillId="12" borderId="0" xfId="0" applyFont="1" applyFill="1" applyAlignment="1" applyProtection="1">
      <alignment horizontal="left"/>
      <protection locked="0"/>
    </xf>
    <xf numFmtId="4" fontId="60" fillId="22" borderId="0" xfId="0" applyNumberFormat="1" applyFont="1" applyFill="1" applyAlignment="1">
      <alignment horizontal="center"/>
    </xf>
    <xf numFmtId="0" fontId="60" fillId="22" borderId="0" xfId="0" applyFont="1" applyFill="1" applyAlignment="1">
      <alignment horizontal="center"/>
    </xf>
    <xf numFmtId="4" fontId="61" fillId="0" borderId="0" xfId="0" applyNumberFormat="1" applyFont="1" applyAlignment="1">
      <alignment vertical="center"/>
    </xf>
    <xf numFmtId="0" fontId="60" fillId="0" borderId="0" xfId="0" applyFont="1" applyAlignment="1">
      <alignment horizontal="right" vertical="top"/>
    </xf>
    <xf numFmtId="0" fontId="60" fillId="0" borderId="0" xfId="0" applyFont="1" applyAlignment="1">
      <alignment horizontal="center" vertical="center"/>
    </xf>
    <xf numFmtId="43" fontId="5" fillId="0" borderId="0" xfId="0" applyNumberFormat="1" applyFont="1" applyAlignment="1" applyProtection="1">
      <alignment vertical="center"/>
      <protection locked="0"/>
    </xf>
    <xf numFmtId="4" fontId="44" fillId="0" borderId="0" xfId="0" applyNumberFormat="1" applyFont="1" applyAlignment="1">
      <alignment horizontal="center"/>
    </xf>
    <xf numFmtId="0" fontId="4" fillId="12" borderId="4" xfId="0" applyFont="1" applyFill="1" applyBorder="1" applyAlignment="1">
      <alignment horizontal="left" vertical="top"/>
    </xf>
    <xf numFmtId="0" fontId="4" fillId="12" borderId="4" xfId="0" applyFont="1" applyFill="1" applyBorder="1" applyAlignment="1">
      <alignment vertical="top"/>
    </xf>
    <xf numFmtId="0" fontId="61" fillId="0" borderId="0" xfId="0" applyFont="1" applyAlignment="1">
      <alignment horizontal="center" vertical="center"/>
    </xf>
    <xf numFmtId="0" fontId="0" fillId="0" borderId="0" xfId="0" applyAlignment="1">
      <alignment horizontal="center" vertical="center"/>
    </xf>
    <xf numFmtId="43" fontId="4" fillId="7" borderId="0" xfId="2" applyFont="1" applyFill="1" applyBorder="1" applyAlignment="1" applyProtection="1">
      <alignment horizontal="right"/>
      <protection locked="0"/>
    </xf>
    <xf numFmtId="3" fontId="46" fillId="0" borderId="4" xfId="0" applyNumberFormat="1" applyFont="1" applyBorder="1" applyAlignment="1">
      <alignment horizontal="center" vertical="top"/>
    </xf>
    <xf numFmtId="4" fontId="46" fillId="0" borderId="0" xfId="0" applyNumberFormat="1" applyFont="1" applyAlignment="1">
      <alignment horizontal="center" vertical="top"/>
    </xf>
    <xf numFmtId="10" fontId="35" fillId="0" borderId="5" xfId="1" applyNumberFormat="1" applyFont="1" applyBorder="1" applyAlignment="1" applyProtection="1">
      <alignment horizontal="center"/>
    </xf>
    <xf numFmtId="10" fontId="44" fillId="0" borderId="0" xfId="0" applyNumberFormat="1" applyFont="1" applyAlignment="1">
      <alignment horizontal="center"/>
    </xf>
    <xf numFmtId="10" fontId="44" fillId="0" borderId="5" xfId="0" applyNumberFormat="1" applyFont="1" applyBorder="1" applyAlignment="1">
      <alignment horizontal="center"/>
    </xf>
    <xf numFmtId="3" fontId="46" fillId="0" borderId="13" xfId="0" applyNumberFormat="1" applyFont="1" applyBorder="1" applyAlignment="1">
      <alignment horizontal="center" vertical="top"/>
    </xf>
    <xf numFmtId="10" fontId="46" fillId="0" borderId="0" xfId="1" applyNumberFormat="1" applyFont="1" applyBorder="1" applyAlignment="1" applyProtection="1">
      <alignment horizontal="center" vertical="top"/>
    </xf>
    <xf numFmtId="10" fontId="66" fillId="0" borderId="0" xfId="0" applyNumberFormat="1" applyFont="1" applyAlignment="1">
      <alignment horizontal="center"/>
    </xf>
    <xf numFmtId="10" fontId="66" fillId="0" borderId="5" xfId="0" applyNumberFormat="1" applyFont="1" applyBorder="1" applyAlignment="1">
      <alignment horizontal="center"/>
    </xf>
    <xf numFmtId="3" fontId="44" fillId="0" borderId="0" xfId="0" applyNumberFormat="1" applyFont="1" applyAlignment="1">
      <alignment horizontal="center"/>
    </xf>
    <xf numFmtId="0" fontId="44" fillId="0" borderId="0" xfId="0" applyFont="1" applyAlignment="1">
      <alignment horizontal="center"/>
    </xf>
    <xf numFmtId="10" fontId="61" fillId="0" borderId="0" xfId="0" applyNumberFormat="1" applyFont="1"/>
    <xf numFmtId="10" fontId="5" fillId="12" borderId="0" xfId="1" applyNumberFormat="1" applyFont="1" applyFill="1" applyBorder="1" applyAlignment="1" applyProtection="1">
      <alignment horizontal="center"/>
    </xf>
    <xf numFmtId="10" fontId="8" fillId="7" borderId="0" xfId="1" applyNumberFormat="1" applyFont="1" applyFill="1" applyBorder="1" applyAlignment="1" applyProtection="1">
      <alignment horizontal="center" vertical="center"/>
    </xf>
    <xf numFmtId="3" fontId="4" fillId="7" borderId="0" xfId="0" applyNumberFormat="1" applyFont="1" applyFill="1" applyAlignment="1">
      <alignment horizontal="center" vertical="center"/>
    </xf>
    <xf numFmtId="3" fontId="4" fillId="12" borderId="0" xfId="0" applyNumberFormat="1" applyFont="1" applyFill="1" applyAlignment="1">
      <alignment horizontal="center" vertical="center"/>
    </xf>
    <xf numFmtId="10" fontId="61" fillId="0" borderId="0" xfId="0" applyNumberFormat="1" applyFont="1" applyAlignment="1">
      <alignment horizontal="center"/>
    </xf>
    <xf numFmtId="10" fontId="8" fillId="7" borderId="0" xfId="2" applyNumberFormat="1" applyFont="1" applyFill="1" applyAlignment="1">
      <alignment horizontal="center" vertical="center"/>
    </xf>
    <xf numFmtId="10" fontId="8" fillId="7" borderId="0" xfId="2" applyNumberFormat="1" applyFont="1" applyFill="1" applyAlignment="1">
      <alignment horizontal="center" vertical="top"/>
    </xf>
    <xf numFmtId="4" fontId="8" fillId="7" borderId="0" xfId="0" applyNumberFormat="1" applyFont="1" applyFill="1" applyAlignment="1">
      <alignment horizontal="right" vertical="center"/>
    </xf>
    <xf numFmtId="165" fontId="7" fillId="7" borderId="0" xfId="4" applyNumberFormat="1" applyFont="1" applyFill="1" applyAlignment="1">
      <alignment horizontal="right" vertical="center"/>
    </xf>
    <xf numFmtId="0" fontId="7" fillId="13" borderId="0" xfId="0" applyFont="1" applyFill="1" applyAlignment="1">
      <alignment horizontal="left" vertical="center" wrapText="1"/>
    </xf>
    <xf numFmtId="3" fontId="3" fillId="13" borderId="0" xfId="0" applyNumberFormat="1" applyFont="1" applyFill="1" applyAlignment="1">
      <alignment horizontal="center"/>
    </xf>
    <xf numFmtId="165" fontId="3" fillId="13" borderId="0" xfId="0" applyNumberFormat="1" applyFont="1" applyFill="1"/>
    <xf numFmtId="165" fontId="1" fillId="0" borderId="0" xfId="4" applyNumberFormat="1" applyFont="1" applyAlignment="1" applyProtection="1">
      <alignment horizontal="right" vertical="center"/>
      <protection locked="0"/>
    </xf>
    <xf numFmtId="43" fontId="5" fillId="0" borderId="0" xfId="0" applyNumberFormat="1" applyFont="1" applyProtection="1">
      <protection locked="0"/>
    </xf>
    <xf numFmtId="0" fontId="32" fillId="12" borderId="0" xfId="0" applyFont="1" applyFill="1" applyAlignment="1">
      <alignment horizontal="left" vertical="center" wrapText="1"/>
    </xf>
    <xf numFmtId="0" fontId="31" fillId="12" borderId="0" xfId="0" applyFont="1" applyFill="1" applyAlignment="1">
      <alignment horizontal="left" vertical="center" wrapText="1"/>
    </xf>
    <xf numFmtId="0" fontId="19" fillId="12" borderId="0" xfId="0" applyFont="1" applyFill="1" applyAlignment="1">
      <alignment horizontal="left" vertical="center" wrapText="1"/>
    </xf>
    <xf numFmtId="0" fontId="22" fillId="12" borderId="0" xfId="0" applyFont="1" applyFill="1" applyAlignment="1">
      <alignment horizontal="left" vertical="center" wrapText="1"/>
    </xf>
    <xf numFmtId="0" fontId="4" fillId="5" borderId="0" xfId="0" applyFont="1" applyFill="1" applyAlignment="1" applyProtection="1">
      <alignment horizontal="center" vertical="center" wrapText="1"/>
      <protection locked="0"/>
    </xf>
    <xf numFmtId="0" fontId="3" fillId="0" borderId="0" xfId="0" applyFont="1" applyAlignment="1" applyProtection="1">
      <alignment horizontal="center"/>
      <protection locked="0"/>
    </xf>
    <xf numFmtId="0" fontId="4" fillId="5" borderId="0" xfId="0" applyFont="1" applyFill="1" applyAlignment="1">
      <alignment horizontal="center" vertical="center" wrapText="1"/>
    </xf>
    <xf numFmtId="0" fontId="4" fillId="0" borderId="0" xfId="0" applyFont="1" applyAlignment="1" applyProtection="1">
      <alignment horizontal="center"/>
      <protection locked="0"/>
    </xf>
    <xf numFmtId="0" fontId="15" fillId="0" borderId="0" xfId="0" applyFont="1" applyAlignment="1">
      <alignment horizontal="left" vertical="center" wrapText="1"/>
    </xf>
    <xf numFmtId="0" fontId="14" fillId="0" borderId="0" xfId="0" applyFont="1" applyAlignment="1" applyProtection="1">
      <alignment horizontal="center"/>
      <protection locked="0"/>
    </xf>
    <xf numFmtId="0" fontId="15" fillId="0" borderId="0" xfId="0" applyFont="1" applyAlignment="1">
      <alignment horizontal="left" wrapText="1"/>
    </xf>
    <xf numFmtId="0" fontId="15" fillId="0" borderId="0" xfId="0" applyFont="1" applyAlignment="1">
      <alignment horizontal="left"/>
    </xf>
    <xf numFmtId="0" fontId="22" fillId="0" borderId="0" xfId="0" applyFont="1" applyAlignment="1">
      <alignment horizontal="left"/>
    </xf>
    <xf numFmtId="0" fontId="3" fillId="5" borderId="0" xfId="0" applyFont="1" applyFill="1" applyAlignment="1">
      <alignment horizontal="center"/>
    </xf>
    <xf numFmtId="0" fontId="0" fillId="0" borderId="0" xfId="0" applyAlignment="1" applyProtection="1">
      <alignment horizontal="center"/>
      <protection locked="0"/>
    </xf>
    <xf numFmtId="0" fontId="4" fillId="2"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4" fillId="10" borderId="0" xfId="0" applyFont="1" applyFill="1" applyAlignment="1">
      <alignment horizontal="center"/>
    </xf>
    <xf numFmtId="0" fontId="65" fillId="24" borderId="0" xfId="0" applyFont="1" applyFill="1" applyAlignment="1">
      <alignment horizontal="center" vertical="center" wrapText="1"/>
    </xf>
    <xf numFmtId="0" fontId="65" fillId="24" borderId="25" xfId="0" applyFont="1" applyFill="1" applyBorder="1" applyAlignment="1">
      <alignment horizontal="center" vertical="center" wrapText="1"/>
    </xf>
    <xf numFmtId="0" fontId="65" fillId="25" borderId="0" xfId="0" applyFont="1" applyFill="1" applyAlignment="1">
      <alignment horizontal="center" vertical="center" wrapText="1"/>
    </xf>
    <xf numFmtId="0" fontId="65" fillId="25" borderId="25" xfId="0" applyFont="1" applyFill="1" applyBorder="1" applyAlignment="1">
      <alignment horizontal="center" vertical="center" wrapText="1"/>
    </xf>
    <xf numFmtId="0" fontId="65" fillId="26" borderId="0" xfId="0" applyFont="1" applyFill="1" applyAlignment="1">
      <alignment horizontal="center" vertical="center" wrapText="1"/>
    </xf>
    <xf numFmtId="0" fontId="65" fillId="26" borderId="25" xfId="0" applyFont="1" applyFill="1" applyBorder="1" applyAlignment="1">
      <alignment horizontal="center" vertical="center" wrapText="1"/>
    </xf>
    <xf numFmtId="0" fontId="65" fillId="27" borderId="0" xfId="0" applyFont="1" applyFill="1" applyAlignment="1">
      <alignment horizontal="center" vertical="center" wrapText="1"/>
    </xf>
    <xf numFmtId="0" fontId="65" fillId="27" borderId="25" xfId="0" applyFont="1" applyFill="1" applyBorder="1" applyAlignment="1">
      <alignment horizontal="center" vertical="center" wrapText="1"/>
    </xf>
    <xf numFmtId="0" fontId="65" fillId="28" borderId="0" xfId="0" applyFont="1" applyFill="1" applyAlignment="1">
      <alignment horizontal="center" vertical="center"/>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21" fillId="0" borderId="0" xfId="0" applyFont="1" applyAlignment="1" applyProtection="1">
      <alignment horizontal="center" wrapText="1"/>
      <protection locked="0"/>
    </xf>
    <xf numFmtId="0" fontId="3" fillId="14" borderId="0" xfId="0" applyFont="1" applyFill="1" applyAlignment="1">
      <alignment horizontal="center" vertical="center" wrapText="1"/>
    </xf>
    <xf numFmtId="0" fontId="3" fillId="10" borderId="0" xfId="0" applyFont="1" applyFill="1" applyAlignment="1">
      <alignment horizontal="center" vertical="center" wrapText="1"/>
    </xf>
    <xf numFmtId="0" fontId="3" fillId="13" borderId="0" xfId="0" applyFont="1" applyFill="1" applyAlignment="1">
      <alignment horizontal="center" vertical="center"/>
    </xf>
    <xf numFmtId="0" fontId="4" fillId="5" borderId="0" xfId="0" applyFont="1" applyFill="1" applyAlignment="1">
      <alignment horizontal="center" vertical="center"/>
    </xf>
    <xf numFmtId="0" fontId="4" fillId="6" borderId="1"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1" xfId="0" applyFont="1" applyFill="1" applyBorder="1" applyAlignment="1">
      <alignment horizontal="center" vertical="center" wrapText="1"/>
    </xf>
    <xf numFmtId="0" fontId="14" fillId="8" borderId="0" xfId="0" applyFont="1" applyFill="1" applyAlignment="1">
      <alignment horizontal="center" vertical="center" wrapText="1"/>
    </xf>
    <xf numFmtId="0" fontId="3" fillId="0" borderId="0" xfId="0" applyFont="1" applyAlignment="1" applyProtection="1">
      <alignment horizontal="center" vertical="center"/>
      <protection locked="0"/>
    </xf>
    <xf numFmtId="0" fontId="15" fillId="0" borderId="0" xfId="0" applyFont="1" applyAlignment="1">
      <alignment horizontal="left" vertical="top" wrapText="1"/>
    </xf>
    <xf numFmtId="0" fontId="3" fillId="0" borderId="0" xfId="0" applyFont="1" applyAlignment="1">
      <alignment horizontal="center"/>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4" fillId="5" borderId="0" xfId="0" applyFont="1" applyFill="1" applyAlignment="1">
      <alignment horizontal="center"/>
    </xf>
    <xf numFmtId="0" fontId="4" fillId="13" borderId="0" xfId="0" applyFont="1" applyFill="1" applyAlignment="1">
      <alignment horizontal="center"/>
    </xf>
    <xf numFmtId="0" fontId="4" fillId="15" borderId="0" xfId="0" applyFont="1" applyFill="1" applyAlignment="1">
      <alignment horizontal="center"/>
    </xf>
    <xf numFmtId="0" fontId="56" fillId="23" borderId="0" xfId="0" applyFont="1" applyFill="1" applyAlignment="1">
      <alignment horizontal="center"/>
    </xf>
    <xf numFmtId="0" fontId="4" fillId="18" borderId="0" xfId="0" applyFont="1" applyFill="1" applyAlignment="1">
      <alignment horizontal="center"/>
    </xf>
    <xf numFmtId="0" fontId="4" fillId="19" borderId="0" xfId="0" applyFont="1" applyFill="1" applyAlignment="1">
      <alignment horizontal="center"/>
    </xf>
    <xf numFmtId="0" fontId="4" fillId="20" borderId="0" xfId="0" applyFont="1" applyFill="1" applyAlignment="1">
      <alignment horizontal="center"/>
    </xf>
    <xf numFmtId="0" fontId="22" fillId="0" borderId="0" xfId="0" applyFont="1" applyAlignment="1">
      <alignment horizontal="left" wrapText="1"/>
    </xf>
    <xf numFmtId="0" fontId="14" fillId="5" borderId="0" xfId="0" applyFont="1" applyFill="1" applyAlignment="1">
      <alignment horizontal="center" vertical="center"/>
    </xf>
    <xf numFmtId="0" fontId="11" fillId="0" borderId="0" xfId="0" applyFont="1" applyAlignment="1">
      <alignment horizontal="center"/>
    </xf>
    <xf numFmtId="0" fontId="11" fillId="0" borderId="0" xfId="0" applyFont="1" applyAlignment="1" applyProtection="1">
      <alignment horizontal="center"/>
      <protection locked="0"/>
    </xf>
    <xf numFmtId="0" fontId="0" fillId="0" borderId="0" xfId="0" applyAlignment="1" applyProtection="1">
      <protection locked="0"/>
    </xf>
  </cellXfs>
  <cellStyles count="5">
    <cellStyle name="Millares" xfId="2" builtinId="3"/>
    <cellStyle name="Millares 2" xfId="4" xr:uid="{8BEABE00-5EAB-4EE7-AA1F-D0827E964ABB}"/>
    <cellStyle name="Normal" xfId="0" builtinId="0"/>
    <cellStyle name="Normal 2" xfId="3" xr:uid="{00000000-0005-0000-0000-000002000000}"/>
    <cellStyle name="Porcentaje" xfId="1" builtinId="5"/>
  </cellStyles>
  <dxfs count="0"/>
  <tableStyles count="1" defaultTableStyle="TableStyleMedium2" defaultPivotStyle="PivotStyleLight16">
    <tableStyle name="Invisible" pivot="0" table="0" count="0" xr9:uid="{EB55D738-EBA8-42B6-A2D2-EFAB11F34F90}"/>
  </tableStyles>
  <colors>
    <mruColors>
      <color rgb="FFFF33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615130463804834"/>
          <c:y val="5.1400554097404488E-2"/>
          <c:w val="0.74836611939844222"/>
          <c:h val="0.72112459900845727"/>
        </c:manualLayout>
      </c:layout>
      <c:barChart>
        <c:barDir val="col"/>
        <c:grouping val="clustered"/>
        <c:varyColors val="0"/>
        <c:ser>
          <c:idx val="0"/>
          <c:order val="0"/>
          <c:tx>
            <c:v>Programado</c:v>
          </c:tx>
          <c:spPr>
            <a:solidFill>
              <a:schemeClr val="accent3">
                <a:lumMod val="60000"/>
                <a:lumOff val="40000"/>
              </a:schemeClr>
            </a:solidFill>
            <a:ln>
              <a:solidFill>
                <a:schemeClr val="accent3">
                  <a:lumMod val="60000"/>
                  <a:lumOff val="40000"/>
                </a:schemeClr>
              </a:solidFill>
            </a:ln>
          </c:spPr>
          <c:invertIfNegative val="0"/>
          <c:dPt>
            <c:idx val="1"/>
            <c:invertIfNegative val="0"/>
            <c:bubble3D val="0"/>
            <c:extLst>
              <c:ext xmlns:c16="http://schemas.microsoft.com/office/drawing/2014/chart" uri="{C3380CC4-5D6E-409C-BE32-E72D297353CC}">
                <c16:uniqueId val="{00000001-B26F-49E2-B71B-8A084CE8A512}"/>
              </c:ext>
            </c:extLst>
          </c:dPt>
          <c:dLbls>
            <c:dLbl>
              <c:idx val="0"/>
              <c:layout>
                <c:manualLayout>
                  <c:x val="-2.6960416099915951E-3"/>
                  <c:y val="0.429687479881646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F-49E2-B71B-8A084CE8A512}"/>
                </c:ext>
              </c:extLst>
            </c:dLbl>
            <c:dLbl>
              <c:idx val="1"/>
              <c:layout>
                <c:manualLayout>
                  <c:x val="-1.031542386507586E-3"/>
                  <c:y val="0.180992436786522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6F-49E2-B71B-8A084CE8A512}"/>
                </c:ext>
              </c:extLst>
            </c:dLbl>
            <c:dLbl>
              <c:idx val="2"/>
              <c:layout>
                <c:manualLayout>
                  <c:x val="-4.2734695700544483E-3"/>
                  <c:y val="0.291654005515969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F-49E2-B71B-8A084CE8A512}"/>
                </c:ext>
              </c:extLst>
            </c:dLbl>
            <c:spPr>
              <a:noFill/>
              <a:ln>
                <a:noFill/>
              </a:ln>
              <a:effectLst/>
            </c:spPr>
            <c:txPr>
              <a:bodyPr rot="-5400000" vert="horz"/>
              <a:lstStyle/>
              <a:p>
                <a:pPr>
                  <a:defRPr sz="105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Adm.'!$B$16:$B$18</c:f>
            </c:strRef>
          </c:cat>
          <c:val>
            <c:numRef>
              <c:f>'Presupuesto Adm.'!$C$16:$C$18</c:f>
            </c:numRef>
          </c:val>
          <c:extLst>
            <c:ext xmlns:c16="http://schemas.microsoft.com/office/drawing/2014/chart" uri="{C3380CC4-5D6E-409C-BE32-E72D297353CC}">
              <c16:uniqueId val="{00000004-B26F-49E2-B71B-8A084CE8A512}"/>
            </c:ext>
          </c:extLst>
        </c:ser>
        <c:ser>
          <c:idx val="1"/>
          <c:order val="1"/>
          <c:tx>
            <c:v>Ejecutado</c:v>
          </c:tx>
          <c:spPr>
            <a:solidFill>
              <a:schemeClr val="bg1">
                <a:lumMod val="75000"/>
              </a:schemeClr>
            </a:solidFill>
          </c:spPr>
          <c:invertIfNegative val="0"/>
          <c:dLbls>
            <c:dLbl>
              <c:idx val="0"/>
              <c:layout>
                <c:manualLayout>
                  <c:x val="3.2002805669807399E-3"/>
                  <c:y val="0.284275880894194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6F-49E2-B71B-8A084CE8A512}"/>
                </c:ext>
              </c:extLst>
            </c:dLbl>
            <c:dLbl>
              <c:idx val="1"/>
              <c:layout>
                <c:manualLayout>
                  <c:x val="5.9003210707371089E-4"/>
                  <c:y val="0.20034951213796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6F-49E2-B71B-8A084CE8A512}"/>
                </c:ext>
              </c:extLst>
            </c:dLbl>
            <c:dLbl>
              <c:idx val="2"/>
              <c:layout>
                <c:manualLayout>
                  <c:x val="-1.6167621514736872E-3"/>
                  <c:y val="0.263278757335956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6F-49E2-B71B-8A084CE8A512}"/>
                </c:ext>
              </c:extLst>
            </c:dLbl>
            <c:spPr>
              <a:noFill/>
              <a:ln>
                <a:noFill/>
              </a:ln>
              <a:effectLst/>
            </c:spPr>
            <c:txPr>
              <a:bodyPr rot="-5400000" vert="horz"/>
              <a:lstStyle/>
              <a:p>
                <a:pPr>
                  <a:defRPr sz="1050" b="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Adm.'!$B$16:$B$18</c:f>
            </c:strRef>
          </c:cat>
          <c:val>
            <c:numRef>
              <c:f>'Presupuesto Adm.'!$D$16:$D$18</c:f>
            </c:numRef>
          </c:val>
          <c:extLst>
            <c:ext xmlns:c16="http://schemas.microsoft.com/office/drawing/2014/chart" uri="{C3380CC4-5D6E-409C-BE32-E72D297353CC}">
              <c16:uniqueId val="{00000008-B26F-49E2-B71B-8A084CE8A512}"/>
            </c:ext>
          </c:extLst>
        </c:ser>
        <c:dLbls>
          <c:showLegendKey val="0"/>
          <c:showVal val="1"/>
          <c:showCatName val="0"/>
          <c:showSerName val="0"/>
          <c:showPercent val="0"/>
          <c:showBubbleSize val="0"/>
        </c:dLbls>
        <c:gapWidth val="75"/>
        <c:axId val="1578264528"/>
        <c:axId val="1578266160"/>
      </c:barChart>
      <c:lineChart>
        <c:grouping val="standard"/>
        <c:varyColors val="0"/>
        <c:ser>
          <c:idx val="2"/>
          <c:order val="2"/>
          <c:tx>
            <c:strRef>
              <c:f>'Presupuesto Adm.'!$E$9</c:f>
              <c:strCache>
                <c:ptCount val="1"/>
                <c:pt idx="0">
                  <c:v>Relativo</c:v>
                </c:pt>
              </c:strCache>
            </c:strRef>
          </c:tx>
          <c:spPr>
            <a:ln>
              <a:solidFill>
                <a:schemeClr val="tx2">
                  <a:lumMod val="60000"/>
                  <a:lumOff val="40000"/>
                </a:schemeClr>
              </a:solidFill>
            </a:ln>
          </c:spPr>
          <c:marker>
            <c:spPr>
              <a:solidFill>
                <a:schemeClr val="tx2">
                  <a:lumMod val="60000"/>
                  <a:lumOff val="40000"/>
                </a:schemeClr>
              </a:solidFill>
              <a:ln>
                <a:solidFill>
                  <a:schemeClr val="accent5">
                    <a:lumMod val="75000"/>
                  </a:schemeClr>
                </a:solidFill>
              </a:ln>
            </c:spPr>
          </c:marker>
          <c:dLbls>
            <c:dLbl>
              <c:idx val="0"/>
              <c:layout>
                <c:manualLayout>
                  <c:x val="-8.868388303077307E-2"/>
                  <c:y val="-4.23319135676890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73-488F-AC0F-83F78A7882F5}"/>
                </c:ext>
              </c:extLst>
            </c:dLbl>
            <c:dLbl>
              <c:idx val="1"/>
              <c:layout>
                <c:manualLayout>
                  <c:x val="-6.7514523672266388E-2"/>
                  <c:y val="-4.0880495046700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BB-4D30-8D34-CD287BDB4B79}"/>
                </c:ext>
              </c:extLst>
            </c:dLbl>
            <c:dLbl>
              <c:idx val="2"/>
              <c:layout>
                <c:manualLayout>
                  <c:x val="-6.111546482263059E-2"/>
                  <c:y val="-0.118553435635430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F2-4A65-B098-370A8A17C53B}"/>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Adm.'!$B$11:$E$14</c:f>
              <c:multiLvlStrCache>
                <c:ptCount val="4"/>
                <c:lvl>
                  <c:pt idx="0">
                    <c:v>109%</c:v>
                  </c:pt>
                  <c:pt idx="1">
                    <c:v>99%</c:v>
                  </c:pt>
                  <c:pt idx="2">
                    <c:v>80%</c:v>
                  </c:pt>
                  <c:pt idx="3">
                    <c:v>106%</c:v>
                  </c:pt>
                </c:lvl>
                <c:lvl>
                  <c:pt idx="0">
                    <c:v>117,670,426</c:v>
                  </c:pt>
                  <c:pt idx="1">
                    <c:v>27,217,500</c:v>
                  </c:pt>
                  <c:pt idx="2">
                    <c:v>45,499,112</c:v>
                  </c:pt>
                  <c:pt idx="3">
                    <c:v>81,934,180</c:v>
                  </c:pt>
                </c:lvl>
                <c:lvl>
                  <c:pt idx="0">
                    <c:v>108,126,418</c:v>
                  </c:pt>
                  <c:pt idx="1">
                    <c:v>27,439,500</c:v>
                  </c:pt>
                  <c:pt idx="2">
                    <c:v>56,643,727</c:v>
                  </c:pt>
                  <c:pt idx="3">
                    <c:v>77,469,226</c:v>
                  </c:pt>
                </c:lvl>
                <c:lvl>
                  <c:pt idx="0">
                    <c:v>Diciembre</c:v>
                  </c:pt>
                  <c:pt idx="1">
                    <c:v>Regalia</c:v>
                  </c:pt>
                  <c:pt idx="2">
                    <c:v>Noviembre</c:v>
                  </c:pt>
                  <c:pt idx="3">
                    <c:v>Octubre</c:v>
                  </c:pt>
                </c:lvl>
              </c:multiLvlStrCache>
            </c:multiLvlStrRef>
          </c:cat>
          <c:val>
            <c:numRef>
              <c:f>'Presupuesto Adm.'!$E$16:$E$18</c:f>
            </c:numRef>
          </c:val>
          <c:smooth val="0"/>
          <c:extLst>
            <c:ext xmlns:c16="http://schemas.microsoft.com/office/drawing/2014/chart" uri="{C3380CC4-5D6E-409C-BE32-E72D297353CC}">
              <c16:uniqueId val="{00000009-B26F-49E2-B71B-8A084CE8A512}"/>
            </c:ext>
          </c:extLst>
        </c:ser>
        <c:dLbls>
          <c:showLegendKey val="0"/>
          <c:showVal val="1"/>
          <c:showCatName val="0"/>
          <c:showSerName val="0"/>
          <c:showPercent val="0"/>
          <c:showBubbleSize val="0"/>
        </c:dLbls>
        <c:marker val="1"/>
        <c:smooth val="0"/>
        <c:axId val="1578270512"/>
        <c:axId val="1578269424"/>
      </c:lineChart>
      <c:catAx>
        <c:axId val="1578264528"/>
        <c:scaling>
          <c:orientation val="minMax"/>
        </c:scaling>
        <c:delete val="0"/>
        <c:axPos val="b"/>
        <c:numFmt formatCode="General" sourceLinked="0"/>
        <c:majorTickMark val="none"/>
        <c:minorTickMark val="none"/>
        <c:tickLblPos val="nextTo"/>
        <c:crossAx val="1578266160"/>
        <c:crosses val="autoZero"/>
        <c:auto val="1"/>
        <c:lblAlgn val="ctr"/>
        <c:lblOffset val="100"/>
        <c:noMultiLvlLbl val="0"/>
      </c:catAx>
      <c:valAx>
        <c:axId val="1578266160"/>
        <c:scaling>
          <c:orientation val="minMax"/>
        </c:scaling>
        <c:delete val="0"/>
        <c:axPos val="l"/>
        <c:numFmt formatCode="#,##0" sourceLinked="1"/>
        <c:majorTickMark val="none"/>
        <c:minorTickMark val="none"/>
        <c:tickLblPos val="nextTo"/>
        <c:crossAx val="1578264528"/>
        <c:crosses val="autoZero"/>
        <c:crossBetween val="between"/>
      </c:valAx>
      <c:valAx>
        <c:axId val="1578269424"/>
        <c:scaling>
          <c:orientation val="minMax"/>
        </c:scaling>
        <c:delete val="0"/>
        <c:axPos val="r"/>
        <c:numFmt formatCode="0.0%" sourceLinked="1"/>
        <c:majorTickMark val="out"/>
        <c:minorTickMark val="none"/>
        <c:tickLblPos val="nextTo"/>
        <c:crossAx val="1578270512"/>
        <c:crosses val="max"/>
        <c:crossBetween val="between"/>
      </c:valAx>
      <c:catAx>
        <c:axId val="1578270512"/>
        <c:scaling>
          <c:orientation val="minMax"/>
        </c:scaling>
        <c:delete val="1"/>
        <c:axPos val="b"/>
        <c:numFmt formatCode="General" sourceLinked="1"/>
        <c:majorTickMark val="out"/>
        <c:minorTickMark val="none"/>
        <c:tickLblPos val="nextTo"/>
        <c:crossAx val="1578269424"/>
        <c:crosses val="autoZero"/>
        <c:auto val="1"/>
        <c:lblAlgn val="ctr"/>
        <c:lblOffset val="100"/>
        <c:noMultiLvlLbl val="0"/>
      </c:catAx>
    </c:plotArea>
    <c:legend>
      <c:legendPos val="b"/>
      <c:overlay val="0"/>
      <c:txPr>
        <a:bodyPr/>
        <a:lstStyle/>
        <a:p>
          <a:pPr>
            <a:defRPr sz="8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8018372703412"/>
          <c:y val="3.5109750841474434E-2"/>
          <c:w val="0.68917891513560803"/>
          <c:h val="0.8326195683872849"/>
        </c:manualLayout>
      </c:layout>
      <c:barChart>
        <c:barDir val="col"/>
        <c:grouping val="clustered"/>
        <c:varyColors val="0"/>
        <c:ser>
          <c:idx val="0"/>
          <c:order val="0"/>
          <c:tx>
            <c:strRef>
              <c:f>Cotizantes!$B$7</c:f>
              <c:strCache>
                <c:ptCount val="1"/>
                <c:pt idx="0">
                  <c:v>Público 
</c:v>
                </c:pt>
              </c:strCache>
            </c:strRef>
          </c:tx>
          <c:spPr>
            <a:solidFill>
              <a:schemeClr val="bg1">
                <a:lumMod val="75000"/>
              </a:schemeClr>
            </a:solidFill>
            <a:ln>
              <a:solidFill>
                <a:schemeClr val="bg1">
                  <a:lumMod val="75000"/>
                </a:schemeClr>
              </a:solidFill>
            </a:ln>
          </c:spPr>
          <c:invertIfNegative val="0"/>
          <c:dLbls>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Cotizantes!$A$12:$A$14</c:f>
            </c:strRef>
          </c:cat>
          <c:val>
            <c:numRef>
              <c:f>Cotizantes!$B$12:$B$14</c:f>
            </c:numRef>
          </c:val>
          <c:extLst>
            <c:ext xmlns:c16="http://schemas.microsoft.com/office/drawing/2014/chart" uri="{C3380CC4-5D6E-409C-BE32-E72D297353CC}">
              <c16:uniqueId val="{00000000-2F8B-4152-BDE9-0C66FFE1287D}"/>
            </c:ext>
          </c:extLst>
        </c:ser>
        <c:ser>
          <c:idx val="1"/>
          <c:order val="1"/>
          <c:tx>
            <c:strRef>
              <c:f>Cotizantes!$C$7</c:f>
              <c:strCache>
                <c:ptCount val="1"/>
                <c:pt idx="0">
                  <c:v>Privado</c:v>
                </c:pt>
              </c:strCache>
            </c:strRef>
          </c:tx>
          <c:spPr>
            <a:solidFill>
              <a:schemeClr val="accent3">
                <a:lumMod val="60000"/>
                <a:lumOff val="40000"/>
              </a:schemeClr>
            </a:solidFill>
            <a:ln>
              <a:solidFill>
                <a:schemeClr val="accent3">
                  <a:lumMod val="60000"/>
                  <a:lumOff val="40000"/>
                </a:schemeClr>
              </a:solidFill>
            </a:ln>
          </c:spPr>
          <c:invertIfNegative val="0"/>
          <c:dLbls>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Cotizantes!$A$12:$A$14</c:f>
            </c:strRef>
          </c:cat>
          <c:val>
            <c:numRef>
              <c:f>Cotizantes!$C$12:$C$14</c:f>
            </c:numRef>
          </c:val>
          <c:extLst>
            <c:ext xmlns:c16="http://schemas.microsoft.com/office/drawing/2014/chart" uri="{C3380CC4-5D6E-409C-BE32-E72D297353CC}">
              <c16:uniqueId val="{00000001-2F8B-4152-BDE9-0C66FFE1287D}"/>
            </c:ext>
          </c:extLst>
        </c:ser>
        <c:dLbls>
          <c:showLegendKey val="0"/>
          <c:showVal val="0"/>
          <c:showCatName val="0"/>
          <c:showSerName val="0"/>
          <c:showPercent val="0"/>
          <c:showBubbleSize val="0"/>
        </c:dLbls>
        <c:gapWidth val="150"/>
        <c:axId val="1667763488"/>
        <c:axId val="1667764032"/>
      </c:barChart>
      <c:catAx>
        <c:axId val="1667763488"/>
        <c:scaling>
          <c:orientation val="minMax"/>
        </c:scaling>
        <c:delete val="0"/>
        <c:axPos val="b"/>
        <c:numFmt formatCode="General" sourceLinked="0"/>
        <c:majorTickMark val="none"/>
        <c:minorTickMark val="none"/>
        <c:tickLblPos val="nextTo"/>
        <c:crossAx val="1667764032"/>
        <c:crosses val="autoZero"/>
        <c:auto val="1"/>
        <c:lblAlgn val="ctr"/>
        <c:lblOffset val="100"/>
        <c:noMultiLvlLbl val="0"/>
      </c:catAx>
      <c:valAx>
        <c:axId val="1667764032"/>
        <c:scaling>
          <c:orientation val="minMax"/>
        </c:scaling>
        <c:delete val="0"/>
        <c:axPos val="l"/>
        <c:numFmt formatCode="#,##0" sourceLinked="1"/>
        <c:majorTickMark val="out"/>
        <c:minorTickMark val="none"/>
        <c:tickLblPos val="nextTo"/>
        <c:crossAx val="1667763488"/>
        <c:crosses val="autoZero"/>
        <c:crossBetween val="between"/>
      </c:valAx>
    </c:plotArea>
    <c:legend>
      <c:legendPos val="r"/>
      <c:layout>
        <c:manualLayout>
          <c:xMode val="edge"/>
          <c:yMode val="edge"/>
          <c:x val="0.83812576552930884"/>
          <c:y val="0.41853966170895307"/>
          <c:w val="0.14242979002624673"/>
          <c:h val="0.16743438320209975"/>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8018372703412"/>
          <c:y val="3.5109750841474434E-2"/>
          <c:w val="0.68917891513560803"/>
          <c:h val="0.8326195683872849"/>
        </c:manualLayout>
      </c:layout>
      <c:barChart>
        <c:barDir val="col"/>
        <c:grouping val="clustered"/>
        <c:varyColors val="0"/>
        <c:ser>
          <c:idx val="0"/>
          <c:order val="0"/>
          <c:tx>
            <c:strRef>
              <c:f>Cotizantes!$B$7</c:f>
              <c:strCache>
                <c:ptCount val="1"/>
                <c:pt idx="0">
                  <c:v>Público 
</c:v>
                </c:pt>
              </c:strCache>
            </c:strRef>
          </c:tx>
          <c:spPr>
            <a:solidFill>
              <a:schemeClr val="bg1">
                <a:lumMod val="75000"/>
              </a:schemeClr>
            </a:solidFill>
            <a:ln>
              <a:solidFill>
                <a:schemeClr val="bg1">
                  <a:lumMod val="75000"/>
                </a:schemeClr>
              </a:solidFill>
            </a:ln>
          </c:spPr>
          <c:invertIfNegative val="0"/>
          <c:dLbls>
            <c:dLbl>
              <c:idx val="0"/>
              <c:layout>
                <c:manualLayout>
                  <c:x val="2.7770361414853994E-3"/>
                  <c:y val="0.22229195082852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7E-42F1-A859-3F19AC5D91D9}"/>
                </c:ext>
              </c:extLst>
            </c:dLbl>
            <c:dLbl>
              <c:idx val="1"/>
              <c:layout>
                <c:manualLayout>
                  <c:x val="-2.7770361414853994E-3"/>
                  <c:y val="0.233135460625038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7E-42F1-A859-3F19AC5D91D9}"/>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Cotizantes!$A$8:$A$10</c:f>
              <c:strCache>
                <c:ptCount val="3"/>
                <c:pt idx="0">
                  <c:v>Diciembre</c:v>
                </c:pt>
                <c:pt idx="1">
                  <c:v>Noviembre</c:v>
                </c:pt>
                <c:pt idx="2">
                  <c:v>Octubre</c:v>
                </c:pt>
              </c:strCache>
            </c:strRef>
          </c:cat>
          <c:val>
            <c:numRef>
              <c:f>Cotizantes!$B$8:$B$10</c:f>
              <c:numCache>
                <c:formatCode>#,##0</c:formatCode>
                <c:ptCount val="3"/>
                <c:pt idx="0">
                  <c:v>19117</c:v>
                </c:pt>
                <c:pt idx="1">
                  <c:v>18436</c:v>
                </c:pt>
                <c:pt idx="2">
                  <c:v>18993</c:v>
                </c:pt>
              </c:numCache>
            </c:numRef>
          </c:val>
          <c:extLst>
            <c:ext xmlns:c16="http://schemas.microsoft.com/office/drawing/2014/chart" uri="{C3380CC4-5D6E-409C-BE32-E72D297353CC}">
              <c16:uniqueId val="{00000003-3E7E-42F1-A859-3F19AC5D91D9}"/>
            </c:ext>
          </c:extLst>
        </c:ser>
        <c:ser>
          <c:idx val="1"/>
          <c:order val="1"/>
          <c:tx>
            <c:strRef>
              <c:f>Cotizantes!$C$7</c:f>
              <c:strCache>
                <c:ptCount val="1"/>
                <c:pt idx="0">
                  <c:v>Privado</c:v>
                </c:pt>
              </c:strCache>
            </c:strRef>
          </c:tx>
          <c:spPr>
            <a:solidFill>
              <a:schemeClr val="accent3">
                <a:lumMod val="60000"/>
                <a:lumOff val="40000"/>
              </a:schemeClr>
            </a:solidFill>
            <a:ln>
              <a:solidFill>
                <a:schemeClr val="accent3">
                  <a:lumMod val="60000"/>
                  <a:lumOff val="40000"/>
                </a:schemeClr>
              </a:solidFill>
            </a:ln>
          </c:spPr>
          <c:invertIfNegative val="0"/>
          <c:dLbls>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Cotizantes!$A$8:$A$10</c:f>
              <c:strCache>
                <c:ptCount val="3"/>
                <c:pt idx="0">
                  <c:v>Diciembre</c:v>
                </c:pt>
                <c:pt idx="1">
                  <c:v>Noviembre</c:v>
                </c:pt>
                <c:pt idx="2">
                  <c:v>Octubre</c:v>
                </c:pt>
              </c:strCache>
            </c:strRef>
          </c:cat>
          <c:val>
            <c:numRef>
              <c:f>Cotizantes!$C$8:$C$10</c:f>
              <c:numCache>
                <c:formatCode>#,##0</c:formatCode>
                <c:ptCount val="3"/>
                <c:pt idx="0">
                  <c:v>4779</c:v>
                </c:pt>
                <c:pt idx="1">
                  <c:v>4609</c:v>
                </c:pt>
                <c:pt idx="2">
                  <c:v>4748</c:v>
                </c:pt>
              </c:numCache>
            </c:numRef>
          </c:val>
          <c:extLst>
            <c:ext xmlns:c16="http://schemas.microsoft.com/office/drawing/2014/chart" uri="{C3380CC4-5D6E-409C-BE32-E72D297353CC}">
              <c16:uniqueId val="{00000004-3E7E-42F1-A859-3F19AC5D91D9}"/>
            </c:ext>
          </c:extLst>
        </c:ser>
        <c:dLbls>
          <c:showLegendKey val="0"/>
          <c:showVal val="0"/>
          <c:showCatName val="0"/>
          <c:showSerName val="0"/>
          <c:showPercent val="0"/>
          <c:showBubbleSize val="0"/>
        </c:dLbls>
        <c:gapWidth val="150"/>
        <c:axId val="1667763488"/>
        <c:axId val="1667764032"/>
      </c:barChart>
      <c:catAx>
        <c:axId val="1667763488"/>
        <c:scaling>
          <c:orientation val="minMax"/>
        </c:scaling>
        <c:delete val="0"/>
        <c:axPos val="b"/>
        <c:numFmt formatCode="General" sourceLinked="0"/>
        <c:majorTickMark val="none"/>
        <c:minorTickMark val="none"/>
        <c:tickLblPos val="nextTo"/>
        <c:crossAx val="1667764032"/>
        <c:crosses val="autoZero"/>
        <c:auto val="1"/>
        <c:lblAlgn val="ctr"/>
        <c:lblOffset val="100"/>
        <c:noMultiLvlLbl val="0"/>
      </c:catAx>
      <c:valAx>
        <c:axId val="1667764032"/>
        <c:scaling>
          <c:orientation val="minMax"/>
        </c:scaling>
        <c:delete val="0"/>
        <c:axPos val="l"/>
        <c:numFmt formatCode="#,##0" sourceLinked="1"/>
        <c:majorTickMark val="out"/>
        <c:minorTickMark val="none"/>
        <c:tickLblPos val="nextTo"/>
        <c:crossAx val="1667763488"/>
        <c:crosses val="autoZero"/>
        <c:crossBetween val="between"/>
      </c:valAx>
    </c:plotArea>
    <c:legend>
      <c:legendPos val="r"/>
      <c:layout>
        <c:manualLayout>
          <c:xMode val="edge"/>
          <c:yMode val="edge"/>
          <c:x val="0.83812576552930884"/>
          <c:y val="0.41853966170895307"/>
          <c:w val="0.14242979002624673"/>
          <c:h val="0.16743438320209975"/>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sz="1100">
                <a:solidFill>
                  <a:schemeClr val="accent1"/>
                </a:solidFill>
              </a:rPr>
              <a:t>Porcentaje</a:t>
            </a:r>
            <a:r>
              <a:rPr lang="es-ES" sz="1100" baseline="0">
                <a:solidFill>
                  <a:schemeClr val="accent1"/>
                </a:solidFill>
              </a:rPr>
              <a:t> Cotizantes por Tipo de Empleador</a:t>
            </a:r>
            <a:endParaRPr lang="es-ES" sz="1100">
              <a:solidFill>
                <a:schemeClr val="accent1"/>
              </a:solidFill>
            </a:endParaRPr>
          </a:p>
        </c:rich>
      </c:tx>
      <c:layout>
        <c:manualLayout>
          <c:xMode val="edge"/>
          <c:yMode val="edge"/>
          <c:x val="0.11448876116302337"/>
          <c:y val="3.552122976175603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bg1">
                <a:lumMod val="75000"/>
              </a:schemeClr>
            </a:solidFill>
          </c:spPr>
          <c:explosion val="21"/>
          <c:dPt>
            <c:idx val="0"/>
            <c:bubble3D val="0"/>
            <c:spPr>
              <a:solidFill>
                <a:schemeClr val="accent3"/>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E27F-40BC-B156-ECDD57E26777}"/>
              </c:ext>
            </c:extLst>
          </c:dPt>
          <c:dPt>
            <c:idx val="1"/>
            <c:bubble3D val="0"/>
            <c:spPr>
              <a:solidFill>
                <a:schemeClr val="bg1">
                  <a:lumMod val="75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E27F-40BC-B156-ECDD57E26777}"/>
              </c:ext>
            </c:extLst>
          </c:dPt>
          <c:dLbls>
            <c:dLbl>
              <c:idx val="0"/>
              <c:tx>
                <c:rich>
                  <a:bodyPr/>
                  <a:lstStyle/>
                  <a:p>
                    <a:fld id="{1E83FA5F-D0AB-48CE-96D6-99FDB27CB416}" type="CATEGORYNAME">
                      <a:rPr lang="en-US"/>
                      <a:pPr/>
                      <a:t>[]</a:t>
                    </a:fld>
                    <a:r>
                      <a:rPr lang="en-US" baseline="0"/>
                      <a:t>
</a:t>
                    </a:r>
                    <a:fld id="{C20B6CD3-A00D-42C3-9725-57F7CEEDB32F}" type="VALUE">
                      <a:rPr lang="en-US" baseline="0"/>
                      <a:pPr/>
                      <a:t>[]</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27F-40BC-B156-ECDD57E26777}"/>
                </c:ext>
              </c:extLst>
            </c:dLbl>
            <c:dLbl>
              <c:idx val="1"/>
              <c:layout>
                <c:manualLayout>
                  <c:x val="0.14088443512799001"/>
                  <c:y val="9.0954002126448455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DO"/>
                </a:p>
              </c:txPr>
              <c:showLegendKey val="0"/>
              <c:showVal val="0"/>
              <c:showCatName val="1"/>
              <c:showSerName val="0"/>
              <c:showPercent val="1"/>
              <c:showBubbleSize val="0"/>
              <c:extLst>
                <c:ext xmlns:c15="http://schemas.microsoft.com/office/drawing/2012/chart" uri="{CE6537A1-D6FC-4f65-9D91-7224C49458BB}">
                  <c15:layout>
                    <c:manualLayout>
                      <c:w val="0.16958098767372243"/>
                      <c:h val="0.19305351204092519"/>
                    </c:manualLayout>
                  </c15:layout>
                </c:ext>
                <c:ext xmlns:c16="http://schemas.microsoft.com/office/drawing/2014/chart" uri="{C3380CC4-5D6E-409C-BE32-E72D297353CC}">
                  <c16:uniqueId val="{00000003-E27F-40BC-B156-ECDD57E2677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DO"/>
              </a:p>
            </c:txPr>
            <c:showLegendKey val="0"/>
            <c:showVal val="0"/>
            <c:showCatName val="1"/>
            <c:showSerName val="0"/>
            <c:showPercent val="1"/>
            <c:showBubbleSize val="0"/>
            <c:showLeaderLines val="0"/>
            <c:extLst>
              <c:ext xmlns:c15="http://schemas.microsoft.com/office/drawing/2012/chart" uri="{CE6537A1-D6FC-4f65-9D91-7224C49458BB}"/>
            </c:extLst>
          </c:dLbls>
          <c:cat>
            <c:strRef>
              <c:f>Cotizantes!$E$7:$F$7</c:f>
              <c:strCache>
                <c:ptCount val="2"/>
                <c:pt idx="0">
                  <c:v>% Público</c:v>
                </c:pt>
                <c:pt idx="1">
                  <c:v>% Privado</c:v>
                </c:pt>
              </c:strCache>
            </c:strRef>
          </c:cat>
          <c:val>
            <c:numRef>
              <c:f>Cotizantes!$E$11:$F$11</c:f>
              <c:numCache>
                <c:formatCode>0%</c:formatCode>
                <c:ptCount val="2"/>
                <c:pt idx="0">
                  <c:v>0.80000565914942989</c:v>
                </c:pt>
                <c:pt idx="1">
                  <c:v>0.19999434085057016</c:v>
                </c:pt>
              </c:numCache>
            </c:numRef>
          </c:val>
          <c:extLst>
            <c:ext xmlns:c16="http://schemas.microsoft.com/office/drawing/2014/chart" uri="{C3380CC4-5D6E-409C-BE32-E72D297353CC}">
              <c16:uniqueId val="{00000004-E27F-40BC-B156-ECDD57E26777}"/>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Empleador!$B$7</c:f>
              <c:strCache>
                <c:ptCount val="1"/>
                <c:pt idx="0">
                  <c:v>Público (RD$)</c:v>
                </c:pt>
              </c:strCache>
            </c:strRef>
          </c:tx>
          <c:spPr>
            <a:solidFill>
              <a:schemeClr val="bg1">
                <a:lumMod val="75000"/>
              </a:schemeClr>
            </a:solid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sz="9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Empleador!$A$8:$A$10</c:f>
              <c:strCache>
                <c:ptCount val="3"/>
                <c:pt idx="0">
                  <c:v>Diciembre</c:v>
                </c:pt>
                <c:pt idx="1">
                  <c:v>Noviembre</c:v>
                </c:pt>
                <c:pt idx="2">
                  <c:v>Octubre</c:v>
                </c:pt>
              </c:strCache>
            </c:strRef>
          </c:cat>
          <c:val>
            <c:numRef>
              <c:f>Empleador!$B$8:$B$10</c:f>
              <c:numCache>
                <c:formatCode>#,##0</c:formatCode>
                <c:ptCount val="3"/>
                <c:pt idx="0">
                  <c:v>84135213</c:v>
                </c:pt>
                <c:pt idx="1">
                  <c:v>85161762</c:v>
                </c:pt>
                <c:pt idx="2">
                  <c:v>85300653</c:v>
                </c:pt>
              </c:numCache>
            </c:numRef>
          </c:val>
          <c:extLst>
            <c:ext xmlns:c16="http://schemas.microsoft.com/office/drawing/2014/chart" uri="{C3380CC4-5D6E-409C-BE32-E72D297353CC}">
              <c16:uniqueId val="{00000000-9301-42CA-BE02-9F1C2FB19D24}"/>
            </c:ext>
          </c:extLst>
        </c:ser>
        <c:ser>
          <c:idx val="1"/>
          <c:order val="1"/>
          <c:tx>
            <c:strRef>
              <c:f>Empleador!$C$7</c:f>
              <c:strCache>
                <c:ptCount val="1"/>
                <c:pt idx="0">
                  <c:v>Privado (RD$)</c:v>
                </c:pt>
              </c:strCache>
            </c:strRef>
          </c:tx>
          <c:spPr>
            <a:solidFill>
              <a:schemeClr val="accent3">
                <a:lumMod val="60000"/>
                <a:lumOff val="40000"/>
              </a:schemeClr>
            </a:solidFill>
            <a:ln>
              <a:solidFill>
                <a:schemeClr val="accent3">
                  <a:lumMod val="60000"/>
                  <a:lumOff val="40000"/>
                </a:schemeClr>
              </a:solidFill>
            </a:ln>
          </c:spPr>
          <c:invertIfNegative val="0"/>
          <c:dLbls>
            <c:dLbl>
              <c:idx val="0"/>
              <c:layout>
                <c:manualLayout>
                  <c:x val="2.88817530996714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01-42CA-BE02-9F1C2FB19D24}"/>
                </c:ext>
              </c:extLst>
            </c:dLbl>
            <c:dLbl>
              <c:idx val="1"/>
              <c:layout>
                <c:manualLayout>
                  <c:x val="3.849131627010466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01-42CA-BE02-9F1C2FB19D24}"/>
                </c:ext>
              </c:extLst>
            </c:dLbl>
            <c:spPr>
              <a:noFill/>
              <a:ln>
                <a:noFill/>
              </a:ln>
              <a:effectLst/>
            </c:spPr>
            <c:txPr>
              <a:bodyPr wrap="square" lIns="38100" tIns="19050" rIns="38100" bIns="19050" anchor="ctr">
                <a:spAutoFit/>
              </a:bodyPr>
              <a:lstStyle/>
              <a:p>
                <a:pPr>
                  <a:defRPr sz="9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Empleador!$A$8:$A$10</c:f>
              <c:strCache>
                <c:ptCount val="3"/>
                <c:pt idx="0">
                  <c:v>Diciembre</c:v>
                </c:pt>
                <c:pt idx="1">
                  <c:v>Noviembre</c:v>
                </c:pt>
                <c:pt idx="2">
                  <c:v>Octubre</c:v>
                </c:pt>
              </c:strCache>
            </c:strRef>
          </c:cat>
          <c:val>
            <c:numRef>
              <c:f>Empleador!$C$8:$C$10</c:f>
              <c:numCache>
                <c:formatCode>#,##0</c:formatCode>
                <c:ptCount val="3"/>
                <c:pt idx="0">
                  <c:v>18700575</c:v>
                </c:pt>
                <c:pt idx="1">
                  <c:v>18694045</c:v>
                </c:pt>
                <c:pt idx="2">
                  <c:v>18815847</c:v>
                </c:pt>
              </c:numCache>
            </c:numRef>
          </c:val>
          <c:extLst>
            <c:ext xmlns:c16="http://schemas.microsoft.com/office/drawing/2014/chart" uri="{C3380CC4-5D6E-409C-BE32-E72D297353CC}">
              <c16:uniqueId val="{00000004-9301-42CA-BE02-9F1C2FB19D24}"/>
            </c:ext>
          </c:extLst>
        </c:ser>
        <c:dLbls>
          <c:showLegendKey val="0"/>
          <c:showVal val="1"/>
          <c:showCatName val="0"/>
          <c:showSerName val="0"/>
          <c:showPercent val="0"/>
          <c:showBubbleSize val="0"/>
        </c:dLbls>
        <c:gapWidth val="75"/>
        <c:axId val="1667757504"/>
        <c:axId val="1667761312"/>
      </c:barChart>
      <c:catAx>
        <c:axId val="1667757504"/>
        <c:scaling>
          <c:orientation val="minMax"/>
        </c:scaling>
        <c:delete val="0"/>
        <c:axPos val="b"/>
        <c:numFmt formatCode="General" sourceLinked="0"/>
        <c:majorTickMark val="none"/>
        <c:minorTickMark val="none"/>
        <c:tickLblPos val="nextTo"/>
        <c:crossAx val="1667761312"/>
        <c:crosses val="autoZero"/>
        <c:auto val="1"/>
        <c:lblAlgn val="ctr"/>
        <c:lblOffset val="100"/>
        <c:noMultiLvlLbl val="0"/>
      </c:catAx>
      <c:valAx>
        <c:axId val="1667761312"/>
        <c:scaling>
          <c:orientation val="minMax"/>
          <c:max val="200000000"/>
        </c:scaling>
        <c:delete val="0"/>
        <c:axPos val="l"/>
        <c:numFmt formatCode="#,##0" sourceLinked="1"/>
        <c:majorTickMark val="none"/>
        <c:minorTickMark val="none"/>
        <c:tickLblPos val="nextTo"/>
        <c:crossAx val="166775750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100" b="1" i="0" u="none" strike="noStrike" kern="1200" cap="none" spc="20" baseline="0">
                <a:solidFill>
                  <a:schemeClr val="accent1"/>
                </a:solidFill>
                <a:latin typeface="+mn-lt"/>
                <a:ea typeface="+mn-ea"/>
                <a:cs typeface="+mn-cs"/>
              </a:defRPr>
            </a:pPr>
            <a:r>
              <a:rPr lang="en-US" sz="1100" b="1">
                <a:solidFill>
                  <a:schemeClr val="accent1"/>
                </a:solidFill>
              </a:rPr>
              <a:t>Porcentaje Monto Total</a:t>
            </a:r>
            <a:r>
              <a:rPr lang="en-US" sz="1100" b="1" baseline="0">
                <a:solidFill>
                  <a:schemeClr val="accent1"/>
                </a:solidFill>
              </a:rPr>
              <a:t> Individualizado por Tipo de Empleador</a:t>
            </a:r>
            <a:endParaRPr lang="en-US" sz="1100" b="1">
              <a:solidFill>
                <a:schemeClr val="accent1"/>
              </a:solidFill>
            </a:endParaRPr>
          </a:p>
        </c:rich>
      </c:tx>
      <c:overlay val="0"/>
      <c:spPr>
        <a:noFill/>
        <a:ln>
          <a:noFill/>
        </a:ln>
        <a:effectLst/>
      </c:spPr>
      <c:txPr>
        <a:bodyPr rot="0" spcFirstLastPara="1" vertOverflow="ellipsis" vert="horz" wrap="square" anchor="ctr" anchorCtr="1"/>
        <a:lstStyle/>
        <a:p>
          <a:pPr>
            <a:defRPr sz="1100" b="1" i="0" u="none" strike="noStrike" kern="1200" cap="none" spc="20" baseline="0">
              <a:solidFill>
                <a:schemeClr val="accent1"/>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4"/>
          <c:dPt>
            <c:idx val="0"/>
            <c:bubble3D val="0"/>
            <c:spPr>
              <a:solidFill>
                <a:schemeClr val="accent3"/>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FBF6-429A-A5C3-DB8E0C911E9E}"/>
              </c:ext>
            </c:extLst>
          </c:dPt>
          <c:dPt>
            <c:idx val="1"/>
            <c:bubble3D val="0"/>
            <c:spPr>
              <a:solidFill>
                <a:schemeClr val="bg1">
                  <a:lumMod val="50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FBF6-429A-A5C3-DB8E0C911E9E}"/>
              </c:ext>
            </c:extLst>
          </c:dPt>
          <c:dLbls>
            <c:dLbl>
              <c:idx val="0"/>
              <c:tx>
                <c:rich>
                  <a:bodyPr/>
                  <a:lstStyle/>
                  <a:p>
                    <a:r>
                      <a:rPr lang="en-US" baseline="0"/>
                      <a:t>
</a:t>
                    </a:r>
                    <a:fld id="{1E0124BD-4345-4E4A-B14D-12CA58C69878}" type="PERCENTAGE">
                      <a:rPr lang="en-US" baseline="0"/>
                      <a:pPr/>
                      <a:t>[]</a:t>
                    </a:fld>
                    <a:endParaRPr lang="en-US" baseline="0"/>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BF6-429A-A5C3-DB8E0C911E9E}"/>
                </c:ext>
              </c:extLst>
            </c:dLbl>
            <c:dLbl>
              <c:idx val="1"/>
              <c:layout>
                <c:manualLayout>
                  <c:x val="9.642291839099694E-2"/>
                  <c:y val="8.7685231033974187E-2"/>
                </c:manualLayout>
              </c:layout>
              <c:tx>
                <c:rich>
                  <a:bodyPr/>
                  <a:lstStyle/>
                  <a:p>
                    <a:r>
                      <a:rPr lang="en-US" baseline="0"/>
                      <a:t>
</a:t>
                    </a:r>
                    <a:fld id="{9808AA45-761B-4E95-9508-605747744867}" type="PERCENTAGE">
                      <a:rPr lang="en-US" baseline="0"/>
                      <a:pPr/>
                      <a: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BF6-429A-A5C3-DB8E0C911E9E}"/>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DO"/>
              </a:p>
            </c:tx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Empleador!$B$7:$C$7</c:f>
              <c:strCache>
                <c:ptCount val="2"/>
                <c:pt idx="0">
                  <c:v>Público (RD$)</c:v>
                </c:pt>
                <c:pt idx="1">
                  <c:v>Privado (RD$)</c:v>
                </c:pt>
              </c:strCache>
            </c:strRef>
          </c:cat>
          <c:val>
            <c:numRef>
              <c:f>Empleador!$B$29:$C$29</c:f>
              <c:numCache>
                <c:formatCode>0%</c:formatCode>
                <c:ptCount val="2"/>
                <c:pt idx="0">
                  <c:v>0.81914735200188404</c:v>
                </c:pt>
                <c:pt idx="1">
                  <c:v>0.18085264799811601</c:v>
                </c:pt>
              </c:numCache>
            </c:numRef>
          </c:val>
          <c:extLst>
            <c:ext xmlns:c16="http://schemas.microsoft.com/office/drawing/2014/chart" uri="{C3380CC4-5D6E-409C-BE32-E72D297353CC}">
              <c16:uniqueId val="{00000004-FBF6-429A-A5C3-DB8E0C911E9E}"/>
            </c:ext>
          </c:extLst>
        </c:ser>
        <c:dLbls>
          <c:dLblPos val="in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800">
                <a:solidFill>
                  <a:schemeClr val="accent1">
                    <a:lumMod val="75000"/>
                  </a:schemeClr>
                </a:solidFill>
              </a:rPr>
              <a:t>Distribución de</a:t>
            </a:r>
            <a:r>
              <a:rPr lang="es-ES" sz="800" baseline="0">
                <a:solidFill>
                  <a:schemeClr val="accent1">
                    <a:lumMod val="75000"/>
                  </a:schemeClr>
                </a:solidFill>
              </a:rPr>
              <a:t> Aportes</a:t>
            </a:r>
            <a:endParaRPr lang="es-ES" sz="800">
              <a:solidFill>
                <a:schemeClr val="accent1">
                  <a:lumMod val="75000"/>
                </a:schemeClr>
              </a:solidFill>
            </a:endParaRPr>
          </a:p>
        </c:rich>
      </c:tx>
      <c:layout>
        <c:manualLayout>
          <c:xMode val="edge"/>
          <c:yMode val="edge"/>
          <c:x val="0.36509152799625716"/>
          <c:y val="1.4417744497132913E-2"/>
        </c:manualLayout>
      </c:layout>
      <c:overlay val="0"/>
    </c:title>
    <c:autoTitleDeleted val="0"/>
    <c:plotArea>
      <c:layout/>
      <c:barChart>
        <c:barDir val="col"/>
        <c:grouping val="clustered"/>
        <c:varyColors val="0"/>
        <c:ser>
          <c:idx val="0"/>
          <c:order val="0"/>
          <c:invertIfNegative val="0"/>
          <c:dLbls>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Aportes!$A$12:$A$14</c:f>
            </c:strRef>
          </c:cat>
          <c:val>
            <c:numRef>
              <c:f>Aportes!$B$12:$B$14</c:f>
            </c:numRef>
          </c:val>
          <c:extLst>
            <c:ext xmlns:c16="http://schemas.microsoft.com/office/drawing/2014/chart" uri="{C3380CC4-5D6E-409C-BE32-E72D297353CC}">
              <c16:uniqueId val="{00000005-96C4-4E72-86CD-26E8823546DB}"/>
            </c:ext>
          </c:extLst>
        </c:ser>
        <c:dLbls>
          <c:showLegendKey val="0"/>
          <c:showVal val="1"/>
          <c:showCatName val="0"/>
          <c:showSerName val="0"/>
          <c:showPercent val="0"/>
          <c:showBubbleSize val="0"/>
        </c:dLbls>
        <c:gapWidth val="75"/>
        <c:axId val="1667765120"/>
        <c:axId val="1667765664"/>
      </c:barChart>
      <c:catAx>
        <c:axId val="1667765120"/>
        <c:scaling>
          <c:orientation val="minMax"/>
        </c:scaling>
        <c:delete val="0"/>
        <c:axPos val="b"/>
        <c:numFmt formatCode="General" sourceLinked="0"/>
        <c:majorTickMark val="none"/>
        <c:minorTickMark val="none"/>
        <c:tickLblPos val="nextTo"/>
        <c:crossAx val="1667765664"/>
        <c:crosses val="autoZero"/>
        <c:auto val="1"/>
        <c:lblAlgn val="ctr"/>
        <c:lblOffset val="100"/>
        <c:noMultiLvlLbl val="0"/>
      </c:catAx>
      <c:valAx>
        <c:axId val="1667765664"/>
        <c:scaling>
          <c:orientation val="minMax"/>
        </c:scaling>
        <c:delete val="0"/>
        <c:axPos val="l"/>
        <c:numFmt formatCode="#,##0" sourceLinked="1"/>
        <c:majorTickMark val="none"/>
        <c:minorTickMark val="none"/>
        <c:tickLblPos val="nextTo"/>
        <c:crossAx val="166776512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800">
                <a:solidFill>
                  <a:schemeClr val="accent1">
                    <a:lumMod val="75000"/>
                  </a:schemeClr>
                </a:solidFill>
              </a:rPr>
              <a:t>Distribución de</a:t>
            </a:r>
            <a:r>
              <a:rPr lang="es-ES" sz="800" baseline="0">
                <a:solidFill>
                  <a:schemeClr val="accent1">
                    <a:lumMod val="75000"/>
                  </a:schemeClr>
                </a:solidFill>
              </a:rPr>
              <a:t> Aportes</a:t>
            </a:r>
            <a:endParaRPr lang="es-ES" sz="800">
              <a:solidFill>
                <a:schemeClr val="accent1">
                  <a:lumMod val="75000"/>
                </a:schemeClr>
              </a:solidFill>
            </a:endParaRPr>
          </a:p>
        </c:rich>
      </c:tx>
      <c:layout>
        <c:manualLayout>
          <c:xMode val="edge"/>
          <c:yMode val="edge"/>
          <c:x val="0.36509152799625716"/>
          <c:y val="1.4417744497132913E-2"/>
        </c:manualLayout>
      </c:layout>
      <c:overlay val="0"/>
    </c:title>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dPt>
            <c:idx val="1"/>
            <c:invertIfNegative val="0"/>
            <c:bubble3D val="0"/>
            <c:spPr>
              <a:solidFill>
                <a:schemeClr val="accent3">
                  <a:lumMod val="60000"/>
                  <a:lumOff val="40000"/>
                </a:schemeClr>
              </a:solidFill>
              <a:ln>
                <a:solidFill>
                  <a:schemeClr val="accent3">
                    <a:lumMod val="60000"/>
                    <a:lumOff val="40000"/>
                  </a:schemeClr>
                </a:solidFill>
              </a:ln>
            </c:spPr>
            <c:extLst>
              <c:ext xmlns:c16="http://schemas.microsoft.com/office/drawing/2014/chart" uri="{C3380CC4-5D6E-409C-BE32-E72D297353CC}">
                <c16:uniqueId val="{00000001-D0F6-4354-94C8-98680B44408D}"/>
              </c:ext>
            </c:extLst>
          </c:dPt>
          <c:dPt>
            <c:idx val="2"/>
            <c:invertIfNegative val="0"/>
            <c:bubble3D val="0"/>
            <c:spPr>
              <a:solidFill>
                <a:schemeClr val="accent1">
                  <a:lumMod val="60000"/>
                  <a:lumOff val="40000"/>
                </a:schemeClr>
              </a:solidFill>
              <a:ln>
                <a:solidFill>
                  <a:schemeClr val="accent1">
                    <a:lumMod val="60000"/>
                    <a:lumOff val="40000"/>
                  </a:schemeClr>
                </a:solidFill>
              </a:ln>
            </c:spPr>
            <c:extLst>
              <c:ext xmlns:c16="http://schemas.microsoft.com/office/drawing/2014/chart" uri="{C3380CC4-5D6E-409C-BE32-E72D297353CC}">
                <c16:uniqueId val="{00000003-D0F6-4354-94C8-98680B44408D}"/>
              </c:ext>
            </c:extLst>
          </c:dPt>
          <c:dLbls>
            <c:dLbl>
              <c:idx val="0"/>
              <c:layout>
                <c:manualLayout>
                  <c:x val="-2.7579408140791677E-3"/>
                  <c:y val="0.22776823202861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F6-4354-94C8-98680B44408D}"/>
                </c:ext>
              </c:extLst>
            </c:dLbl>
            <c:dLbl>
              <c:idx val="1"/>
              <c:layout>
                <c:manualLayout>
                  <c:x val="3.645867423629125E-3"/>
                  <c:y val="0.21666027448900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F6-4354-94C8-98680B44408D}"/>
                </c:ext>
              </c:extLst>
            </c:dLbl>
            <c:dLbl>
              <c:idx val="2"/>
              <c:layout>
                <c:manualLayout>
                  <c:x val="6.423616493789394E-3"/>
                  <c:y val="0.209249867382357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F6-4354-94C8-98680B44408D}"/>
                </c:ext>
              </c:extLst>
            </c:dLbl>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Aportes!$A$8:$A$10</c:f>
              <c:strCache>
                <c:ptCount val="3"/>
                <c:pt idx="0">
                  <c:v>Diciembre</c:v>
                </c:pt>
                <c:pt idx="1">
                  <c:v>Noviembre</c:v>
                </c:pt>
                <c:pt idx="2">
                  <c:v>Octubre</c:v>
                </c:pt>
              </c:strCache>
            </c:strRef>
          </c:cat>
          <c:val>
            <c:numRef>
              <c:f>Aportes!$B$8:$B$10</c:f>
              <c:numCache>
                <c:formatCode>#,##0</c:formatCode>
                <c:ptCount val="3"/>
                <c:pt idx="0">
                  <c:v>20900</c:v>
                </c:pt>
                <c:pt idx="1">
                  <c:v>26170</c:v>
                </c:pt>
                <c:pt idx="2">
                  <c:v>26725</c:v>
                </c:pt>
              </c:numCache>
            </c:numRef>
          </c:val>
          <c:extLst>
            <c:ext xmlns:c16="http://schemas.microsoft.com/office/drawing/2014/chart" uri="{C3380CC4-5D6E-409C-BE32-E72D297353CC}">
              <c16:uniqueId val="{00000005-D0F6-4354-94C8-98680B44408D}"/>
            </c:ext>
          </c:extLst>
        </c:ser>
        <c:dLbls>
          <c:showLegendKey val="0"/>
          <c:showVal val="1"/>
          <c:showCatName val="0"/>
          <c:showSerName val="0"/>
          <c:showPercent val="0"/>
          <c:showBubbleSize val="0"/>
        </c:dLbls>
        <c:gapWidth val="75"/>
        <c:axId val="1667765120"/>
        <c:axId val="1667765664"/>
      </c:barChart>
      <c:catAx>
        <c:axId val="1667765120"/>
        <c:scaling>
          <c:orientation val="minMax"/>
        </c:scaling>
        <c:delete val="0"/>
        <c:axPos val="b"/>
        <c:numFmt formatCode="General" sourceLinked="0"/>
        <c:majorTickMark val="none"/>
        <c:minorTickMark val="none"/>
        <c:tickLblPos val="nextTo"/>
        <c:crossAx val="1667765664"/>
        <c:crosses val="autoZero"/>
        <c:auto val="1"/>
        <c:lblAlgn val="ctr"/>
        <c:lblOffset val="100"/>
        <c:noMultiLvlLbl val="0"/>
      </c:catAx>
      <c:valAx>
        <c:axId val="1667765664"/>
        <c:scaling>
          <c:orientation val="minMax"/>
        </c:scaling>
        <c:delete val="0"/>
        <c:axPos val="l"/>
        <c:numFmt formatCode="#,##0" sourceLinked="1"/>
        <c:majorTickMark val="none"/>
        <c:minorTickMark val="none"/>
        <c:tickLblPos val="nextTo"/>
        <c:crossAx val="166776512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ES" sz="1000">
                <a:solidFill>
                  <a:schemeClr val="accent1">
                    <a:lumMod val="75000"/>
                  </a:schemeClr>
                </a:solidFill>
              </a:rPr>
              <a:t>Cantidad de Traspasos</a:t>
            </a:r>
          </a:p>
        </c:rich>
      </c:tx>
      <c:overlay val="0"/>
    </c:title>
    <c:autoTitleDeleted val="0"/>
    <c:plotArea>
      <c:layout>
        <c:manualLayout>
          <c:layoutTarget val="inner"/>
          <c:xMode val="edge"/>
          <c:yMode val="edge"/>
          <c:x val="0.12016285132106767"/>
          <c:y val="0.18401209406649208"/>
          <c:w val="0.83717921431840892"/>
          <c:h val="0.61610024514896233"/>
        </c:manualLayout>
      </c:layout>
      <c:barChart>
        <c:barDir val="col"/>
        <c:grouping val="clustered"/>
        <c:varyColors val="0"/>
        <c:ser>
          <c:idx val="1"/>
          <c:order val="1"/>
          <c:tx>
            <c:strRef>
              <c:f>[1]Traspasos!$C$7</c:f>
              <c:strCache>
                <c:ptCount val="1"/>
                <c:pt idx="0">
                  <c:v>Cedidos (Reparto a SCI)</c:v>
                </c:pt>
              </c:strCache>
            </c:strRef>
          </c:tx>
          <c:spPr>
            <a:solidFill>
              <a:schemeClr val="accent3">
                <a:lumMod val="60000"/>
                <a:lumOff val="40000"/>
              </a:schemeClr>
            </a:solidFill>
            <a:ln>
              <a:solidFill>
                <a:schemeClr val="accent3">
                  <a:lumMod val="60000"/>
                  <a:lumOff val="40000"/>
                </a:schemeClr>
              </a:solidFill>
            </a:ln>
          </c:spPr>
          <c:invertIfNegative val="0"/>
          <c:dLbls>
            <c:dLbl>
              <c:idx val="0"/>
              <c:layout>
                <c:manualLayout>
                  <c:x val="-7.6036422311119411E-3"/>
                  <c:y val="-3.014202351868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E4-4439-9A3C-7E57E6665ECF}"/>
                </c:ext>
              </c:extLst>
            </c:dLbl>
            <c:dLbl>
              <c:idx val="1"/>
              <c:layout>
                <c:manualLayout>
                  <c:x val="-1.1232343215769955E-2"/>
                  <c:y val="-8.58600682269844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E4-4439-9A3C-7E57E6665ECF}"/>
                </c:ext>
              </c:extLst>
            </c:dLbl>
            <c:dLbl>
              <c:idx val="2"/>
              <c:layout>
                <c:manualLayout>
                  <c:x val="-3.803055620437082E-3"/>
                  <c:y val="-1.0047341172896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E4-4439-9A3C-7E57E6665ECF}"/>
                </c:ext>
              </c:extLst>
            </c:dLbl>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[1]Traspasos!$A$12:$A$14</c:f>
              <c:strCache>
                <c:ptCount val="3"/>
                <c:pt idx="0">
                  <c:v>Marzo</c:v>
                </c:pt>
                <c:pt idx="1">
                  <c:v>Febrero</c:v>
                </c:pt>
                <c:pt idx="2">
                  <c:v>Enero</c:v>
                </c:pt>
              </c:strCache>
            </c:strRef>
          </c:cat>
          <c:val>
            <c:numRef>
              <c:f>[1]Traspasos!$C$12:$C$14</c:f>
              <c:numCache>
                <c:formatCode>General</c:formatCode>
                <c:ptCount val="3"/>
                <c:pt idx="0">
                  <c:v>5</c:v>
                </c:pt>
                <c:pt idx="1">
                  <c:v>1</c:v>
                </c:pt>
                <c:pt idx="2">
                  <c:v>1</c:v>
                </c:pt>
              </c:numCache>
            </c:numRef>
          </c:val>
          <c:extLst>
            <c:ext xmlns:c16="http://schemas.microsoft.com/office/drawing/2014/chart" uri="{C3380CC4-5D6E-409C-BE32-E72D297353CC}">
              <c16:uniqueId val="{00000003-DDE4-4439-9A3C-7E57E6665ECF}"/>
            </c:ext>
          </c:extLst>
        </c:ser>
        <c:dLbls>
          <c:showLegendKey val="0"/>
          <c:showVal val="0"/>
          <c:showCatName val="0"/>
          <c:showSerName val="0"/>
          <c:showPercent val="0"/>
          <c:showBubbleSize val="0"/>
        </c:dLbls>
        <c:gapWidth val="75"/>
        <c:axId val="1665019632"/>
        <c:axId val="1665020176"/>
      </c:barChart>
      <c:lineChart>
        <c:grouping val="standard"/>
        <c:varyColors val="0"/>
        <c:ser>
          <c:idx val="0"/>
          <c:order val="0"/>
          <c:tx>
            <c:strRef>
              <c:f>[1]Traspasos!$B$7</c:f>
              <c:strCache>
                <c:ptCount val="1"/>
                <c:pt idx="0">
                  <c:v>Recibidos (SCI a Reparto)</c:v>
                </c:pt>
              </c:strCache>
            </c:strRef>
          </c:tx>
          <c:spPr>
            <a:ln>
              <a:solidFill>
                <a:schemeClr val="bg1">
                  <a:lumMod val="75000"/>
                </a:schemeClr>
              </a:solidFill>
            </a:ln>
          </c:spPr>
          <c:dLbls>
            <c:dLbl>
              <c:idx val="0"/>
              <c:layout>
                <c:manualLayout>
                  <c:x val="-6.4523378603867268E-2"/>
                  <c:y val="0.109966962443513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E4-4439-9A3C-7E57E6665ECF}"/>
                </c:ext>
              </c:extLst>
            </c:dLbl>
            <c:dLbl>
              <c:idx val="1"/>
              <c:layout>
                <c:manualLayout>
                  <c:x val="-5.7008464291933403E-2"/>
                  <c:y val="-7.0331388210275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E4-4439-9A3C-7E57E6665ECF}"/>
                </c:ext>
              </c:extLst>
            </c:dLbl>
            <c:dLbl>
              <c:idx val="2"/>
              <c:layout>
                <c:manualLayout>
                  <c:x val="-1.9955719893408847E-2"/>
                  <c:y val="7.0985652080353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E4-4439-9A3C-7E57E6665ECF}"/>
                </c:ext>
              </c:extLst>
            </c:dLbl>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[1]Traspasos!$A$12:$A$14</c:f>
              <c:strCache>
                <c:ptCount val="3"/>
                <c:pt idx="0">
                  <c:v>Marzo</c:v>
                </c:pt>
                <c:pt idx="1">
                  <c:v>Febrero</c:v>
                </c:pt>
                <c:pt idx="2">
                  <c:v>Enero</c:v>
                </c:pt>
              </c:strCache>
            </c:strRef>
          </c:cat>
          <c:val>
            <c:numRef>
              <c:f>[1]Traspasos!$B$12:$B$14</c:f>
              <c:numCache>
                <c:formatCode>General</c:formatCode>
                <c:ptCount val="3"/>
                <c:pt idx="0">
                  <c:v>162</c:v>
                </c:pt>
                <c:pt idx="1">
                  <c:v>1</c:v>
                </c:pt>
                <c:pt idx="2">
                  <c:v>210</c:v>
                </c:pt>
              </c:numCache>
            </c:numRef>
          </c:val>
          <c:smooth val="0"/>
          <c:extLst>
            <c:ext xmlns:c16="http://schemas.microsoft.com/office/drawing/2014/chart" uri="{C3380CC4-5D6E-409C-BE32-E72D297353CC}">
              <c16:uniqueId val="{00000007-DDE4-4439-9A3C-7E57E6665ECF}"/>
            </c:ext>
          </c:extLst>
        </c:ser>
        <c:dLbls>
          <c:showLegendKey val="0"/>
          <c:showVal val="1"/>
          <c:showCatName val="0"/>
          <c:showSerName val="0"/>
          <c:showPercent val="0"/>
          <c:showBubbleSize val="0"/>
        </c:dLbls>
        <c:marker val="1"/>
        <c:smooth val="0"/>
        <c:axId val="1862418912"/>
        <c:axId val="1862406848"/>
      </c:lineChart>
      <c:catAx>
        <c:axId val="1665019632"/>
        <c:scaling>
          <c:orientation val="minMax"/>
        </c:scaling>
        <c:delete val="0"/>
        <c:axPos val="b"/>
        <c:numFmt formatCode="General" sourceLinked="0"/>
        <c:majorTickMark val="none"/>
        <c:minorTickMark val="none"/>
        <c:tickLblPos val="nextTo"/>
        <c:crossAx val="1665020176"/>
        <c:crosses val="autoZero"/>
        <c:auto val="1"/>
        <c:lblAlgn val="ctr"/>
        <c:lblOffset val="100"/>
        <c:noMultiLvlLbl val="0"/>
      </c:catAx>
      <c:valAx>
        <c:axId val="1665020176"/>
        <c:scaling>
          <c:orientation val="minMax"/>
        </c:scaling>
        <c:delete val="0"/>
        <c:axPos val="l"/>
        <c:numFmt formatCode="General" sourceLinked="1"/>
        <c:majorTickMark val="none"/>
        <c:minorTickMark val="none"/>
        <c:tickLblPos val="nextTo"/>
        <c:crossAx val="1665019632"/>
        <c:crosses val="autoZero"/>
        <c:crossBetween val="between"/>
      </c:valAx>
      <c:valAx>
        <c:axId val="1862406848"/>
        <c:scaling>
          <c:orientation val="minMax"/>
        </c:scaling>
        <c:delete val="0"/>
        <c:axPos val="r"/>
        <c:numFmt formatCode="General" sourceLinked="1"/>
        <c:majorTickMark val="out"/>
        <c:minorTickMark val="none"/>
        <c:tickLblPos val="nextTo"/>
        <c:crossAx val="1862418912"/>
        <c:crosses val="max"/>
        <c:crossBetween val="between"/>
      </c:valAx>
      <c:catAx>
        <c:axId val="1862418912"/>
        <c:scaling>
          <c:orientation val="minMax"/>
        </c:scaling>
        <c:delete val="1"/>
        <c:axPos val="b"/>
        <c:numFmt formatCode="General" sourceLinked="1"/>
        <c:majorTickMark val="out"/>
        <c:minorTickMark val="none"/>
        <c:tickLblPos val="nextTo"/>
        <c:crossAx val="1862406848"/>
        <c:crosses val="autoZero"/>
        <c:auto val="1"/>
        <c:lblAlgn val="ctr"/>
        <c:lblOffset val="100"/>
        <c:noMultiLvlLbl val="0"/>
      </c:catAx>
    </c:plotArea>
    <c:legend>
      <c:legendPos val="b"/>
      <c:layout>
        <c:manualLayout>
          <c:xMode val="edge"/>
          <c:yMode val="edge"/>
          <c:x val="1.7899037851528927E-2"/>
          <c:y val="0.91418107049277852"/>
          <c:w val="0.97827692204584993"/>
          <c:h val="8.4775034493234272E-2"/>
        </c:manualLayout>
      </c:layout>
      <c:overlay val="0"/>
      <c:txPr>
        <a:bodyPr/>
        <a:lstStyle/>
        <a:p>
          <a:pPr>
            <a:defRPr sz="9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r>
              <a:rPr lang="es-DO" sz="1100" b="1" i="0" u="none" strike="noStrike" kern="1200" baseline="0">
                <a:solidFill>
                  <a:schemeClr val="accent1">
                    <a:lumMod val="75000"/>
                  </a:schemeClr>
                </a:solidFill>
                <a:latin typeface="+mn-lt"/>
                <a:ea typeface="+mn-ea"/>
                <a:cs typeface="+mn-cs"/>
              </a:rPr>
              <a:t>Monto Traspasado</a:t>
            </a:r>
          </a:p>
        </c:rich>
      </c:tx>
      <c:layout>
        <c:manualLayout>
          <c:xMode val="edge"/>
          <c:yMode val="edge"/>
          <c:x val="0.39849932491882706"/>
          <c:y val="3.0018755813179337E-2"/>
        </c:manualLayout>
      </c:layout>
      <c:overlay val="0"/>
      <c:spPr>
        <a:noFill/>
        <a:ln>
          <a:noFill/>
        </a:ln>
        <a:effectLst/>
      </c:spPr>
      <c:txPr>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endParaRPr lang="es-DO"/>
        </a:p>
      </c:txPr>
    </c:title>
    <c:autoTitleDeleted val="0"/>
    <c:plotArea>
      <c:layout/>
      <c:barChart>
        <c:barDir val="col"/>
        <c:grouping val="clustered"/>
        <c:varyColors val="0"/>
        <c:ser>
          <c:idx val="0"/>
          <c:order val="0"/>
          <c:tx>
            <c:strRef>
              <c:f>[1]Traspasos!$A$12</c:f>
              <c:strCache>
                <c:ptCount val="1"/>
                <c:pt idx="0">
                  <c:v>Marzo</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[1]Traspasos!$D$7</c:f>
              <c:strCache>
                <c:ptCount val="1"/>
                <c:pt idx="0">
                  <c:v>Monto Traspasado (RD$)</c:v>
                </c:pt>
              </c:strCache>
            </c:strRef>
          </c:cat>
          <c:val>
            <c:numRef>
              <c:f>[1]Traspasos!$D$12</c:f>
              <c:numCache>
                <c:formatCode>General</c:formatCode>
                <c:ptCount val="1"/>
                <c:pt idx="0">
                  <c:v>124127103.37</c:v>
                </c:pt>
              </c:numCache>
            </c:numRef>
          </c:val>
          <c:extLst>
            <c:ext xmlns:c16="http://schemas.microsoft.com/office/drawing/2014/chart" uri="{C3380CC4-5D6E-409C-BE32-E72D297353CC}">
              <c16:uniqueId val="{00000000-4A38-4920-93F8-B067B43637B5}"/>
            </c:ext>
          </c:extLst>
        </c:ser>
        <c:ser>
          <c:idx val="1"/>
          <c:order val="1"/>
          <c:tx>
            <c:strRef>
              <c:f>[1]Traspasos!$A$13</c:f>
              <c:strCache>
                <c:ptCount val="1"/>
                <c:pt idx="0">
                  <c:v>Febrero</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[1]Traspasos!$D$7</c:f>
              <c:strCache>
                <c:ptCount val="1"/>
                <c:pt idx="0">
                  <c:v>Monto Traspasado (RD$)</c:v>
                </c:pt>
              </c:strCache>
            </c:strRef>
          </c:cat>
          <c:val>
            <c:numRef>
              <c:f>[1]Traspasos!$D$13</c:f>
              <c:numCache>
                <c:formatCode>General</c:formatCode>
                <c:ptCount val="1"/>
                <c:pt idx="0">
                  <c:v>4407042.8099999996</c:v>
                </c:pt>
              </c:numCache>
            </c:numRef>
          </c:val>
          <c:extLst>
            <c:ext xmlns:c16="http://schemas.microsoft.com/office/drawing/2014/chart" uri="{C3380CC4-5D6E-409C-BE32-E72D297353CC}">
              <c16:uniqueId val="{00000001-4A38-4920-93F8-B067B43637B5}"/>
            </c:ext>
          </c:extLst>
        </c:ser>
        <c:ser>
          <c:idx val="2"/>
          <c:order val="2"/>
          <c:tx>
            <c:strRef>
              <c:f>[1]Traspasos!$A$14</c:f>
              <c:strCache>
                <c:ptCount val="1"/>
                <c:pt idx="0">
                  <c:v>Enero</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[1]Traspasos!$D$7</c:f>
              <c:strCache>
                <c:ptCount val="1"/>
                <c:pt idx="0">
                  <c:v>Monto Traspasado (RD$)</c:v>
                </c:pt>
              </c:strCache>
            </c:strRef>
          </c:cat>
          <c:val>
            <c:numRef>
              <c:f>[1]Traspasos!$D$14</c:f>
              <c:numCache>
                <c:formatCode>General</c:formatCode>
                <c:ptCount val="1"/>
                <c:pt idx="0">
                  <c:v>174414722.21000001</c:v>
                </c:pt>
              </c:numCache>
            </c:numRef>
          </c:val>
          <c:extLst>
            <c:ext xmlns:c16="http://schemas.microsoft.com/office/drawing/2014/chart" uri="{C3380CC4-5D6E-409C-BE32-E72D297353CC}">
              <c16:uniqueId val="{00000002-4A38-4920-93F8-B067B43637B5}"/>
            </c:ext>
          </c:extLst>
        </c:ser>
        <c:dLbls>
          <c:dLblPos val="outEnd"/>
          <c:showLegendKey val="0"/>
          <c:showVal val="1"/>
          <c:showCatName val="0"/>
          <c:showSerName val="0"/>
          <c:showPercent val="0"/>
          <c:showBubbleSize val="0"/>
        </c:dLbls>
        <c:gapWidth val="219"/>
        <c:overlap val="-27"/>
        <c:axId val="204719503"/>
        <c:axId val="204723247"/>
      </c:barChart>
      <c:catAx>
        <c:axId val="204719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204723247"/>
        <c:crosses val="autoZero"/>
        <c:auto val="1"/>
        <c:lblAlgn val="ctr"/>
        <c:lblOffset val="100"/>
        <c:noMultiLvlLbl val="0"/>
      </c:catAx>
      <c:valAx>
        <c:axId val="20472324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204719503"/>
        <c:crosses val="autoZero"/>
        <c:crossBetween val="between"/>
      </c:valAx>
      <c:spPr>
        <a:noFill/>
        <a:ln>
          <a:noFill/>
        </a:ln>
        <a:effectLst/>
      </c:spPr>
    </c:plotArea>
    <c:legend>
      <c:legendPos val="b"/>
      <c:layout>
        <c:manualLayout>
          <c:xMode val="edge"/>
          <c:yMode val="edge"/>
          <c:x val="0.24552822872449589"/>
          <c:y val="0.88555290254186381"/>
          <c:w val="0.60496527440242809"/>
          <c:h val="8.4428341644956911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ES" sz="1000">
                <a:solidFill>
                  <a:schemeClr val="accent1">
                    <a:lumMod val="75000"/>
                  </a:schemeClr>
                </a:solidFill>
              </a:rPr>
              <a:t>Cantidad de Traspasos</a:t>
            </a:r>
          </a:p>
        </c:rich>
      </c:tx>
      <c:overlay val="0"/>
    </c:title>
    <c:autoTitleDeleted val="0"/>
    <c:plotArea>
      <c:layout>
        <c:manualLayout>
          <c:layoutTarget val="inner"/>
          <c:xMode val="edge"/>
          <c:yMode val="edge"/>
          <c:x val="0.12016285132106767"/>
          <c:y val="0.18401209406649208"/>
          <c:w val="0.83717921431840892"/>
          <c:h val="0.61610024514896233"/>
        </c:manualLayout>
      </c:layout>
      <c:barChart>
        <c:barDir val="col"/>
        <c:grouping val="clustered"/>
        <c:varyColors val="0"/>
        <c:ser>
          <c:idx val="1"/>
          <c:order val="1"/>
          <c:tx>
            <c:strRef>
              <c:f>'Traspasos '!$C$7</c:f>
              <c:strCache>
                <c:ptCount val="1"/>
                <c:pt idx="0">
                  <c:v>Cedidos (Reparto a SCI)</c:v>
                </c:pt>
              </c:strCache>
            </c:strRef>
          </c:tx>
          <c:spPr>
            <a:solidFill>
              <a:schemeClr val="accent3">
                <a:lumMod val="60000"/>
                <a:lumOff val="40000"/>
              </a:schemeClr>
            </a:solidFill>
            <a:ln>
              <a:solidFill>
                <a:schemeClr val="accent3">
                  <a:lumMod val="60000"/>
                  <a:lumOff val="40000"/>
                </a:schemeClr>
              </a:solidFill>
            </a:ln>
          </c:spPr>
          <c:invertIfNegative val="0"/>
          <c:dLbls>
            <c:dLbl>
              <c:idx val="0"/>
              <c:layout>
                <c:manualLayout>
                  <c:x val="-7.6036422311119411E-3"/>
                  <c:y val="-3.014202351868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85-4A5E-8F8D-5304CA0F393D}"/>
                </c:ext>
              </c:extLst>
            </c:dLbl>
            <c:dLbl>
              <c:idx val="1"/>
              <c:layout>
                <c:manualLayout>
                  <c:x val="-3.6196754250803313E-3"/>
                  <c:y val="4.56600232908439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85-4A5E-8F8D-5304CA0F393D}"/>
                </c:ext>
              </c:extLst>
            </c:dLbl>
            <c:dLbl>
              <c:idx val="2"/>
              <c:layout>
                <c:manualLayout>
                  <c:x val="-3.803055620437082E-3"/>
                  <c:y val="-1.0047341172896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85-4A5E-8F8D-5304CA0F393D}"/>
                </c:ext>
              </c:extLst>
            </c:dLbl>
            <c:spPr>
              <a:noFill/>
              <a:ln>
                <a:noFill/>
              </a:ln>
              <a:effectLst/>
            </c:spPr>
            <c:txPr>
              <a:bodyPr rot="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'Traspasos '!$A$8:$A$10</c:f>
              <c:strCache>
                <c:ptCount val="3"/>
                <c:pt idx="0">
                  <c:v>Octubre</c:v>
                </c:pt>
                <c:pt idx="1">
                  <c:v>Noviembre</c:v>
                </c:pt>
                <c:pt idx="2">
                  <c:v>Diciembre</c:v>
                </c:pt>
              </c:strCache>
            </c:strRef>
          </c:cat>
          <c:val>
            <c:numRef>
              <c:f>'Traspasos '!$C$8:$C$10</c:f>
              <c:numCache>
                <c:formatCode>General</c:formatCode>
                <c:ptCount val="3"/>
                <c:pt idx="0">
                  <c:v>11</c:v>
                </c:pt>
                <c:pt idx="1">
                  <c:v>0</c:v>
                </c:pt>
                <c:pt idx="2">
                  <c:v>6</c:v>
                </c:pt>
              </c:numCache>
            </c:numRef>
          </c:val>
          <c:extLst>
            <c:ext xmlns:c16="http://schemas.microsoft.com/office/drawing/2014/chart" uri="{C3380CC4-5D6E-409C-BE32-E72D297353CC}">
              <c16:uniqueId val="{00000003-0485-4A5E-8F8D-5304CA0F393D}"/>
            </c:ext>
          </c:extLst>
        </c:ser>
        <c:dLbls>
          <c:showLegendKey val="0"/>
          <c:showVal val="0"/>
          <c:showCatName val="0"/>
          <c:showSerName val="0"/>
          <c:showPercent val="0"/>
          <c:showBubbleSize val="0"/>
        </c:dLbls>
        <c:gapWidth val="75"/>
        <c:axId val="1665019632"/>
        <c:axId val="1665020176"/>
      </c:barChart>
      <c:lineChart>
        <c:grouping val="standard"/>
        <c:varyColors val="0"/>
        <c:ser>
          <c:idx val="0"/>
          <c:order val="0"/>
          <c:tx>
            <c:strRef>
              <c:f>'Traspasos '!$B$7</c:f>
              <c:strCache>
                <c:ptCount val="1"/>
                <c:pt idx="0">
                  <c:v>Recibidos (SCI a Reparto)</c:v>
                </c:pt>
              </c:strCache>
            </c:strRef>
          </c:tx>
          <c:spPr>
            <a:ln>
              <a:solidFill>
                <a:schemeClr val="bg1">
                  <a:lumMod val="75000"/>
                </a:schemeClr>
              </a:solidFill>
            </a:ln>
          </c:spPr>
          <c:dLbls>
            <c:dLbl>
              <c:idx val="0"/>
              <c:layout>
                <c:manualLayout>
                  <c:x val="-0.1101290724927043"/>
                  <c:y val="-5.537904583486285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85-4A5E-8F8D-5304CA0F393D}"/>
                </c:ext>
              </c:extLst>
            </c:dLbl>
            <c:dLbl>
              <c:idx val="1"/>
              <c:layout>
                <c:manualLayout>
                  <c:x val="-5.2997289914239513E-2"/>
                  <c:y val="5.57899962594234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85-4A5E-8F8D-5304CA0F393D}"/>
                </c:ext>
              </c:extLst>
            </c:dLbl>
            <c:dLbl>
              <c:idx val="2"/>
              <c:layout>
                <c:manualLayout>
                  <c:x val="-8.5497489471106462E-3"/>
                  <c:y val="-2.94877596486121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85-4A5E-8F8D-5304CA0F393D}"/>
                </c:ext>
              </c:extLst>
            </c:dLbl>
            <c:spPr>
              <a:noFill/>
              <a:ln>
                <a:noFill/>
              </a:ln>
              <a:effectLst/>
            </c:spPr>
            <c:txPr>
              <a:bodyPr rot="0" vert="horz" anchor="ctr" anchorCtr="0"/>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[1]Traspasos!$A$12:$A$14</c:f>
              <c:strCache>
                <c:ptCount val="3"/>
                <c:pt idx="0">
                  <c:v>Marzo</c:v>
                </c:pt>
                <c:pt idx="1">
                  <c:v>Febrero</c:v>
                </c:pt>
                <c:pt idx="2">
                  <c:v>Enero</c:v>
                </c:pt>
              </c:strCache>
            </c:strRef>
          </c:cat>
          <c:val>
            <c:numRef>
              <c:f>'Traspasos '!$B$8:$B$10</c:f>
              <c:numCache>
                <c:formatCode>General</c:formatCode>
                <c:ptCount val="3"/>
                <c:pt idx="0">
                  <c:v>427</c:v>
                </c:pt>
                <c:pt idx="1">
                  <c:v>218</c:v>
                </c:pt>
                <c:pt idx="2">
                  <c:v>160</c:v>
                </c:pt>
              </c:numCache>
            </c:numRef>
          </c:val>
          <c:smooth val="0"/>
          <c:extLst>
            <c:ext xmlns:c16="http://schemas.microsoft.com/office/drawing/2014/chart" uri="{C3380CC4-5D6E-409C-BE32-E72D297353CC}">
              <c16:uniqueId val="{00000007-0485-4A5E-8F8D-5304CA0F393D}"/>
            </c:ext>
          </c:extLst>
        </c:ser>
        <c:dLbls>
          <c:showLegendKey val="0"/>
          <c:showVal val="1"/>
          <c:showCatName val="0"/>
          <c:showSerName val="0"/>
          <c:showPercent val="0"/>
          <c:showBubbleSize val="0"/>
        </c:dLbls>
        <c:marker val="1"/>
        <c:smooth val="0"/>
        <c:axId val="1862418912"/>
        <c:axId val="1862406848"/>
      </c:lineChart>
      <c:catAx>
        <c:axId val="1665019632"/>
        <c:scaling>
          <c:orientation val="minMax"/>
        </c:scaling>
        <c:delete val="0"/>
        <c:axPos val="b"/>
        <c:numFmt formatCode="General" sourceLinked="0"/>
        <c:majorTickMark val="none"/>
        <c:minorTickMark val="none"/>
        <c:tickLblPos val="nextTo"/>
        <c:crossAx val="1665020176"/>
        <c:crosses val="autoZero"/>
        <c:auto val="1"/>
        <c:lblAlgn val="ctr"/>
        <c:lblOffset val="100"/>
        <c:noMultiLvlLbl val="0"/>
      </c:catAx>
      <c:valAx>
        <c:axId val="1665020176"/>
        <c:scaling>
          <c:orientation val="minMax"/>
        </c:scaling>
        <c:delete val="0"/>
        <c:axPos val="l"/>
        <c:numFmt formatCode="General" sourceLinked="1"/>
        <c:majorTickMark val="none"/>
        <c:minorTickMark val="none"/>
        <c:tickLblPos val="nextTo"/>
        <c:crossAx val="1665019632"/>
        <c:crosses val="autoZero"/>
        <c:crossBetween val="between"/>
      </c:valAx>
      <c:valAx>
        <c:axId val="1862406848"/>
        <c:scaling>
          <c:orientation val="minMax"/>
        </c:scaling>
        <c:delete val="0"/>
        <c:axPos val="r"/>
        <c:numFmt formatCode="General" sourceLinked="1"/>
        <c:majorTickMark val="out"/>
        <c:minorTickMark val="none"/>
        <c:tickLblPos val="nextTo"/>
        <c:crossAx val="1862418912"/>
        <c:crosses val="max"/>
        <c:crossBetween val="between"/>
      </c:valAx>
      <c:catAx>
        <c:axId val="1862418912"/>
        <c:scaling>
          <c:orientation val="minMax"/>
        </c:scaling>
        <c:delete val="1"/>
        <c:axPos val="b"/>
        <c:numFmt formatCode="General" sourceLinked="1"/>
        <c:majorTickMark val="out"/>
        <c:minorTickMark val="none"/>
        <c:tickLblPos val="nextTo"/>
        <c:crossAx val="1862406848"/>
        <c:crosses val="autoZero"/>
        <c:auto val="1"/>
        <c:lblAlgn val="ctr"/>
        <c:lblOffset val="100"/>
        <c:noMultiLvlLbl val="0"/>
      </c:catAx>
    </c:plotArea>
    <c:legend>
      <c:legendPos val="b"/>
      <c:layout>
        <c:manualLayout>
          <c:xMode val="edge"/>
          <c:yMode val="edge"/>
          <c:x val="1.7899141106128318E-2"/>
          <c:y val="0.87567282828107418"/>
          <c:w val="0.97827692204584993"/>
          <c:h val="8.4775034493234272E-2"/>
        </c:manualLayout>
      </c:layout>
      <c:overlay val="0"/>
      <c:txPr>
        <a:bodyPr/>
        <a:lstStyle/>
        <a:p>
          <a:pPr>
            <a:defRPr sz="9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5862514161201561"/>
          <c:y val="5.1400623701159075E-2"/>
          <c:w val="0.74836611939844222"/>
          <c:h val="0.72112459900845727"/>
        </c:manualLayout>
      </c:layout>
      <c:barChart>
        <c:barDir val="col"/>
        <c:grouping val="clustered"/>
        <c:varyColors val="0"/>
        <c:ser>
          <c:idx val="0"/>
          <c:order val="0"/>
          <c:tx>
            <c:v>Programado</c:v>
          </c:tx>
          <c:spPr>
            <a:solidFill>
              <a:schemeClr val="accent3">
                <a:lumMod val="60000"/>
                <a:lumOff val="40000"/>
              </a:schemeClr>
            </a:solidFill>
            <a:ln>
              <a:solidFill>
                <a:schemeClr val="accent3">
                  <a:lumMod val="60000"/>
                  <a:lumOff val="40000"/>
                </a:schemeClr>
              </a:solidFill>
            </a:ln>
          </c:spPr>
          <c:invertIfNegative val="0"/>
          <c:dPt>
            <c:idx val="2"/>
            <c:invertIfNegative val="0"/>
            <c:bubble3D val="0"/>
            <c:extLst>
              <c:ext xmlns:c16="http://schemas.microsoft.com/office/drawing/2014/chart" uri="{C3380CC4-5D6E-409C-BE32-E72D297353CC}">
                <c16:uniqueId val="{00000002-424B-4172-B7C9-5BBC627FD7AE}"/>
              </c:ext>
            </c:extLst>
          </c:dPt>
          <c:dLbls>
            <c:dLbl>
              <c:idx val="0"/>
              <c:layout>
                <c:manualLayout>
                  <c:x val="-5.8585773409298826E-3"/>
                  <c:y val="0.266089210897001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4B-4172-B7C9-5BBC627FD7AE}"/>
                </c:ext>
              </c:extLst>
            </c:dLbl>
            <c:dLbl>
              <c:idx val="2"/>
              <c:layout>
                <c:manualLayout>
                  <c:x val="-4.188048282680718E-3"/>
                  <c:y val="0.247526569102843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4B-4172-B7C9-5BBC627FD7AE}"/>
                </c:ext>
              </c:extLst>
            </c:dLbl>
            <c:dLbl>
              <c:idx val="3"/>
              <c:layout>
                <c:manualLayout>
                  <c:x val="2.0457494440925365E-3"/>
                  <c:y val="0.27403869676844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4D-4AD0-A376-0617C6A426D6}"/>
                </c:ext>
              </c:extLst>
            </c:dLbl>
            <c:spPr>
              <a:noFill/>
              <a:ln>
                <a:noFill/>
              </a:ln>
              <a:effectLst/>
            </c:spPr>
            <c:txPr>
              <a:bodyPr rot="-5400000" vert="horz"/>
              <a:lstStyle/>
              <a:p>
                <a:pPr>
                  <a:defRPr sz="105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Adm.'!$B$11:$B$14</c:f>
              <c:strCache>
                <c:ptCount val="4"/>
                <c:pt idx="0">
                  <c:v>Diciembre</c:v>
                </c:pt>
                <c:pt idx="1">
                  <c:v>Regalia</c:v>
                </c:pt>
                <c:pt idx="2">
                  <c:v>Noviembre</c:v>
                </c:pt>
                <c:pt idx="3">
                  <c:v>Octubre</c:v>
                </c:pt>
              </c:strCache>
            </c:strRef>
          </c:cat>
          <c:val>
            <c:numRef>
              <c:f>'Presupuesto Adm.'!$C$11:$C$14</c:f>
              <c:numCache>
                <c:formatCode>#,##0</c:formatCode>
                <c:ptCount val="4"/>
                <c:pt idx="0">
                  <c:v>108126418</c:v>
                </c:pt>
                <c:pt idx="1">
                  <c:v>27439500</c:v>
                </c:pt>
                <c:pt idx="2">
                  <c:v>56643727</c:v>
                </c:pt>
                <c:pt idx="3">
                  <c:v>77469226</c:v>
                </c:pt>
              </c:numCache>
            </c:numRef>
          </c:val>
          <c:extLst>
            <c:ext xmlns:c16="http://schemas.microsoft.com/office/drawing/2014/chart" uri="{C3380CC4-5D6E-409C-BE32-E72D297353CC}">
              <c16:uniqueId val="{00000003-424B-4172-B7C9-5BBC627FD7AE}"/>
            </c:ext>
          </c:extLst>
        </c:ser>
        <c:ser>
          <c:idx val="1"/>
          <c:order val="1"/>
          <c:tx>
            <c:v>Ejecutado</c:v>
          </c:tx>
          <c:spPr>
            <a:solidFill>
              <a:schemeClr val="bg1">
                <a:lumMod val="75000"/>
              </a:schemeClr>
            </a:solidFill>
          </c:spPr>
          <c:invertIfNegative val="0"/>
          <c:dLbls>
            <c:dLbl>
              <c:idx val="0"/>
              <c:layout>
                <c:manualLayout>
                  <c:x val="-9.4733168159855854E-3"/>
                  <c:y val="0.28326223775323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4B-4172-B7C9-5BBC627FD7AE}"/>
                </c:ext>
              </c:extLst>
            </c:dLbl>
            <c:dLbl>
              <c:idx val="2"/>
              <c:layout>
                <c:manualLayout>
                  <c:x val="5.9002407747303046E-4"/>
                  <c:y val="0.260061430186415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4B-4172-B7C9-5BBC627FD7AE}"/>
                </c:ext>
              </c:extLst>
            </c:dLbl>
            <c:dLbl>
              <c:idx val="3"/>
              <c:layout>
                <c:manualLayout>
                  <c:x val="1.1056776782041113E-2"/>
                  <c:y val="0.28702968117076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4D-4AD0-A376-0617C6A426D6}"/>
                </c:ext>
              </c:extLst>
            </c:dLbl>
            <c:spPr>
              <a:noFill/>
              <a:ln>
                <a:noFill/>
              </a:ln>
              <a:effectLst/>
            </c:spPr>
            <c:txPr>
              <a:bodyPr rot="-5400000" vert="horz"/>
              <a:lstStyle/>
              <a:p>
                <a:pPr>
                  <a:defRPr sz="1050" b="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Adm.'!$B$11:$B$14</c:f>
              <c:strCache>
                <c:ptCount val="4"/>
                <c:pt idx="0">
                  <c:v>Diciembre</c:v>
                </c:pt>
                <c:pt idx="1">
                  <c:v>Regalia</c:v>
                </c:pt>
                <c:pt idx="2">
                  <c:v>Noviembre</c:v>
                </c:pt>
                <c:pt idx="3">
                  <c:v>Octubre</c:v>
                </c:pt>
              </c:strCache>
            </c:strRef>
          </c:cat>
          <c:val>
            <c:numRef>
              <c:f>'Presupuesto Adm.'!$D$11:$D$14</c:f>
              <c:numCache>
                <c:formatCode>#,##0</c:formatCode>
                <c:ptCount val="4"/>
                <c:pt idx="0">
                  <c:v>117670426</c:v>
                </c:pt>
                <c:pt idx="1">
                  <c:v>27217500</c:v>
                </c:pt>
                <c:pt idx="2">
                  <c:v>45499112</c:v>
                </c:pt>
                <c:pt idx="3">
                  <c:v>81934180</c:v>
                </c:pt>
              </c:numCache>
            </c:numRef>
          </c:val>
          <c:extLst>
            <c:ext xmlns:c16="http://schemas.microsoft.com/office/drawing/2014/chart" uri="{C3380CC4-5D6E-409C-BE32-E72D297353CC}">
              <c16:uniqueId val="{00000007-424B-4172-B7C9-5BBC627FD7AE}"/>
            </c:ext>
          </c:extLst>
        </c:ser>
        <c:dLbls>
          <c:showLegendKey val="0"/>
          <c:showVal val="0"/>
          <c:showCatName val="0"/>
          <c:showSerName val="0"/>
          <c:showPercent val="0"/>
          <c:showBubbleSize val="0"/>
        </c:dLbls>
        <c:gapWidth val="75"/>
        <c:axId val="1578264528"/>
        <c:axId val="1578266160"/>
      </c:barChart>
      <c:lineChart>
        <c:grouping val="standard"/>
        <c:varyColors val="0"/>
        <c:ser>
          <c:idx val="2"/>
          <c:order val="2"/>
          <c:tx>
            <c:v>Relativo</c:v>
          </c:tx>
          <c:spPr>
            <a:ln>
              <a:solidFill>
                <a:schemeClr val="tx2">
                  <a:lumMod val="60000"/>
                  <a:lumOff val="40000"/>
                </a:schemeClr>
              </a:solidFill>
            </a:ln>
          </c:spPr>
          <c:marker>
            <c:spPr>
              <a:solidFill>
                <a:schemeClr val="tx2">
                  <a:lumMod val="60000"/>
                  <a:lumOff val="40000"/>
                </a:schemeClr>
              </a:solidFill>
              <a:ln>
                <a:solidFill>
                  <a:schemeClr val="accent5">
                    <a:lumMod val="75000"/>
                  </a:schemeClr>
                </a:solidFill>
              </a:ln>
            </c:spPr>
          </c:marker>
          <c:dLbls>
            <c:dLbl>
              <c:idx val="0"/>
              <c:layout>
                <c:manualLayout>
                  <c:x val="-7.6051484029058619E-2"/>
                  <c:y val="-7.93986125095602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4B-4172-B7C9-5BBC627FD7AE}"/>
                </c:ext>
              </c:extLst>
            </c:dLbl>
            <c:dLbl>
              <c:idx val="1"/>
              <c:layout>
                <c:manualLayout>
                  <c:x val="-1.1859508711291622E-2"/>
                  <c:y val="-8.8915076726573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4D-4AD0-A376-0617C6A426D6}"/>
                </c:ext>
              </c:extLst>
            </c:dLbl>
            <c:dLbl>
              <c:idx val="2"/>
              <c:layout>
                <c:manualLayout>
                  <c:x val="-8.3362293993654801E-2"/>
                  <c:y val="-0.175786128700811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4B-4172-B7C9-5BBC627FD7AE}"/>
                </c:ext>
              </c:extLst>
            </c:dLbl>
            <c:dLbl>
              <c:idx val="3"/>
              <c:layout>
                <c:manualLayout>
                  <c:x val="-5.8743477270208788E-2"/>
                  <c:y val="-0.135880649555658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4D-4AD0-A376-0617C6A426D6}"/>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Adm.'!$B$26:$B$31</c:f>
            </c:strRef>
          </c:cat>
          <c:val>
            <c:numRef>
              <c:f>'Presupuesto Adm.'!$E$11:$E$14</c:f>
              <c:numCache>
                <c:formatCode>0%</c:formatCode>
                <c:ptCount val="4"/>
                <c:pt idx="0">
                  <c:v>1.0900000000000001</c:v>
                </c:pt>
                <c:pt idx="1">
                  <c:v>0.99</c:v>
                </c:pt>
                <c:pt idx="2">
                  <c:v>0.8</c:v>
                </c:pt>
                <c:pt idx="3">
                  <c:v>1.06</c:v>
                </c:pt>
              </c:numCache>
            </c:numRef>
          </c:val>
          <c:smooth val="0"/>
          <c:extLst>
            <c:ext xmlns:c16="http://schemas.microsoft.com/office/drawing/2014/chart" uri="{C3380CC4-5D6E-409C-BE32-E72D297353CC}">
              <c16:uniqueId val="{0000000B-424B-4172-B7C9-5BBC627FD7AE}"/>
            </c:ext>
          </c:extLst>
        </c:ser>
        <c:dLbls>
          <c:showLegendKey val="0"/>
          <c:showVal val="1"/>
          <c:showCatName val="0"/>
          <c:showSerName val="0"/>
          <c:showPercent val="0"/>
          <c:showBubbleSize val="0"/>
        </c:dLbls>
        <c:marker val="1"/>
        <c:smooth val="0"/>
        <c:axId val="1221428232"/>
        <c:axId val="1221408776"/>
      </c:lineChart>
      <c:catAx>
        <c:axId val="1578264528"/>
        <c:scaling>
          <c:orientation val="minMax"/>
        </c:scaling>
        <c:delete val="0"/>
        <c:axPos val="b"/>
        <c:numFmt formatCode="General" sourceLinked="0"/>
        <c:majorTickMark val="none"/>
        <c:minorTickMark val="none"/>
        <c:tickLblPos val="nextTo"/>
        <c:crossAx val="1578266160"/>
        <c:crosses val="autoZero"/>
        <c:auto val="1"/>
        <c:lblAlgn val="ctr"/>
        <c:lblOffset val="100"/>
        <c:noMultiLvlLbl val="0"/>
      </c:catAx>
      <c:valAx>
        <c:axId val="1578266160"/>
        <c:scaling>
          <c:orientation val="minMax"/>
          <c:max val="100000000"/>
        </c:scaling>
        <c:delete val="0"/>
        <c:axPos val="l"/>
        <c:majorGridlines/>
        <c:minorGridlines>
          <c:spPr>
            <a:ln>
              <a:noFill/>
            </a:ln>
          </c:spPr>
        </c:minorGridlines>
        <c:numFmt formatCode="#,##0" sourceLinked="1"/>
        <c:majorTickMark val="none"/>
        <c:minorTickMark val="none"/>
        <c:tickLblPos val="nextTo"/>
        <c:crossAx val="1578264528"/>
        <c:crosses val="autoZero"/>
        <c:crossBetween val="between"/>
      </c:valAx>
      <c:valAx>
        <c:axId val="1221408776"/>
        <c:scaling>
          <c:orientation val="minMax"/>
        </c:scaling>
        <c:delete val="0"/>
        <c:axPos val="r"/>
        <c:numFmt formatCode="0%" sourceLinked="1"/>
        <c:majorTickMark val="out"/>
        <c:minorTickMark val="none"/>
        <c:tickLblPos val="nextTo"/>
        <c:crossAx val="1221428232"/>
        <c:crosses val="max"/>
        <c:crossBetween val="between"/>
      </c:valAx>
      <c:catAx>
        <c:axId val="1221428232"/>
        <c:scaling>
          <c:orientation val="minMax"/>
        </c:scaling>
        <c:delete val="1"/>
        <c:axPos val="b"/>
        <c:majorTickMark val="out"/>
        <c:minorTickMark val="none"/>
        <c:tickLblPos val="nextTo"/>
        <c:crossAx val="1221408776"/>
        <c:crosses val="autoZero"/>
        <c:auto val="1"/>
        <c:lblAlgn val="ctr"/>
        <c:lblOffset val="100"/>
        <c:noMultiLvlLbl val="0"/>
      </c:catAx>
    </c:plotArea>
    <c:legend>
      <c:legendPos val="b"/>
      <c:overlay val="0"/>
      <c:txPr>
        <a:bodyPr/>
        <a:lstStyle/>
        <a:p>
          <a:pPr>
            <a:defRPr sz="8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r>
              <a:rPr lang="es-DO" sz="1100" b="1" i="0" u="none" strike="noStrike" kern="1200" baseline="0">
                <a:solidFill>
                  <a:schemeClr val="accent1">
                    <a:lumMod val="75000"/>
                  </a:schemeClr>
                </a:solidFill>
                <a:latin typeface="+mn-lt"/>
                <a:ea typeface="+mn-ea"/>
                <a:cs typeface="+mn-cs"/>
              </a:rPr>
              <a:t>Monto Traspasado</a:t>
            </a:r>
          </a:p>
        </c:rich>
      </c:tx>
      <c:layout>
        <c:manualLayout>
          <c:xMode val="edge"/>
          <c:yMode val="edge"/>
          <c:x val="0.39849932491882706"/>
          <c:y val="3.0018755813179337E-2"/>
        </c:manualLayout>
      </c:layout>
      <c:overlay val="0"/>
      <c:spPr>
        <a:noFill/>
        <a:ln>
          <a:noFill/>
        </a:ln>
        <a:effectLst/>
      </c:spPr>
      <c:txPr>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endParaRPr lang="es-DO"/>
        </a:p>
      </c:txPr>
    </c:title>
    <c:autoTitleDeleted val="0"/>
    <c:plotArea>
      <c:layout>
        <c:manualLayout>
          <c:layoutTarget val="inner"/>
          <c:xMode val="edge"/>
          <c:yMode val="edge"/>
          <c:x val="0.16101123359580052"/>
          <c:y val="0.17726075307682398"/>
          <c:w val="0.80965543307086618"/>
          <c:h val="0.60223454575752644"/>
        </c:manualLayout>
      </c:layout>
      <c:barChart>
        <c:barDir val="col"/>
        <c:grouping val="clustered"/>
        <c:varyColors val="0"/>
        <c:ser>
          <c:idx val="0"/>
          <c:order val="0"/>
          <c:tx>
            <c:strRef>
              <c:f>'Traspasos '!$A$8</c:f>
              <c:strCache>
                <c:ptCount val="1"/>
                <c:pt idx="0">
                  <c:v>Octubre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 '!$D$7</c:f>
              <c:strCache>
                <c:ptCount val="1"/>
                <c:pt idx="0">
                  <c:v>Monto Traspasado (RD$)</c:v>
                </c:pt>
              </c:strCache>
            </c:strRef>
          </c:cat>
          <c:val>
            <c:numRef>
              <c:f>'Traspasos '!$D$8</c:f>
              <c:numCache>
                <c:formatCode>"$"#,##0.00_);[Red]\("$"#,##0.00\)</c:formatCode>
                <c:ptCount val="1"/>
                <c:pt idx="0">
                  <c:v>478092885.54000002</c:v>
                </c:pt>
              </c:numCache>
            </c:numRef>
          </c:val>
          <c:extLst>
            <c:ext xmlns:c16="http://schemas.microsoft.com/office/drawing/2014/chart" uri="{C3380CC4-5D6E-409C-BE32-E72D297353CC}">
              <c16:uniqueId val="{00000000-3928-4DA5-B09B-2DAA408939F4}"/>
            </c:ext>
          </c:extLst>
        </c:ser>
        <c:ser>
          <c:idx val="1"/>
          <c:order val="1"/>
          <c:tx>
            <c:strRef>
              <c:f>'Traspasos '!$A$9</c:f>
              <c:strCache>
                <c:ptCount val="1"/>
                <c:pt idx="0">
                  <c:v>Noviembre</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 '!$D$7</c:f>
              <c:strCache>
                <c:ptCount val="1"/>
                <c:pt idx="0">
                  <c:v>Monto Traspasado (RD$)</c:v>
                </c:pt>
              </c:strCache>
            </c:strRef>
          </c:cat>
          <c:val>
            <c:numRef>
              <c:f>'Traspasos '!$D$9</c:f>
              <c:numCache>
                <c:formatCode>"$"#,##0.00_);[Red]\("$"#,##0.00\)</c:formatCode>
                <c:ptCount val="1"/>
                <c:pt idx="0">
                  <c:v>266650468.63999999</c:v>
                </c:pt>
              </c:numCache>
            </c:numRef>
          </c:val>
          <c:extLst>
            <c:ext xmlns:c16="http://schemas.microsoft.com/office/drawing/2014/chart" uri="{C3380CC4-5D6E-409C-BE32-E72D297353CC}">
              <c16:uniqueId val="{00000001-3928-4DA5-B09B-2DAA408939F4}"/>
            </c:ext>
          </c:extLst>
        </c:ser>
        <c:ser>
          <c:idx val="2"/>
          <c:order val="2"/>
          <c:tx>
            <c:strRef>
              <c:f>'Traspasos '!$A$10</c:f>
              <c:strCache>
                <c:ptCount val="1"/>
                <c:pt idx="0">
                  <c:v>Diciembre</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 '!$D$7</c:f>
              <c:strCache>
                <c:ptCount val="1"/>
                <c:pt idx="0">
                  <c:v>Monto Traspasado (RD$)</c:v>
                </c:pt>
              </c:strCache>
            </c:strRef>
          </c:cat>
          <c:val>
            <c:numRef>
              <c:f>'Traspasos '!$D$10</c:f>
              <c:numCache>
                <c:formatCode>"$"#,##0.00_);[Red]\("$"#,##0.00\)</c:formatCode>
                <c:ptCount val="1"/>
                <c:pt idx="0">
                  <c:v>7102886.6200000001</c:v>
                </c:pt>
              </c:numCache>
            </c:numRef>
          </c:val>
          <c:extLst>
            <c:ext xmlns:c16="http://schemas.microsoft.com/office/drawing/2014/chart" uri="{C3380CC4-5D6E-409C-BE32-E72D297353CC}">
              <c16:uniqueId val="{00000002-3928-4DA5-B09B-2DAA408939F4}"/>
            </c:ext>
          </c:extLst>
        </c:ser>
        <c:dLbls>
          <c:dLblPos val="outEnd"/>
          <c:showLegendKey val="0"/>
          <c:showVal val="1"/>
          <c:showCatName val="0"/>
          <c:showSerName val="0"/>
          <c:showPercent val="0"/>
          <c:showBubbleSize val="0"/>
        </c:dLbls>
        <c:gapWidth val="219"/>
        <c:overlap val="-27"/>
        <c:axId val="204719503"/>
        <c:axId val="204723247"/>
      </c:barChart>
      <c:catAx>
        <c:axId val="204719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204723247"/>
        <c:crosses val="autoZero"/>
        <c:auto val="1"/>
        <c:lblAlgn val="ctr"/>
        <c:lblOffset val="100"/>
        <c:noMultiLvlLbl val="0"/>
      </c:catAx>
      <c:valAx>
        <c:axId val="204723247"/>
        <c:scaling>
          <c:orientation val="minMax"/>
        </c:scaling>
        <c:delete val="0"/>
        <c:axPos val="l"/>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204719503"/>
        <c:crosses val="autoZero"/>
        <c:crossBetween val="between"/>
      </c:valAx>
      <c:spPr>
        <a:noFill/>
        <a:ln>
          <a:noFill/>
        </a:ln>
        <a:effectLst/>
      </c:spPr>
    </c:plotArea>
    <c:legend>
      <c:legendPos val="b"/>
      <c:layout>
        <c:manualLayout>
          <c:xMode val="edge"/>
          <c:yMode val="edge"/>
          <c:x val="0.24552822872449589"/>
          <c:y val="0.88555290254186381"/>
          <c:w val="0.60496527440242809"/>
          <c:h val="8.4428341644956911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v>Programación</c:v>
          </c:tx>
          <c:spPr>
            <a:solidFill>
              <a:schemeClr val="accent3">
                <a:lumMod val="60000"/>
                <a:lumOff val="40000"/>
              </a:schemeClr>
            </a:solidFill>
          </c:spPr>
          <c:invertIfNegative val="0"/>
          <c:dLbls>
            <c:dLbl>
              <c:idx val="0"/>
              <c:layout>
                <c:manualLayout>
                  <c:x val="-1.92952976606527E-3"/>
                  <c:y val="0.25725755059451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9C-42CC-B337-D1674F2E4349}"/>
                </c:ext>
              </c:extLst>
            </c:dLbl>
            <c:dLbl>
              <c:idx val="1"/>
              <c:layout>
                <c:manualLayout>
                  <c:x val="-4.5983469432681785E-3"/>
                  <c:y val="0.309953743232112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9C-42CC-B337-D1674F2E4349}"/>
                </c:ext>
              </c:extLst>
            </c:dLbl>
            <c:dLbl>
              <c:idx val="2"/>
              <c:layout>
                <c:manualLayout>
                  <c:x val="-2.5333231539865853E-3"/>
                  <c:y val="0.245984786495415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9C-42CC-B337-D1674F2E4349}"/>
                </c:ext>
              </c:extLst>
            </c:dLbl>
            <c:dLbl>
              <c:idx val="3"/>
              <c:layout>
                <c:manualLayout>
                  <c:x val="2.9317585865322399E-3"/>
                  <c:y val="0.300522335981448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B5-4490-8641-238B14764DB0}"/>
                </c:ext>
              </c:extLst>
            </c:dLbl>
            <c:spPr>
              <a:noFill/>
              <a:ln>
                <a:noFill/>
              </a:ln>
              <a:effectLst/>
            </c:spPr>
            <c:txPr>
              <a:bodyPr rot="-5400000" vert="horz" anchor="ctr" anchorCtr="0"/>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Pensiones'!$C$11:$C$14</c:f>
            </c:strRef>
          </c:cat>
          <c:val>
            <c:numRef>
              <c:f>'Presupuesto de Pensiones'!$F$11:$F$14</c:f>
            </c:numRef>
          </c:val>
          <c:extLst>
            <c:ext xmlns:c16="http://schemas.microsoft.com/office/drawing/2014/chart" uri="{C3380CC4-5D6E-409C-BE32-E72D297353CC}">
              <c16:uniqueId val="{00000000-1C01-44D8-A584-F0F60B69051B}"/>
            </c:ext>
          </c:extLst>
        </c:ser>
        <c:ser>
          <c:idx val="1"/>
          <c:order val="1"/>
          <c:tx>
            <c:v>Ejecutado</c:v>
          </c:tx>
          <c:spPr>
            <a:solidFill>
              <a:schemeClr val="bg1">
                <a:lumMod val="75000"/>
              </a:schemeClr>
            </a:solidFill>
          </c:spPr>
          <c:invertIfNegative val="0"/>
          <c:dLbls>
            <c:dLbl>
              <c:idx val="0"/>
              <c:layout>
                <c:manualLayout>
                  <c:x val="-2.8056453866434961E-3"/>
                  <c:y val="0.231493656730287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9C-42CC-B337-D1674F2E4349}"/>
                </c:ext>
              </c:extLst>
            </c:dLbl>
            <c:dLbl>
              <c:idx val="1"/>
              <c:layout>
                <c:manualLayout>
                  <c:x val="1.1840428009545826E-3"/>
                  <c:y val="0.244626495587911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9C-42CC-B337-D1674F2E4349}"/>
                </c:ext>
              </c:extLst>
            </c:dLbl>
            <c:dLbl>
              <c:idx val="2"/>
              <c:layout>
                <c:manualLayout>
                  <c:x val="-4.5875252105605285E-3"/>
                  <c:y val="0.23550227135975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9C-42CC-B337-D1674F2E4349}"/>
                </c:ext>
              </c:extLst>
            </c:dLbl>
            <c:dLbl>
              <c:idx val="3"/>
              <c:layout>
                <c:manualLayout>
                  <c:x val="5.8635171730644798E-3"/>
                  <c:y val="0.223606247590321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B5-4490-8641-238B14764DB0}"/>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Pensiones'!$C$11:$C$14</c:f>
            </c:strRef>
          </c:cat>
          <c:val>
            <c:numRef>
              <c:f>'Presupuesto de Pensiones'!$G$11:$G$14</c:f>
            </c:numRef>
          </c:val>
          <c:extLst>
            <c:ext xmlns:c16="http://schemas.microsoft.com/office/drawing/2014/chart" uri="{C3380CC4-5D6E-409C-BE32-E72D297353CC}">
              <c16:uniqueId val="{00000001-1C01-44D8-A584-F0F60B69051B}"/>
            </c:ext>
          </c:extLst>
        </c:ser>
        <c:dLbls>
          <c:showLegendKey val="0"/>
          <c:showVal val="1"/>
          <c:showCatName val="0"/>
          <c:showSerName val="0"/>
          <c:showPercent val="0"/>
          <c:showBubbleSize val="0"/>
        </c:dLbls>
        <c:gapWidth val="75"/>
        <c:axId val="1665021264"/>
        <c:axId val="1665032144"/>
      </c:barChart>
      <c:lineChart>
        <c:grouping val="standard"/>
        <c:varyColors val="0"/>
        <c:ser>
          <c:idx val="2"/>
          <c:order val="2"/>
          <c:tx>
            <c:v>% Ejecutado</c:v>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Pt>
            <c:idx val="1"/>
            <c:bubble3D val="0"/>
            <c:extLst>
              <c:ext xmlns:c16="http://schemas.microsoft.com/office/drawing/2014/chart" uri="{C3380CC4-5D6E-409C-BE32-E72D297353CC}">
                <c16:uniqueId val="{00000002-1C01-44D8-A584-F0F60B69051B}"/>
              </c:ext>
            </c:extLst>
          </c:dPt>
          <c:dPt>
            <c:idx val="2"/>
            <c:bubble3D val="0"/>
            <c:extLst>
              <c:ext xmlns:c16="http://schemas.microsoft.com/office/drawing/2014/chart" uri="{C3380CC4-5D6E-409C-BE32-E72D297353CC}">
                <c16:uniqueId val="{00000003-1C01-44D8-A584-F0F60B69051B}"/>
              </c:ext>
            </c:extLst>
          </c:dPt>
          <c:dLbls>
            <c:dLbl>
              <c:idx val="0"/>
              <c:layout>
                <c:manualLayout>
                  <c:x val="-4.0998519057577787E-2"/>
                  <c:y val="-4.61748879672610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B9C-42CC-B337-D1674F2E4349}"/>
                </c:ext>
              </c:extLst>
            </c:dLbl>
            <c:dLbl>
              <c:idx val="1"/>
              <c:layout>
                <c:manualLayout>
                  <c:x val="-5.3040869830121101E-2"/>
                  <c:y val="-4.7653574677988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01-44D8-A584-F0F60B69051B}"/>
                </c:ext>
              </c:extLst>
            </c:dLbl>
            <c:dLbl>
              <c:idx val="2"/>
              <c:layout>
                <c:manualLayout>
                  <c:x val="-1.3552070694080872E-2"/>
                  <c:y val="-2.1424258111364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01-44D8-A584-F0F60B69051B}"/>
                </c:ext>
              </c:extLst>
            </c:dLbl>
            <c:dLbl>
              <c:idx val="3"/>
              <c:layout>
                <c:manualLayout>
                  <c:x val="-2.0522310105725677E-2"/>
                  <c:y val="-5.1309620836715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A9-4B6E-B63A-43C37AF34B3F}"/>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Pensiones'!$C$11:$C$14</c:f>
            </c:strRef>
          </c:cat>
          <c:val>
            <c:numRef>
              <c:f>'Presupuesto de Pensiones'!$H$11:$H$14</c:f>
            </c:numRef>
          </c:val>
          <c:smooth val="0"/>
          <c:extLst>
            <c:ext xmlns:c16="http://schemas.microsoft.com/office/drawing/2014/chart" uri="{C3380CC4-5D6E-409C-BE32-E72D297353CC}">
              <c16:uniqueId val="{00000004-1C01-44D8-A584-F0F60B69051B}"/>
            </c:ext>
          </c:extLst>
        </c:ser>
        <c:dLbls>
          <c:showLegendKey val="0"/>
          <c:showVal val="1"/>
          <c:showCatName val="0"/>
          <c:showSerName val="0"/>
          <c:showPercent val="0"/>
          <c:showBubbleSize val="0"/>
        </c:dLbls>
        <c:marker val="1"/>
        <c:smooth val="0"/>
        <c:axId val="1665032688"/>
        <c:axId val="1665026160"/>
      </c:lineChart>
      <c:catAx>
        <c:axId val="1665021264"/>
        <c:scaling>
          <c:orientation val="minMax"/>
        </c:scaling>
        <c:delete val="0"/>
        <c:axPos val="b"/>
        <c:numFmt formatCode="General" sourceLinked="0"/>
        <c:majorTickMark val="none"/>
        <c:minorTickMark val="none"/>
        <c:tickLblPos val="nextTo"/>
        <c:crossAx val="1665032144"/>
        <c:crosses val="autoZero"/>
        <c:auto val="1"/>
        <c:lblAlgn val="ctr"/>
        <c:lblOffset val="100"/>
        <c:noMultiLvlLbl val="0"/>
      </c:catAx>
      <c:valAx>
        <c:axId val="1665032144"/>
        <c:scaling>
          <c:orientation val="minMax"/>
          <c:max val="3045000000"/>
        </c:scaling>
        <c:delete val="0"/>
        <c:axPos val="l"/>
        <c:numFmt formatCode="#,##0" sourceLinked="1"/>
        <c:majorTickMark val="none"/>
        <c:minorTickMark val="none"/>
        <c:tickLblPos val="nextTo"/>
        <c:crossAx val="1665021264"/>
        <c:crosses val="autoZero"/>
        <c:crossBetween val="between"/>
        <c:majorUnit val="20000000"/>
      </c:valAx>
      <c:valAx>
        <c:axId val="1665026160"/>
        <c:scaling>
          <c:orientation val="minMax"/>
          <c:max val="1"/>
          <c:min val="0.96000000000000008"/>
        </c:scaling>
        <c:delete val="0"/>
        <c:axPos val="r"/>
        <c:numFmt formatCode="0%" sourceLinked="1"/>
        <c:majorTickMark val="out"/>
        <c:minorTickMark val="none"/>
        <c:tickLblPos val="nextTo"/>
        <c:crossAx val="1665032688"/>
        <c:crosses val="max"/>
        <c:crossBetween val="between"/>
        <c:majorUnit val="1.0000000000000002E-2"/>
        <c:minorUnit val="5.000000000000001E-3"/>
      </c:valAx>
      <c:catAx>
        <c:axId val="1665032688"/>
        <c:scaling>
          <c:orientation val="minMax"/>
        </c:scaling>
        <c:delete val="1"/>
        <c:axPos val="b"/>
        <c:numFmt formatCode="General" sourceLinked="1"/>
        <c:majorTickMark val="out"/>
        <c:minorTickMark val="none"/>
        <c:tickLblPos val="nextTo"/>
        <c:crossAx val="1665026160"/>
        <c:crosses val="autoZero"/>
        <c:auto val="1"/>
        <c:lblAlgn val="ctr"/>
        <c:lblOffset val="100"/>
        <c:noMultiLvlLbl val="0"/>
      </c:catAx>
    </c:plotArea>
    <c:legend>
      <c:legendPos val="b"/>
      <c:overlay val="0"/>
    </c:legend>
    <c:plotVisOnly val="1"/>
    <c:dispBlanksAs val="gap"/>
    <c:showDLblsOverMax val="0"/>
  </c:chart>
  <c:spPr>
    <a:ln>
      <a:solidFill>
        <a:schemeClr val="bg1"/>
      </a:solidFill>
    </a:ln>
  </c:sp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0623999564905213"/>
          <c:y val="3.0627017206751265E-2"/>
          <c:w val="0.69551387886494986"/>
          <c:h val="0.77230758332827354"/>
        </c:manualLayout>
      </c:layout>
      <c:barChart>
        <c:barDir val="col"/>
        <c:grouping val="clustered"/>
        <c:varyColors val="0"/>
        <c:ser>
          <c:idx val="0"/>
          <c:order val="0"/>
          <c:tx>
            <c:v>Programación</c:v>
          </c:tx>
          <c:spPr>
            <a:solidFill>
              <a:schemeClr val="accent3">
                <a:lumMod val="60000"/>
                <a:lumOff val="40000"/>
              </a:schemeClr>
            </a:solidFill>
          </c:spPr>
          <c:invertIfNegative val="0"/>
          <c:dLbls>
            <c:dLbl>
              <c:idx val="0"/>
              <c:layout>
                <c:manualLayout>
                  <c:x val="-4.6890436814805043E-3"/>
                  <c:y val="0.563003499758975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28-48E8-89DC-63EB21E79D35}"/>
                </c:ext>
              </c:extLst>
            </c:dLbl>
            <c:dLbl>
              <c:idx val="1"/>
              <c:layout>
                <c:manualLayout>
                  <c:x val="5.3022018471702249E-3"/>
                  <c:y val="0.364665420274504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D6-450B-A290-423B3C93F3FE}"/>
                </c:ext>
              </c:extLst>
            </c:dLbl>
            <c:dLbl>
              <c:idx val="2"/>
              <c:layout>
                <c:manualLayout>
                  <c:x val="-6.3658430208689658E-3"/>
                  <c:y val="0.284781732485106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28-48E8-89DC-63EB21E79D35}"/>
                </c:ext>
              </c:extLst>
            </c:dLbl>
            <c:dLbl>
              <c:idx val="3"/>
              <c:layout>
                <c:manualLayout>
                  <c:x val="-2.5332264622762329E-3"/>
                  <c:y val="0.29931253334736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28-48E8-89DC-63EB21E79D35}"/>
                </c:ext>
              </c:extLst>
            </c:dLbl>
            <c:spPr>
              <a:noFill/>
              <a:ln>
                <a:noFill/>
              </a:ln>
              <a:effectLst/>
            </c:spPr>
            <c:txPr>
              <a:bodyPr rot="-5400000" vert="horz" anchor="ctr" anchorCtr="0"/>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Pensiones'!$C$16:$C$19</c:f>
              <c:strCache>
                <c:ptCount val="4"/>
                <c:pt idx="0">
                  <c:v>Diciembre</c:v>
                </c:pt>
                <c:pt idx="1">
                  <c:v>Noviembre</c:v>
                </c:pt>
                <c:pt idx="2">
                  <c:v>Octubre</c:v>
                </c:pt>
                <c:pt idx="3">
                  <c:v>Regalia</c:v>
                </c:pt>
              </c:strCache>
            </c:strRef>
          </c:cat>
          <c:val>
            <c:numRef>
              <c:f>'Presupuesto de Pensiones'!$F$16:$F$19</c:f>
              <c:numCache>
                <c:formatCode>#,##0.00</c:formatCode>
                <c:ptCount val="4"/>
                <c:pt idx="0">
                  <c:v>4257951143.79</c:v>
                </c:pt>
                <c:pt idx="1">
                  <c:v>4133610131.77</c:v>
                </c:pt>
                <c:pt idx="2">
                  <c:v>4167930311.5999999</c:v>
                </c:pt>
                <c:pt idx="3">
                  <c:v>3986474209.52</c:v>
                </c:pt>
              </c:numCache>
            </c:numRef>
          </c:val>
          <c:extLst>
            <c:ext xmlns:c16="http://schemas.microsoft.com/office/drawing/2014/chart" uri="{C3380CC4-5D6E-409C-BE32-E72D297353CC}">
              <c16:uniqueId val="{00000004-2A28-48E8-89DC-63EB21E79D35}"/>
            </c:ext>
          </c:extLst>
        </c:ser>
        <c:ser>
          <c:idx val="1"/>
          <c:order val="1"/>
          <c:tx>
            <c:v>Ejecutado</c:v>
          </c:tx>
          <c:spPr>
            <a:solidFill>
              <a:schemeClr val="bg1">
                <a:lumMod val="75000"/>
              </a:schemeClr>
            </a:solidFill>
          </c:spPr>
          <c:invertIfNegative val="0"/>
          <c:dLbls>
            <c:dLbl>
              <c:idx val="0"/>
              <c:layout>
                <c:manualLayout>
                  <c:x val="-4.6279491986300592E-5"/>
                  <c:y val="0.317778444475398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28-48E8-89DC-63EB21E79D35}"/>
                </c:ext>
              </c:extLst>
            </c:dLbl>
            <c:dLbl>
              <c:idx val="1"/>
              <c:layout>
                <c:manualLayout>
                  <c:x val="1.7674006157233433E-3"/>
                  <c:y val="0.449078712004713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D6-450B-A290-423B3C93F3FE}"/>
                </c:ext>
              </c:extLst>
            </c:dLbl>
            <c:dLbl>
              <c:idx val="2"/>
              <c:layout>
                <c:manualLayout>
                  <c:x val="5.217450116857059E-3"/>
                  <c:y val="0.34431902534685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28-48E8-89DC-63EB21E79D35}"/>
                </c:ext>
              </c:extLst>
            </c:dLbl>
            <c:dLbl>
              <c:idx val="3"/>
              <c:layout>
                <c:manualLayout>
                  <c:x val="4.2494155748908869E-3"/>
                  <c:y val="0.297548212618338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28-48E8-89DC-63EB21E79D35}"/>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Pensiones'!$C$16:$C$19</c:f>
              <c:strCache>
                <c:ptCount val="4"/>
                <c:pt idx="0">
                  <c:v>Diciembre</c:v>
                </c:pt>
                <c:pt idx="1">
                  <c:v>Noviembre</c:v>
                </c:pt>
                <c:pt idx="2">
                  <c:v>Octubre</c:v>
                </c:pt>
                <c:pt idx="3">
                  <c:v>Regalia</c:v>
                </c:pt>
              </c:strCache>
            </c:strRef>
          </c:cat>
          <c:val>
            <c:numRef>
              <c:f>'Presupuesto de Pensiones'!$G$16:$G$19</c:f>
              <c:numCache>
                <c:formatCode>#,##0.00</c:formatCode>
                <c:ptCount val="4"/>
                <c:pt idx="0">
                  <c:v>4236918009.75</c:v>
                </c:pt>
                <c:pt idx="1">
                  <c:v>4072236090.4899998</c:v>
                </c:pt>
                <c:pt idx="2">
                  <c:v>4060615787.3000002</c:v>
                </c:pt>
                <c:pt idx="3">
                  <c:v>3884802646.5700002</c:v>
                </c:pt>
              </c:numCache>
            </c:numRef>
          </c:val>
          <c:extLst>
            <c:ext xmlns:c16="http://schemas.microsoft.com/office/drawing/2014/chart" uri="{C3380CC4-5D6E-409C-BE32-E72D297353CC}">
              <c16:uniqueId val="{00000009-2A28-48E8-89DC-63EB21E79D35}"/>
            </c:ext>
          </c:extLst>
        </c:ser>
        <c:dLbls>
          <c:showLegendKey val="0"/>
          <c:showVal val="0"/>
          <c:showCatName val="0"/>
          <c:showSerName val="0"/>
          <c:showPercent val="0"/>
          <c:showBubbleSize val="0"/>
        </c:dLbls>
        <c:gapWidth val="43"/>
        <c:axId val="1665021264"/>
        <c:axId val="1665032144"/>
      </c:barChart>
      <c:lineChart>
        <c:grouping val="standard"/>
        <c:varyColors val="0"/>
        <c:ser>
          <c:idx val="2"/>
          <c:order val="2"/>
          <c:tx>
            <c:v>% Ejecutado</c:v>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Pt>
            <c:idx val="2"/>
            <c:bubble3D val="0"/>
            <c:extLst>
              <c:ext xmlns:c16="http://schemas.microsoft.com/office/drawing/2014/chart" uri="{C3380CC4-5D6E-409C-BE32-E72D297353CC}">
                <c16:uniqueId val="{0000000B-2A28-48E8-89DC-63EB21E79D35}"/>
              </c:ext>
            </c:extLst>
          </c:dPt>
          <c:dPt>
            <c:idx val="3"/>
            <c:bubble3D val="0"/>
            <c:extLst>
              <c:ext xmlns:c16="http://schemas.microsoft.com/office/drawing/2014/chart" uri="{C3380CC4-5D6E-409C-BE32-E72D297353CC}">
                <c16:uniqueId val="{0000000D-2A28-48E8-89DC-63EB21E79D35}"/>
              </c:ext>
            </c:extLst>
          </c:dPt>
          <c:dLbls>
            <c:dLbl>
              <c:idx val="0"/>
              <c:layout>
                <c:manualLayout>
                  <c:x val="-5.2036195653992423E-2"/>
                  <c:y val="-7.4616361807109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28-48E8-89DC-63EB21E79D35}"/>
                </c:ext>
              </c:extLst>
            </c:dLbl>
            <c:dLbl>
              <c:idx val="2"/>
              <c:layout>
                <c:manualLayout>
                  <c:x val="-5.3040869830121101E-2"/>
                  <c:y val="-4.7653574677988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28-48E8-89DC-63EB21E79D35}"/>
                </c:ext>
              </c:extLst>
            </c:dLbl>
            <c:dLbl>
              <c:idx val="3"/>
              <c:layout>
                <c:manualLayout>
                  <c:x val="-4.7150630127027393E-3"/>
                  <c:y val="-0.163238556482196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28-48E8-89DC-63EB21E79D35}"/>
                </c:ext>
              </c:extLst>
            </c:dLbl>
            <c:numFmt formatCode="0.0%" sourceLinked="0"/>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Pensiones'!$C$16:$C$19</c:f>
              <c:strCache>
                <c:ptCount val="4"/>
                <c:pt idx="0">
                  <c:v>Diciembre</c:v>
                </c:pt>
                <c:pt idx="1">
                  <c:v>Noviembre</c:v>
                </c:pt>
                <c:pt idx="2">
                  <c:v>Octubre</c:v>
                </c:pt>
                <c:pt idx="3">
                  <c:v>Regalia</c:v>
                </c:pt>
              </c:strCache>
            </c:strRef>
          </c:cat>
          <c:val>
            <c:numRef>
              <c:f>'Presupuesto de Pensiones'!$H$16:$H$19</c:f>
              <c:numCache>
                <c:formatCode>0.00%</c:formatCode>
                <c:ptCount val="4"/>
                <c:pt idx="0">
                  <c:v>0.99506026881715737</c:v>
                </c:pt>
                <c:pt idx="1">
                  <c:v>0.98515243592802981</c:v>
                </c:pt>
                <c:pt idx="2">
                  <c:v>0.97425232278924467</c:v>
                </c:pt>
                <c:pt idx="3">
                  <c:v>0.97449586837732438</c:v>
                </c:pt>
              </c:numCache>
            </c:numRef>
          </c:val>
          <c:smooth val="0"/>
          <c:extLst>
            <c:ext xmlns:c16="http://schemas.microsoft.com/office/drawing/2014/chart" uri="{C3380CC4-5D6E-409C-BE32-E72D297353CC}">
              <c16:uniqueId val="{0000000E-2A28-48E8-89DC-63EB21E79D35}"/>
            </c:ext>
          </c:extLst>
        </c:ser>
        <c:dLbls>
          <c:showLegendKey val="0"/>
          <c:showVal val="1"/>
          <c:showCatName val="0"/>
          <c:showSerName val="0"/>
          <c:showPercent val="0"/>
          <c:showBubbleSize val="0"/>
        </c:dLbls>
        <c:marker val="1"/>
        <c:smooth val="0"/>
        <c:axId val="1665032688"/>
        <c:axId val="1665026160"/>
      </c:lineChart>
      <c:catAx>
        <c:axId val="1665021264"/>
        <c:scaling>
          <c:orientation val="minMax"/>
        </c:scaling>
        <c:delete val="0"/>
        <c:axPos val="b"/>
        <c:numFmt formatCode="General" sourceLinked="0"/>
        <c:majorTickMark val="out"/>
        <c:minorTickMark val="none"/>
        <c:tickLblPos val="nextTo"/>
        <c:crossAx val="1665032144"/>
        <c:crosses val="autoZero"/>
        <c:auto val="1"/>
        <c:lblAlgn val="ctr"/>
        <c:lblOffset val="100"/>
        <c:noMultiLvlLbl val="0"/>
      </c:catAx>
      <c:valAx>
        <c:axId val="1665032144"/>
        <c:scaling>
          <c:orientation val="minMax"/>
          <c:max val="4200000000"/>
        </c:scaling>
        <c:delete val="0"/>
        <c:axPos val="l"/>
        <c:numFmt formatCode="#,##0.00" sourceLinked="1"/>
        <c:majorTickMark val="out"/>
        <c:minorTickMark val="none"/>
        <c:tickLblPos val="nextTo"/>
        <c:crossAx val="1665021264"/>
        <c:crosses val="autoZero"/>
        <c:crossBetween val="between"/>
      </c:valAx>
      <c:valAx>
        <c:axId val="1665026160"/>
        <c:scaling>
          <c:orientation val="minMax"/>
          <c:max val="1.01"/>
          <c:min val="0.96000000000000008"/>
        </c:scaling>
        <c:delete val="0"/>
        <c:axPos val="r"/>
        <c:numFmt formatCode="0.00%" sourceLinked="1"/>
        <c:majorTickMark val="out"/>
        <c:minorTickMark val="none"/>
        <c:tickLblPos val="nextTo"/>
        <c:crossAx val="1665032688"/>
        <c:crosses val="max"/>
        <c:crossBetween val="between"/>
        <c:majorUnit val="1.0000000000000002E-2"/>
        <c:minorUnit val="5.000000000000001E-3"/>
      </c:valAx>
      <c:catAx>
        <c:axId val="1665032688"/>
        <c:scaling>
          <c:orientation val="minMax"/>
        </c:scaling>
        <c:delete val="1"/>
        <c:axPos val="t"/>
        <c:numFmt formatCode="General" sourceLinked="1"/>
        <c:majorTickMark val="out"/>
        <c:minorTickMark val="none"/>
        <c:tickLblPos val="nextTo"/>
        <c:crossAx val="1665026160"/>
        <c:crosses val="max"/>
        <c:auto val="1"/>
        <c:lblAlgn val="ctr"/>
        <c:lblOffset val="100"/>
        <c:noMultiLvlLbl val="0"/>
      </c:catAx>
    </c:plotArea>
    <c:legend>
      <c:legendPos val="b"/>
      <c:overlay val="0"/>
    </c:legend>
    <c:plotVisOnly val="1"/>
    <c:dispBlanksAs val="gap"/>
    <c:showDLblsOverMax val="0"/>
  </c:chart>
  <c:spPr>
    <a:ln>
      <a:solidFill>
        <a:schemeClr val="bg1"/>
      </a:solidFill>
    </a:ln>
    <a:effectLst>
      <a:outerShdw blurRad="50800" dist="50800" dir="5400000" algn="ctr" rotWithShape="0">
        <a:srgbClr val="000000">
          <a:alpha val="9000"/>
        </a:srgbClr>
      </a:outerShdw>
    </a:effectLst>
  </c:sp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31471526098266"/>
          <c:y val="0.13154844993940878"/>
          <c:w val="0.82866557875303415"/>
          <c:h val="0.69190263993496037"/>
        </c:manualLayout>
      </c:layout>
      <c:barChart>
        <c:barDir val="col"/>
        <c:grouping val="clustered"/>
        <c:varyColors val="0"/>
        <c:ser>
          <c:idx val="0"/>
          <c:order val="0"/>
          <c:tx>
            <c:v>PC</c:v>
          </c:tx>
          <c:spPr>
            <a:solidFill>
              <a:schemeClr val="accent3"/>
            </a:solidFill>
          </c:spPr>
          <c:invertIfNegative val="0"/>
          <c:dLbls>
            <c:dLbl>
              <c:idx val="0"/>
              <c:layout>
                <c:manualLayout>
                  <c:x val="2.6166165550448378E-3"/>
                  <c:y val="0.280286959840681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D9-494F-9FD7-D7A98F07ECC5}"/>
                </c:ext>
              </c:extLst>
            </c:dLbl>
            <c:dLbl>
              <c:idx val="1"/>
              <c:layout>
                <c:manualLayout>
                  <c:x val="-1.9338092923303063E-4"/>
                  <c:y val="0.2811533092209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D9-494F-9FD7-D7A98F07ECC5}"/>
                </c:ext>
              </c:extLst>
            </c:dLbl>
            <c:dLbl>
              <c:idx val="2"/>
              <c:layout>
                <c:manualLayout>
                  <c:x val="8.2366115236005497E-3"/>
                  <c:y val="0.279420610460411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D9-494F-9FD7-D7A98F07ECC5}"/>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Nómina!$B$15:$B$17</c:f>
            </c:strRef>
          </c:cat>
          <c:val>
            <c:numRef>
              <c:f>Nómina!$C$15:$C$17</c:f>
            </c:numRef>
          </c:val>
          <c:extLst>
            <c:ext xmlns:c16="http://schemas.microsoft.com/office/drawing/2014/chart" uri="{C3380CC4-5D6E-409C-BE32-E72D297353CC}">
              <c16:uniqueId val="{00000003-53D9-494F-9FD7-D7A98F07ECC5}"/>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D9-494F-9FD7-D7A98F07ECC5}"/>
                </c:ext>
              </c:extLst>
            </c:dLbl>
            <c:dLbl>
              <c:idx val="1"/>
              <c:layout>
                <c:manualLayout>
                  <c:x val="1.66666666666666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D9-494F-9FD7-D7A98F07ECC5}"/>
                </c:ext>
              </c:extLst>
            </c:dLbl>
            <c:dLbl>
              <c:idx val="2"/>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D9-494F-9FD7-D7A98F07ECC5}"/>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Nómina!$B$15:$B$17</c:f>
            </c:strRef>
          </c:cat>
          <c:val>
            <c:numRef>
              <c:f>Nómina!$F$15:$F$17</c:f>
            </c:numRef>
          </c:val>
          <c:extLst>
            <c:ext xmlns:c16="http://schemas.microsoft.com/office/drawing/2014/chart" uri="{C3380CC4-5D6E-409C-BE32-E72D297353CC}">
              <c16:uniqueId val="{00000007-53D9-494F-9FD7-D7A98F07ECC5}"/>
            </c:ext>
          </c:extLst>
        </c:ser>
        <c:ser>
          <c:idx val="2"/>
          <c:order val="2"/>
          <c:tx>
            <c:v>PN</c:v>
          </c:tx>
          <c:spPr>
            <a:solidFill>
              <a:schemeClr val="tx2">
                <a:lumMod val="60000"/>
                <a:lumOff val="40000"/>
              </a:schemeClr>
            </a:solidFill>
          </c:spPr>
          <c:invertIfNegative val="0"/>
          <c:dLbls>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Nómina!$I$15:$I$17</c:f>
            </c:numRef>
          </c:val>
          <c:extLst>
            <c:ext xmlns:c16="http://schemas.microsoft.com/office/drawing/2014/chart" uri="{C3380CC4-5D6E-409C-BE32-E72D297353CC}">
              <c16:uniqueId val="{00000000-C68F-40C1-B7CC-955B6C3781D2}"/>
            </c:ext>
          </c:extLst>
        </c:ser>
        <c:dLbls>
          <c:showLegendKey val="0"/>
          <c:showVal val="1"/>
          <c:showCatName val="0"/>
          <c:showSerName val="0"/>
          <c:showPercent val="0"/>
          <c:showBubbleSize val="0"/>
        </c:dLbls>
        <c:gapWidth val="75"/>
        <c:axId val="1665033232"/>
        <c:axId val="1665027248"/>
      </c:barChart>
      <c:catAx>
        <c:axId val="1665033232"/>
        <c:scaling>
          <c:orientation val="minMax"/>
        </c:scaling>
        <c:delete val="0"/>
        <c:axPos val="b"/>
        <c:numFmt formatCode="General" sourceLinked="0"/>
        <c:majorTickMark val="none"/>
        <c:minorTickMark val="none"/>
        <c:tickLblPos val="nextTo"/>
        <c:crossAx val="1665027248"/>
        <c:crosses val="autoZero"/>
        <c:auto val="1"/>
        <c:lblAlgn val="ctr"/>
        <c:lblOffset val="100"/>
        <c:noMultiLvlLbl val="0"/>
      </c:catAx>
      <c:valAx>
        <c:axId val="1665027248"/>
        <c:scaling>
          <c:orientation val="minMax"/>
        </c:scaling>
        <c:delete val="0"/>
        <c:axPos val="l"/>
        <c:numFmt formatCode="_(* #,##0_);_(* \(#,##0\);_(* &quot;-&quot;??_);_(@_)" sourceLinked="1"/>
        <c:majorTickMark val="none"/>
        <c:minorTickMark val="none"/>
        <c:tickLblPos val="nextTo"/>
        <c:crossAx val="1665033232"/>
        <c:crosses val="autoZero"/>
        <c:crossBetween val="between"/>
      </c:valAx>
    </c:plotArea>
    <c:legend>
      <c:legendPos val="b"/>
      <c:layout>
        <c:manualLayout>
          <c:xMode val="edge"/>
          <c:yMode val="edge"/>
          <c:x val="0.41335770283434614"/>
          <c:y val="0.93137511312911292"/>
          <c:w val="0.22633816425502665"/>
          <c:h val="6.5109557839156396E-2"/>
        </c:manualLayout>
      </c:layout>
      <c:overlay val="0"/>
    </c:legend>
    <c:plotVisOnly val="1"/>
    <c:dispBlanksAs val="gap"/>
    <c:showDLblsOverMax val="0"/>
  </c:chart>
  <c:spPr>
    <a:ln>
      <a:solidFill>
        <a:schemeClr val="bg1"/>
      </a:solidFill>
    </a:ln>
  </c:spPr>
  <c:printSettings>
    <c:headerFooter/>
    <c:pageMargins b="0.75" l="0.7" r="0.7" t="0.75" header="0.3" footer="0.3"/>
    <c:pageSetup orientation="portrait"/>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1.8258793274707537E-3"/>
                  <c:y val="0.182871159511427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BD-4A0D-BE09-D21C77B6043E}"/>
                </c:ext>
              </c:extLst>
            </c:dLbl>
            <c:dLbl>
              <c:idx val="1"/>
              <c:layout>
                <c:manualLayout>
                  <c:x val="1.8258793274707537E-3"/>
                  <c:y val="0.188620885267618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BD-4A0D-BE09-D21C77B6043E}"/>
                </c:ext>
              </c:extLst>
            </c:dLbl>
            <c:dLbl>
              <c:idx val="2"/>
              <c:layout>
                <c:manualLayout>
                  <c:x val="-9.5208122101056675E-4"/>
                  <c:y val="0.178241498441914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BD-4A0D-BE09-D21C77B6043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Nómina!$B$15:$B$17</c:f>
            </c:strRef>
          </c:cat>
          <c:val>
            <c:numRef>
              <c:f>Nómina!$D$15:$D$17</c:f>
            </c:numRef>
          </c:val>
          <c:extLst>
            <c:ext xmlns:c16="http://schemas.microsoft.com/office/drawing/2014/chart" uri="{C3380CC4-5D6E-409C-BE32-E72D297353CC}">
              <c16:uniqueId val="{00000003-9CBD-4A0D-BE09-D21C77B6043E}"/>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BD-4A0D-BE09-D21C77B6043E}"/>
                </c:ext>
              </c:extLst>
            </c:dLbl>
            <c:dLbl>
              <c:idx val="1"/>
              <c:layout>
                <c:manualLayout>
                  <c:x val="1.304057958836161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BD-4A0D-BE09-D21C77B6043E}"/>
                </c:ext>
              </c:extLst>
            </c:dLbl>
            <c:dLbl>
              <c:idx val="2"/>
              <c:layout>
                <c:manualLayout>
                  <c:x val="-9.5208122101056675E-4"/>
                  <c:y val="1.724917726857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BD-4A0D-BE09-D21C77B6043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Nómina!$B$15:$B$17</c:f>
            </c:strRef>
          </c:cat>
          <c:val>
            <c:numRef>
              <c:f>Nómina!$G$15:$G$17</c:f>
            </c:numRef>
          </c:val>
          <c:extLst>
            <c:ext xmlns:c16="http://schemas.microsoft.com/office/drawing/2014/chart" uri="{C3380CC4-5D6E-409C-BE32-E72D297353CC}">
              <c16:uniqueId val="{00000007-9CBD-4A0D-BE09-D21C77B6043E}"/>
            </c:ext>
          </c:extLst>
        </c:ser>
        <c:ser>
          <c:idx val="2"/>
          <c:order val="2"/>
          <c:tx>
            <c:v>PN</c:v>
          </c:tx>
          <c:spPr>
            <a:solidFill>
              <a:schemeClr val="tx2">
                <a:lumMod val="60000"/>
                <a:lumOff val="40000"/>
              </a:schemeClr>
            </a:solidFill>
          </c:spPr>
          <c:invertIfNegative val="0"/>
          <c:dLbls>
            <c:dLbl>
              <c:idx val="0"/>
              <c:layout>
                <c:manualLayout>
                  <c:x val="-4.6143564425193773E-17"/>
                  <c:y val="5.74972575619080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A7-42AB-9E5A-58FEC411AE86}"/>
                </c:ext>
              </c:extLst>
            </c:dLbl>
            <c:dLbl>
              <c:idx val="1"/>
              <c:layout>
                <c:manualLayout>
                  <c:x val="0"/>
                  <c:y val="5.7497257561907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A7-42AB-9E5A-58FEC411AE86}"/>
                </c:ext>
              </c:extLst>
            </c:dLbl>
            <c:dLbl>
              <c:idx val="2"/>
              <c:layout>
                <c:manualLayout>
                  <c:x val="2.5169507716138687E-3"/>
                  <c:y val="1.7249177268572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A7-42AB-9E5A-58FEC411AE86}"/>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Nómina!$J$15:$J$17</c:f>
            </c:numRef>
          </c:val>
          <c:extLst>
            <c:ext xmlns:c16="http://schemas.microsoft.com/office/drawing/2014/chart" uri="{C3380CC4-5D6E-409C-BE32-E72D297353CC}">
              <c16:uniqueId val="{00000000-B4C7-4C8F-829E-12F6B5EA66FC}"/>
            </c:ext>
          </c:extLst>
        </c:ser>
        <c:dLbls>
          <c:showLegendKey val="0"/>
          <c:showVal val="1"/>
          <c:showCatName val="0"/>
          <c:showSerName val="0"/>
          <c:showPercent val="0"/>
          <c:showBubbleSize val="0"/>
        </c:dLbls>
        <c:gapWidth val="75"/>
        <c:axId val="1665028880"/>
        <c:axId val="1665018544"/>
      </c:barChart>
      <c:catAx>
        <c:axId val="1665028880"/>
        <c:scaling>
          <c:orientation val="minMax"/>
        </c:scaling>
        <c:delete val="0"/>
        <c:axPos val="b"/>
        <c:numFmt formatCode="General" sourceLinked="0"/>
        <c:majorTickMark val="none"/>
        <c:minorTickMark val="none"/>
        <c:tickLblPos val="nextTo"/>
        <c:crossAx val="1665018544"/>
        <c:crosses val="autoZero"/>
        <c:auto val="1"/>
        <c:lblAlgn val="ctr"/>
        <c:lblOffset val="100"/>
        <c:noMultiLvlLbl val="0"/>
      </c:catAx>
      <c:valAx>
        <c:axId val="1665018544"/>
        <c:scaling>
          <c:orientation val="minMax"/>
        </c:scaling>
        <c:delete val="0"/>
        <c:axPos val="l"/>
        <c:numFmt formatCode="_(* #,##0_);_(* \(#,##0\);_(* &quot;-&quot;??_);_(@_)" sourceLinked="1"/>
        <c:majorTickMark val="none"/>
        <c:minorTickMark val="none"/>
        <c:tickLblPos val="nextTo"/>
        <c:crossAx val="1665028880"/>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4.9402791952599815E-3"/>
                  <c:y val="0.192856496451481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B-4ACC-9DB2-E039C3656B7D}"/>
                </c:ext>
              </c:extLst>
            </c:dLbl>
            <c:dLbl>
              <c:idx val="1"/>
              <c:layout>
                <c:manualLayout>
                  <c:x val="-5.5544341463445307E-3"/>
                  <c:y val="0.215137415898894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AB-4ACC-9DB2-E039C3656B7D}"/>
                </c:ext>
              </c:extLst>
            </c:dLbl>
            <c:dLbl>
              <c:idx val="2"/>
              <c:layout>
                <c:manualLayout>
                  <c:x val="-2.8154707518661961E-3"/>
                  <c:y val="0.2372395171648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B-4ACC-9DB2-E039C3656B7D}"/>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Nómina!$B$15:$B$17</c:f>
            </c:strRef>
          </c:cat>
          <c:val>
            <c:numRef>
              <c:f>Nómina!$E$15:$E$17</c:f>
            </c:numRef>
          </c:val>
          <c:extLst>
            <c:ext xmlns:c16="http://schemas.microsoft.com/office/drawing/2014/chart" uri="{C3380CC4-5D6E-409C-BE32-E72D297353CC}">
              <c16:uniqueId val="{00000000-0F53-4019-BFDC-2A350F855EE7}"/>
            </c:ext>
          </c:extLst>
        </c:ser>
        <c:ser>
          <c:idx val="1"/>
          <c:order val="1"/>
          <c:tx>
            <c:v>PS</c:v>
          </c:tx>
          <c:spPr>
            <a:solidFill>
              <a:schemeClr val="accent6">
                <a:lumMod val="60000"/>
                <a:lumOff val="40000"/>
              </a:schemeClr>
            </a:solidFill>
          </c:spPr>
          <c:invertIfNegative val="0"/>
          <c:dLbls>
            <c:dLbl>
              <c:idx val="0"/>
              <c:layout>
                <c:manualLayout>
                  <c:x val="3.7888958688751932E-3"/>
                  <c:y val="1.788181815017594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5C-498E-B306-189846393CDE}"/>
                </c:ext>
              </c:extLst>
            </c:dLbl>
            <c:dLbl>
              <c:idx val="1"/>
              <c:layout>
                <c:manualLayout>
                  <c:x val="9.1129695062634377E-3"/>
                  <c:y val="1.657657594943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5C-498E-B306-189846393CDE}"/>
                </c:ext>
              </c:extLst>
            </c:dLbl>
            <c:dLbl>
              <c:idx val="2"/>
              <c:layout>
                <c:manualLayout>
                  <c:x val="6.2974987543972412E-3"/>
                  <c:y val="5.5255253164776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5C-498E-B306-189846393CD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Nómina!$B$15:$B$17</c:f>
            </c:strRef>
          </c:cat>
          <c:val>
            <c:numRef>
              <c:f>Nómina!$H$15:$H$17</c:f>
            </c:numRef>
          </c:val>
          <c:extLst>
            <c:ext xmlns:c16="http://schemas.microsoft.com/office/drawing/2014/chart" uri="{C3380CC4-5D6E-409C-BE32-E72D297353CC}">
              <c16:uniqueId val="{00000001-0F53-4019-BFDC-2A350F855EE7}"/>
            </c:ext>
          </c:extLst>
        </c:ser>
        <c:ser>
          <c:idx val="2"/>
          <c:order val="2"/>
          <c:tx>
            <c:v>PN</c:v>
          </c:tx>
          <c:spPr>
            <a:solidFill>
              <a:schemeClr val="tx2">
                <a:lumMod val="60000"/>
                <a:lumOff val="40000"/>
              </a:schemeClr>
            </a:solidFill>
          </c:spPr>
          <c:invertIfNegative val="0"/>
          <c:dLbls>
            <c:dLbl>
              <c:idx val="0"/>
              <c:layout>
                <c:manualLayout>
                  <c:x val="7.2952385384117803E-3"/>
                  <c:y val="-2.53250318102610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5C-498E-B306-189846393CDE}"/>
                </c:ext>
              </c:extLst>
            </c:dLbl>
            <c:dLbl>
              <c:idx val="1"/>
              <c:layout>
                <c:manualLayout>
                  <c:x val="4.6332017197177064E-3"/>
                  <c:y val="5.52552531647770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5C-498E-B306-189846393CDE}"/>
                </c:ext>
              </c:extLst>
            </c:dLbl>
            <c:dLbl>
              <c:idx val="2"/>
              <c:layout>
                <c:manualLayout>
                  <c:x val="7.4488820807821271E-3"/>
                  <c:y val="5.52552531647772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5C-498E-B306-189846393CD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Nómina!$K$15:$K$17</c:f>
            </c:numRef>
          </c:val>
          <c:extLst>
            <c:ext xmlns:c16="http://schemas.microsoft.com/office/drawing/2014/chart" uri="{C3380CC4-5D6E-409C-BE32-E72D297353CC}">
              <c16:uniqueId val="{00000000-281D-447F-87D6-9DFFE7E603D8}"/>
            </c:ext>
          </c:extLst>
        </c:ser>
        <c:dLbls>
          <c:showLegendKey val="0"/>
          <c:showVal val="1"/>
          <c:showCatName val="0"/>
          <c:showSerName val="0"/>
          <c:showPercent val="0"/>
          <c:showBubbleSize val="0"/>
        </c:dLbls>
        <c:gapWidth val="75"/>
        <c:axId val="1665023984"/>
        <c:axId val="1665028336"/>
      </c:barChart>
      <c:catAx>
        <c:axId val="1665023984"/>
        <c:scaling>
          <c:orientation val="minMax"/>
        </c:scaling>
        <c:delete val="0"/>
        <c:axPos val="b"/>
        <c:numFmt formatCode="General" sourceLinked="0"/>
        <c:majorTickMark val="none"/>
        <c:minorTickMark val="none"/>
        <c:tickLblPos val="nextTo"/>
        <c:crossAx val="1665028336"/>
        <c:crosses val="autoZero"/>
        <c:auto val="1"/>
        <c:lblAlgn val="ctr"/>
        <c:lblOffset val="100"/>
        <c:noMultiLvlLbl val="0"/>
      </c:catAx>
      <c:valAx>
        <c:axId val="1665028336"/>
        <c:scaling>
          <c:orientation val="minMax"/>
        </c:scaling>
        <c:delete val="0"/>
        <c:axPos val="l"/>
        <c:numFmt formatCode="_(* #,##0_);_(* \(#,##0\);_(* &quot;-&quot;??_);_(@_)" sourceLinked="1"/>
        <c:majorTickMark val="none"/>
        <c:minorTickMark val="none"/>
        <c:tickLblPos val="nextTo"/>
        <c:crossAx val="1665023984"/>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a:t>%</a:t>
            </a:r>
            <a:r>
              <a:rPr lang="es-DO" baseline="0"/>
              <a:t> Pagado</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1658-4F4E-82BB-972C8E917EE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(Nómina!#REF!,Nómina!#REF!,Nómina!#REF!)</c:f>
              <c:numCache>
                <c:formatCode>General</c:formatCode>
                <c:ptCount val="1"/>
                <c:pt idx="0">
                  <c:v>1</c:v>
                </c:pt>
              </c:numCache>
            </c:numRef>
          </c:val>
          <c:extLst>
            <c:ext xmlns:c16="http://schemas.microsoft.com/office/drawing/2014/chart" uri="{C3380CC4-5D6E-409C-BE32-E72D297353CC}">
              <c16:uniqueId val="{00000000-1658-4F4E-82BB-972C8E917EE2}"/>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31471526098266"/>
          <c:y val="0.13154844993940878"/>
          <c:w val="0.82866557875303415"/>
          <c:h val="0.69190263993496037"/>
        </c:manualLayout>
      </c:layout>
      <c:barChart>
        <c:barDir val="col"/>
        <c:grouping val="clustered"/>
        <c:varyColors val="0"/>
        <c:ser>
          <c:idx val="0"/>
          <c:order val="0"/>
          <c:tx>
            <c:v>PC</c:v>
          </c:tx>
          <c:spPr>
            <a:solidFill>
              <a:schemeClr val="accent3"/>
            </a:solidFill>
          </c:spPr>
          <c:invertIfNegative val="0"/>
          <c:dLbls>
            <c:dLbl>
              <c:idx val="0"/>
              <c:layout>
                <c:manualLayout>
                  <c:x val="2.6167004289624389E-3"/>
                  <c:y val="0.461649110325828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0-4453-855E-B5BA8976592B}"/>
                </c:ext>
              </c:extLst>
            </c:dLbl>
            <c:dLbl>
              <c:idx val="2"/>
              <c:layout>
                <c:manualLayout>
                  <c:x val="-1.9341742336070859E-4"/>
                  <c:y val="0.473507105190047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E0-4453-855E-B5BA8976592B}"/>
                </c:ext>
              </c:extLst>
            </c:dLbl>
            <c:dLbl>
              <c:idx val="3"/>
              <c:layout>
                <c:manualLayout>
                  <c:x val="5.5694137540997848E-3"/>
                  <c:y val="0.477270229171480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29-4F51-993A-94E29E22ED87}"/>
                </c:ext>
              </c:extLst>
            </c:dLbl>
            <c:spPr>
              <a:noFill/>
              <a:ln>
                <a:noFill/>
              </a:ln>
              <a:effectLst/>
            </c:spPr>
            <c:txPr>
              <a:bodyPr rot="-5400000" vert="horz"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Nómina!$B$10:$B$13</c:f>
              <c:strCache>
                <c:ptCount val="4"/>
                <c:pt idx="0">
                  <c:v>Diciembre</c:v>
                </c:pt>
                <c:pt idx="1">
                  <c:v>Regalia</c:v>
                </c:pt>
                <c:pt idx="2">
                  <c:v>Noviembre</c:v>
                </c:pt>
                <c:pt idx="3">
                  <c:v>Octubre</c:v>
                </c:pt>
              </c:strCache>
            </c:strRef>
          </c:cat>
          <c:val>
            <c:numRef>
              <c:f>Nómina!$C$10:$C$13</c:f>
              <c:numCache>
                <c:formatCode>#,##0</c:formatCode>
                <c:ptCount val="4"/>
                <c:pt idx="0">
                  <c:v>162031</c:v>
                </c:pt>
                <c:pt idx="1">
                  <c:v>159715</c:v>
                </c:pt>
                <c:pt idx="2">
                  <c:v>161419</c:v>
                </c:pt>
                <c:pt idx="3">
                  <c:v>160447</c:v>
                </c:pt>
              </c:numCache>
            </c:numRef>
          </c:val>
          <c:extLst>
            <c:ext xmlns:c16="http://schemas.microsoft.com/office/drawing/2014/chart" uri="{C3380CC4-5D6E-409C-BE32-E72D297353CC}">
              <c16:uniqueId val="{00000003-64E0-4453-855E-B5BA8976592B}"/>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E0-4453-855E-B5BA8976592B}"/>
                </c:ext>
              </c:extLst>
            </c:dLbl>
            <c:dLbl>
              <c:idx val="2"/>
              <c:layout>
                <c:manualLayout>
                  <c:x val="5.998250212843071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E0-4453-855E-B5BA8976592B}"/>
                </c:ext>
              </c:extLst>
            </c:dLbl>
            <c:dLbl>
              <c:idx val="3"/>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29-4F51-993A-94E29E22ED87}"/>
                </c:ext>
              </c:extLst>
            </c:dLbl>
            <c:spPr>
              <a:noFill/>
              <a:ln>
                <a:noFill/>
              </a:ln>
              <a:effectLst/>
            </c:spPr>
            <c:txPr>
              <a:bodyPr rot="-5400000" vert="horz"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Nómina!$B$10:$B$13</c:f>
              <c:strCache>
                <c:ptCount val="4"/>
                <c:pt idx="0">
                  <c:v>Diciembre</c:v>
                </c:pt>
                <c:pt idx="1">
                  <c:v>Regalia</c:v>
                </c:pt>
                <c:pt idx="2">
                  <c:v>Noviembre</c:v>
                </c:pt>
                <c:pt idx="3">
                  <c:v>Octubre</c:v>
                </c:pt>
              </c:strCache>
            </c:strRef>
          </c:cat>
          <c:val>
            <c:numRef>
              <c:f>Nómina!$I$10:$I$13</c:f>
              <c:numCache>
                <c:formatCode>#,##0</c:formatCode>
                <c:ptCount val="4"/>
                <c:pt idx="0">
                  <c:v>26356</c:v>
                </c:pt>
                <c:pt idx="1">
                  <c:v>26454</c:v>
                </c:pt>
                <c:pt idx="2">
                  <c:v>26384</c:v>
                </c:pt>
                <c:pt idx="3">
                  <c:v>26426</c:v>
                </c:pt>
              </c:numCache>
            </c:numRef>
          </c:val>
          <c:extLst>
            <c:ext xmlns:c16="http://schemas.microsoft.com/office/drawing/2014/chart" uri="{C3380CC4-5D6E-409C-BE32-E72D297353CC}">
              <c16:uniqueId val="{00000007-64E0-4453-855E-B5BA8976592B}"/>
            </c:ext>
          </c:extLst>
        </c:ser>
        <c:ser>
          <c:idx val="2"/>
          <c:order val="2"/>
          <c:tx>
            <c:v>PN</c:v>
          </c:tx>
          <c:spPr>
            <a:solidFill>
              <a:schemeClr val="tx2">
                <a:lumMod val="60000"/>
                <a:lumOff val="40000"/>
              </a:schemeClr>
            </a:solidFill>
          </c:spPr>
          <c:invertIfNegative val="0"/>
          <c:dLbls>
            <c:dLbl>
              <c:idx val="2"/>
              <c:layout>
                <c:manualLayout>
                  <c:x val="-9.7792623615519606E-17"/>
                  <c:y val="2.7479113709870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29-4F51-993A-94E29E22ED87}"/>
                </c:ext>
              </c:extLst>
            </c:dLbl>
            <c:spPr>
              <a:noFill/>
              <a:ln>
                <a:noFill/>
              </a:ln>
              <a:effectLst/>
            </c:spPr>
            <c:txPr>
              <a:bodyPr rot="-5400000" vert="horz"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Nómina!$B$10:$B$13</c:f>
              <c:strCache>
                <c:ptCount val="4"/>
                <c:pt idx="0">
                  <c:v>Diciembre</c:v>
                </c:pt>
                <c:pt idx="1">
                  <c:v>Regalia</c:v>
                </c:pt>
                <c:pt idx="2">
                  <c:v>Noviembre</c:v>
                </c:pt>
                <c:pt idx="3">
                  <c:v>Octubre</c:v>
                </c:pt>
              </c:strCache>
            </c:strRef>
          </c:cat>
          <c:val>
            <c:numRef>
              <c:f>Nómina!$F$10:$F$13</c:f>
              <c:numCache>
                <c:formatCode>#,##0</c:formatCode>
                <c:ptCount val="4"/>
                <c:pt idx="0">
                  <c:v>59116</c:v>
                </c:pt>
                <c:pt idx="1">
                  <c:v>57017</c:v>
                </c:pt>
                <c:pt idx="2">
                  <c:v>57774</c:v>
                </c:pt>
                <c:pt idx="3">
                  <c:v>57406</c:v>
                </c:pt>
              </c:numCache>
            </c:numRef>
          </c:val>
          <c:extLst>
            <c:ext xmlns:c16="http://schemas.microsoft.com/office/drawing/2014/chart" uri="{C3380CC4-5D6E-409C-BE32-E72D297353CC}">
              <c16:uniqueId val="{00000008-64E0-4453-855E-B5BA8976592B}"/>
            </c:ext>
          </c:extLst>
        </c:ser>
        <c:dLbls>
          <c:showLegendKey val="0"/>
          <c:showVal val="1"/>
          <c:showCatName val="0"/>
          <c:showSerName val="0"/>
          <c:showPercent val="0"/>
          <c:showBubbleSize val="0"/>
        </c:dLbls>
        <c:gapWidth val="75"/>
        <c:axId val="1665033232"/>
        <c:axId val="1665027248"/>
      </c:barChart>
      <c:catAx>
        <c:axId val="1665033232"/>
        <c:scaling>
          <c:orientation val="minMax"/>
        </c:scaling>
        <c:delete val="0"/>
        <c:axPos val="b"/>
        <c:numFmt formatCode="General" sourceLinked="0"/>
        <c:majorTickMark val="none"/>
        <c:minorTickMark val="none"/>
        <c:tickLblPos val="nextTo"/>
        <c:crossAx val="1665027248"/>
        <c:crosses val="autoZero"/>
        <c:auto val="1"/>
        <c:lblAlgn val="ctr"/>
        <c:lblOffset val="100"/>
        <c:noMultiLvlLbl val="0"/>
      </c:catAx>
      <c:valAx>
        <c:axId val="1665027248"/>
        <c:scaling>
          <c:orientation val="minMax"/>
          <c:max val="200000"/>
        </c:scaling>
        <c:delete val="0"/>
        <c:axPos val="l"/>
        <c:numFmt formatCode="#,##0" sourceLinked="1"/>
        <c:majorTickMark val="none"/>
        <c:minorTickMark val="none"/>
        <c:tickLblPos val="nextTo"/>
        <c:crossAx val="1665033232"/>
        <c:crosses val="autoZero"/>
        <c:crossBetween val="between"/>
      </c:valAx>
    </c:plotArea>
    <c:legend>
      <c:legendPos val="b"/>
      <c:layout>
        <c:manualLayout>
          <c:xMode val="edge"/>
          <c:yMode val="edge"/>
          <c:x val="0.41335770283434614"/>
          <c:y val="0.93137511312911292"/>
          <c:w val="0.22633816425502665"/>
          <c:h val="6.5109557839156396E-2"/>
        </c:manualLayout>
      </c:layout>
      <c:overlay val="0"/>
    </c:legend>
    <c:plotVisOnly val="1"/>
    <c:dispBlanksAs val="gap"/>
    <c:showDLblsOverMax val="0"/>
  </c:chart>
  <c:spPr>
    <a:ln>
      <a:solidFill>
        <a:schemeClr val="bg1"/>
      </a:solidFill>
    </a:ln>
  </c:spPr>
  <c:printSettings>
    <c:headerFooter/>
    <c:pageMargins b="0.75" l="0.7" r="0.7" t="0.75" header="0.3" footer="0.3"/>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4.9402791952599815E-3"/>
                  <c:y val="0.192856496451481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83-4DF8-8537-624DC2611582}"/>
                </c:ext>
              </c:extLst>
            </c:dLbl>
            <c:dLbl>
              <c:idx val="2"/>
              <c:layout>
                <c:manualLayout>
                  <c:x val="-5.5544341463445307E-3"/>
                  <c:y val="0.215137415898894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83-4DF8-8537-624DC2611582}"/>
                </c:ext>
              </c:extLst>
            </c:dLbl>
            <c:dLbl>
              <c:idx val="3"/>
              <c:layout>
                <c:manualLayout>
                  <c:x val="-2.8154707518661961E-3"/>
                  <c:y val="0.2372395171648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76-4DB0-9268-6EF059DD844D}"/>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Nómina!$B$10:$B$13</c:f>
              <c:strCache>
                <c:ptCount val="4"/>
                <c:pt idx="0">
                  <c:v>Diciembre</c:v>
                </c:pt>
                <c:pt idx="1">
                  <c:v>Regalia</c:v>
                </c:pt>
                <c:pt idx="2">
                  <c:v>Noviembre</c:v>
                </c:pt>
                <c:pt idx="3">
                  <c:v>Octubre</c:v>
                </c:pt>
              </c:strCache>
            </c:strRef>
          </c:cat>
          <c:val>
            <c:numRef>
              <c:f>Nómina!$E$10:$E$13</c:f>
              <c:numCache>
                <c:formatCode>#,##0.00</c:formatCode>
                <c:ptCount val="4"/>
                <c:pt idx="0">
                  <c:v>2905754728.2800002</c:v>
                </c:pt>
                <c:pt idx="1">
                  <c:v>2761164272.5999999</c:v>
                </c:pt>
                <c:pt idx="2">
                  <c:v>2896233306.6500001</c:v>
                </c:pt>
                <c:pt idx="3">
                  <c:v>2865470977.04</c:v>
                </c:pt>
              </c:numCache>
            </c:numRef>
          </c:val>
          <c:extLst>
            <c:ext xmlns:c16="http://schemas.microsoft.com/office/drawing/2014/chart" uri="{C3380CC4-5D6E-409C-BE32-E72D297353CC}">
              <c16:uniqueId val="{00000003-E183-4DF8-8537-624DC2611582}"/>
            </c:ext>
          </c:extLst>
        </c:ser>
        <c:ser>
          <c:idx val="1"/>
          <c:order val="1"/>
          <c:tx>
            <c:v>PS</c:v>
          </c:tx>
          <c:spPr>
            <a:solidFill>
              <a:schemeClr val="accent6">
                <a:lumMod val="60000"/>
                <a:lumOff val="40000"/>
              </a:schemeClr>
            </a:solidFill>
          </c:spPr>
          <c:invertIfNegative val="0"/>
          <c:dLbls>
            <c:dLbl>
              <c:idx val="0"/>
              <c:layout>
                <c:manualLayout>
                  <c:x val="3.7888958688751932E-3"/>
                  <c:y val="1.788181815017594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83-4DF8-8537-624DC2611582}"/>
                </c:ext>
              </c:extLst>
            </c:dLbl>
            <c:dLbl>
              <c:idx val="2"/>
              <c:layout>
                <c:manualLayout>
                  <c:x val="9.1129695062634377E-3"/>
                  <c:y val="1.657657594943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83-4DF8-8537-624DC2611582}"/>
                </c:ext>
              </c:extLst>
            </c:dLbl>
            <c:dLbl>
              <c:idx val="3"/>
              <c:layout>
                <c:manualLayout>
                  <c:x val="6.2974987543972412E-3"/>
                  <c:y val="5.5255253164776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76-4DB0-9268-6EF059DD844D}"/>
                </c:ext>
              </c:extLst>
            </c:dLbl>
            <c:spPr>
              <a:noFill/>
              <a:ln>
                <a:noFill/>
              </a:ln>
              <a:effectLst/>
            </c:spPr>
            <c:txPr>
              <a:bodyPr rot="-5400000" vert="horz" wrap="square" lIns="38100" tIns="19050" rIns="38100" bIns="19050" anchor="ctr">
                <a:spAutoFit/>
              </a:bodyPr>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Nómina!$B$10:$B$13</c:f>
              <c:strCache>
                <c:ptCount val="4"/>
                <c:pt idx="0">
                  <c:v>Diciembre</c:v>
                </c:pt>
                <c:pt idx="1">
                  <c:v>Regalia</c:v>
                </c:pt>
                <c:pt idx="2">
                  <c:v>Noviembre</c:v>
                </c:pt>
                <c:pt idx="3">
                  <c:v>Octubre</c:v>
                </c:pt>
              </c:strCache>
            </c:strRef>
          </c:cat>
          <c:val>
            <c:numRef>
              <c:f>Nómina!$K$10:$K$13</c:f>
              <c:numCache>
                <c:formatCode>#,##0.00</c:formatCode>
                <c:ptCount val="4"/>
                <c:pt idx="0">
                  <c:v>828385207.74000001</c:v>
                </c:pt>
                <c:pt idx="1">
                  <c:v>799475873.97000003</c:v>
                </c:pt>
                <c:pt idx="2">
                  <c:v>829358783.84000003</c:v>
                </c:pt>
                <c:pt idx="3">
                  <c:v>829130532.80999994</c:v>
                </c:pt>
              </c:numCache>
            </c:numRef>
          </c:val>
          <c:extLst>
            <c:ext xmlns:c16="http://schemas.microsoft.com/office/drawing/2014/chart" uri="{C3380CC4-5D6E-409C-BE32-E72D297353CC}">
              <c16:uniqueId val="{00000007-E183-4DF8-8537-624DC2611582}"/>
            </c:ext>
          </c:extLst>
        </c:ser>
        <c:ser>
          <c:idx val="2"/>
          <c:order val="2"/>
          <c:tx>
            <c:v>PN</c:v>
          </c:tx>
          <c:spPr>
            <a:solidFill>
              <a:schemeClr val="tx2">
                <a:lumMod val="60000"/>
                <a:lumOff val="40000"/>
              </a:schemeClr>
            </a:solidFill>
          </c:spPr>
          <c:invertIfNegative val="0"/>
          <c:dLbls>
            <c:dLbl>
              <c:idx val="0"/>
              <c:layout>
                <c:manualLayout>
                  <c:x val="7.2952385384117803E-3"/>
                  <c:y val="-2.53250318102610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83-4DF8-8537-624DC2611582}"/>
                </c:ext>
              </c:extLst>
            </c:dLbl>
            <c:dLbl>
              <c:idx val="2"/>
              <c:layout>
                <c:manualLayout>
                  <c:x val="4.6332017197177064E-3"/>
                  <c:y val="5.52552531647770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83-4DF8-8537-624DC2611582}"/>
                </c:ext>
              </c:extLst>
            </c:dLbl>
            <c:dLbl>
              <c:idx val="3"/>
              <c:layout>
                <c:manualLayout>
                  <c:x val="7.4488820807821271E-3"/>
                  <c:y val="5.52552531647772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76-4DB0-9268-6EF059DD844D}"/>
                </c:ext>
              </c:extLst>
            </c:dLbl>
            <c:spPr>
              <a:noFill/>
              <a:ln>
                <a:noFill/>
              </a:ln>
              <a:effectLst/>
            </c:spPr>
            <c:txPr>
              <a:bodyPr rot="-5400000" vert="horz" wrap="square" lIns="38100" tIns="19050" rIns="38100" bIns="19050" anchor="ctr">
                <a:spAutoFit/>
              </a:bodyPr>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Nómina!$B$10:$B$13</c:f>
              <c:strCache>
                <c:ptCount val="4"/>
                <c:pt idx="0">
                  <c:v>Diciembre</c:v>
                </c:pt>
                <c:pt idx="1">
                  <c:v>Regalia</c:v>
                </c:pt>
                <c:pt idx="2">
                  <c:v>Noviembre</c:v>
                </c:pt>
                <c:pt idx="3">
                  <c:v>Octubre</c:v>
                </c:pt>
              </c:strCache>
            </c:strRef>
          </c:cat>
          <c:val>
            <c:numRef>
              <c:f>Nómina!$H$10:$H$13</c:f>
              <c:numCache>
                <c:formatCode>#,##0.00</c:formatCode>
                <c:ptCount val="4"/>
                <c:pt idx="0">
                  <c:v>354696000</c:v>
                </c:pt>
                <c:pt idx="1">
                  <c:v>324162500</c:v>
                </c:pt>
                <c:pt idx="2">
                  <c:v>346644000</c:v>
                </c:pt>
                <c:pt idx="3">
                  <c:v>344436000</c:v>
                </c:pt>
              </c:numCache>
            </c:numRef>
          </c:val>
          <c:extLst>
            <c:ext xmlns:c16="http://schemas.microsoft.com/office/drawing/2014/chart" uri="{C3380CC4-5D6E-409C-BE32-E72D297353CC}">
              <c16:uniqueId val="{0000000B-E183-4DF8-8537-624DC2611582}"/>
            </c:ext>
          </c:extLst>
        </c:ser>
        <c:dLbls>
          <c:showLegendKey val="0"/>
          <c:showVal val="1"/>
          <c:showCatName val="0"/>
          <c:showSerName val="0"/>
          <c:showPercent val="0"/>
          <c:showBubbleSize val="0"/>
        </c:dLbls>
        <c:gapWidth val="75"/>
        <c:axId val="1665023984"/>
        <c:axId val="1665028336"/>
      </c:barChart>
      <c:catAx>
        <c:axId val="1665023984"/>
        <c:scaling>
          <c:orientation val="minMax"/>
        </c:scaling>
        <c:delete val="0"/>
        <c:axPos val="b"/>
        <c:numFmt formatCode="General" sourceLinked="0"/>
        <c:majorTickMark val="none"/>
        <c:minorTickMark val="none"/>
        <c:tickLblPos val="nextTo"/>
        <c:crossAx val="1665028336"/>
        <c:crosses val="autoZero"/>
        <c:auto val="1"/>
        <c:lblAlgn val="ctr"/>
        <c:lblOffset val="100"/>
        <c:noMultiLvlLbl val="0"/>
      </c:catAx>
      <c:valAx>
        <c:axId val="1665028336"/>
        <c:scaling>
          <c:orientation val="minMax"/>
          <c:max val="4000000000"/>
        </c:scaling>
        <c:delete val="0"/>
        <c:axPos val="l"/>
        <c:numFmt formatCode="#,##0.00" sourceLinked="1"/>
        <c:majorTickMark val="none"/>
        <c:minorTickMark val="none"/>
        <c:tickLblPos val="nextTo"/>
        <c:crossAx val="1665023984"/>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1.8258566099487602E-3"/>
                  <c:y val="0.286366223122861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5A-434D-9DF3-2CAAB91C7ADC}"/>
                </c:ext>
              </c:extLst>
            </c:dLbl>
            <c:dLbl>
              <c:idx val="2"/>
              <c:layout>
                <c:manualLayout>
                  <c:x val="6.6277574064592627E-3"/>
                  <c:y val="0.28636622312286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5A-434D-9DF3-2CAAB91C7ADC}"/>
                </c:ext>
              </c:extLst>
            </c:dLbl>
            <c:dLbl>
              <c:idx val="3"/>
              <c:layout>
                <c:manualLayout>
                  <c:x val="-9.5206190595382761E-4"/>
                  <c:y val="0.258737659028586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98-4806-B734-2DBD2419F106}"/>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Nómina!$B$10:$B$13</c:f>
              <c:strCache>
                <c:ptCount val="4"/>
                <c:pt idx="0">
                  <c:v>Diciembre</c:v>
                </c:pt>
                <c:pt idx="1">
                  <c:v>Regalia</c:v>
                </c:pt>
                <c:pt idx="2">
                  <c:v>Noviembre</c:v>
                </c:pt>
                <c:pt idx="3">
                  <c:v>Octubre</c:v>
                </c:pt>
              </c:strCache>
            </c:strRef>
          </c:cat>
          <c:val>
            <c:numRef>
              <c:f>Nómina!$D$10:$D$13</c:f>
              <c:numCache>
                <c:formatCode>#,##0</c:formatCode>
                <c:ptCount val="4"/>
                <c:pt idx="0">
                  <c:v>174879</c:v>
                </c:pt>
                <c:pt idx="1">
                  <c:v>172366</c:v>
                </c:pt>
                <c:pt idx="2">
                  <c:v>174284</c:v>
                </c:pt>
                <c:pt idx="3">
                  <c:v>173317</c:v>
                </c:pt>
              </c:numCache>
            </c:numRef>
          </c:val>
          <c:extLst>
            <c:ext xmlns:c16="http://schemas.microsoft.com/office/drawing/2014/chart" uri="{C3380CC4-5D6E-409C-BE32-E72D297353CC}">
              <c16:uniqueId val="{00000003-935A-434D-9DF3-2CAAB91C7ADC}"/>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5A-434D-9DF3-2CAAB91C7ADC}"/>
                </c:ext>
              </c:extLst>
            </c:dLbl>
            <c:dLbl>
              <c:idx val="2"/>
              <c:layout>
                <c:manualLayout>
                  <c:x val="1.304057958836161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5A-434D-9DF3-2CAAB91C7ADC}"/>
                </c:ext>
              </c:extLst>
            </c:dLbl>
            <c:dLbl>
              <c:idx val="3"/>
              <c:layout>
                <c:manualLayout>
                  <c:x val="-9.5208122101056675E-4"/>
                  <c:y val="1.724917726857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98-4806-B734-2DBD2419F106}"/>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Nómina!$B$10:$B$13</c:f>
              <c:strCache>
                <c:ptCount val="4"/>
                <c:pt idx="0">
                  <c:v>Diciembre</c:v>
                </c:pt>
                <c:pt idx="1">
                  <c:v>Regalia</c:v>
                </c:pt>
                <c:pt idx="2">
                  <c:v>Noviembre</c:v>
                </c:pt>
                <c:pt idx="3">
                  <c:v>Octubre</c:v>
                </c:pt>
              </c:strCache>
            </c:strRef>
          </c:cat>
          <c:val>
            <c:numRef>
              <c:f>Nómina!$J$10:$J$13</c:f>
              <c:numCache>
                <c:formatCode>#,##0</c:formatCode>
                <c:ptCount val="4"/>
                <c:pt idx="0">
                  <c:v>26466</c:v>
                </c:pt>
                <c:pt idx="1">
                  <c:v>26560</c:v>
                </c:pt>
                <c:pt idx="2">
                  <c:v>26491</c:v>
                </c:pt>
                <c:pt idx="3">
                  <c:v>26532</c:v>
                </c:pt>
              </c:numCache>
            </c:numRef>
          </c:val>
          <c:extLst>
            <c:ext xmlns:c16="http://schemas.microsoft.com/office/drawing/2014/chart" uri="{C3380CC4-5D6E-409C-BE32-E72D297353CC}">
              <c16:uniqueId val="{00000007-935A-434D-9DF3-2CAAB91C7ADC}"/>
            </c:ext>
          </c:extLst>
        </c:ser>
        <c:ser>
          <c:idx val="2"/>
          <c:order val="2"/>
          <c:tx>
            <c:v>PN</c:v>
          </c:tx>
          <c:spPr>
            <a:solidFill>
              <a:schemeClr val="tx2">
                <a:lumMod val="60000"/>
                <a:lumOff val="40000"/>
              </a:schemeClr>
            </a:solidFill>
          </c:spPr>
          <c:invertIfNegative val="0"/>
          <c:dLbls>
            <c:dLbl>
              <c:idx val="0"/>
              <c:layout>
                <c:manualLayout>
                  <c:x val="-4.6143564425193773E-17"/>
                  <c:y val="5.74972575619080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5A-434D-9DF3-2CAAB91C7ADC}"/>
                </c:ext>
              </c:extLst>
            </c:dLbl>
            <c:dLbl>
              <c:idx val="2"/>
              <c:layout>
                <c:manualLayout>
                  <c:x val="0"/>
                  <c:y val="5.7497257561907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5A-434D-9DF3-2CAAB91C7ADC}"/>
                </c:ext>
              </c:extLst>
            </c:dLbl>
            <c:dLbl>
              <c:idx val="3"/>
              <c:layout>
                <c:manualLayout>
                  <c:x val="2.5169507716138687E-3"/>
                  <c:y val="1.7249177268572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98-4806-B734-2DBD2419F106}"/>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Nómina!$B$10:$B$13</c:f>
              <c:strCache>
                <c:ptCount val="4"/>
                <c:pt idx="0">
                  <c:v>Diciembre</c:v>
                </c:pt>
                <c:pt idx="1">
                  <c:v>Regalia</c:v>
                </c:pt>
                <c:pt idx="2">
                  <c:v>Noviembre</c:v>
                </c:pt>
                <c:pt idx="3">
                  <c:v>Octubre</c:v>
                </c:pt>
              </c:strCache>
            </c:strRef>
          </c:cat>
          <c:val>
            <c:numRef>
              <c:f>Nómina!$G$10:$G$13</c:f>
              <c:numCache>
                <c:formatCode>#,##0</c:formatCode>
                <c:ptCount val="4"/>
                <c:pt idx="0">
                  <c:v>59116</c:v>
                </c:pt>
                <c:pt idx="1">
                  <c:v>57017</c:v>
                </c:pt>
                <c:pt idx="2">
                  <c:v>57774</c:v>
                </c:pt>
                <c:pt idx="3">
                  <c:v>57406</c:v>
                </c:pt>
              </c:numCache>
            </c:numRef>
          </c:val>
          <c:extLst>
            <c:ext xmlns:c16="http://schemas.microsoft.com/office/drawing/2014/chart" uri="{C3380CC4-5D6E-409C-BE32-E72D297353CC}">
              <c16:uniqueId val="{0000000B-935A-434D-9DF3-2CAAB91C7ADC}"/>
            </c:ext>
          </c:extLst>
        </c:ser>
        <c:dLbls>
          <c:showLegendKey val="0"/>
          <c:showVal val="1"/>
          <c:showCatName val="0"/>
          <c:showSerName val="0"/>
          <c:showPercent val="0"/>
          <c:showBubbleSize val="0"/>
        </c:dLbls>
        <c:gapWidth val="75"/>
        <c:axId val="1665028880"/>
        <c:axId val="1665018544"/>
      </c:barChart>
      <c:catAx>
        <c:axId val="1665028880"/>
        <c:scaling>
          <c:orientation val="minMax"/>
        </c:scaling>
        <c:delete val="0"/>
        <c:axPos val="b"/>
        <c:numFmt formatCode="General" sourceLinked="0"/>
        <c:majorTickMark val="none"/>
        <c:minorTickMark val="none"/>
        <c:tickLblPos val="nextTo"/>
        <c:crossAx val="1665018544"/>
        <c:crosses val="autoZero"/>
        <c:auto val="1"/>
        <c:lblAlgn val="ctr"/>
        <c:lblOffset val="100"/>
        <c:noMultiLvlLbl val="0"/>
      </c:catAx>
      <c:valAx>
        <c:axId val="1665018544"/>
        <c:scaling>
          <c:orientation val="minMax"/>
          <c:max val="240000"/>
        </c:scaling>
        <c:delete val="0"/>
        <c:axPos val="l"/>
        <c:numFmt formatCode="#,##0" sourceLinked="1"/>
        <c:majorTickMark val="none"/>
        <c:minorTickMark val="none"/>
        <c:tickLblPos val="nextTo"/>
        <c:crossAx val="1665028880"/>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2.3665036994507917E-17"/>
                  <c:y val="0.22250136602998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54-4B02-BE0A-FF69FF46AF7C}"/>
                </c:ext>
              </c:extLst>
            </c:dLbl>
            <c:dLbl>
              <c:idx val="1"/>
              <c:layout>
                <c:manualLayout>
                  <c:x val="-2.5816702227310574E-3"/>
                  <c:y val="0.477557014024595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54-4B02-BE0A-FF69FF46AF7C}"/>
                </c:ext>
              </c:extLst>
            </c:dLbl>
            <c:dLbl>
              <c:idx val="2"/>
              <c:layout>
                <c:manualLayout>
                  <c:x val="0"/>
                  <c:y val="0.23892270438014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54-4B02-BE0A-FF69FF46AF7C}"/>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Cotizantes'!$A$12:$A$14</c:f>
            </c:strRef>
          </c:cat>
          <c:val>
            <c:numRef>
              <c:f>'Afiliados y Cotizantes'!$B$12:$B$14</c:f>
            </c:numRef>
          </c:val>
          <c:extLst>
            <c:ext xmlns:c16="http://schemas.microsoft.com/office/drawing/2014/chart" uri="{C3380CC4-5D6E-409C-BE32-E72D297353CC}">
              <c16:uniqueId val="{00000003-6854-4B02-BE0A-FF69FF46AF7C}"/>
            </c:ext>
          </c:extLst>
        </c:ser>
        <c:ser>
          <c:idx val="1"/>
          <c:order val="1"/>
          <c:tx>
            <c:strRef>
              <c:f>'Afiliados y Cotizantes'!$C$7</c:f>
              <c:strCache>
                <c:ptCount val="1"/>
                <c:pt idx="0">
                  <c:v>Cotizantes</c:v>
                </c:pt>
              </c:strCache>
            </c:strRef>
          </c:tx>
          <c:spPr>
            <a:solidFill>
              <a:schemeClr val="accent3">
                <a:lumMod val="60000"/>
                <a:lumOff val="40000"/>
              </a:schemeClr>
            </a:solidFill>
          </c:spPr>
          <c:invertIfNegative val="0"/>
          <c:dLbls>
            <c:dLbl>
              <c:idx val="0"/>
              <c:layout>
                <c:manualLayout>
                  <c:x val="-7.75772127423728E-3"/>
                  <c:y val="0.222149164215909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54-4B02-BE0A-FF69FF46AF7C}"/>
                </c:ext>
              </c:extLst>
            </c:dLbl>
            <c:dLbl>
              <c:idx val="1"/>
              <c:layout>
                <c:manualLayout>
                  <c:x val="0"/>
                  <c:y val="0.211532829233089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54-4B02-BE0A-FF69FF46AF7C}"/>
                </c:ext>
              </c:extLst>
            </c:dLbl>
            <c:dLbl>
              <c:idx val="2"/>
              <c:layout>
                <c:manualLayout>
                  <c:x val="2.5859070914124264E-3"/>
                  <c:y val="0.234607996203774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54-4B02-BE0A-FF69FF46AF7C}"/>
                </c:ext>
              </c:extLst>
            </c:dLbl>
            <c:spPr>
              <a:noFill/>
              <a:ln>
                <a:noFill/>
              </a:ln>
              <a:effectLst/>
            </c:spPr>
            <c:txPr>
              <a:bodyPr rot="-5400000" vert="horz"/>
              <a:lstStyle/>
              <a:p>
                <a:pPr>
                  <a:defRPr sz="1050" baseline="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Cotizantes'!$A$12:$A$14</c:f>
            </c:strRef>
          </c:cat>
          <c:val>
            <c:numRef>
              <c:f>'Afiliados y Cotizantes'!$C$12:$C$14</c:f>
            </c:numRef>
          </c:val>
          <c:extLst>
            <c:ext xmlns:c16="http://schemas.microsoft.com/office/drawing/2014/chart" uri="{C3380CC4-5D6E-409C-BE32-E72D297353CC}">
              <c16:uniqueId val="{00000007-6854-4B02-BE0A-FF69FF46AF7C}"/>
            </c:ext>
          </c:extLst>
        </c:ser>
        <c:dLbls>
          <c:showLegendKey val="0"/>
          <c:showVal val="1"/>
          <c:showCatName val="0"/>
          <c:showSerName val="0"/>
          <c:showPercent val="0"/>
          <c:showBubbleSize val="0"/>
        </c:dLbls>
        <c:gapWidth val="75"/>
        <c:axId val="1578271600"/>
        <c:axId val="1578260720"/>
      </c:barChart>
      <c:lineChart>
        <c:grouping val="standard"/>
        <c:varyColors val="0"/>
        <c:ser>
          <c:idx val="2"/>
          <c:order val="2"/>
          <c:tx>
            <c:strRef>
              <c:f>'Afiliados y Cotizantes'!$D$7</c:f>
              <c:strCache>
                <c:ptCount val="1"/>
                <c:pt idx="0">
                  <c:v>%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7.7272093495421197E-3"/>
                  <c:y val="-8.1490126180545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54-4B02-BE0A-FF69FF46AF7C}"/>
                </c:ext>
              </c:extLst>
            </c:dLbl>
            <c:dLbl>
              <c:idx val="1"/>
              <c:layout>
                <c:manualLayout>
                  <c:x val="-2.3235032004579517E-2"/>
                  <c:y val="-0.113737411883746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54-4B02-BE0A-FF69FF46AF7C}"/>
                </c:ext>
              </c:extLst>
            </c:dLbl>
            <c:dLbl>
              <c:idx val="2"/>
              <c:layout>
                <c:manualLayout>
                  <c:x val="-7.7512056028258463E-3"/>
                  <c:y val="-3.9872926910547848E-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7.8047766387117218E-2"/>
                      <c:h val="0.17205190387619568"/>
                    </c:manualLayout>
                  </c15:layout>
                </c:ext>
                <c:ext xmlns:c16="http://schemas.microsoft.com/office/drawing/2014/chart" uri="{C3380CC4-5D6E-409C-BE32-E72D297353CC}">
                  <c16:uniqueId val="{0000000A-6854-4B02-BE0A-FF69FF46AF7C}"/>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Cotizantes'!$A$12:$A$14</c:f>
            </c:strRef>
          </c:cat>
          <c:val>
            <c:numRef>
              <c:f>'Afiliados y Cotizantes'!$D$12:$D$14</c:f>
            </c:numRef>
          </c:val>
          <c:smooth val="0"/>
          <c:extLst>
            <c:ext xmlns:c16="http://schemas.microsoft.com/office/drawing/2014/chart" uri="{C3380CC4-5D6E-409C-BE32-E72D297353CC}">
              <c16:uniqueId val="{0000000B-6854-4B02-BE0A-FF69FF46AF7C}"/>
            </c:ext>
          </c:extLst>
        </c:ser>
        <c:dLbls>
          <c:showLegendKey val="0"/>
          <c:showVal val="1"/>
          <c:showCatName val="0"/>
          <c:showSerName val="0"/>
          <c:showPercent val="0"/>
          <c:showBubbleSize val="0"/>
        </c:dLbls>
        <c:marker val="1"/>
        <c:smooth val="0"/>
        <c:axId val="1578262352"/>
        <c:axId val="1578258544"/>
      </c:lineChart>
      <c:catAx>
        <c:axId val="1578271600"/>
        <c:scaling>
          <c:orientation val="minMax"/>
        </c:scaling>
        <c:delete val="0"/>
        <c:axPos val="b"/>
        <c:numFmt formatCode="General" sourceLinked="0"/>
        <c:majorTickMark val="none"/>
        <c:minorTickMark val="none"/>
        <c:tickLblPos val="nextTo"/>
        <c:crossAx val="1578260720"/>
        <c:crosses val="autoZero"/>
        <c:auto val="1"/>
        <c:lblAlgn val="ctr"/>
        <c:lblOffset val="100"/>
        <c:noMultiLvlLbl val="0"/>
      </c:catAx>
      <c:valAx>
        <c:axId val="1578260720"/>
        <c:scaling>
          <c:orientation val="minMax"/>
        </c:scaling>
        <c:delete val="0"/>
        <c:axPos val="l"/>
        <c:numFmt formatCode="#,##0" sourceLinked="1"/>
        <c:majorTickMark val="none"/>
        <c:minorTickMark val="none"/>
        <c:tickLblPos val="nextTo"/>
        <c:crossAx val="1578271600"/>
        <c:crosses val="autoZero"/>
        <c:crossBetween val="between"/>
      </c:valAx>
      <c:valAx>
        <c:axId val="1578258544"/>
        <c:scaling>
          <c:orientation val="minMax"/>
        </c:scaling>
        <c:delete val="0"/>
        <c:axPos val="r"/>
        <c:numFmt formatCode="0%" sourceLinked="1"/>
        <c:majorTickMark val="out"/>
        <c:minorTickMark val="none"/>
        <c:tickLblPos val="nextTo"/>
        <c:crossAx val="1578262352"/>
        <c:crosses val="max"/>
        <c:crossBetween val="between"/>
      </c:valAx>
      <c:catAx>
        <c:axId val="1578262352"/>
        <c:scaling>
          <c:orientation val="minMax"/>
        </c:scaling>
        <c:delete val="1"/>
        <c:axPos val="b"/>
        <c:numFmt formatCode="General" sourceLinked="1"/>
        <c:majorTickMark val="out"/>
        <c:minorTickMark val="none"/>
        <c:tickLblPos val="nextTo"/>
        <c:crossAx val="1578258544"/>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424-447D-B3DB-38CCAC85921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1"/>
              <c:showCatName val="0"/>
              <c:showSerName val="0"/>
              <c:showPercent val="0"/>
              <c:showBubbleSize val="0"/>
              <c:extLst>
                <c:ext xmlns:c16="http://schemas.microsoft.com/office/drawing/2014/chart" uri="{C3380CC4-5D6E-409C-BE32-E72D297353CC}">
                  <c16:uniqueId val="{00000001-9424-447D-B3DB-38CCAC85921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(Nómina!#REF!,Nómina!#REF!,Nómina!#REF!)</c:f>
              <c:numCache>
                <c:formatCode>General</c:formatCode>
                <c:ptCount val="1"/>
                <c:pt idx="0">
                  <c:v>1</c:v>
                </c:pt>
              </c:numCache>
            </c:numRef>
          </c:val>
          <c:extLst>
            <c:ext xmlns:c16="http://schemas.microsoft.com/office/drawing/2014/chart" uri="{C3380CC4-5D6E-409C-BE32-E72D297353CC}">
              <c16:uniqueId val="{00000006-9424-447D-B3DB-38CCAC85921B}"/>
            </c:ext>
          </c:extLst>
        </c:ser>
        <c:dLbls>
          <c:dLblPos val="outEnd"/>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DO"/>
              <a:t>Nóminas Autoseguro</a:t>
            </a:r>
          </a:p>
          <a:p>
            <a:pPr>
              <a:defRPr/>
            </a:pPr>
            <a:endParaRPr lang="es-DO"/>
          </a:p>
        </c:rich>
      </c:tx>
      <c:layout>
        <c:manualLayout>
          <c:xMode val="edge"/>
          <c:yMode val="edge"/>
          <c:x val="0.35253770252053629"/>
          <c:y val="5.6255603585513556E-4"/>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D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823287249937635E-2"/>
          <c:y val="0.34937666470179163"/>
          <c:w val="0.93897689989547006"/>
          <c:h val="0.64884186351706041"/>
        </c:manualLayout>
      </c:layout>
      <c:pie3DChart>
        <c:varyColors val="1"/>
        <c:ser>
          <c:idx val="0"/>
          <c:order val="0"/>
          <c:explosion val="16"/>
          <c:dPt>
            <c:idx val="0"/>
            <c:bubble3D val="0"/>
            <c:explosion val="36"/>
            <c:spPr>
              <a:solidFill>
                <a:schemeClr val="accent6">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D226-4742-8E7F-C6FD6D3E0DFF}"/>
              </c:ext>
            </c:extLst>
          </c:dPt>
          <c:dPt>
            <c:idx val="1"/>
            <c:bubble3D val="0"/>
            <c:explosion val="42"/>
            <c:spPr>
              <a:solidFill>
                <a:schemeClr val="accent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226-4742-8E7F-C6FD6D3E0DFF}"/>
              </c:ext>
            </c:extLst>
          </c:dPt>
          <c:dPt>
            <c:idx val="2"/>
            <c:bubble3D val="0"/>
            <c:spPr>
              <a:solidFill>
                <a:schemeClr val="accent3">
                  <a:shade val="86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226-4742-8E7F-C6FD6D3E0DFF}"/>
              </c:ext>
            </c:extLst>
          </c:dPt>
          <c:dPt>
            <c:idx val="3"/>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D226-4742-8E7F-C6FD6D3E0DF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DECF9C51-46E0-4294-B195-1D220E9FC5C4}" type="PERCENTAGE">
                      <a:rPr lang="en-US"/>
                      <a:pPr>
                        <a:defRPr>
                          <a:solidFill>
                            <a:schemeClr val="tx1"/>
                          </a:solidFill>
                        </a:defRPr>
                      </a:pPr>
                      <a:t>[]</a:t>
                    </a:fld>
                    <a:r>
                      <a:rPr lang="en-US"/>
                      <a:t> Discapacidad Civil</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D226-4742-8E7F-C6FD6D3E0DFF}"/>
                </c:ext>
              </c:extLst>
            </c:dLbl>
            <c:dLbl>
              <c:idx val="1"/>
              <c:layout>
                <c:manualLayout>
                  <c:x val="8.8364331007216891E-3"/>
                  <c:y val="4.820982128960892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ADB0CDDD-8AED-465F-8CB0-AD4C2AA7E6E9}" type="VALUE">
                      <a:rPr lang="en-US"/>
                      <a:pPr>
                        <a:defRPr>
                          <a:solidFill>
                            <a:schemeClr val="tx1"/>
                          </a:solidFill>
                        </a:defRPr>
                      </a:pPr>
                      <a:t>[]</a:t>
                    </a:fld>
                    <a:r>
                      <a:rPr lang="en-US"/>
                      <a:t> Discapacidad PN</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226-4742-8E7F-C6FD6D3E0DF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1231C39E-1E62-4572-8675-95EF26C6BE38}" type="PERCENTAGE">
                      <a:rPr lang="en-US"/>
                      <a:pPr>
                        <a:defRPr>
                          <a:solidFill>
                            <a:schemeClr val="tx1"/>
                          </a:solidFill>
                        </a:defRPr>
                      </a:pPr>
                      <a:t>[]</a:t>
                    </a:fld>
                    <a:r>
                      <a:rPr lang="en-US"/>
                      <a:t> Sobrevivencia Civil</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226-4742-8E7F-C6FD6D3E0DFF}"/>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6F7D688D-08E1-4C3E-B88A-5A6FCB65F87E}" type="PERCENTAGE">
                      <a:rPr lang="en-US"/>
                      <a:pPr>
                        <a:defRPr>
                          <a:solidFill>
                            <a:schemeClr val="tx1"/>
                          </a:solidFill>
                        </a:defRPr>
                      </a:pPr>
                      <a:t>[]</a:t>
                    </a:fld>
                    <a:r>
                      <a:rPr lang="en-US"/>
                      <a:t> Sobrevivencia PN</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D226-4742-8E7F-C6FD6D3E0DF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(Autoseguro!$C$19,Autoseguro!$H$19,Autoseguro!$M$19,Autoseguro!$O$19)</c:f>
              <c:numCache>
                <c:formatCode>0.0%</c:formatCode>
                <c:ptCount val="4"/>
                <c:pt idx="0" formatCode="0%">
                  <c:v>9.8644682947894011E-2</c:v>
                </c:pt>
                <c:pt idx="1">
                  <c:v>9.18610445504329E-4</c:v>
                </c:pt>
                <c:pt idx="2" formatCode="0%">
                  <c:v>0.45217697049376482</c:v>
                </c:pt>
                <c:pt idx="3" formatCode="0%">
                  <c:v>0.44825973611283682</c:v>
                </c:pt>
              </c:numCache>
            </c:numRef>
          </c:val>
          <c:extLst>
            <c:ext xmlns:c16="http://schemas.microsoft.com/office/drawing/2014/chart" uri="{C3380CC4-5D6E-409C-BE32-E72D297353CC}">
              <c16:uniqueId val="{00000000-D226-4742-8E7F-C6FD6D3E0DF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9940515670490325E-2"/>
          <c:y val="4.8999027385089912E-2"/>
          <c:w val="0.55326605273997942"/>
          <c:h val="0.83940945825033841"/>
        </c:manualLayout>
      </c:layout>
      <c:barChart>
        <c:barDir val="bar"/>
        <c:grouping val="clustered"/>
        <c:varyColors val="0"/>
        <c:ser>
          <c:idx val="0"/>
          <c:order val="0"/>
          <c:tx>
            <c:v>Inclusiones</c:v>
          </c:tx>
          <c:spPr>
            <a:solidFill>
              <a:schemeClr val="bg1">
                <a:lumMod val="75000"/>
              </a:schemeClr>
            </a:solidFill>
            <a:ln>
              <a:solidFill>
                <a:schemeClr val="bg1">
                  <a:lumMod val="75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Movimientos!$D$10:$D$12</c:f>
              <c:numCache>
                <c:formatCode>#,##0</c:formatCode>
                <c:ptCount val="3"/>
                <c:pt idx="0">
                  <c:v>2720</c:v>
                </c:pt>
                <c:pt idx="1">
                  <c:v>2368</c:v>
                </c:pt>
                <c:pt idx="2" formatCode="General">
                  <c:v>961</c:v>
                </c:pt>
              </c:numCache>
            </c:numRef>
          </c:val>
          <c:extLst>
            <c:ext xmlns:c16="http://schemas.microsoft.com/office/drawing/2014/chart" uri="{C3380CC4-5D6E-409C-BE32-E72D297353CC}">
              <c16:uniqueId val="{00000000-E282-4033-860E-FF0E9A955014}"/>
            </c:ext>
          </c:extLst>
        </c:ser>
        <c:ser>
          <c:idx val="1"/>
          <c:order val="1"/>
          <c:tx>
            <c:strRef>
              <c:f>Movimientos!$J$8</c:f>
              <c:strCache>
                <c:ptCount val="1"/>
                <c:pt idx="0">
                  <c:v>Ajustes Monto Pensiones</c:v>
                </c:pt>
              </c:strCache>
            </c:strRef>
          </c:tx>
          <c:spPr>
            <a:solidFill>
              <a:schemeClr val="accent3">
                <a:lumMod val="20000"/>
                <a:lumOff val="80000"/>
              </a:schemeClr>
            </a:solidFill>
            <a:ln>
              <a:solidFill>
                <a:schemeClr val="accent3">
                  <a:lumMod val="60000"/>
                  <a:lumOff val="40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Movimientos!$J$10:$J$12</c:f>
              <c:numCache>
                <c:formatCode>General</c:formatCode>
                <c:ptCount val="3"/>
                <c:pt idx="0">
                  <c:v>47</c:v>
                </c:pt>
                <c:pt idx="1">
                  <c:v>25</c:v>
                </c:pt>
                <c:pt idx="2">
                  <c:v>317</c:v>
                </c:pt>
              </c:numCache>
            </c:numRef>
          </c:val>
          <c:extLst>
            <c:ext xmlns:c16="http://schemas.microsoft.com/office/drawing/2014/chart" uri="{C3380CC4-5D6E-409C-BE32-E72D297353CC}">
              <c16:uniqueId val="{00000001-E282-4033-860E-FF0E9A955014}"/>
            </c:ext>
          </c:extLst>
        </c:ser>
        <c:ser>
          <c:idx val="2"/>
          <c:order val="2"/>
          <c:tx>
            <c:v>Exclusiones</c:v>
          </c:tx>
          <c:spPr>
            <a:solidFill>
              <a:schemeClr val="accent1">
                <a:lumMod val="60000"/>
                <a:lumOff val="40000"/>
              </a:schemeClr>
            </a:solidFill>
            <a:ln>
              <a:solidFill>
                <a:schemeClr val="accent1">
                  <a:lumMod val="60000"/>
                  <a:lumOff val="40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Movimientos!$L$10:$L$12</c:f>
              <c:numCache>
                <c:formatCode>General</c:formatCode>
                <c:ptCount val="3"/>
                <c:pt idx="0">
                  <c:v>788</c:v>
                </c:pt>
                <c:pt idx="1">
                  <c:v>822</c:v>
                </c:pt>
                <c:pt idx="2">
                  <c:v>162</c:v>
                </c:pt>
              </c:numCache>
            </c:numRef>
          </c:val>
          <c:extLst>
            <c:ext xmlns:c16="http://schemas.microsoft.com/office/drawing/2014/chart" uri="{C3380CC4-5D6E-409C-BE32-E72D297353CC}">
              <c16:uniqueId val="{00000002-E282-4033-860E-FF0E9A955014}"/>
            </c:ext>
          </c:extLst>
        </c:ser>
        <c:ser>
          <c:idx val="3"/>
          <c:order val="3"/>
          <c:tx>
            <c:v>Suspensiones</c:v>
          </c:tx>
          <c:spPr>
            <a:solidFill>
              <a:schemeClr val="accent6">
                <a:lumMod val="60000"/>
                <a:lumOff val="40000"/>
              </a:schemeClr>
            </a:solidFill>
            <a:ln>
              <a:solidFill>
                <a:schemeClr val="accent6">
                  <a:lumMod val="60000"/>
                  <a:lumOff val="40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Movimientos!$N$10:$N$12</c:f>
              <c:numCache>
                <c:formatCode>General</c:formatCode>
                <c:ptCount val="3"/>
                <c:pt idx="0">
                  <c:v>218</c:v>
                </c:pt>
                <c:pt idx="1">
                  <c:v>183</c:v>
                </c:pt>
                <c:pt idx="2">
                  <c:v>268</c:v>
                </c:pt>
              </c:numCache>
            </c:numRef>
          </c:val>
          <c:extLst>
            <c:ext xmlns:c16="http://schemas.microsoft.com/office/drawing/2014/chart" uri="{C3380CC4-5D6E-409C-BE32-E72D297353CC}">
              <c16:uniqueId val="{00000003-E282-4033-860E-FF0E9A955014}"/>
            </c:ext>
          </c:extLst>
        </c:ser>
        <c:ser>
          <c:idx val="4"/>
          <c:order val="4"/>
          <c:tx>
            <c:v>Sobrevivencia</c:v>
          </c:tx>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Movimientos!$F$10:$F$12</c:f>
              <c:numCache>
                <c:formatCode>General</c:formatCode>
                <c:ptCount val="3"/>
                <c:pt idx="0">
                  <c:v>125</c:v>
                </c:pt>
                <c:pt idx="1">
                  <c:v>135</c:v>
                </c:pt>
                <c:pt idx="2">
                  <c:v>153</c:v>
                </c:pt>
              </c:numCache>
            </c:numRef>
          </c:val>
          <c:extLst>
            <c:ext xmlns:c16="http://schemas.microsoft.com/office/drawing/2014/chart" uri="{C3380CC4-5D6E-409C-BE32-E72D297353CC}">
              <c16:uniqueId val="{00000000-116A-4A3F-8F7B-3DBD08485257}"/>
            </c:ext>
          </c:extLst>
        </c:ser>
        <c:ser>
          <c:idx val="5"/>
          <c:order val="5"/>
          <c:tx>
            <c:v>Reinclusión</c:v>
          </c:tx>
          <c:spPr>
            <a:solidFill>
              <a:srgbClr val="FFC000"/>
            </a:solidFill>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Movimientos!$H$10:$H$12</c:f>
              <c:numCache>
                <c:formatCode>General</c:formatCode>
                <c:ptCount val="3"/>
                <c:pt idx="0">
                  <c:v>72</c:v>
                </c:pt>
                <c:pt idx="1">
                  <c:v>108</c:v>
                </c:pt>
                <c:pt idx="2">
                  <c:v>140</c:v>
                </c:pt>
              </c:numCache>
            </c:numRef>
          </c:val>
          <c:extLst>
            <c:ext xmlns:c16="http://schemas.microsoft.com/office/drawing/2014/chart" uri="{C3380CC4-5D6E-409C-BE32-E72D297353CC}">
              <c16:uniqueId val="{00000001-116A-4A3F-8F7B-3DBD08485257}"/>
            </c:ext>
          </c:extLst>
        </c:ser>
        <c:dLbls>
          <c:dLblPos val="inEnd"/>
          <c:showLegendKey val="0"/>
          <c:showVal val="1"/>
          <c:showCatName val="0"/>
          <c:showSerName val="0"/>
          <c:showPercent val="0"/>
          <c:showBubbleSize val="0"/>
        </c:dLbls>
        <c:gapWidth val="150"/>
        <c:axId val="1665022896"/>
        <c:axId val="1665031056"/>
      </c:barChart>
      <c:catAx>
        <c:axId val="1665022896"/>
        <c:scaling>
          <c:orientation val="minMax"/>
        </c:scaling>
        <c:delete val="0"/>
        <c:axPos val="l"/>
        <c:numFmt formatCode="General" sourceLinked="0"/>
        <c:majorTickMark val="none"/>
        <c:minorTickMark val="none"/>
        <c:tickLblPos val="nextTo"/>
        <c:txPr>
          <a:bodyPr/>
          <a:lstStyle/>
          <a:p>
            <a:pPr>
              <a:defRPr b="1"/>
            </a:pPr>
            <a:endParaRPr lang="es-DO"/>
          </a:p>
        </c:txPr>
        <c:crossAx val="1665031056"/>
        <c:crosses val="autoZero"/>
        <c:auto val="1"/>
        <c:lblAlgn val="ctr"/>
        <c:lblOffset val="100"/>
        <c:noMultiLvlLbl val="0"/>
      </c:catAx>
      <c:valAx>
        <c:axId val="1665031056"/>
        <c:scaling>
          <c:logBase val="10"/>
          <c:orientation val="minMax"/>
        </c:scaling>
        <c:delete val="0"/>
        <c:axPos val="b"/>
        <c:numFmt formatCode="#,##0" sourceLinked="1"/>
        <c:majorTickMark val="none"/>
        <c:minorTickMark val="none"/>
        <c:tickLblPos val="nextTo"/>
        <c:txPr>
          <a:bodyPr/>
          <a:lstStyle/>
          <a:p>
            <a:pPr>
              <a:defRPr b="1"/>
            </a:pPr>
            <a:endParaRPr lang="es-DO"/>
          </a:p>
        </c:txPr>
        <c:crossAx val="1665022896"/>
        <c:crosses val="autoZero"/>
        <c:crossBetween val="between"/>
      </c:valAx>
    </c:plotArea>
    <c:legend>
      <c:legendPos val="r"/>
      <c:layout>
        <c:manualLayout>
          <c:xMode val="edge"/>
          <c:yMode val="edge"/>
          <c:x val="0.57978180499944976"/>
          <c:y val="0.22769345571442065"/>
          <c:w val="0.24086942177129919"/>
          <c:h val="0.49865286954167892"/>
        </c:manualLayout>
      </c:layout>
      <c:overlay val="0"/>
      <c:txPr>
        <a:bodyPr/>
        <a:lstStyle/>
        <a:p>
          <a:pPr>
            <a:defRPr b="1"/>
          </a:pPr>
          <a:endParaRPr lang="es-DO"/>
        </a:p>
      </c:txPr>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0780601385279349"/>
          <c:y val="2.1036635775980847E-2"/>
          <c:w val="0.73694651444513781"/>
          <c:h val="0.83128904392609693"/>
        </c:manualLayout>
      </c:layout>
      <c:barChart>
        <c:barDir val="bar"/>
        <c:grouping val="clustered"/>
        <c:varyColors val="0"/>
        <c:ser>
          <c:idx val="0"/>
          <c:order val="0"/>
          <c:tx>
            <c:v>Inclusiones</c:v>
          </c:tx>
          <c:spPr>
            <a:solidFill>
              <a:schemeClr val="bg1">
                <a:lumMod val="75000"/>
              </a:schemeClr>
            </a:solidFill>
            <a:ln>
              <a:solidFill>
                <a:schemeClr val="bg1">
                  <a:lumMod val="75000"/>
                </a:schemeClr>
              </a:solidFill>
            </a:ln>
          </c:spPr>
          <c:invertIfNegative val="0"/>
          <c:dLbls>
            <c:dLbl>
              <c:idx val="0"/>
              <c:layout>
                <c:manualLayout>
                  <c:x val="-0.39366242102242716"/>
                  <c:y val="8.128420649541147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2C-4E6B-BB9F-CA473917CEC3}"/>
                </c:ext>
              </c:extLst>
            </c:dLbl>
            <c:dLbl>
              <c:idx val="1"/>
              <c:layout>
                <c:manualLayout>
                  <c:x val="-0.60250400586729225"/>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75-4BF1-96D1-0E5D4CD269C9}"/>
                </c:ext>
              </c:extLst>
            </c:dLbl>
            <c:dLbl>
              <c:idx val="2"/>
              <c:layout>
                <c:manualLayout>
                  <c:x val="-0.6251176930636125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75-4BF1-96D1-0E5D4CD269C9}"/>
                </c:ext>
              </c:extLst>
            </c:dLbl>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Movimientos!$E$10:$E$12</c:f>
              <c:numCache>
                <c:formatCode>#,##0.00</c:formatCode>
                <c:ptCount val="3"/>
                <c:pt idx="0">
                  <c:v>25021262.420000002</c:v>
                </c:pt>
                <c:pt idx="1">
                  <c:v>44876886.109999999</c:v>
                </c:pt>
                <c:pt idx="2">
                  <c:v>16371208.57</c:v>
                </c:pt>
              </c:numCache>
            </c:numRef>
          </c:val>
          <c:extLst>
            <c:ext xmlns:c16="http://schemas.microsoft.com/office/drawing/2014/chart" uri="{C3380CC4-5D6E-409C-BE32-E72D297353CC}">
              <c16:uniqueId val="{00000003-8AFF-4828-BAD6-C3A255569C39}"/>
            </c:ext>
          </c:extLst>
        </c:ser>
        <c:ser>
          <c:idx val="1"/>
          <c:order val="1"/>
          <c:tx>
            <c:strRef>
              <c:f>Movimientos!$J$8</c:f>
              <c:strCache>
                <c:ptCount val="1"/>
                <c:pt idx="0">
                  <c:v>Ajustes Monto Pensiones</c:v>
                </c:pt>
              </c:strCache>
            </c:strRef>
          </c:tx>
          <c:spPr>
            <a:solidFill>
              <a:schemeClr val="accent3">
                <a:lumMod val="20000"/>
                <a:lumOff val="80000"/>
              </a:schemeClr>
            </a:solidFill>
            <a:ln>
              <a:solidFill>
                <a:schemeClr val="accent3">
                  <a:lumMod val="60000"/>
                  <a:lumOff val="40000"/>
                </a:schemeClr>
              </a:solidFill>
            </a:ln>
          </c:spPr>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Movimientos!$K$10:$K$12</c:f>
              <c:numCache>
                <c:formatCode>#,##0.00</c:formatCode>
                <c:ptCount val="3"/>
                <c:pt idx="0">
                  <c:v>989866.96</c:v>
                </c:pt>
                <c:pt idx="1">
                  <c:v>379879.76</c:v>
                </c:pt>
                <c:pt idx="2">
                  <c:v>5066378.67</c:v>
                </c:pt>
              </c:numCache>
            </c:numRef>
          </c:val>
          <c:extLst>
            <c:ext xmlns:c16="http://schemas.microsoft.com/office/drawing/2014/chart" uri="{C3380CC4-5D6E-409C-BE32-E72D297353CC}">
              <c16:uniqueId val="{00000007-8AFF-4828-BAD6-C3A255569C39}"/>
            </c:ext>
          </c:extLst>
        </c:ser>
        <c:ser>
          <c:idx val="2"/>
          <c:order val="2"/>
          <c:tx>
            <c:v>Exclusiones</c:v>
          </c:tx>
          <c:spPr>
            <a:solidFill>
              <a:schemeClr val="accent1">
                <a:lumMod val="60000"/>
                <a:lumOff val="40000"/>
              </a:schemeClr>
            </a:solidFill>
            <a:ln>
              <a:solidFill>
                <a:schemeClr val="accent1">
                  <a:lumMod val="60000"/>
                  <a:lumOff val="40000"/>
                </a:schemeClr>
              </a:solidFill>
            </a:ln>
          </c:spPr>
          <c:invertIfNegative val="0"/>
          <c:dLbls>
            <c:dLbl>
              <c:idx val="0"/>
              <c:layout>
                <c:manualLayout>
                  <c:x val="-0.2147734894882381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2C-4E6B-BB9F-CA473917CEC3}"/>
                </c:ext>
              </c:extLst>
            </c:dLbl>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Movimientos!$M$10:$M$12</c:f>
              <c:numCache>
                <c:formatCode>#,##0.00</c:formatCode>
                <c:ptCount val="3"/>
                <c:pt idx="0">
                  <c:v>9617088.8900000006</c:v>
                </c:pt>
                <c:pt idx="1">
                  <c:v>8938650.9600000009</c:v>
                </c:pt>
                <c:pt idx="2">
                  <c:v>2484553.67</c:v>
                </c:pt>
              </c:numCache>
            </c:numRef>
          </c:val>
          <c:extLst>
            <c:ext xmlns:c16="http://schemas.microsoft.com/office/drawing/2014/chart" uri="{C3380CC4-5D6E-409C-BE32-E72D297353CC}">
              <c16:uniqueId val="{0000000B-8AFF-4828-BAD6-C3A255569C39}"/>
            </c:ext>
          </c:extLst>
        </c:ser>
        <c:ser>
          <c:idx val="3"/>
          <c:order val="3"/>
          <c:tx>
            <c:v>Suspensiones</c:v>
          </c:tx>
          <c:spPr>
            <a:solidFill>
              <a:schemeClr val="accent6">
                <a:lumMod val="60000"/>
                <a:lumOff val="40000"/>
              </a:schemeClr>
            </a:solidFill>
            <a:ln>
              <a:solidFill>
                <a:schemeClr val="accent6">
                  <a:lumMod val="60000"/>
                  <a:lumOff val="40000"/>
                </a:schemeClr>
              </a:solidFill>
            </a:ln>
          </c:spPr>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Movimientos!$O$10:$O$12</c:f>
              <c:numCache>
                <c:formatCode>#,##0.00</c:formatCode>
                <c:ptCount val="3"/>
                <c:pt idx="0">
                  <c:v>2834589.26</c:v>
                </c:pt>
                <c:pt idx="1">
                  <c:v>2585834.4300000002</c:v>
                </c:pt>
                <c:pt idx="2">
                  <c:v>3693823.74</c:v>
                </c:pt>
              </c:numCache>
            </c:numRef>
          </c:val>
          <c:extLst>
            <c:ext xmlns:c16="http://schemas.microsoft.com/office/drawing/2014/chart" uri="{C3380CC4-5D6E-409C-BE32-E72D297353CC}">
              <c16:uniqueId val="{0000000F-8AFF-4828-BAD6-C3A255569C39}"/>
            </c:ext>
          </c:extLst>
        </c:ser>
        <c:ser>
          <c:idx val="4"/>
          <c:order val="4"/>
          <c:tx>
            <c:v>Sobrevivencia</c:v>
          </c:tx>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Movimientos!$G$10:$G$12</c:f>
              <c:numCache>
                <c:formatCode>#,##0.00</c:formatCode>
                <c:ptCount val="3"/>
                <c:pt idx="0">
                  <c:v>2010335.11</c:v>
                </c:pt>
                <c:pt idx="1">
                  <c:v>2179239.9900000002</c:v>
                </c:pt>
                <c:pt idx="2">
                  <c:v>2382947.7599999998</c:v>
                </c:pt>
              </c:numCache>
            </c:numRef>
          </c:val>
          <c:extLst>
            <c:ext xmlns:c16="http://schemas.microsoft.com/office/drawing/2014/chart" uri="{C3380CC4-5D6E-409C-BE32-E72D297353CC}">
              <c16:uniqueId val="{00000000-4DF2-4EF9-8A5D-162C790AA846}"/>
            </c:ext>
          </c:extLst>
        </c:ser>
        <c:ser>
          <c:idx val="5"/>
          <c:order val="5"/>
          <c:tx>
            <c:v>Reinclusión</c:v>
          </c:tx>
          <c:spPr>
            <a:solidFill>
              <a:srgbClr val="FFC000"/>
            </a:solidFill>
          </c:spPr>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Diciembre</c:v>
                </c:pt>
                <c:pt idx="1">
                  <c:v>Noviembre</c:v>
                </c:pt>
                <c:pt idx="2">
                  <c:v>Octubre</c:v>
                </c:pt>
              </c:strCache>
            </c:strRef>
          </c:cat>
          <c:val>
            <c:numRef>
              <c:f>Movimientos!$I$10:$I$12</c:f>
              <c:numCache>
                <c:formatCode>#,##0.00</c:formatCode>
                <c:ptCount val="3"/>
                <c:pt idx="0">
                  <c:v>1030059.19</c:v>
                </c:pt>
                <c:pt idx="1">
                  <c:v>1413562.88</c:v>
                </c:pt>
                <c:pt idx="2">
                  <c:v>1760065.36</c:v>
                </c:pt>
              </c:numCache>
            </c:numRef>
          </c:val>
          <c:extLst>
            <c:ext xmlns:c16="http://schemas.microsoft.com/office/drawing/2014/chart" uri="{C3380CC4-5D6E-409C-BE32-E72D297353CC}">
              <c16:uniqueId val="{00000001-4DF2-4EF9-8A5D-162C790AA846}"/>
            </c:ext>
          </c:extLst>
        </c:ser>
        <c:dLbls>
          <c:dLblPos val="inEnd"/>
          <c:showLegendKey val="0"/>
          <c:showVal val="1"/>
          <c:showCatName val="0"/>
          <c:showSerName val="0"/>
          <c:showPercent val="0"/>
          <c:showBubbleSize val="0"/>
        </c:dLbls>
        <c:gapWidth val="112"/>
        <c:overlap val="-24"/>
        <c:axId val="1665025616"/>
        <c:axId val="1670809952"/>
      </c:barChart>
      <c:catAx>
        <c:axId val="1665025616"/>
        <c:scaling>
          <c:orientation val="minMax"/>
        </c:scaling>
        <c:delete val="0"/>
        <c:axPos val="l"/>
        <c:numFmt formatCode="General" sourceLinked="0"/>
        <c:majorTickMark val="none"/>
        <c:minorTickMark val="none"/>
        <c:tickLblPos val="nextTo"/>
        <c:txPr>
          <a:bodyPr/>
          <a:lstStyle/>
          <a:p>
            <a:pPr>
              <a:defRPr b="1"/>
            </a:pPr>
            <a:endParaRPr lang="es-DO"/>
          </a:p>
        </c:txPr>
        <c:crossAx val="1670809952"/>
        <c:crosses val="autoZero"/>
        <c:auto val="1"/>
        <c:lblAlgn val="ctr"/>
        <c:lblOffset val="100"/>
        <c:noMultiLvlLbl val="0"/>
      </c:catAx>
      <c:valAx>
        <c:axId val="1670809952"/>
        <c:scaling>
          <c:logBase val="10"/>
          <c:orientation val="minMax"/>
          <c:min val="50000"/>
        </c:scaling>
        <c:delete val="0"/>
        <c:axPos val="b"/>
        <c:numFmt formatCode="#,##0.00" sourceLinked="1"/>
        <c:majorTickMark val="none"/>
        <c:minorTickMark val="none"/>
        <c:tickLblPos val="nextTo"/>
        <c:spPr>
          <a:effectLst/>
        </c:spPr>
        <c:txPr>
          <a:bodyPr rot="0"/>
          <a:lstStyle/>
          <a:p>
            <a:pPr>
              <a:defRPr b="1"/>
            </a:pPr>
            <a:endParaRPr lang="es-DO"/>
          </a:p>
        </c:txPr>
        <c:crossAx val="1665025616"/>
        <c:crosses val="autoZero"/>
        <c:crossBetween val="between"/>
      </c:valAx>
    </c:plotArea>
    <c:legend>
      <c:legendPos val="r"/>
      <c:layout>
        <c:manualLayout>
          <c:xMode val="edge"/>
          <c:yMode val="edge"/>
          <c:x val="0.81468822752419823"/>
          <c:y val="0.25795995727249033"/>
          <c:w val="0.17195035796141289"/>
          <c:h val="0.5223477229823078"/>
        </c:manualLayout>
      </c:layout>
      <c:overlay val="0"/>
      <c:txPr>
        <a:bodyPr/>
        <a:lstStyle/>
        <a:p>
          <a:pPr>
            <a:defRPr b="1"/>
          </a:pPr>
          <a:endParaRPr lang="es-DO"/>
        </a:p>
      </c:txPr>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US"/>
              <a:t>Total</a:t>
            </a:r>
            <a:r>
              <a:rPr lang="es-US" baseline="0"/>
              <a:t> de pensiones por tipo </a:t>
            </a:r>
            <a:endParaRPr lang="es-US"/>
          </a:p>
        </c:rich>
      </c:tx>
      <c:layout>
        <c:manualLayout>
          <c:xMode val="edge"/>
          <c:yMode val="edge"/>
          <c:x val="0.28405057587484794"/>
          <c:y val="1.73515934945187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manualLayout>
          <c:layoutTarget val="inner"/>
          <c:xMode val="edge"/>
          <c:yMode val="edge"/>
          <c:x val="6.1147269837178331E-2"/>
          <c:y val="8.7244652927694455E-2"/>
          <c:w val="0.86894740203587362"/>
          <c:h val="0.74389344393727197"/>
        </c:manualLayout>
      </c:layout>
      <c:barChart>
        <c:barDir val="col"/>
        <c:grouping val="clustered"/>
        <c:varyColors val="0"/>
        <c:ser>
          <c:idx val="0"/>
          <c:order val="0"/>
          <c:tx>
            <c:strRef>
              <c:f>'Tipo de Pension'!$C$9:$F$9</c:f>
              <c:strCache>
                <c:ptCount val="4"/>
                <c:pt idx="0">
                  <c:v>Trimestre Octubre-Diciembre 
Al 30 de Diciembre 2024</c:v>
                </c:pt>
              </c:strCache>
            </c:strRef>
          </c:tx>
          <c:spPr>
            <a:solidFill>
              <a:schemeClr val="bg1">
                <a:lumMod val="75000"/>
              </a:schemeClr>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Pension'!$C$11:$C$19</c:f>
              <c:numCache>
                <c:formatCode>#,##0</c:formatCode>
                <c:ptCount val="9"/>
                <c:pt idx="0">
                  <c:v>38907</c:v>
                </c:pt>
                <c:pt idx="1">
                  <c:v>77731</c:v>
                </c:pt>
                <c:pt idx="2">
                  <c:v>252</c:v>
                </c:pt>
                <c:pt idx="3">
                  <c:v>175</c:v>
                </c:pt>
                <c:pt idx="4">
                  <c:v>225</c:v>
                </c:pt>
                <c:pt idx="5">
                  <c:v>27406</c:v>
                </c:pt>
                <c:pt idx="6">
                  <c:v>25526</c:v>
                </c:pt>
                <c:pt idx="7">
                  <c:v>51921</c:v>
                </c:pt>
                <c:pt idx="8">
                  <c:v>20537</c:v>
                </c:pt>
              </c:numCache>
            </c:numRef>
          </c:val>
          <c:extLst>
            <c:ext xmlns:c16="http://schemas.microsoft.com/office/drawing/2014/chart" uri="{C3380CC4-5D6E-409C-BE32-E72D297353CC}">
              <c16:uniqueId val="{00000000-B4F9-4047-9F40-71C6BD8AD3E7}"/>
            </c:ext>
          </c:extLst>
        </c:ser>
        <c:ser>
          <c:idx val="1"/>
          <c:order val="1"/>
          <c:tx>
            <c:strRef>
              <c:f>'Tipo de Pension'!$G$9:$J$9</c:f>
              <c:strCache>
                <c:ptCount val="4"/>
                <c:pt idx="0">
                  <c:v>Trimestre Octubre-Diciembre 
Al 30 de Diciembre 2025</c:v>
                </c:pt>
              </c:strCache>
            </c:strRef>
          </c:tx>
          <c:spPr>
            <a:solidFill>
              <a:schemeClr val="accent3"/>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Pension'!$G$11:$G$19</c:f>
              <c:numCache>
                <c:formatCode>#,##0</c:formatCode>
                <c:ptCount val="9"/>
                <c:pt idx="0">
                  <c:v>161576</c:v>
                </c:pt>
                <c:pt idx="1">
                  <c:v>332221</c:v>
                </c:pt>
                <c:pt idx="2" formatCode="General">
                  <c:v>971</c:v>
                </c:pt>
                <c:pt idx="3" formatCode="General">
                  <c:v>739</c:v>
                </c:pt>
                <c:pt idx="4" formatCode="General">
                  <c:v>838</c:v>
                </c:pt>
                <c:pt idx="5">
                  <c:v>114089</c:v>
                </c:pt>
                <c:pt idx="6">
                  <c:v>106139</c:v>
                </c:pt>
                <c:pt idx="7">
                  <c:v>231313</c:v>
                </c:pt>
                <c:pt idx="8">
                  <c:v>84537</c:v>
                </c:pt>
              </c:numCache>
            </c:numRef>
          </c:val>
          <c:extLst>
            <c:ext xmlns:c16="http://schemas.microsoft.com/office/drawing/2014/chart" uri="{C3380CC4-5D6E-409C-BE32-E72D297353CC}">
              <c16:uniqueId val="{00000001-B4F9-4047-9F40-71C6BD8AD3E7}"/>
            </c:ext>
          </c:extLst>
        </c:ser>
        <c:dLbls>
          <c:showLegendKey val="0"/>
          <c:showVal val="0"/>
          <c:showCatName val="0"/>
          <c:showSerName val="0"/>
          <c:showPercent val="0"/>
          <c:showBubbleSize val="0"/>
        </c:dLbls>
        <c:gapWidth val="50"/>
        <c:overlap val="-10"/>
        <c:axId val="1670801792"/>
        <c:axId val="1670802336"/>
      </c:barChart>
      <c:catAx>
        <c:axId val="167080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2336"/>
        <c:crosses val="autoZero"/>
        <c:auto val="1"/>
        <c:lblAlgn val="ctr"/>
        <c:lblOffset val="100"/>
        <c:noMultiLvlLbl val="0"/>
      </c:catAx>
      <c:valAx>
        <c:axId val="1670802336"/>
        <c:scaling>
          <c:orientation val="minMax"/>
          <c:max val="7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1792"/>
        <c:crosses val="autoZero"/>
        <c:crossBetween val="between"/>
        <c:majorUnit val="10000"/>
      </c:valAx>
      <c:spPr>
        <a:noFill/>
        <a:ln>
          <a:noFill/>
        </a:ln>
        <a:effectLst/>
      </c:spPr>
    </c:plotArea>
    <c:legend>
      <c:legendPos val="b"/>
      <c:layout>
        <c:manualLayout>
          <c:xMode val="edge"/>
          <c:yMode val="edge"/>
          <c:x val="6.1159914630542288E-2"/>
          <c:y val="0.9033788408519946"/>
          <c:w val="0.82896647235632015"/>
          <c:h val="6.82925368111922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baseline="0"/>
              <a:t>Total Pagado por Tipo de Pensión</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Pension'!$C$9:$F$9</c:f>
              <c:strCache>
                <c:ptCount val="4"/>
                <c:pt idx="0">
                  <c:v>Trimestre Octubre-Diciembre 
Al 30 de Diciembre 2024</c:v>
                </c:pt>
              </c:strCache>
            </c:strRef>
          </c:tx>
          <c:spPr>
            <a:solidFill>
              <a:schemeClr val="bg1">
                <a:lumMod val="75000"/>
              </a:schemeClr>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Pension'!$E$11:$E$19</c:f>
              <c:numCache>
                <c:formatCode>#,##0.00</c:formatCode>
                <c:ptCount val="9"/>
                <c:pt idx="0">
                  <c:v>3142417219.7599998</c:v>
                </c:pt>
                <c:pt idx="1">
                  <c:v>3135878609.9000001</c:v>
                </c:pt>
                <c:pt idx="2">
                  <c:v>30255531.440000001</c:v>
                </c:pt>
                <c:pt idx="3">
                  <c:v>34724151.780000001</c:v>
                </c:pt>
                <c:pt idx="4">
                  <c:v>28927995.449999999</c:v>
                </c:pt>
                <c:pt idx="5">
                  <c:v>3178882260.9400001</c:v>
                </c:pt>
                <c:pt idx="6">
                  <c:v>3010977548.8899999</c:v>
                </c:pt>
                <c:pt idx="7">
                  <c:v>1202430000</c:v>
                </c:pt>
                <c:pt idx="8">
                  <c:v>1029744172.9</c:v>
                </c:pt>
              </c:numCache>
            </c:numRef>
          </c:val>
          <c:extLst>
            <c:ext xmlns:c16="http://schemas.microsoft.com/office/drawing/2014/chart" uri="{C3380CC4-5D6E-409C-BE32-E72D297353CC}">
              <c16:uniqueId val="{00000000-4569-44D0-B52B-F7CCBE23C12D}"/>
            </c:ext>
          </c:extLst>
        </c:ser>
        <c:ser>
          <c:idx val="1"/>
          <c:order val="1"/>
          <c:tx>
            <c:strRef>
              <c:f>'Tipo de Pension'!$G$9:$J$9</c:f>
              <c:strCache>
                <c:ptCount val="4"/>
                <c:pt idx="0">
                  <c:v>Trimestre Octubre-Diciembre 
Al 30 de Diciembre 2025</c:v>
                </c:pt>
              </c:strCache>
            </c:strRef>
          </c:tx>
          <c:spPr>
            <a:solidFill>
              <a:schemeClr val="accent3"/>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Pension'!$I$11:$I$19</c:f>
              <c:numCache>
                <c:formatCode>#,##0.00</c:formatCode>
                <c:ptCount val="9"/>
                <c:pt idx="0">
                  <c:v>3471374119.0999999</c:v>
                </c:pt>
                <c:pt idx="1">
                  <c:v>3380060358.48</c:v>
                </c:pt>
                <c:pt idx="2">
                  <c:v>29077500</c:v>
                </c:pt>
                <c:pt idx="3">
                  <c:v>36856370.640000001</c:v>
                </c:pt>
                <c:pt idx="4">
                  <c:v>27692036.640000001</c:v>
                </c:pt>
                <c:pt idx="5">
                  <c:v>3402146053.5</c:v>
                </c:pt>
                <c:pt idx="6">
                  <c:v>3286350398.3600001</c:v>
                </c:pt>
                <c:pt idx="7">
                  <c:v>1369938500</c:v>
                </c:pt>
                <c:pt idx="8">
                  <c:v>1081416846.21</c:v>
                </c:pt>
              </c:numCache>
            </c:numRef>
          </c:val>
          <c:extLst>
            <c:ext xmlns:c16="http://schemas.microsoft.com/office/drawing/2014/chart" uri="{C3380CC4-5D6E-409C-BE32-E72D297353CC}">
              <c16:uniqueId val="{00000001-4569-44D0-B52B-F7CCBE23C12D}"/>
            </c:ext>
          </c:extLst>
        </c:ser>
        <c:dLbls>
          <c:showLegendKey val="0"/>
          <c:showVal val="0"/>
          <c:showCatName val="0"/>
          <c:showSerName val="0"/>
          <c:showPercent val="0"/>
          <c:showBubbleSize val="0"/>
        </c:dLbls>
        <c:gapWidth val="50"/>
        <c:overlap val="-10"/>
        <c:axId val="1670808864"/>
        <c:axId val="1670811040"/>
      </c:barChart>
      <c:catAx>
        <c:axId val="167080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11040"/>
        <c:crosses val="autoZero"/>
        <c:auto val="1"/>
        <c:lblAlgn val="ctr"/>
        <c:lblOffset val="100"/>
        <c:noMultiLvlLbl val="0"/>
      </c:catAx>
      <c:valAx>
        <c:axId val="1670811040"/>
        <c:scaling>
          <c:orientation val="minMax"/>
          <c:max val="2700000000"/>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8864"/>
        <c:crosses val="autoZero"/>
        <c:crossBetween val="between"/>
        <c:majorUnit val="30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a:t>Cantidad</a:t>
            </a:r>
            <a:r>
              <a:rPr lang="es-DO" baseline="0"/>
              <a:t> de Pensiones</a:t>
            </a:r>
          </a:p>
          <a:p>
            <a:pPr>
              <a:defRPr/>
            </a:pPr>
            <a:r>
              <a:rPr lang="es-DO" baseline="0"/>
              <a:t>por Monto de Pensión</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Pension'!$C$28:$F$28</c:f>
            </c:strRef>
          </c:tx>
          <c:spPr>
            <a:solidFill>
              <a:schemeClr val="accent1"/>
            </a:solidFill>
            <a:ln>
              <a:noFill/>
            </a:ln>
            <a:effectLst/>
          </c:spPr>
          <c:invertIfNegative val="0"/>
          <c:cat>
            <c:strRef>
              <c:f>'Tipo de Pension'!$B$30:$B$42</c:f>
            </c:strRef>
          </c:cat>
          <c:val>
            <c:numRef>
              <c:f>'Tipo de Pension'!$C$30:$C$42</c:f>
            </c:numRef>
          </c:val>
          <c:extLst>
            <c:ext xmlns:c16="http://schemas.microsoft.com/office/drawing/2014/chart" uri="{C3380CC4-5D6E-409C-BE32-E72D297353CC}">
              <c16:uniqueId val="{00000000-C4E5-4C06-ADE3-C67B6B3CDF6E}"/>
            </c:ext>
          </c:extLst>
        </c:ser>
        <c:ser>
          <c:idx val="1"/>
          <c:order val="1"/>
          <c:tx>
            <c:strRef>
              <c:f>'Tipo de Pension'!$G$28:$J$28</c:f>
            </c:strRef>
          </c:tx>
          <c:spPr>
            <a:solidFill>
              <a:schemeClr val="accent2"/>
            </a:solidFill>
            <a:ln>
              <a:noFill/>
            </a:ln>
            <a:effectLst/>
          </c:spPr>
          <c:invertIfNegative val="0"/>
          <c:cat>
            <c:strRef>
              <c:f>'Tipo de Pension'!$B$30:$B$42</c:f>
            </c:strRef>
          </c:cat>
          <c:val>
            <c:numRef>
              <c:f>'Tipo de Pension'!$G$30:$G$42</c:f>
            </c:numRef>
          </c:val>
          <c:extLst>
            <c:ext xmlns:c16="http://schemas.microsoft.com/office/drawing/2014/chart" uri="{C3380CC4-5D6E-409C-BE32-E72D297353CC}">
              <c16:uniqueId val="{00000001-C4E5-4C06-ADE3-C67B6B3CDF6E}"/>
            </c:ext>
          </c:extLst>
        </c:ser>
        <c:dLbls>
          <c:showLegendKey val="0"/>
          <c:showVal val="0"/>
          <c:showCatName val="0"/>
          <c:showSerName val="0"/>
          <c:showPercent val="0"/>
          <c:showBubbleSize val="0"/>
        </c:dLbls>
        <c:gapWidth val="10"/>
        <c:overlap val="-10"/>
        <c:axId val="1670812128"/>
        <c:axId val="1670796896"/>
      </c:barChart>
      <c:catAx>
        <c:axId val="167081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796896"/>
        <c:crosses val="autoZero"/>
        <c:auto val="1"/>
        <c:lblAlgn val="ctr"/>
        <c:lblOffset val="100"/>
        <c:noMultiLvlLbl val="0"/>
      </c:catAx>
      <c:valAx>
        <c:axId val="1670796896"/>
        <c:scaling>
          <c:orientation val="minMax"/>
          <c:max val="126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12128"/>
        <c:crosses val="autoZero"/>
        <c:crossBetween val="between"/>
        <c:majorUnit val="18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baseline="0"/>
              <a:t>Total Pagado por Monto de Pensión</a:t>
            </a:r>
          </a:p>
        </c:rich>
      </c:tx>
      <c:layout>
        <c:manualLayout>
          <c:xMode val="edge"/>
          <c:yMode val="edge"/>
          <c:x val="0.1733253527922343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17598131174850251"/>
          <c:y val="0.19863637529110245"/>
          <c:w val="0.78183226912277992"/>
          <c:h val="0.44949932424473155"/>
        </c:manualLayout>
      </c:layout>
      <c:barChart>
        <c:barDir val="col"/>
        <c:grouping val="clustered"/>
        <c:varyColors val="0"/>
        <c:ser>
          <c:idx val="0"/>
          <c:order val="0"/>
          <c:tx>
            <c:strRef>
              <c:f>'Tipo de Pension'!$C$28:$F$28</c:f>
            </c:strRef>
          </c:tx>
          <c:spPr>
            <a:solidFill>
              <a:schemeClr val="accent1"/>
            </a:solidFill>
            <a:ln>
              <a:noFill/>
            </a:ln>
            <a:effectLst/>
          </c:spPr>
          <c:invertIfNegative val="0"/>
          <c:cat>
            <c:strRef>
              <c:f>'Tipo de Pension'!$B$30:$B$42</c:f>
            </c:strRef>
          </c:cat>
          <c:val>
            <c:numRef>
              <c:f>'Tipo de Pension'!$E$30:$E$42</c:f>
            </c:numRef>
          </c:val>
          <c:extLst>
            <c:ext xmlns:c16="http://schemas.microsoft.com/office/drawing/2014/chart" uri="{C3380CC4-5D6E-409C-BE32-E72D297353CC}">
              <c16:uniqueId val="{00000000-EBA7-44F1-B06B-1E6FB69EDFA2}"/>
            </c:ext>
          </c:extLst>
        </c:ser>
        <c:ser>
          <c:idx val="1"/>
          <c:order val="1"/>
          <c:tx>
            <c:strRef>
              <c:f>'Tipo de Pension'!$G$28:$J$28</c:f>
            </c:strRef>
          </c:tx>
          <c:spPr>
            <a:solidFill>
              <a:schemeClr val="accent2"/>
            </a:solidFill>
            <a:ln>
              <a:noFill/>
            </a:ln>
            <a:effectLst/>
          </c:spPr>
          <c:invertIfNegative val="0"/>
          <c:cat>
            <c:strRef>
              <c:f>'Tipo de Pension'!$B$30:$B$42</c:f>
            </c:strRef>
          </c:cat>
          <c:val>
            <c:numRef>
              <c:f>'Tipo de Pension'!$I$30:$I$42</c:f>
            </c:numRef>
          </c:val>
          <c:extLst>
            <c:ext xmlns:c16="http://schemas.microsoft.com/office/drawing/2014/chart" uri="{C3380CC4-5D6E-409C-BE32-E72D297353CC}">
              <c16:uniqueId val="{00000001-EBA7-44F1-B06B-1E6FB69EDFA2}"/>
            </c:ext>
          </c:extLst>
        </c:ser>
        <c:dLbls>
          <c:showLegendKey val="0"/>
          <c:showVal val="0"/>
          <c:showCatName val="0"/>
          <c:showSerName val="0"/>
          <c:showPercent val="0"/>
          <c:showBubbleSize val="0"/>
        </c:dLbls>
        <c:gapWidth val="50"/>
        <c:overlap val="-10"/>
        <c:axId val="1670802880"/>
        <c:axId val="1670803968"/>
      </c:barChart>
      <c:catAx>
        <c:axId val="167080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3968"/>
        <c:crosses val="autoZero"/>
        <c:auto val="1"/>
        <c:lblAlgn val="ctr"/>
        <c:lblOffset val="100"/>
        <c:noMultiLvlLbl val="0"/>
      </c:catAx>
      <c:valAx>
        <c:axId val="1670803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28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a:t>Cantidad</a:t>
            </a:r>
            <a:r>
              <a:rPr lang="es-DO" baseline="0"/>
              <a:t> de Pensiones</a:t>
            </a:r>
          </a:p>
          <a:p>
            <a:pPr>
              <a:defRPr/>
            </a:pPr>
            <a:r>
              <a:rPr lang="es-DO" baseline="0"/>
              <a:t>por Edad</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Pension'!$C$50:$F$50</c:f>
            </c:strRef>
          </c:tx>
          <c:spPr>
            <a:solidFill>
              <a:schemeClr val="accent1"/>
            </a:solidFill>
            <a:ln>
              <a:noFill/>
            </a:ln>
            <a:effectLst/>
          </c:spPr>
          <c:invertIfNegative val="0"/>
          <c:cat>
            <c:strRef>
              <c:f>'Tipo de Pension'!$B$52:$B$63</c:f>
            </c:strRef>
          </c:cat>
          <c:val>
            <c:numRef>
              <c:f>'Tipo de Pension'!$C$53:$C$63</c:f>
            </c:numRef>
          </c:val>
          <c:extLst>
            <c:ext xmlns:c16="http://schemas.microsoft.com/office/drawing/2014/chart" uri="{C3380CC4-5D6E-409C-BE32-E72D297353CC}">
              <c16:uniqueId val="{00000000-3025-4BEB-A242-114DA170D702}"/>
            </c:ext>
          </c:extLst>
        </c:ser>
        <c:ser>
          <c:idx val="1"/>
          <c:order val="1"/>
          <c:tx>
            <c:strRef>
              <c:f>'Tipo de Pension'!$G$50:$J$50</c:f>
            </c:strRef>
          </c:tx>
          <c:spPr>
            <a:solidFill>
              <a:schemeClr val="accent2"/>
            </a:solidFill>
            <a:ln>
              <a:noFill/>
            </a:ln>
            <a:effectLst/>
          </c:spPr>
          <c:invertIfNegative val="0"/>
          <c:cat>
            <c:strRef>
              <c:f>'Tipo de Pension'!$B$52:$B$63</c:f>
            </c:strRef>
          </c:cat>
          <c:val>
            <c:numRef>
              <c:f>'Tipo de Pension'!$G$53:$G$63</c:f>
            </c:numRef>
          </c:val>
          <c:extLst>
            <c:ext xmlns:c16="http://schemas.microsoft.com/office/drawing/2014/chart" uri="{C3380CC4-5D6E-409C-BE32-E72D297353CC}">
              <c16:uniqueId val="{00000001-3025-4BEB-A242-114DA170D702}"/>
            </c:ext>
          </c:extLst>
        </c:ser>
        <c:dLbls>
          <c:showLegendKey val="0"/>
          <c:showVal val="0"/>
          <c:showCatName val="0"/>
          <c:showSerName val="0"/>
          <c:showPercent val="0"/>
          <c:showBubbleSize val="0"/>
        </c:dLbls>
        <c:gapWidth val="50"/>
        <c:overlap val="-10"/>
        <c:axId val="1670800160"/>
        <c:axId val="1670805600"/>
      </c:barChart>
      <c:catAx>
        <c:axId val="167080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5600"/>
        <c:crosses val="autoZero"/>
        <c:auto val="1"/>
        <c:lblAlgn val="ctr"/>
        <c:lblOffset val="100"/>
        <c:noMultiLvlLbl val="0"/>
      </c:catAx>
      <c:valAx>
        <c:axId val="1670805600"/>
        <c:scaling>
          <c:orientation val="minMax"/>
          <c:max val="5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0160"/>
        <c:crosses val="autoZero"/>
        <c:crossBetween val="between"/>
        <c:majorUnit val="9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baseline="0"/>
              <a:t>Total Pagado por Edad de Pensionados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Pension'!$C$50:$F$50</c:f>
            </c:strRef>
          </c:tx>
          <c:spPr>
            <a:solidFill>
              <a:schemeClr val="accent1"/>
            </a:solidFill>
            <a:ln>
              <a:noFill/>
            </a:ln>
            <a:effectLst/>
          </c:spPr>
          <c:invertIfNegative val="0"/>
          <c:cat>
            <c:strRef>
              <c:f>'Tipo de Pension'!$B$54:$B$63</c:f>
            </c:strRef>
          </c:cat>
          <c:val>
            <c:numRef>
              <c:f>'Tipo de Pension'!$E$53:$E$63</c:f>
            </c:numRef>
          </c:val>
          <c:extLst>
            <c:ext xmlns:c16="http://schemas.microsoft.com/office/drawing/2014/chart" uri="{C3380CC4-5D6E-409C-BE32-E72D297353CC}">
              <c16:uniqueId val="{00000000-99F1-4C2C-B1C5-95C571BD3EF0}"/>
            </c:ext>
          </c:extLst>
        </c:ser>
        <c:ser>
          <c:idx val="1"/>
          <c:order val="1"/>
          <c:tx>
            <c:strRef>
              <c:f>'Tipo de Pension'!$G$50:$J$50</c:f>
            </c:strRef>
          </c:tx>
          <c:spPr>
            <a:solidFill>
              <a:schemeClr val="accent2"/>
            </a:solidFill>
            <a:ln>
              <a:noFill/>
            </a:ln>
            <a:effectLst/>
          </c:spPr>
          <c:invertIfNegative val="0"/>
          <c:cat>
            <c:strRef>
              <c:f>'Tipo de Pension'!$B$54:$B$63</c:f>
            </c:strRef>
          </c:cat>
          <c:val>
            <c:numRef>
              <c:f>'Tipo de Pension'!$I$53:$I$63</c:f>
            </c:numRef>
          </c:val>
          <c:extLst>
            <c:ext xmlns:c16="http://schemas.microsoft.com/office/drawing/2014/chart" uri="{C3380CC4-5D6E-409C-BE32-E72D297353CC}">
              <c16:uniqueId val="{00000001-99F1-4C2C-B1C5-95C571BD3EF0}"/>
            </c:ext>
          </c:extLst>
        </c:ser>
        <c:dLbls>
          <c:showLegendKey val="0"/>
          <c:showVal val="0"/>
          <c:showCatName val="0"/>
          <c:showSerName val="0"/>
          <c:showPercent val="0"/>
          <c:showBubbleSize val="0"/>
        </c:dLbls>
        <c:gapWidth val="50"/>
        <c:overlap val="-10"/>
        <c:axId val="1670807232"/>
        <c:axId val="1670799072"/>
      </c:barChart>
      <c:catAx>
        <c:axId val="167080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799072"/>
        <c:crosses val="autoZero"/>
        <c:auto val="1"/>
        <c:lblAlgn val="ctr"/>
        <c:lblOffset val="100"/>
        <c:noMultiLvlLbl val="0"/>
      </c:catAx>
      <c:valAx>
        <c:axId val="1670799072"/>
        <c:scaling>
          <c:orientation val="minMax"/>
          <c:max val="2800000000"/>
          <c:min val="30000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7232"/>
        <c:crosses val="autoZero"/>
        <c:crossBetween val="between"/>
        <c:majorUnit val="45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474892115814746"/>
          <c:y val="0.11479713174635285"/>
          <c:w val="0.78893118039654453"/>
          <c:h val="0.65586379419781204"/>
        </c:manualLayout>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0"/>
                  <c:y val="0.513687594128621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5C-4406-B71E-65516B4B4A9D}"/>
                </c:ext>
              </c:extLst>
            </c:dLbl>
            <c:dLbl>
              <c:idx val="1"/>
              <c:layout>
                <c:manualLayout>
                  <c:x val="2.5816702227310574E-3"/>
                  <c:y val="0.472334064262240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5C-4406-B71E-65516B4B4A9D}"/>
                </c:ext>
              </c:extLst>
            </c:dLbl>
            <c:dLbl>
              <c:idx val="2"/>
              <c:layout>
                <c:manualLayout>
                  <c:x val="-5.1633404454622094E-3"/>
                  <c:y val="0.47816026584343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5C-4406-B71E-65516B4B4A9D}"/>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Cotizantes'!$A$12:$A$14</c:f>
            </c:strRef>
          </c:cat>
          <c:val>
            <c:numRef>
              <c:f>'Afiliados y Cotizantes'!$B$12:$B$14</c:f>
            </c:numRef>
          </c:val>
          <c:extLst>
            <c:ext xmlns:c16="http://schemas.microsoft.com/office/drawing/2014/chart" uri="{C3380CC4-5D6E-409C-BE32-E72D297353CC}">
              <c16:uniqueId val="{00000003-C75C-4406-B71E-65516B4B4A9D}"/>
            </c:ext>
          </c:extLst>
        </c:ser>
        <c:ser>
          <c:idx val="1"/>
          <c:order val="1"/>
          <c:tx>
            <c:v>No Cotizantes</c:v>
          </c:tx>
          <c:spPr>
            <a:solidFill>
              <a:schemeClr val="accent3">
                <a:lumMod val="60000"/>
                <a:lumOff val="40000"/>
              </a:schemeClr>
            </a:solidFill>
          </c:spPr>
          <c:invertIfNegative val="0"/>
          <c:dLbls>
            <c:dLbl>
              <c:idx val="0"/>
              <c:layout>
                <c:manualLayout>
                  <c:x val="5.1633404454621149E-3"/>
                  <c:y val="0.393979007543447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5C-4406-B71E-65516B4B4A9D}"/>
                </c:ext>
              </c:extLst>
            </c:dLbl>
            <c:dLbl>
              <c:idx val="1"/>
              <c:layout>
                <c:manualLayout>
                  <c:x val="2.5816702227310574E-3"/>
                  <c:y val="0.394030184119631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5C-4406-B71E-65516B4B4A9D}"/>
                </c:ext>
              </c:extLst>
            </c:dLbl>
            <c:dLbl>
              <c:idx val="2"/>
              <c:layout>
                <c:manualLayout>
                  <c:x val="-2.5816702227310574E-3"/>
                  <c:y val="0.39379964773681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5C-4406-B71E-65516B4B4A9D}"/>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'Afiliados y Cotizantes'!$A$12:$A$14</c:f>
            </c:strRef>
          </c:cat>
          <c:val>
            <c:numRef>
              <c:f>'Afiliados y Cotizantes'!$E$12:$E$14</c:f>
            </c:numRef>
          </c:val>
          <c:extLst>
            <c:ext xmlns:c16="http://schemas.microsoft.com/office/drawing/2014/chart" uri="{C3380CC4-5D6E-409C-BE32-E72D297353CC}">
              <c16:uniqueId val="{00000007-C75C-4406-B71E-65516B4B4A9D}"/>
            </c:ext>
          </c:extLst>
        </c:ser>
        <c:dLbls>
          <c:showLegendKey val="0"/>
          <c:showVal val="1"/>
          <c:showCatName val="0"/>
          <c:showSerName val="0"/>
          <c:showPercent val="0"/>
          <c:showBubbleSize val="0"/>
        </c:dLbls>
        <c:gapWidth val="75"/>
        <c:axId val="1667770560"/>
        <c:axId val="1667758048"/>
      </c:barChart>
      <c:lineChart>
        <c:grouping val="standard"/>
        <c:varyColors val="0"/>
        <c:ser>
          <c:idx val="2"/>
          <c:order val="2"/>
          <c:tx>
            <c:strRef>
              <c:f>'Afiliados y Cotizantes'!$F$7</c:f>
              <c:strCache>
                <c:ptCount val="1"/>
                <c:pt idx="0">
                  <c:v>% No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5.6733893883974762E-2"/>
                  <c:y val="-0.498445838110009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5C-4406-B71E-65516B4B4A9D}"/>
                </c:ext>
              </c:extLst>
            </c:dLbl>
            <c:dLbl>
              <c:idx val="1"/>
              <c:layout>
                <c:manualLayout>
                  <c:x val="-6.9705096013738546E-2"/>
                  <c:y val="-0.136842629316782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5C-4406-B71E-65516B4B4A9D}"/>
                </c:ext>
              </c:extLst>
            </c:dLbl>
            <c:dLbl>
              <c:idx val="2"/>
              <c:layout>
                <c:manualLayout>
                  <c:x val="-4.3888393786427976E-2"/>
                  <c:y val="-0.102999609984574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5C-4406-B71E-65516B4B4A9D}"/>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Cotizantes'!$A$12:$A$14</c:f>
            </c:strRef>
          </c:cat>
          <c:val>
            <c:numRef>
              <c:f>'Afiliados y Cotizantes'!$F$12:$F$14</c:f>
            </c:numRef>
          </c:val>
          <c:smooth val="0"/>
          <c:extLst>
            <c:ext xmlns:c16="http://schemas.microsoft.com/office/drawing/2014/chart" uri="{C3380CC4-5D6E-409C-BE32-E72D297353CC}">
              <c16:uniqueId val="{0000000B-C75C-4406-B71E-65516B4B4A9D}"/>
            </c:ext>
          </c:extLst>
        </c:ser>
        <c:dLbls>
          <c:showLegendKey val="0"/>
          <c:showVal val="1"/>
          <c:showCatName val="0"/>
          <c:showSerName val="0"/>
          <c:showPercent val="0"/>
          <c:showBubbleSize val="0"/>
        </c:dLbls>
        <c:marker val="1"/>
        <c:smooth val="0"/>
        <c:axId val="1667766752"/>
        <c:axId val="1667762944"/>
      </c:lineChart>
      <c:catAx>
        <c:axId val="1667770560"/>
        <c:scaling>
          <c:orientation val="minMax"/>
        </c:scaling>
        <c:delete val="0"/>
        <c:axPos val="b"/>
        <c:numFmt formatCode="General" sourceLinked="0"/>
        <c:majorTickMark val="none"/>
        <c:minorTickMark val="none"/>
        <c:tickLblPos val="nextTo"/>
        <c:crossAx val="1667758048"/>
        <c:crosses val="autoZero"/>
        <c:auto val="1"/>
        <c:lblAlgn val="ctr"/>
        <c:lblOffset val="100"/>
        <c:noMultiLvlLbl val="0"/>
      </c:catAx>
      <c:valAx>
        <c:axId val="1667758048"/>
        <c:scaling>
          <c:orientation val="minMax"/>
        </c:scaling>
        <c:delete val="0"/>
        <c:axPos val="l"/>
        <c:numFmt formatCode="#,##0" sourceLinked="1"/>
        <c:majorTickMark val="none"/>
        <c:minorTickMark val="none"/>
        <c:tickLblPos val="nextTo"/>
        <c:crossAx val="1667770560"/>
        <c:crosses val="autoZero"/>
        <c:crossBetween val="between"/>
      </c:valAx>
      <c:valAx>
        <c:axId val="1667762944"/>
        <c:scaling>
          <c:orientation val="minMax"/>
        </c:scaling>
        <c:delete val="0"/>
        <c:axPos val="r"/>
        <c:numFmt formatCode="0%" sourceLinked="1"/>
        <c:majorTickMark val="out"/>
        <c:minorTickMark val="none"/>
        <c:tickLblPos val="nextTo"/>
        <c:crossAx val="1667766752"/>
        <c:crosses val="max"/>
        <c:crossBetween val="between"/>
      </c:valAx>
      <c:catAx>
        <c:axId val="1667766752"/>
        <c:scaling>
          <c:orientation val="minMax"/>
        </c:scaling>
        <c:delete val="1"/>
        <c:axPos val="b"/>
        <c:numFmt formatCode="General" sourceLinked="1"/>
        <c:majorTickMark val="out"/>
        <c:minorTickMark val="none"/>
        <c:tickLblPos val="nextTo"/>
        <c:crossAx val="1667762944"/>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accent1"/>
                </a:solidFill>
                <a:latin typeface="+mn-lt"/>
                <a:ea typeface="+mn-ea"/>
                <a:cs typeface="+mn-cs"/>
              </a:defRPr>
            </a:pPr>
            <a:r>
              <a:rPr lang="es-ES" sz="1400">
                <a:solidFill>
                  <a:schemeClr val="accent1"/>
                </a:solidFill>
              </a:rPr>
              <a:t>Porcentaje Modalidad</a:t>
            </a:r>
            <a:r>
              <a:rPr lang="es-ES" sz="1400" baseline="0">
                <a:solidFill>
                  <a:schemeClr val="accent1"/>
                </a:solidFill>
              </a:rPr>
              <a:t> de Pago</a:t>
            </a:r>
            <a:endParaRPr lang="es-ES" sz="1400">
              <a:solidFill>
                <a:schemeClr val="accent1"/>
              </a:solidFill>
            </a:endParaRPr>
          </a:p>
        </c:rich>
      </c:tx>
      <c:layout>
        <c:manualLayout>
          <c:xMode val="edge"/>
          <c:yMode val="edge"/>
          <c:x val="0.24317598335221177"/>
          <c:y val="3.2352237248844695E-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accent1"/>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3"/>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FBB9-4446-B928-89FA07CFA5CA}"/>
              </c:ext>
            </c:extLst>
          </c:dPt>
          <c:dPt>
            <c:idx val="1"/>
            <c:bubble3D val="0"/>
            <c:spPr>
              <a:solidFill>
                <a:schemeClr val="bg1">
                  <a:lumMod val="75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FBB9-4446-B928-89FA07CFA5CA}"/>
              </c:ext>
            </c:extLst>
          </c:dPt>
          <c:dLbls>
            <c:dLbl>
              <c:idx val="0"/>
              <c:layout>
                <c:manualLayout>
                  <c:x val="-1.8055555555555554E-2"/>
                  <c:y val="-0.3553240740740740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baseline="0">
                        <a:solidFill>
                          <a:schemeClr val="tx1">
                            <a:lumMod val="75000"/>
                            <a:lumOff val="25000"/>
                          </a:schemeClr>
                        </a:solidFill>
                      </a:rPr>
                      <a:t>Electrónico</a:t>
                    </a:r>
                  </a:p>
                  <a:p>
                    <a:pPr>
                      <a:defRPr sz="1000" b="1">
                        <a:solidFill>
                          <a:schemeClr val="tx1">
                            <a:lumMod val="75000"/>
                            <a:lumOff val="25000"/>
                          </a:schemeClr>
                        </a:solidFill>
                      </a:defRPr>
                    </a:pPr>
                    <a:r>
                      <a:rPr lang="en-US" sz="1000" b="1" baseline="0">
                        <a:solidFill>
                          <a:schemeClr val="tx1">
                            <a:lumMod val="75000"/>
                            <a:lumOff val="25000"/>
                          </a:schemeClr>
                        </a:solidFill>
                      </a:rPr>
                      <a:t> </a:t>
                    </a:r>
                    <a:fld id="{6A789905-C907-4699-A041-A6FD64461BF5}" type="VALUE">
                      <a:rPr lang="en-US" sz="1000" b="1" baseline="0">
                        <a:solidFill>
                          <a:schemeClr val="tx1">
                            <a:lumMod val="75000"/>
                            <a:lumOff val="25000"/>
                          </a:schemeClr>
                        </a:solidFill>
                      </a:rPr>
                      <a:pPr>
                        <a:defRPr sz="1000" b="1">
                          <a:solidFill>
                            <a:schemeClr val="tx1">
                              <a:lumMod val="75000"/>
                              <a:lumOff val="25000"/>
                            </a:schemeClr>
                          </a:solidFill>
                        </a:defRPr>
                      </a:pPr>
                      <a:t>[]</a:t>
                    </a:fld>
                    <a:endParaRPr lang="en-US" sz="1000" b="1"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1"/>
              <c:showSerName val="0"/>
              <c:showPercent val="0"/>
              <c:showBubbleSize val="0"/>
              <c:extLst>
                <c:ext xmlns:c15="http://schemas.microsoft.com/office/drawing/2012/chart" uri="{CE6537A1-D6FC-4f65-9D91-7224C49458BB}">
                  <c15:layout>
                    <c:manualLayout>
                      <c:w val="0.23541666666666666"/>
                      <c:h val="0.21064814814814814"/>
                    </c:manualLayout>
                  </c15:layout>
                  <c15:dlblFieldTable/>
                  <c15:showDataLabelsRange val="0"/>
                </c:ext>
                <c:ext xmlns:c16="http://schemas.microsoft.com/office/drawing/2014/chart" uri="{C3380CC4-5D6E-409C-BE32-E72D297353CC}">
                  <c16:uniqueId val="{00000001-FBB9-4446-B928-89FA07CFA5CA}"/>
                </c:ext>
              </c:extLst>
            </c:dLbl>
            <c:dLbl>
              <c:idx val="1"/>
              <c:layout>
                <c:manualLayout>
                  <c:x val="-4.6721964522656895E-2"/>
                  <c:y val="5.2783916405700331E-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baseline="0">
                        <a:solidFill>
                          <a:schemeClr val="tx1">
                            <a:lumMod val="75000"/>
                            <a:lumOff val="25000"/>
                          </a:schemeClr>
                        </a:solidFill>
                      </a:rPr>
                      <a:t>Cheque</a:t>
                    </a:r>
                  </a:p>
                  <a:p>
                    <a:pPr>
                      <a:defRPr sz="1000" b="1">
                        <a:solidFill>
                          <a:schemeClr val="tx1">
                            <a:lumMod val="75000"/>
                            <a:lumOff val="25000"/>
                          </a:schemeClr>
                        </a:solidFill>
                      </a:defRPr>
                    </a:pPr>
                    <a:r>
                      <a:rPr lang="en-US" sz="1000" b="1" baseline="0">
                        <a:solidFill>
                          <a:schemeClr val="tx1">
                            <a:lumMod val="75000"/>
                            <a:lumOff val="25000"/>
                          </a:schemeClr>
                        </a:solidFill>
                      </a:rPr>
                      <a:t> </a:t>
                    </a:r>
                    <a:fld id="{928CA2D4-AB57-4300-BD4F-83CC6382AA06}" type="VALUE">
                      <a:rPr lang="en-US" sz="1000" b="1" baseline="0">
                        <a:solidFill>
                          <a:schemeClr val="tx1">
                            <a:lumMod val="75000"/>
                            <a:lumOff val="25000"/>
                          </a:schemeClr>
                        </a:solidFill>
                      </a:rPr>
                      <a:pPr>
                        <a:defRPr sz="1000" b="1">
                          <a:solidFill>
                            <a:schemeClr val="tx1">
                              <a:lumMod val="75000"/>
                              <a:lumOff val="25000"/>
                            </a:schemeClr>
                          </a:solidFill>
                        </a:defRPr>
                      </a:pPr>
                      <a:t>[]</a:t>
                    </a:fld>
                    <a:endParaRPr lang="en-US" sz="1000" b="1"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1"/>
              <c:showSerName val="0"/>
              <c:showPercent val="0"/>
              <c:showBubbleSize val="0"/>
              <c:extLst>
                <c:ext xmlns:c15="http://schemas.microsoft.com/office/drawing/2012/chart" uri="{CE6537A1-D6FC-4f65-9D91-7224C49458BB}">
                  <c15:layout>
                    <c:manualLayout>
                      <c:w val="0.18002209762708696"/>
                      <c:h val="0.14416160985114215"/>
                    </c:manualLayout>
                  </c15:layout>
                  <c15:dlblFieldTable/>
                  <c15:showDataLabelsRange val="0"/>
                </c:ext>
                <c:ext xmlns:c16="http://schemas.microsoft.com/office/drawing/2014/chart" uri="{C3380CC4-5D6E-409C-BE32-E72D297353CC}">
                  <c16:uniqueId val="{00000003-FBB9-4446-B928-89FA07CFA5C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DO"/>
              </a:p>
            </c:txPr>
            <c:showLegendKey val="0"/>
            <c:showVal val="0"/>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(Modalidad!$O$9,Modalidad!$Q$9)</c:f>
              <c:strCache>
                <c:ptCount val="2"/>
                <c:pt idx="0">
                  <c:v>Monto</c:v>
                </c:pt>
                <c:pt idx="1">
                  <c:v>Monto</c:v>
                </c:pt>
              </c:strCache>
            </c:strRef>
          </c:cat>
          <c:val>
            <c:numRef>
              <c:f>(Modalidad!$O$34,Modalidad!$Q$34)</c:f>
              <c:numCache>
                <c:formatCode>0.00%</c:formatCode>
                <c:ptCount val="2"/>
                <c:pt idx="0">
                  <c:v>0.99872339706919022</c:v>
                </c:pt>
                <c:pt idx="1">
                  <c:v>1.2766029308097827E-3</c:v>
                </c:pt>
              </c:numCache>
            </c:numRef>
          </c:val>
          <c:extLst>
            <c:ext xmlns:c16="http://schemas.microsoft.com/office/drawing/2014/chart" uri="{C3380CC4-5D6E-409C-BE32-E72D297353CC}">
              <c16:uniqueId val="{00000004-FBB9-4446-B928-89FA07CFA5CA}"/>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4501343930274"/>
          <c:y val="4.2299525799253723E-2"/>
          <c:w val="0.65858516691985691"/>
          <c:h val="0.72007785017025605"/>
        </c:manualLayout>
      </c:layout>
      <c:barChart>
        <c:barDir val="col"/>
        <c:grouping val="clustered"/>
        <c:varyColors val="0"/>
        <c:ser>
          <c:idx val="0"/>
          <c:order val="0"/>
          <c:tx>
            <c:v>Pensionados</c:v>
          </c:tx>
          <c:spPr>
            <a:solidFill>
              <a:schemeClr val="accent3">
                <a:lumMod val="60000"/>
                <a:lumOff val="40000"/>
              </a:schemeClr>
            </a:solidFill>
            <a:ln>
              <a:solidFill>
                <a:schemeClr val="accent3">
                  <a:lumMod val="60000"/>
                  <a:lumOff val="40000"/>
                </a:schemeClr>
              </a:solidFill>
            </a:ln>
          </c:spPr>
          <c:invertIfNegative val="0"/>
          <c:dLbls>
            <c:dLbl>
              <c:idx val="0"/>
              <c:layout>
                <c:manualLayout>
                  <c:x val="-3.5085745537489802E-3"/>
                  <c:y val="1.8279804924074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3A-4755-84B1-810054927F90}"/>
                </c:ext>
              </c:extLst>
            </c:dLbl>
            <c:dLbl>
              <c:idx val="1"/>
              <c:layout>
                <c:manualLayout>
                  <c:x val="2.788471476716947E-3"/>
                  <c:y val="0.2117624891955896"/>
                </c:manualLayout>
              </c:layout>
              <c:showLegendKey val="0"/>
              <c:showVal val="1"/>
              <c:showCatName val="0"/>
              <c:showSerName val="0"/>
              <c:showPercent val="0"/>
              <c:showBubbleSize val="0"/>
              <c:extLst>
                <c:ext xmlns:c15="http://schemas.microsoft.com/office/drawing/2012/chart" uri="{CE6537A1-D6FC-4f65-9D91-7224C49458BB}">
                  <c15:layout>
                    <c:manualLayout>
                      <c:w val="6.8806459726581629E-2"/>
                      <c:h val="0.13091299902321105"/>
                    </c:manualLayout>
                  </c15:layout>
                </c:ext>
                <c:ext xmlns:c16="http://schemas.microsoft.com/office/drawing/2014/chart" uri="{C3380CC4-5D6E-409C-BE32-E72D297353CC}">
                  <c16:uniqueId val="{00000001-0F3A-4755-84B1-810054927F90}"/>
                </c:ext>
              </c:extLst>
            </c:dLbl>
            <c:dLbl>
              <c:idx val="2"/>
              <c:layout>
                <c:manualLayout>
                  <c:x val="-1.310969913632988E-4"/>
                  <c:y val="0.21933567809533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3A-4755-84B1-810054927F90}"/>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Retroactivos!$A$10:$A$12</c:f>
              <c:strCache>
                <c:ptCount val="3"/>
                <c:pt idx="0">
                  <c:v>Diciembre</c:v>
                </c:pt>
                <c:pt idx="1">
                  <c:v>Noviembre</c:v>
                </c:pt>
                <c:pt idx="2">
                  <c:v>Octubre</c:v>
                </c:pt>
              </c:strCache>
            </c:strRef>
          </c:cat>
          <c:val>
            <c:numRef>
              <c:f>Retroactivos!$H$10:$H$12</c:f>
              <c:numCache>
                <c:formatCode>General</c:formatCode>
                <c:ptCount val="3"/>
                <c:pt idx="0">
                  <c:v>9</c:v>
                </c:pt>
                <c:pt idx="1">
                  <c:v>0</c:v>
                </c:pt>
                <c:pt idx="2">
                  <c:v>0</c:v>
                </c:pt>
              </c:numCache>
            </c:numRef>
          </c:val>
          <c:extLst>
            <c:ext xmlns:c16="http://schemas.microsoft.com/office/drawing/2014/chart" uri="{C3380CC4-5D6E-409C-BE32-E72D297353CC}">
              <c16:uniqueId val="{00000003-0F3A-4755-84B1-810054927F90}"/>
            </c:ext>
          </c:extLst>
        </c:ser>
        <c:ser>
          <c:idx val="1"/>
          <c:order val="1"/>
          <c:tx>
            <c:v>Pensiones</c:v>
          </c:tx>
          <c:spPr>
            <a:solidFill>
              <a:schemeClr val="bg1">
                <a:lumMod val="75000"/>
              </a:schemeClr>
            </a:solidFill>
            <a:ln>
              <a:solidFill>
                <a:schemeClr val="bg1">
                  <a:lumMod val="75000"/>
                </a:schemeClr>
              </a:solidFill>
            </a:ln>
          </c:spPr>
          <c:invertIfNegative val="0"/>
          <c:dLbls>
            <c:dLbl>
              <c:idx val="0"/>
              <c:layout>
                <c:manualLayout>
                  <c:x val="9.1302436748680691E-3"/>
                  <c:y val="1.6973625342214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3A-4755-84B1-810054927F90}"/>
                </c:ext>
              </c:extLst>
            </c:dLbl>
            <c:dLbl>
              <c:idx val="1"/>
              <c:layout>
                <c:manualLayout>
                  <c:x val="-1.4313252250930985E-3"/>
                  <c:y val="0.202366024782453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3A-4755-84B1-810054927F90}"/>
                </c:ext>
              </c:extLst>
            </c:dLbl>
            <c:dLbl>
              <c:idx val="2"/>
              <c:layout>
                <c:manualLayout>
                  <c:x val="5.3043320703023114E-4"/>
                  <c:y val="0.28331799048509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3A-4755-84B1-810054927F90}"/>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Retroactivos!$A$10:$A$12</c:f>
              <c:strCache>
                <c:ptCount val="3"/>
                <c:pt idx="0">
                  <c:v>Diciembre</c:v>
                </c:pt>
                <c:pt idx="1">
                  <c:v>Noviembre</c:v>
                </c:pt>
                <c:pt idx="2">
                  <c:v>Octubre</c:v>
                </c:pt>
              </c:strCache>
            </c:strRef>
          </c:cat>
          <c:val>
            <c:numRef>
              <c:f>Retroactivos!$I$10:$I$12</c:f>
              <c:numCache>
                <c:formatCode>General</c:formatCode>
                <c:ptCount val="3"/>
                <c:pt idx="0">
                  <c:v>9</c:v>
                </c:pt>
                <c:pt idx="1">
                  <c:v>0</c:v>
                </c:pt>
                <c:pt idx="2">
                  <c:v>0</c:v>
                </c:pt>
              </c:numCache>
            </c:numRef>
          </c:val>
          <c:extLst>
            <c:ext xmlns:c16="http://schemas.microsoft.com/office/drawing/2014/chart" uri="{C3380CC4-5D6E-409C-BE32-E72D297353CC}">
              <c16:uniqueId val="{00000007-0F3A-4755-84B1-810054927F90}"/>
            </c:ext>
          </c:extLst>
        </c:ser>
        <c:dLbls>
          <c:showLegendKey val="0"/>
          <c:showVal val="1"/>
          <c:showCatName val="0"/>
          <c:showSerName val="0"/>
          <c:showPercent val="0"/>
          <c:showBubbleSize val="0"/>
        </c:dLbls>
        <c:gapWidth val="75"/>
        <c:axId val="1672051440"/>
        <c:axId val="1672050896"/>
      </c:barChart>
      <c:lineChart>
        <c:grouping val="standard"/>
        <c:varyColors val="0"/>
        <c:ser>
          <c:idx val="2"/>
          <c:order val="2"/>
          <c:tx>
            <c:strRef>
              <c:f>[2]Retroactivos!$M$7</c:f>
              <c:strCache>
                <c:ptCount val="1"/>
                <c:pt idx="0">
                  <c:v>Monto</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Pt>
            <c:idx val="0"/>
            <c:bubble3D val="0"/>
            <c:extLst>
              <c:ext xmlns:c16="http://schemas.microsoft.com/office/drawing/2014/chart" uri="{C3380CC4-5D6E-409C-BE32-E72D297353CC}">
                <c16:uniqueId val="{00000008-0F3A-4755-84B1-810054927F90}"/>
              </c:ext>
            </c:extLst>
          </c:dPt>
          <c:dLbls>
            <c:dLbl>
              <c:idx val="0"/>
              <c:layout>
                <c:manualLayout>
                  <c:x val="-8.2359133535238424E-2"/>
                  <c:y val="-9.2541531099133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3A-4755-84B1-810054927F90}"/>
                </c:ext>
              </c:extLst>
            </c:dLbl>
            <c:dLbl>
              <c:idx val="1"/>
              <c:layout>
                <c:manualLayout>
                  <c:x val="-5.2893779432831738E-2"/>
                  <c:y val="-0.32571542375975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3A-4755-84B1-810054927F90}"/>
                </c:ext>
              </c:extLst>
            </c:dLbl>
            <c:dLbl>
              <c:idx val="2"/>
              <c:layout>
                <c:manualLayout>
                  <c:x val="-8.9633781235704743E-2"/>
                  <c:y val="-0.164878776718152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3A-4755-84B1-810054927F90}"/>
                </c:ext>
              </c:extLst>
            </c:dLbl>
            <c:spPr>
              <a:noFill/>
              <a:ln>
                <a:noFill/>
              </a:ln>
              <a:effectLst/>
            </c:spPr>
            <c:txPr>
              <a:bodyPr wrap="square" lIns="38100" tIns="19050" rIns="38100" bIns="19050" anchor="ctr">
                <a:spAutoFit/>
              </a:bodyPr>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[2]Retroactivos!$A$9:$A$11</c:f>
              <c:strCache>
                <c:ptCount val="3"/>
                <c:pt idx="0">
                  <c:v>Marzo</c:v>
                </c:pt>
                <c:pt idx="1">
                  <c:v>Febrero</c:v>
                </c:pt>
                <c:pt idx="2">
                  <c:v>Enero</c:v>
                </c:pt>
              </c:strCache>
            </c:strRef>
          </c:cat>
          <c:val>
            <c:numRef>
              <c:f>Retroactivos!$J$10:$J$12</c:f>
              <c:numCache>
                <c:formatCode>General</c:formatCode>
                <c:ptCount val="3"/>
                <c:pt idx="0" formatCode="#,##0.00">
                  <c:v>102000</c:v>
                </c:pt>
                <c:pt idx="1">
                  <c:v>0</c:v>
                </c:pt>
                <c:pt idx="2">
                  <c:v>0</c:v>
                </c:pt>
              </c:numCache>
            </c:numRef>
          </c:val>
          <c:smooth val="0"/>
          <c:extLst>
            <c:ext xmlns:c16="http://schemas.microsoft.com/office/drawing/2014/chart" uri="{C3380CC4-5D6E-409C-BE32-E72D297353CC}">
              <c16:uniqueId val="{0000000B-0F3A-4755-84B1-810054927F90}"/>
            </c:ext>
          </c:extLst>
        </c:ser>
        <c:dLbls>
          <c:showLegendKey val="0"/>
          <c:showVal val="1"/>
          <c:showCatName val="0"/>
          <c:showSerName val="0"/>
          <c:showPercent val="0"/>
          <c:showBubbleSize val="0"/>
        </c:dLbls>
        <c:marker val="1"/>
        <c:smooth val="0"/>
        <c:axId val="1672055792"/>
        <c:axId val="1672053072"/>
      </c:lineChart>
      <c:catAx>
        <c:axId val="1672051440"/>
        <c:scaling>
          <c:orientation val="minMax"/>
        </c:scaling>
        <c:delete val="0"/>
        <c:axPos val="b"/>
        <c:numFmt formatCode="General" sourceLinked="0"/>
        <c:majorTickMark val="none"/>
        <c:minorTickMark val="none"/>
        <c:tickLblPos val="nextTo"/>
        <c:crossAx val="1672050896"/>
        <c:crosses val="autoZero"/>
        <c:auto val="1"/>
        <c:lblAlgn val="ctr"/>
        <c:lblOffset val="100"/>
        <c:noMultiLvlLbl val="0"/>
      </c:catAx>
      <c:valAx>
        <c:axId val="1672050896"/>
        <c:scaling>
          <c:orientation val="minMax"/>
        </c:scaling>
        <c:delete val="0"/>
        <c:axPos val="l"/>
        <c:numFmt formatCode="General" sourceLinked="1"/>
        <c:majorTickMark val="none"/>
        <c:minorTickMark val="none"/>
        <c:tickLblPos val="nextTo"/>
        <c:crossAx val="1672051440"/>
        <c:crosses val="autoZero"/>
        <c:crossBetween val="between"/>
      </c:valAx>
      <c:valAx>
        <c:axId val="1672053072"/>
        <c:scaling>
          <c:orientation val="minMax"/>
          <c:max val="75000000"/>
        </c:scaling>
        <c:delete val="0"/>
        <c:axPos val="r"/>
        <c:numFmt formatCode="#,##0.00" sourceLinked="1"/>
        <c:majorTickMark val="out"/>
        <c:minorTickMark val="none"/>
        <c:tickLblPos val="nextTo"/>
        <c:crossAx val="1672055792"/>
        <c:crosses val="max"/>
        <c:crossBetween val="between"/>
        <c:minorUnit val="1000000"/>
      </c:valAx>
      <c:catAx>
        <c:axId val="1672055792"/>
        <c:scaling>
          <c:orientation val="minMax"/>
        </c:scaling>
        <c:delete val="1"/>
        <c:axPos val="b"/>
        <c:numFmt formatCode="General" sourceLinked="1"/>
        <c:majorTickMark val="out"/>
        <c:minorTickMark val="none"/>
        <c:tickLblPos val="nextTo"/>
        <c:crossAx val="1672053072"/>
        <c:crosses val="autoZero"/>
        <c:auto val="1"/>
        <c:lblAlgn val="ctr"/>
        <c:lblOffset val="100"/>
        <c:noMultiLvlLbl val="0"/>
      </c:catAx>
    </c:plotArea>
    <c:legend>
      <c:legendPos val="b"/>
      <c:layout>
        <c:manualLayout>
          <c:xMode val="edge"/>
          <c:yMode val="edge"/>
          <c:x val="4.1237093529179432E-2"/>
          <c:y val="0.87879252468585134"/>
          <c:w val="0.83283095050881784"/>
          <c:h val="8.4031421083945429E-2"/>
        </c:manualLayout>
      </c:layout>
      <c:overlay val="0"/>
      <c:txPr>
        <a:bodyPr/>
        <a:lstStyle/>
        <a:p>
          <a:pPr>
            <a:defRPr sz="9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100" b="1">
                <a:solidFill>
                  <a:schemeClr val="tx2">
                    <a:lumMod val="60000"/>
                    <a:lumOff val="40000"/>
                  </a:schemeClr>
                </a:solidFill>
              </a:rPr>
              <a:t>Reintegro</a:t>
            </a:r>
            <a:r>
              <a:rPr lang="es-DO" sz="1100" b="1" baseline="0">
                <a:solidFill>
                  <a:schemeClr val="tx2">
                    <a:lumMod val="60000"/>
                    <a:lumOff val="40000"/>
                  </a:schemeClr>
                </a:solidFill>
              </a:rPr>
              <a:t> de Cheques</a:t>
            </a:r>
            <a:endParaRPr lang="es-DO" sz="1100" b="1">
              <a:solidFill>
                <a:schemeClr val="tx2">
                  <a:lumMod val="60000"/>
                  <a:lumOff val="4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Reintegros!$H$7</c:f>
              <c:strCache>
                <c:ptCount val="1"/>
                <c:pt idx="0">
                  <c:v>Cantidad 
de Cheques</c:v>
                </c:pt>
              </c:strCache>
            </c:strRef>
          </c:tx>
          <c:spPr>
            <a:solidFill>
              <a:schemeClr val="bg1">
                <a:lumMod val="65000"/>
              </a:schemeClr>
            </a:solidFill>
            <a:ln>
              <a:noFill/>
            </a:ln>
            <a:effectLst/>
          </c:spPr>
          <c:invertIfNegative val="0"/>
          <c:cat>
            <c:strRef>
              <c:f>Reintegros!$A$8:$A$10</c:f>
              <c:strCache>
                <c:ptCount val="3"/>
                <c:pt idx="0">
                  <c:v>Abril</c:v>
                </c:pt>
                <c:pt idx="1">
                  <c:v>Mayo</c:v>
                </c:pt>
                <c:pt idx="2">
                  <c:v>Junio</c:v>
                </c:pt>
              </c:strCache>
            </c:strRef>
          </c:cat>
          <c:val>
            <c:numRef>
              <c:f>Reintegros!$H$8:$H$10</c:f>
              <c:numCache>
                <c:formatCode>_(* #,##0_);_(* \(#,##0\);_(* "-"??_);_(@_)</c:formatCode>
                <c:ptCount val="3"/>
                <c:pt idx="0">
                  <c:v>0</c:v>
                </c:pt>
                <c:pt idx="1">
                  <c:v>80</c:v>
                </c:pt>
                <c:pt idx="2">
                  <c:v>2996</c:v>
                </c:pt>
              </c:numCache>
            </c:numRef>
          </c:val>
          <c:extLst>
            <c:ext xmlns:c16="http://schemas.microsoft.com/office/drawing/2014/chart" uri="{C3380CC4-5D6E-409C-BE32-E72D297353CC}">
              <c16:uniqueId val="{00000000-8DE3-4894-8909-6FB7CBDC635F}"/>
            </c:ext>
          </c:extLst>
        </c:ser>
        <c:ser>
          <c:idx val="1"/>
          <c:order val="1"/>
          <c:tx>
            <c:strRef>
              <c:f>Reintegros!$I$7</c:f>
              <c:strCache>
                <c:ptCount val="1"/>
                <c:pt idx="0">
                  <c:v>Monto</c:v>
                </c:pt>
              </c:strCache>
            </c:strRef>
          </c:tx>
          <c:spPr>
            <a:solidFill>
              <a:schemeClr val="accent3"/>
            </a:solidFill>
            <a:ln>
              <a:noFill/>
            </a:ln>
            <a:effectLst/>
          </c:spPr>
          <c:invertIfNegative val="0"/>
          <c:cat>
            <c:strRef>
              <c:f>Reintegros!$A$8:$A$10</c:f>
              <c:strCache>
                <c:ptCount val="3"/>
                <c:pt idx="0">
                  <c:v>Abril</c:v>
                </c:pt>
                <c:pt idx="1">
                  <c:v>Mayo</c:v>
                </c:pt>
                <c:pt idx="2">
                  <c:v>Junio</c:v>
                </c:pt>
              </c:strCache>
            </c:strRef>
          </c:cat>
          <c:val>
            <c:numRef>
              <c:f>Reintegros!$I$8:$I$10</c:f>
              <c:numCache>
                <c:formatCode>_(* #,##0.00_);_(* \(#,##0.00\);_(* "-"??_);_(@_)</c:formatCode>
                <c:ptCount val="3"/>
                <c:pt idx="0">
                  <c:v>0</c:v>
                </c:pt>
                <c:pt idx="1">
                  <c:v>797212.89</c:v>
                </c:pt>
                <c:pt idx="2" formatCode="_(* #,##0_);_(* \(#,##0\);_(* &quot;-&quot;??_);_(@_)">
                  <c:v>20744930.620000001</c:v>
                </c:pt>
              </c:numCache>
            </c:numRef>
          </c:val>
          <c:extLst>
            <c:ext xmlns:c16="http://schemas.microsoft.com/office/drawing/2014/chart" uri="{C3380CC4-5D6E-409C-BE32-E72D297353CC}">
              <c16:uniqueId val="{00000001-8DE3-4894-8909-6FB7CBDC635F}"/>
            </c:ext>
          </c:extLst>
        </c:ser>
        <c:dLbls>
          <c:showLegendKey val="0"/>
          <c:showVal val="0"/>
          <c:showCatName val="0"/>
          <c:showSerName val="0"/>
          <c:showPercent val="0"/>
          <c:showBubbleSize val="0"/>
        </c:dLbls>
        <c:gapWidth val="219"/>
        <c:overlap val="-27"/>
        <c:axId val="1672047088"/>
        <c:axId val="1672050352"/>
      </c:barChart>
      <c:catAx>
        <c:axId val="167204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50352"/>
        <c:crosses val="autoZero"/>
        <c:auto val="1"/>
        <c:lblAlgn val="ctr"/>
        <c:lblOffset val="100"/>
        <c:noMultiLvlLbl val="0"/>
      </c:catAx>
      <c:valAx>
        <c:axId val="1672050352"/>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4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100" b="1">
                <a:solidFill>
                  <a:schemeClr val="tx2">
                    <a:lumMod val="60000"/>
                    <a:lumOff val="40000"/>
                  </a:schemeClr>
                </a:solidFill>
              </a:rPr>
              <a:t>Créditos</a:t>
            </a:r>
            <a:r>
              <a:rPr lang="es-DO" sz="1100" b="1" baseline="0">
                <a:solidFill>
                  <a:schemeClr val="tx2">
                    <a:lumMod val="60000"/>
                    <a:lumOff val="40000"/>
                  </a:schemeClr>
                </a:solidFill>
              </a:rPr>
              <a:t> Rechazados</a:t>
            </a:r>
            <a:endParaRPr lang="es-DO" sz="1100" b="1">
              <a:solidFill>
                <a:schemeClr val="tx2">
                  <a:lumMod val="60000"/>
                  <a:lumOff val="4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'Créditos Rechazados'!$H$7</c:f>
              <c:strCache>
                <c:ptCount val="1"/>
                <c:pt idx="0">
                  <c:v>Cantidad 
</c:v>
                </c:pt>
              </c:strCache>
            </c:strRef>
          </c:tx>
          <c:spPr>
            <a:solidFill>
              <a:schemeClr val="bg1">
                <a:lumMod val="75000"/>
              </a:schemeClr>
            </a:solidFill>
            <a:ln>
              <a:solidFill>
                <a:schemeClr val="accent3">
                  <a:lumMod val="60000"/>
                  <a:lumOff val="40000"/>
                </a:schemeClr>
              </a:solidFill>
            </a:ln>
            <a:effectLst/>
          </c:spPr>
          <c:invertIfNegative val="0"/>
          <c:cat>
            <c:strRef>
              <c:f>'Créditos Rechazados'!$A$8:$A$10</c:f>
              <c:strCache>
                <c:ptCount val="3"/>
                <c:pt idx="0">
                  <c:v>Abril</c:v>
                </c:pt>
                <c:pt idx="1">
                  <c:v>Mayo</c:v>
                </c:pt>
                <c:pt idx="2">
                  <c:v>Junio</c:v>
                </c:pt>
              </c:strCache>
            </c:strRef>
          </c:cat>
          <c:val>
            <c:numRef>
              <c:f>'Créditos Rechazados'!$H$8:$H$10</c:f>
              <c:numCache>
                <c:formatCode>_(* #,##0_);_(* \(#,##0\);_(* "-"??_);_(@_)</c:formatCode>
                <c:ptCount val="3"/>
                <c:pt idx="0">
                  <c:v>0</c:v>
                </c:pt>
                <c:pt idx="1">
                  <c:v>40</c:v>
                </c:pt>
                <c:pt idx="2">
                  <c:v>142</c:v>
                </c:pt>
              </c:numCache>
            </c:numRef>
          </c:val>
          <c:extLst>
            <c:ext xmlns:c16="http://schemas.microsoft.com/office/drawing/2014/chart" uri="{C3380CC4-5D6E-409C-BE32-E72D297353CC}">
              <c16:uniqueId val="{00000000-1AA9-4FB4-B4A2-1D086BEA9BB5}"/>
            </c:ext>
          </c:extLst>
        </c:ser>
        <c:ser>
          <c:idx val="1"/>
          <c:order val="1"/>
          <c:tx>
            <c:strRef>
              <c:f>'Créditos Rechazados'!$I$7</c:f>
              <c:strCache>
                <c:ptCount val="1"/>
                <c:pt idx="0">
                  <c:v>Monto</c:v>
                </c:pt>
              </c:strCache>
            </c:strRef>
          </c:tx>
          <c:spPr>
            <a:solidFill>
              <a:schemeClr val="accent3"/>
            </a:solidFill>
            <a:ln>
              <a:noFill/>
            </a:ln>
            <a:effectLst/>
          </c:spPr>
          <c:invertIfNegative val="0"/>
          <c:cat>
            <c:strRef>
              <c:f>'Créditos Rechazados'!$A$8:$A$10</c:f>
              <c:strCache>
                <c:ptCount val="3"/>
                <c:pt idx="0">
                  <c:v>Abril</c:v>
                </c:pt>
                <c:pt idx="1">
                  <c:v>Mayo</c:v>
                </c:pt>
                <c:pt idx="2">
                  <c:v>Junio</c:v>
                </c:pt>
              </c:strCache>
            </c:strRef>
          </c:cat>
          <c:val>
            <c:numRef>
              <c:f>'Créditos Rechazados'!$I$8:$I$10</c:f>
              <c:numCache>
                <c:formatCode>_(* #,##0.00_);_(* \(#,##0.00\);_(* "-"??_);_(@_)</c:formatCode>
                <c:ptCount val="3"/>
                <c:pt idx="0">
                  <c:v>0</c:v>
                </c:pt>
                <c:pt idx="1">
                  <c:v>414032.22</c:v>
                </c:pt>
                <c:pt idx="2" formatCode="_(* #,##0_);_(* \(#,##0\);_(* &quot;-&quot;??_);_(@_)">
                  <c:v>1591442.78</c:v>
                </c:pt>
              </c:numCache>
            </c:numRef>
          </c:val>
          <c:extLst>
            <c:ext xmlns:c16="http://schemas.microsoft.com/office/drawing/2014/chart" uri="{C3380CC4-5D6E-409C-BE32-E72D297353CC}">
              <c16:uniqueId val="{00000001-1AA9-4FB4-B4A2-1D086BEA9BB5}"/>
            </c:ext>
          </c:extLst>
        </c:ser>
        <c:dLbls>
          <c:showLegendKey val="0"/>
          <c:showVal val="0"/>
          <c:showCatName val="0"/>
          <c:showSerName val="0"/>
          <c:showPercent val="0"/>
          <c:showBubbleSize val="0"/>
        </c:dLbls>
        <c:gapWidth val="219"/>
        <c:overlap val="-27"/>
        <c:axId val="1672047632"/>
        <c:axId val="1672049264"/>
      </c:barChart>
      <c:catAx>
        <c:axId val="167204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49264"/>
        <c:crosses val="autoZero"/>
        <c:auto val="1"/>
        <c:lblAlgn val="ctr"/>
        <c:lblOffset val="100"/>
        <c:noMultiLvlLbl val="0"/>
      </c:catAx>
      <c:valAx>
        <c:axId val="1672049264"/>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47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16805319017807"/>
          <c:y val="0.1147686611742301"/>
          <c:w val="0.71680195964278259"/>
          <c:h val="0.69625725323778975"/>
        </c:manualLayout>
      </c:layout>
      <c:barChart>
        <c:barDir val="col"/>
        <c:grouping val="clustered"/>
        <c:varyColors val="0"/>
        <c:ser>
          <c:idx val="0"/>
          <c:order val="0"/>
          <c:tx>
            <c:strRef>
              <c:f>'Recuperación Fondos'!#REF!</c:f>
              <c:strCache>
                <c:ptCount val="1"/>
                <c:pt idx="0">
                  <c:v>#¡REF!</c:v>
                </c:pt>
              </c:strCache>
            </c:strRef>
          </c:tx>
          <c:spPr>
            <a:solidFill>
              <a:schemeClr val="bg1">
                <a:lumMod val="75000"/>
              </a:schemeClr>
            </a:solidFill>
            <a:ln>
              <a:solidFill>
                <a:schemeClr val="bg1">
                  <a:lumMod val="75000"/>
                </a:schemeClr>
              </a:solidFill>
            </a:ln>
          </c:spPr>
          <c:invertIfNegative val="0"/>
          <c:dLbls>
            <c:delete val="1"/>
          </c:dLbls>
          <c:cat>
            <c:strRef>
              <c:f>'Recuperación Fondos'!$B$8:$B$10</c:f>
              <c:strCache>
                <c:ptCount val="3"/>
                <c:pt idx="0">
                  <c:v>Diciembre</c:v>
                </c:pt>
                <c:pt idx="1">
                  <c:v>Noviembre</c:v>
                </c:pt>
                <c:pt idx="2">
                  <c:v>Octubre</c:v>
                </c:pt>
              </c:strCache>
            </c:strRef>
          </c:cat>
          <c:val>
            <c:numRef>
              <c:f>'Recuperación Fondos'!$D$8:$D$10</c:f>
              <c:numCache>
                <c:formatCode>#,##0.00</c:formatCode>
                <c:ptCount val="3"/>
                <c:pt idx="0">
                  <c:v>1272638.93</c:v>
                </c:pt>
                <c:pt idx="1">
                  <c:v>2603374.4500000002</c:v>
                </c:pt>
                <c:pt idx="2">
                  <c:v>3979629.99</c:v>
                </c:pt>
              </c:numCache>
            </c:numRef>
          </c:val>
          <c:extLst>
            <c:ext xmlns:c16="http://schemas.microsoft.com/office/drawing/2014/chart" uri="{C3380CC4-5D6E-409C-BE32-E72D297353CC}">
              <c16:uniqueId val="{00000003-0E88-4E2F-9F0B-5DDC4BE0FCFF}"/>
            </c:ext>
          </c:extLst>
        </c:ser>
        <c:ser>
          <c:idx val="1"/>
          <c:order val="1"/>
          <c:tx>
            <c:strRef>
              <c:f>'Recuperación Fondos'!$G$7</c:f>
              <c:strCache>
                <c:ptCount val="1"/>
                <c:pt idx="0">
                  <c:v>Total 
Recuperado
(RD$)</c:v>
                </c:pt>
              </c:strCache>
            </c:strRef>
          </c:tx>
          <c:spPr>
            <a:solidFill>
              <a:schemeClr val="accent3">
                <a:lumMod val="60000"/>
                <a:lumOff val="40000"/>
              </a:schemeClr>
            </a:solidFill>
            <a:ln>
              <a:solidFill>
                <a:schemeClr val="accent3">
                  <a:lumMod val="60000"/>
                  <a:lumOff val="40000"/>
                </a:schemeClr>
              </a:solidFill>
            </a:ln>
          </c:spPr>
          <c:invertIfNegative val="0"/>
          <c:dLbls>
            <c:delete val="1"/>
          </c:dLbls>
          <c:cat>
            <c:strRef>
              <c:f>'Recuperación Fondos'!$B$8:$B$10</c:f>
              <c:strCache>
                <c:ptCount val="3"/>
                <c:pt idx="0">
                  <c:v>Diciembre</c:v>
                </c:pt>
                <c:pt idx="1">
                  <c:v>Noviembre</c:v>
                </c:pt>
                <c:pt idx="2">
                  <c:v>Octubre</c:v>
                </c:pt>
              </c:strCache>
            </c:strRef>
          </c:cat>
          <c:val>
            <c:numRef>
              <c:f>'Recuperación Fondos'!$G$8:$G$10</c:f>
              <c:numCache>
                <c:formatCode>#,##0.00</c:formatCode>
                <c:ptCount val="3"/>
                <c:pt idx="0">
                  <c:v>0</c:v>
                </c:pt>
                <c:pt idx="1">
                  <c:v>1029204.12</c:v>
                </c:pt>
                <c:pt idx="2">
                  <c:v>2157958.6700000004</c:v>
                </c:pt>
              </c:numCache>
            </c:numRef>
          </c:val>
          <c:extLst>
            <c:ext xmlns:c16="http://schemas.microsoft.com/office/drawing/2014/chart" uri="{C3380CC4-5D6E-409C-BE32-E72D297353CC}">
              <c16:uniqueId val="{00000007-0E88-4E2F-9F0B-5DDC4BE0FCFF}"/>
            </c:ext>
          </c:extLst>
        </c:ser>
        <c:dLbls>
          <c:showLegendKey val="0"/>
          <c:showVal val="1"/>
          <c:showCatName val="0"/>
          <c:showSerName val="0"/>
          <c:showPercent val="0"/>
          <c:showBubbleSize val="0"/>
        </c:dLbls>
        <c:gapWidth val="75"/>
        <c:axId val="1672048720"/>
        <c:axId val="1672045456"/>
      </c:barChart>
      <c:lineChart>
        <c:grouping val="standard"/>
        <c:varyColors val="0"/>
        <c:ser>
          <c:idx val="2"/>
          <c:order val="2"/>
          <c:tx>
            <c:strRef>
              <c:f>'Recuperación Fondos'!$H$7</c:f>
              <c:strCache>
                <c:ptCount val="1"/>
                <c:pt idx="0">
                  <c:v>% Recuperado</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0.1065692148344429"/>
                  <c:y val="-5.9700380291103083E-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0.18845559341553544"/>
                      <c:h val="7.819151767496052E-2"/>
                    </c:manualLayout>
                  </c15:layout>
                </c:ext>
                <c:ext xmlns:c16="http://schemas.microsoft.com/office/drawing/2014/chart" uri="{C3380CC4-5D6E-409C-BE32-E72D297353CC}">
                  <c16:uniqueId val="{00000008-0E88-4E2F-9F0B-5DDC4BE0FCFF}"/>
                </c:ext>
              </c:extLst>
            </c:dLbl>
            <c:dLbl>
              <c:idx val="1"/>
              <c:layout>
                <c:manualLayout>
                  <c:x val="-1.4355130968119342E-2"/>
                  <c:y val="-8.6542396839384667E-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0.19857335787928806"/>
                      <c:h val="5.9413535524393636E-2"/>
                    </c:manualLayout>
                  </c15:layout>
                </c:ext>
                <c:ext xmlns:c16="http://schemas.microsoft.com/office/drawing/2014/chart" uri="{C3380CC4-5D6E-409C-BE32-E72D297353CC}">
                  <c16:uniqueId val="{00000009-0E88-4E2F-9F0B-5DDC4BE0FCFF}"/>
                </c:ext>
              </c:extLst>
            </c:dLbl>
            <c:dLbl>
              <c:idx val="2"/>
              <c:layout>
                <c:manualLayout>
                  <c:x val="-1.9030230582906038E-2"/>
                  <c:y val="-4.24450411341311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88-4E2F-9F0B-5DDC4BE0FCFF}"/>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'Recuperación Fondos'!$B$8:$B$10</c:f>
              <c:strCache>
                <c:ptCount val="3"/>
                <c:pt idx="0">
                  <c:v>Diciembre</c:v>
                </c:pt>
                <c:pt idx="1">
                  <c:v>Noviembre</c:v>
                </c:pt>
                <c:pt idx="2">
                  <c:v>Octubre</c:v>
                </c:pt>
              </c:strCache>
            </c:strRef>
          </c:cat>
          <c:val>
            <c:numRef>
              <c:f>'Recuperación Fondos'!$H$8:$H$10</c:f>
              <c:numCache>
                <c:formatCode>0.00%</c:formatCode>
                <c:ptCount val="3"/>
                <c:pt idx="0">
                  <c:v>0</c:v>
                </c:pt>
                <c:pt idx="1">
                  <c:v>0.39533464730745893</c:v>
                </c:pt>
                <c:pt idx="2">
                  <c:v>0.54225108249322451</c:v>
                </c:pt>
              </c:numCache>
            </c:numRef>
          </c:val>
          <c:smooth val="0"/>
          <c:extLst>
            <c:ext xmlns:c16="http://schemas.microsoft.com/office/drawing/2014/chart" uri="{C3380CC4-5D6E-409C-BE32-E72D297353CC}">
              <c16:uniqueId val="{0000000B-0E88-4E2F-9F0B-5DDC4BE0FCFF}"/>
            </c:ext>
          </c:extLst>
        </c:ser>
        <c:dLbls>
          <c:showLegendKey val="0"/>
          <c:showVal val="1"/>
          <c:showCatName val="0"/>
          <c:showSerName val="0"/>
          <c:showPercent val="0"/>
          <c:showBubbleSize val="0"/>
        </c:dLbls>
        <c:marker val="1"/>
        <c:smooth val="0"/>
        <c:axId val="1672048176"/>
        <c:axId val="1672052528"/>
      </c:lineChart>
      <c:valAx>
        <c:axId val="1672052528"/>
        <c:scaling>
          <c:orientation val="minMax"/>
        </c:scaling>
        <c:delete val="0"/>
        <c:axPos val="r"/>
        <c:numFmt formatCode="0.00%" sourceLinked="1"/>
        <c:majorTickMark val="none"/>
        <c:minorTickMark val="none"/>
        <c:tickLblPos val="nextTo"/>
        <c:crossAx val="1672048176"/>
        <c:crosses val="max"/>
        <c:crossBetween val="between"/>
      </c:valAx>
      <c:catAx>
        <c:axId val="1672048176"/>
        <c:scaling>
          <c:orientation val="minMax"/>
        </c:scaling>
        <c:delete val="0"/>
        <c:axPos val="b"/>
        <c:numFmt formatCode="General" sourceLinked="0"/>
        <c:majorTickMark val="none"/>
        <c:minorTickMark val="none"/>
        <c:tickLblPos val="nextTo"/>
        <c:crossAx val="1672052528"/>
        <c:crosses val="autoZero"/>
        <c:auto val="1"/>
        <c:lblAlgn val="ctr"/>
        <c:lblOffset val="100"/>
        <c:noMultiLvlLbl val="0"/>
      </c:catAx>
      <c:valAx>
        <c:axId val="1672045456"/>
        <c:scaling>
          <c:orientation val="minMax"/>
          <c:max val="5500000"/>
          <c:min val="0"/>
        </c:scaling>
        <c:delete val="0"/>
        <c:axPos val="l"/>
        <c:numFmt formatCode="#,##0.00" sourceLinked="1"/>
        <c:majorTickMark val="out"/>
        <c:minorTickMark val="none"/>
        <c:tickLblPos val="nextTo"/>
        <c:crossAx val="1672048720"/>
        <c:crosses val="autoZero"/>
        <c:crossBetween val="between"/>
        <c:majorUnit val="500000"/>
      </c:valAx>
      <c:catAx>
        <c:axId val="1672048720"/>
        <c:scaling>
          <c:orientation val="minMax"/>
        </c:scaling>
        <c:delete val="1"/>
        <c:axPos val="b"/>
        <c:numFmt formatCode="General" sourceLinked="1"/>
        <c:majorTickMark val="out"/>
        <c:minorTickMark val="none"/>
        <c:tickLblPos val="nextTo"/>
        <c:crossAx val="1672045456"/>
        <c:crosses val="autoZero"/>
        <c:auto val="1"/>
        <c:lblAlgn val="ctr"/>
        <c:lblOffset val="100"/>
        <c:noMultiLvlLbl val="0"/>
      </c:catAx>
    </c:plotArea>
    <c:legend>
      <c:legendPos val="b"/>
      <c:layout>
        <c:manualLayout>
          <c:xMode val="edge"/>
          <c:yMode val="edge"/>
          <c:x val="5.3993875765529317E-2"/>
          <c:y val="0.88255888804797156"/>
          <c:w val="0.93908317128375152"/>
          <c:h val="0.11552609543110062"/>
        </c:manualLayout>
      </c:layout>
      <c:overlay val="0"/>
      <c:txPr>
        <a:bodyPr/>
        <a:lstStyle/>
        <a:p>
          <a:pPr>
            <a:defRPr sz="800" baseline="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1"/>
          <c:order val="0"/>
          <c:tx>
            <c:strRef>
              <c:f>Servicios!$M$11</c:f>
              <c:strCache>
                <c:ptCount val="1"/>
                <c:pt idx="0">
                  <c:v>Recibidas</c:v>
                </c:pt>
              </c:strCache>
            </c:strRef>
          </c:tx>
          <c:spPr>
            <a:solidFill>
              <a:schemeClr val="bg1">
                <a:lumMod val="65000"/>
              </a:schemeClr>
            </a:solidFill>
            <a:ln>
              <a:solidFill>
                <a:schemeClr val="bg1">
                  <a:lumMod val="65000"/>
                </a:schemeClr>
              </a:solidFill>
            </a:ln>
          </c:spPr>
          <c:invertIfNegative val="0"/>
          <c:cat>
            <c:strRef>
              <c:f>Servicios!$C$12:$C$24</c:f>
              <c:strCache>
                <c:ptCount val="13"/>
                <c:pt idx="0">
                  <c:v>Modificación Datos Críticos</c:v>
                </c:pt>
                <c:pt idx="1">
                  <c:v>Pensión por sobrevivencia</c:v>
                </c:pt>
                <c:pt idx="2">
                  <c:v>Registro de Poderes</c:v>
                </c:pt>
                <c:pt idx="3">
                  <c:v>Solicitud Aplicación/Suspensión de Descuento 2%</c:v>
                </c:pt>
                <c:pt idx="4">
                  <c:v>Solicitud Pago Único Compensatorio</c:v>
                </c:pt>
                <c:pt idx="5">
                  <c:v>Solicitud Pensión</c:v>
                </c:pt>
                <c:pt idx="6">
                  <c:v>Solicitud Re-activación/Re-inclusión Pensión</c:v>
                </c:pt>
                <c:pt idx="7">
                  <c:v>Solicitud Traspaso</c:v>
                </c:pt>
                <c:pt idx="8">
                  <c:v>Solicitud de Exclusión</c:v>
                </c:pt>
                <c:pt idx="9">
                  <c:v>Solicitud de Inclusión a Nómina</c:v>
                </c:pt>
                <c:pt idx="10">
                  <c:v>Solicitud de Reajuste de Pensión</c:v>
                </c:pt>
                <c:pt idx="11">
                  <c:v>Solicitud de Reclamación de Deuda</c:v>
                </c:pt>
                <c:pt idx="12">
                  <c:v>Solicitud de actualización de datos  Pensionados</c:v>
                </c:pt>
              </c:strCache>
            </c:strRef>
          </c:cat>
          <c:val>
            <c:numRef>
              <c:f>Servicios!$M$12:$M$24</c:f>
              <c:numCache>
                <c:formatCode>#,##0</c:formatCode>
                <c:ptCount val="13"/>
                <c:pt idx="0">
                  <c:v>15</c:v>
                </c:pt>
                <c:pt idx="1">
                  <c:v>420</c:v>
                </c:pt>
                <c:pt idx="2">
                  <c:v>132</c:v>
                </c:pt>
                <c:pt idx="3">
                  <c:v>657</c:v>
                </c:pt>
                <c:pt idx="4">
                  <c:v>115</c:v>
                </c:pt>
                <c:pt idx="5">
                  <c:v>1155</c:v>
                </c:pt>
                <c:pt idx="6">
                  <c:v>259</c:v>
                </c:pt>
                <c:pt idx="7">
                  <c:v>21</c:v>
                </c:pt>
                <c:pt idx="8">
                  <c:v>813</c:v>
                </c:pt>
                <c:pt idx="9">
                  <c:v>8656</c:v>
                </c:pt>
                <c:pt idx="10">
                  <c:v>33</c:v>
                </c:pt>
                <c:pt idx="11">
                  <c:v>302</c:v>
                </c:pt>
                <c:pt idx="12">
                  <c:v>17693</c:v>
                </c:pt>
              </c:numCache>
            </c:numRef>
          </c:val>
          <c:extLst>
            <c:ext xmlns:c16="http://schemas.microsoft.com/office/drawing/2014/chart" uri="{C3380CC4-5D6E-409C-BE32-E72D297353CC}">
              <c16:uniqueId val="{00000000-87CC-45A1-A6C8-669D4A3C48EA}"/>
            </c:ext>
          </c:extLst>
        </c:ser>
        <c:ser>
          <c:idx val="22"/>
          <c:order val="1"/>
          <c:tx>
            <c:strRef>
              <c:f>Servicios!$N$11</c:f>
              <c:strCache>
                <c:ptCount val="1"/>
                <c:pt idx="0">
                  <c:v>Procesadas</c:v>
                </c:pt>
              </c:strCache>
            </c:strRef>
          </c:tx>
          <c:spPr>
            <a:solidFill>
              <a:schemeClr val="accent3">
                <a:lumMod val="60000"/>
                <a:lumOff val="40000"/>
              </a:schemeClr>
            </a:solidFill>
            <a:ln>
              <a:solidFill>
                <a:schemeClr val="accent3">
                  <a:lumMod val="60000"/>
                  <a:lumOff val="40000"/>
                </a:schemeClr>
              </a:solidFill>
            </a:ln>
          </c:spPr>
          <c:invertIfNegative val="0"/>
          <c:cat>
            <c:strRef>
              <c:f>Servicios!$C$12:$C$24</c:f>
              <c:strCache>
                <c:ptCount val="13"/>
                <c:pt idx="0">
                  <c:v>Modificación Datos Críticos</c:v>
                </c:pt>
                <c:pt idx="1">
                  <c:v>Pensión por sobrevivencia</c:v>
                </c:pt>
                <c:pt idx="2">
                  <c:v>Registro de Poderes</c:v>
                </c:pt>
                <c:pt idx="3">
                  <c:v>Solicitud Aplicación/Suspensión de Descuento 2%</c:v>
                </c:pt>
                <c:pt idx="4">
                  <c:v>Solicitud Pago Único Compensatorio</c:v>
                </c:pt>
                <c:pt idx="5">
                  <c:v>Solicitud Pensión</c:v>
                </c:pt>
                <c:pt idx="6">
                  <c:v>Solicitud Re-activación/Re-inclusión Pensión</c:v>
                </c:pt>
                <c:pt idx="7">
                  <c:v>Solicitud Traspaso</c:v>
                </c:pt>
                <c:pt idx="8">
                  <c:v>Solicitud de Exclusión</c:v>
                </c:pt>
                <c:pt idx="9">
                  <c:v>Solicitud de Inclusión a Nómina</c:v>
                </c:pt>
                <c:pt idx="10">
                  <c:v>Solicitud de Reajuste de Pensión</c:v>
                </c:pt>
                <c:pt idx="11">
                  <c:v>Solicitud de Reclamación de Deuda</c:v>
                </c:pt>
                <c:pt idx="12">
                  <c:v>Solicitud de actualización de datos  Pensionados</c:v>
                </c:pt>
              </c:strCache>
            </c:strRef>
          </c:cat>
          <c:val>
            <c:numRef>
              <c:f>Servicios!$N$12:$N$24</c:f>
              <c:numCache>
                <c:formatCode>#,##0</c:formatCode>
                <c:ptCount val="13"/>
                <c:pt idx="0">
                  <c:v>15</c:v>
                </c:pt>
                <c:pt idx="1">
                  <c:v>406</c:v>
                </c:pt>
                <c:pt idx="2">
                  <c:v>88</c:v>
                </c:pt>
                <c:pt idx="3">
                  <c:v>653</c:v>
                </c:pt>
                <c:pt idx="4">
                  <c:v>111</c:v>
                </c:pt>
                <c:pt idx="5">
                  <c:v>1134</c:v>
                </c:pt>
                <c:pt idx="6">
                  <c:v>252</c:v>
                </c:pt>
                <c:pt idx="7">
                  <c:v>21</c:v>
                </c:pt>
                <c:pt idx="8">
                  <c:v>800</c:v>
                </c:pt>
                <c:pt idx="9">
                  <c:v>8581</c:v>
                </c:pt>
                <c:pt idx="10">
                  <c:v>33</c:v>
                </c:pt>
                <c:pt idx="11">
                  <c:v>297</c:v>
                </c:pt>
                <c:pt idx="12">
                  <c:v>17598</c:v>
                </c:pt>
              </c:numCache>
            </c:numRef>
          </c:val>
          <c:extLst>
            <c:ext xmlns:c16="http://schemas.microsoft.com/office/drawing/2014/chart" uri="{C3380CC4-5D6E-409C-BE32-E72D297353CC}">
              <c16:uniqueId val="{00000001-87CC-45A1-A6C8-669D4A3C48EA}"/>
            </c:ext>
          </c:extLst>
        </c:ser>
        <c:dLbls>
          <c:showLegendKey val="0"/>
          <c:showVal val="0"/>
          <c:showCatName val="0"/>
          <c:showSerName val="0"/>
          <c:showPercent val="0"/>
          <c:showBubbleSize val="0"/>
        </c:dLbls>
        <c:gapWidth val="50"/>
        <c:axId val="1672055248"/>
        <c:axId val="1672041104"/>
      </c:barChart>
      <c:lineChart>
        <c:grouping val="standard"/>
        <c:varyColors val="0"/>
        <c:ser>
          <c:idx val="23"/>
          <c:order val="2"/>
          <c:tx>
            <c:strRef>
              <c:f>Servicios!$O$11</c:f>
              <c:strCache>
                <c:ptCount val="1"/>
                <c:pt idx="0">
                  <c:v>% Eficiencia</c:v>
                </c:pt>
              </c:strCache>
            </c:strRef>
          </c:tx>
          <c:spPr>
            <a:ln>
              <a:solidFill>
                <a:schemeClr val="accent1"/>
              </a:solidFill>
            </a:ln>
          </c:spPr>
          <c:marker>
            <c:symbol val="triangle"/>
            <c:size val="7"/>
            <c:spPr>
              <a:solidFill>
                <a:schemeClr val="accent1"/>
              </a:solidFill>
              <a:ln>
                <a:solidFill>
                  <a:schemeClr val="accent1"/>
                </a:solidFill>
              </a:ln>
            </c:spPr>
          </c:marker>
          <c:cat>
            <c:strRef>
              <c:f>Servicios!$C$12:$C$24</c:f>
              <c:strCache>
                <c:ptCount val="13"/>
                <c:pt idx="0">
                  <c:v>Modificación Datos Críticos</c:v>
                </c:pt>
                <c:pt idx="1">
                  <c:v>Pensión por sobrevivencia</c:v>
                </c:pt>
                <c:pt idx="2">
                  <c:v>Registro de Poderes</c:v>
                </c:pt>
                <c:pt idx="3">
                  <c:v>Solicitud Aplicación/Suspensión de Descuento 2%</c:v>
                </c:pt>
                <c:pt idx="4">
                  <c:v>Solicitud Pago Único Compensatorio</c:v>
                </c:pt>
                <c:pt idx="5">
                  <c:v>Solicitud Pensión</c:v>
                </c:pt>
                <c:pt idx="6">
                  <c:v>Solicitud Re-activación/Re-inclusión Pensión</c:v>
                </c:pt>
                <c:pt idx="7">
                  <c:v>Solicitud Traspaso</c:v>
                </c:pt>
                <c:pt idx="8">
                  <c:v>Solicitud de Exclusión</c:v>
                </c:pt>
                <c:pt idx="9">
                  <c:v>Solicitud de Inclusión a Nómina</c:v>
                </c:pt>
                <c:pt idx="10">
                  <c:v>Solicitud de Reajuste de Pensión</c:v>
                </c:pt>
                <c:pt idx="11">
                  <c:v>Solicitud de Reclamación de Deuda</c:v>
                </c:pt>
                <c:pt idx="12">
                  <c:v>Solicitud de actualización de datos  Pensionados</c:v>
                </c:pt>
              </c:strCache>
            </c:strRef>
          </c:cat>
          <c:val>
            <c:numRef>
              <c:f>Servicios!$O$12:$O$24</c:f>
              <c:numCache>
                <c:formatCode>0.00%</c:formatCode>
                <c:ptCount val="13"/>
                <c:pt idx="0">
                  <c:v>1</c:v>
                </c:pt>
                <c:pt idx="1">
                  <c:v>0.96666666666666667</c:v>
                </c:pt>
                <c:pt idx="2">
                  <c:v>0.66666666666666663</c:v>
                </c:pt>
                <c:pt idx="3">
                  <c:v>0.9939117199391172</c:v>
                </c:pt>
                <c:pt idx="4">
                  <c:v>0.9652173913043478</c:v>
                </c:pt>
                <c:pt idx="5">
                  <c:v>0.98181818181818181</c:v>
                </c:pt>
                <c:pt idx="6">
                  <c:v>0.97297297297297303</c:v>
                </c:pt>
                <c:pt idx="7">
                  <c:v>1</c:v>
                </c:pt>
                <c:pt idx="8">
                  <c:v>0.98400984009840098</c:v>
                </c:pt>
                <c:pt idx="9">
                  <c:v>0.99133548983364139</c:v>
                </c:pt>
                <c:pt idx="10">
                  <c:v>1</c:v>
                </c:pt>
                <c:pt idx="11">
                  <c:v>0.98344370860927155</c:v>
                </c:pt>
                <c:pt idx="12">
                  <c:v>0.99463064488780872</c:v>
                </c:pt>
              </c:numCache>
            </c:numRef>
          </c:val>
          <c:smooth val="0"/>
          <c:extLst>
            <c:ext xmlns:c16="http://schemas.microsoft.com/office/drawing/2014/chart" uri="{C3380CC4-5D6E-409C-BE32-E72D297353CC}">
              <c16:uniqueId val="{00000002-87CC-45A1-A6C8-669D4A3C48EA}"/>
            </c:ext>
          </c:extLst>
        </c:ser>
        <c:dLbls>
          <c:showLegendKey val="0"/>
          <c:showVal val="0"/>
          <c:showCatName val="0"/>
          <c:showSerName val="0"/>
          <c:showPercent val="0"/>
          <c:showBubbleSize val="0"/>
        </c:dLbls>
        <c:marker val="1"/>
        <c:smooth val="0"/>
        <c:axId val="1672042192"/>
        <c:axId val="1672041648"/>
      </c:lineChart>
      <c:catAx>
        <c:axId val="1672055248"/>
        <c:scaling>
          <c:orientation val="minMax"/>
        </c:scaling>
        <c:delete val="0"/>
        <c:axPos val="b"/>
        <c:numFmt formatCode="General" sourceLinked="0"/>
        <c:majorTickMark val="out"/>
        <c:minorTickMark val="none"/>
        <c:tickLblPos val="nextTo"/>
        <c:txPr>
          <a:bodyPr/>
          <a:lstStyle/>
          <a:p>
            <a:pPr>
              <a:defRPr sz="800"/>
            </a:pPr>
            <a:endParaRPr lang="es-DO"/>
          </a:p>
        </c:txPr>
        <c:crossAx val="1672041104"/>
        <c:crosses val="autoZero"/>
        <c:auto val="1"/>
        <c:lblAlgn val="ctr"/>
        <c:lblOffset val="100"/>
        <c:noMultiLvlLbl val="0"/>
      </c:catAx>
      <c:valAx>
        <c:axId val="1672041104"/>
        <c:scaling>
          <c:logBase val="10"/>
          <c:orientation val="minMax"/>
        </c:scaling>
        <c:delete val="0"/>
        <c:axPos val="l"/>
        <c:majorGridlines>
          <c:spPr>
            <a:ln>
              <a:noFill/>
            </a:ln>
          </c:spPr>
        </c:majorGridlines>
        <c:numFmt formatCode="#,##0" sourceLinked="1"/>
        <c:majorTickMark val="out"/>
        <c:minorTickMark val="none"/>
        <c:tickLblPos val="nextTo"/>
        <c:crossAx val="1672055248"/>
        <c:crosses val="autoZero"/>
        <c:crossBetween val="between"/>
      </c:valAx>
      <c:valAx>
        <c:axId val="1672041648"/>
        <c:scaling>
          <c:orientation val="minMax"/>
          <c:max val="1"/>
          <c:min val="0.60000000000000009"/>
        </c:scaling>
        <c:delete val="0"/>
        <c:axPos val="r"/>
        <c:numFmt formatCode="0.00%" sourceLinked="1"/>
        <c:majorTickMark val="out"/>
        <c:minorTickMark val="none"/>
        <c:tickLblPos val="nextTo"/>
        <c:crossAx val="1672042192"/>
        <c:crosses val="max"/>
        <c:crossBetween val="between"/>
        <c:majorUnit val="0.1"/>
        <c:minorUnit val="5.000000000000001E-2"/>
      </c:valAx>
      <c:catAx>
        <c:axId val="1672042192"/>
        <c:scaling>
          <c:orientation val="minMax"/>
        </c:scaling>
        <c:delete val="1"/>
        <c:axPos val="b"/>
        <c:numFmt formatCode="General" sourceLinked="1"/>
        <c:majorTickMark val="out"/>
        <c:minorTickMark val="none"/>
        <c:tickLblPos val="nextTo"/>
        <c:crossAx val="1672041648"/>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38664806911048"/>
          <c:y val="5.0716308869218719E-2"/>
          <c:w val="0.72531949312952637"/>
          <c:h val="0.40687403840498843"/>
        </c:manualLayout>
      </c:layout>
      <c:barChart>
        <c:barDir val="col"/>
        <c:grouping val="clustered"/>
        <c:varyColors val="0"/>
        <c:ser>
          <c:idx val="21"/>
          <c:order val="0"/>
          <c:tx>
            <c:strRef>
              <c:f>Servicios!$M$11</c:f>
              <c:strCache>
                <c:ptCount val="1"/>
                <c:pt idx="0">
                  <c:v>Recibidas</c:v>
                </c:pt>
              </c:strCache>
            </c:strRef>
          </c:tx>
          <c:spPr>
            <a:solidFill>
              <a:schemeClr val="bg1">
                <a:lumMod val="65000"/>
              </a:schemeClr>
            </a:solidFill>
            <a:ln>
              <a:solidFill>
                <a:schemeClr val="bg1">
                  <a:lumMod val="65000"/>
                </a:schemeClr>
              </a:solidFill>
            </a:ln>
          </c:spPr>
          <c:invertIfNegative val="0"/>
          <c:cat>
            <c:strRef>
              <c:f>Servicios!$C$34:$C$51</c:f>
              <c:strCache>
                <c:ptCount val="14"/>
                <c:pt idx="0">
                  <c:v>Pensión por Sobrevivencia Conyugue</c:v>
                </c:pt>
                <c:pt idx="1">
                  <c:v>Pensión por Sobrevivencia Concubina</c:v>
                </c:pt>
                <c:pt idx="2">
                  <c:v>Pensión por Sobrevivencia Menor</c:v>
                </c:pt>
                <c:pt idx="3">
                  <c:v>Pensión por Sobrevivencia Padres</c:v>
                </c:pt>
                <c:pt idx="4">
                  <c:v>Pension por Sobrevivencia Estudiante PN</c:v>
                </c:pt>
                <c:pt idx="5">
                  <c:v>Solicitud Modificación Monto Pensión</c:v>
                </c:pt>
                <c:pt idx="6">
                  <c:v>Solicitud de Inclusión a Nómina</c:v>
                </c:pt>
                <c:pt idx="7">
                  <c:v>Reactivacion</c:v>
                </c:pt>
                <c:pt idx="8">
                  <c:v>Reinclusion</c:v>
                </c:pt>
                <c:pt idx="9">
                  <c:v>Solicitud de Suspension de Descuento SDL</c:v>
                </c:pt>
                <c:pt idx="10">
                  <c:v>Solicitud de aplicacion de Descuento ADL</c:v>
                </c:pt>
                <c:pt idx="11">
                  <c:v>Reembolso - RE</c:v>
                </c:pt>
                <c:pt idx="12">
                  <c:v>Retroactivo – RTI</c:v>
                </c:pt>
                <c:pt idx="13">
                  <c:v>Retroactivo – RT</c:v>
                </c:pt>
              </c:strCache>
            </c:strRef>
          </c:cat>
          <c:val>
            <c:numRef>
              <c:f>Servicios!$M$34:$M$51</c:f>
              <c:numCache>
                <c:formatCode>#,##0</c:formatCode>
                <c:ptCount val="14"/>
                <c:pt idx="0">
                  <c:v>264</c:v>
                </c:pt>
                <c:pt idx="1">
                  <c:v>81</c:v>
                </c:pt>
                <c:pt idx="2">
                  <c:v>16</c:v>
                </c:pt>
                <c:pt idx="3">
                  <c:v>4</c:v>
                </c:pt>
                <c:pt idx="4">
                  <c:v>8</c:v>
                </c:pt>
                <c:pt idx="5">
                  <c:v>430</c:v>
                </c:pt>
                <c:pt idx="6">
                  <c:v>9831</c:v>
                </c:pt>
                <c:pt idx="7">
                  <c:v>179</c:v>
                </c:pt>
                <c:pt idx="8">
                  <c:v>123</c:v>
                </c:pt>
                <c:pt idx="9">
                  <c:v>83</c:v>
                </c:pt>
                <c:pt idx="10">
                  <c:v>33</c:v>
                </c:pt>
                <c:pt idx="11">
                  <c:v>32</c:v>
                </c:pt>
                <c:pt idx="12">
                  <c:v>879</c:v>
                </c:pt>
                <c:pt idx="13">
                  <c:v>46</c:v>
                </c:pt>
              </c:numCache>
            </c:numRef>
          </c:val>
          <c:extLst>
            <c:ext xmlns:c16="http://schemas.microsoft.com/office/drawing/2014/chart" uri="{C3380CC4-5D6E-409C-BE32-E72D297353CC}">
              <c16:uniqueId val="{00000000-06E3-4EA1-A621-3A7FC20B75EF}"/>
            </c:ext>
          </c:extLst>
        </c:ser>
        <c:ser>
          <c:idx val="22"/>
          <c:order val="1"/>
          <c:tx>
            <c:strRef>
              <c:f>Servicios!$N$11</c:f>
              <c:strCache>
                <c:ptCount val="1"/>
                <c:pt idx="0">
                  <c:v>Procesadas</c:v>
                </c:pt>
              </c:strCache>
            </c:strRef>
          </c:tx>
          <c:spPr>
            <a:solidFill>
              <a:schemeClr val="accent3">
                <a:lumMod val="60000"/>
                <a:lumOff val="40000"/>
              </a:schemeClr>
            </a:solidFill>
            <a:ln>
              <a:solidFill>
                <a:schemeClr val="accent3">
                  <a:lumMod val="60000"/>
                  <a:lumOff val="40000"/>
                </a:schemeClr>
              </a:solidFill>
            </a:ln>
          </c:spPr>
          <c:invertIfNegative val="0"/>
          <c:cat>
            <c:strRef>
              <c:f>Servicios!$C$34:$C$51</c:f>
              <c:strCache>
                <c:ptCount val="14"/>
                <c:pt idx="0">
                  <c:v>Pensión por Sobrevivencia Conyugue</c:v>
                </c:pt>
                <c:pt idx="1">
                  <c:v>Pensión por Sobrevivencia Concubina</c:v>
                </c:pt>
                <c:pt idx="2">
                  <c:v>Pensión por Sobrevivencia Menor</c:v>
                </c:pt>
                <c:pt idx="3">
                  <c:v>Pensión por Sobrevivencia Padres</c:v>
                </c:pt>
                <c:pt idx="4">
                  <c:v>Pension por Sobrevivencia Estudiante PN</c:v>
                </c:pt>
                <c:pt idx="5">
                  <c:v>Solicitud Modificación Monto Pensión</c:v>
                </c:pt>
                <c:pt idx="6">
                  <c:v>Solicitud de Inclusión a Nómina</c:v>
                </c:pt>
                <c:pt idx="7">
                  <c:v>Reactivacion</c:v>
                </c:pt>
                <c:pt idx="8">
                  <c:v>Reinclusion</c:v>
                </c:pt>
                <c:pt idx="9">
                  <c:v>Solicitud de Suspension de Descuento SDL</c:v>
                </c:pt>
                <c:pt idx="10">
                  <c:v>Solicitud de aplicacion de Descuento ADL</c:v>
                </c:pt>
                <c:pt idx="11">
                  <c:v>Reembolso - RE</c:v>
                </c:pt>
                <c:pt idx="12">
                  <c:v>Retroactivo – RTI</c:v>
                </c:pt>
                <c:pt idx="13">
                  <c:v>Retroactivo – RT</c:v>
                </c:pt>
              </c:strCache>
            </c:strRef>
          </c:cat>
          <c:val>
            <c:numRef>
              <c:f>Servicios!$N$34:$N$51</c:f>
              <c:numCache>
                <c:formatCode>#,##0</c:formatCode>
                <c:ptCount val="14"/>
                <c:pt idx="0">
                  <c:v>264</c:v>
                </c:pt>
                <c:pt idx="1">
                  <c:v>47</c:v>
                </c:pt>
                <c:pt idx="2">
                  <c:v>16</c:v>
                </c:pt>
                <c:pt idx="3">
                  <c:v>4</c:v>
                </c:pt>
                <c:pt idx="4">
                  <c:v>8</c:v>
                </c:pt>
                <c:pt idx="5">
                  <c:v>430</c:v>
                </c:pt>
                <c:pt idx="6">
                  <c:v>7253</c:v>
                </c:pt>
                <c:pt idx="7">
                  <c:v>125</c:v>
                </c:pt>
                <c:pt idx="8">
                  <c:v>97</c:v>
                </c:pt>
                <c:pt idx="9">
                  <c:v>83</c:v>
                </c:pt>
                <c:pt idx="10">
                  <c:v>33</c:v>
                </c:pt>
                <c:pt idx="11">
                  <c:v>28</c:v>
                </c:pt>
                <c:pt idx="12">
                  <c:v>825</c:v>
                </c:pt>
                <c:pt idx="13">
                  <c:v>26</c:v>
                </c:pt>
              </c:numCache>
            </c:numRef>
          </c:val>
          <c:extLst>
            <c:ext xmlns:c16="http://schemas.microsoft.com/office/drawing/2014/chart" uri="{C3380CC4-5D6E-409C-BE32-E72D297353CC}">
              <c16:uniqueId val="{00000001-06E3-4EA1-A621-3A7FC20B75EF}"/>
            </c:ext>
          </c:extLst>
        </c:ser>
        <c:dLbls>
          <c:showLegendKey val="0"/>
          <c:showVal val="0"/>
          <c:showCatName val="0"/>
          <c:showSerName val="0"/>
          <c:showPercent val="0"/>
          <c:showBubbleSize val="0"/>
        </c:dLbls>
        <c:gapWidth val="50"/>
        <c:axId val="1672043824"/>
        <c:axId val="1672044368"/>
      </c:barChart>
      <c:lineChart>
        <c:grouping val="standard"/>
        <c:varyColors val="0"/>
        <c:ser>
          <c:idx val="23"/>
          <c:order val="2"/>
          <c:tx>
            <c:strRef>
              <c:f>Servicios!$O$11</c:f>
              <c:strCache>
                <c:ptCount val="1"/>
                <c:pt idx="0">
                  <c:v>% Eficiencia</c:v>
                </c:pt>
              </c:strCache>
            </c:strRef>
          </c:tx>
          <c:spPr>
            <a:ln>
              <a:solidFill>
                <a:schemeClr val="accent1"/>
              </a:solidFill>
            </a:ln>
          </c:spPr>
          <c:marker>
            <c:symbol val="triangle"/>
            <c:size val="7"/>
            <c:spPr>
              <a:solidFill>
                <a:schemeClr val="accent1"/>
              </a:solidFill>
              <a:ln>
                <a:solidFill>
                  <a:schemeClr val="accent1"/>
                </a:solidFill>
              </a:ln>
            </c:spPr>
          </c:marker>
          <c:cat>
            <c:strRef>
              <c:f>Servicios!$C$34:$C$51</c:f>
              <c:strCache>
                <c:ptCount val="14"/>
                <c:pt idx="0">
                  <c:v>Pensión por Sobrevivencia Conyugue</c:v>
                </c:pt>
                <c:pt idx="1">
                  <c:v>Pensión por Sobrevivencia Concubina</c:v>
                </c:pt>
                <c:pt idx="2">
                  <c:v>Pensión por Sobrevivencia Menor</c:v>
                </c:pt>
                <c:pt idx="3">
                  <c:v>Pensión por Sobrevivencia Padres</c:v>
                </c:pt>
                <c:pt idx="4">
                  <c:v>Pension por Sobrevivencia Estudiante PN</c:v>
                </c:pt>
                <c:pt idx="5">
                  <c:v>Solicitud Modificación Monto Pensión</c:v>
                </c:pt>
                <c:pt idx="6">
                  <c:v>Solicitud de Inclusión a Nómina</c:v>
                </c:pt>
                <c:pt idx="7">
                  <c:v>Reactivacion</c:v>
                </c:pt>
                <c:pt idx="8">
                  <c:v>Reinclusion</c:v>
                </c:pt>
                <c:pt idx="9">
                  <c:v>Solicitud de Suspension de Descuento SDL</c:v>
                </c:pt>
                <c:pt idx="10">
                  <c:v>Solicitud de aplicacion de Descuento ADL</c:v>
                </c:pt>
                <c:pt idx="11">
                  <c:v>Reembolso - RE</c:v>
                </c:pt>
                <c:pt idx="12">
                  <c:v>Retroactivo – RTI</c:v>
                </c:pt>
                <c:pt idx="13">
                  <c:v>Retroactivo – RT</c:v>
                </c:pt>
              </c:strCache>
            </c:strRef>
          </c:cat>
          <c:val>
            <c:numRef>
              <c:f>Servicios!$O$34:$O$51</c:f>
              <c:numCache>
                <c:formatCode>0.00%</c:formatCode>
                <c:ptCount val="14"/>
                <c:pt idx="0">
                  <c:v>1</c:v>
                </c:pt>
                <c:pt idx="1">
                  <c:v>0.58024691358024694</c:v>
                </c:pt>
                <c:pt idx="2">
                  <c:v>1</c:v>
                </c:pt>
                <c:pt idx="3">
                  <c:v>1</c:v>
                </c:pt>
                <c:pt idx="4">
                  <c:v>1</c:v>
                </c:pt>
                <c:pt idx="5">
                  <c:v>1</c:v>
                </c:pt>
                <c:pt idx="6">
                  <c:v>0.73776828399959316</c:v>
                </c:pt>
                <c:pt idx="7">
                  <c:v>0.6983240223463687</c:v>
                </c:pt>
                <c:pt idx="8">
                  <c:v>0.78861788617886175</c:v>
                </c:pt>
                <c:pt idx="9">
                  <c:v>1</c:v>
                </c:pt>
                <c:pt idx="10">
                  <c:v>1</c:v>
                </c:pt>
                <c:pt idx="11">
                  <c:v>0.875</c:v>
                </c:pt>
                <c:pt idx="12">
                  <c:v>0.93856655290102387</c:v>
                </c:pt>
                <c:pt idx="13">
                  <c:v>0.56521739130434778</c:v>
                </c:pt>
              </c:numCache>
            </c:numRef>
          </c:val>
          <c:smooth val="0"/>
          <c:extLst>
            <c:ext xmlns:c16="http://schemas.microsoft.com/office/drawing/2014/chart" uri="{C3380CC4-5D6E-409C-BE32-E72D297353CC}">
              <c16:uniqueId val="{00000002-06E3-4EA1-A621-3A7FC20B75EF}"/>
            </c:ext>
          </c:extLst>
        </c:ser>
        <c:dLbls>
          <c:showLegendKey val="0"/>
          <c:showVal val="0"/>
          <c:showCatName val="0"/>
          <c:showSerName val="0"/>
          <c:showPercent val="0"/>
          <c:showBubbleSize val="0"/>
        </c:dLbls>
        <c:marker val="1"/>
        <c:smooth val="0"/>
        <c:axId val="1672377216"/>
        <c:axId val="1672046544"/>
      </c:lineChart>
      <c:catAx>
        <c:axId val="1672043824"/>
        <c:scaling>
          <c:orientation val="minMax"/>
        </c:scaling>
        <c:delete val="0"/>
        <c:axPos val="b"/>
        <c:numFmt formatCode="General" sourceLinked="0"/>
        <c:majorTickMark val="out"/>
        <c:minorTickMark val="none"/>
        <c:tickLblPos val="nextTo"/>
        <c:crossAx val="1672044368"/>
        <c:crosses val="autoZero"/>
        <c:auto val="1"/>
        <c:lblAlgn val="ctr"/>
        <c:lblOffset val="100"/>
        <c:noMultiLvlLbl val="0"/>
      </c:catAx>
      <c:valAx>
        <c:axId val="1672044368"/>
        <c:scaling>
          <c:logBase val="10"/>
          <c:orientation val="minMax"/>
          <c:max val="10000"/>
          <c:min val="1"/>
        </c:scaling>
        <c:delete val="0"/>
        <c:axPos val="l"/>
        <c:majorGridlines>
          <c:spPr>
            <a:ln>
              <a:noFill/>
            </a:ln>
          </c:spPr>
        </c:majorGridlines>
        <c:numFmt formatCode="#,##0" sourceLinked="0"/>
        <c:majorTickMark val="out"/>
        <c:minorTickMark val="none"/>
        <c:tickLblPos val="nextTo"/>
        <c:crossAx val="1672043824"/>
        <c:crosses val="autoZero"/>
        <c:crossBetween val="between"/>
        <c:majorUnit val="10"/>
      </c:valAx>
      <c:valAx>
        <c:axId val="1672046544"/>
        <c:scaling>
          <c:orientation val="minMax"/>
          <c:max val="1.1000000000000001"/>
        </c:scaling>
        <c:delete val="0"/>
        <c:axPos val="r"/>
        <c:numFmt formatCode="0.00%" sourceLinked="0"/>
        <c:majorTickMark val="out"/>
        <c:minorTickMark val="none"/>
        <c:tickLblPos val="nextTo"/>
        <c:crossAx val="1672377216"/>
        <c:crosses val="max"/>
        <c:crossBetween val="between"/>
        <c:majorUnit val="0.2"/>
      </c:valAx>
      <c:catAx>
        <c:axId val="1672377216"/>
        <c:scaling>
          <c:orientation val="minMax"/>
        </c:scaling>
        <c:delete val="1"/>
        <c:axPos val="b"/>
        <c:numFmt formatCode="General" sourceLinked="1"/>
        <c:majorTickMark val="out"/>
        <c:minorTickMark val="none"/>
        <c:tickLblPos val="nextTo"/>
        <c:crossAx val="1672046544"/>
        <c:crosses val="autoZero"/>
        <c:auto val="1"/>
        <c:lblAlgn val="ctr"/>
        <c:lblOffset val="100"/>
        <c:noMultiLvlLbl val="0"/>
      </c:catAx>
    </c:plotArea>
    <c:legend>
      <c:legendPos val="b"/>
      <c:overlay val="0"/>
    </c:legend>
    <c:plotVisOnly val="1"/>
    <c:dispBlanksAs val="gap"/>
    <c:showDLblsOverMax val="0"/>
  </c:chart>
  <c:spPr>
    <a:noFill/>
    <a:ln>
      <a:noFill/>
    </a:ln>
  </c:spPr>
  <c:txPr>
    <a:bodyPr/>
    <a:lstStyle/>
    <a:p>
      <a:pPr>
        <a:defRPr sz="800"/>
      </a:pPr>
      <a:endParaRPr lang="es-DO"/>
    </a:p>
  </c:txPr>
  <c:printSettings>
    <c:headerFooter/>
    <c:pageMargins b="0.75" l="0.7" r="0.7" t="0.75"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1"/>
          <c:order val="0"/>
          <c:tx>
            <c:strRef>
              <c:f>Servicios!$M$60</c:f>
              <c:strCache>
                <c:ptCount val="1"/>
                <c:pt idx="0">
                  <c:v>Recibidas</c:v>
                </c:pt>
              </c:strCache>
            </c:strRef>
          </c:tx>
          <c:spPr>
            <a:solidFill>
              <a:schemeClr val="bg1">
                <a:lumMod val="65000"/>
              </a:schemeClr>
            </a:solidFill>
            <a:ln>
              <a:solidFill>
                <a:schemeClr val="bg1">
                  <a:lumMod val="65000"/>
                </a:schemeClr>
              </a:solidFill>
            </a:ln>
          </c:spPr>
          <c:invertIfNegative val="0"/>
          <c:cat>
            <c:strRef>
              <c:f>Servicios!$C$61:$C$64</c:f>
              <c:strCache>
                <c:ptCount val="4"/>
                <c:pt idx="0">
                  <c:v>Sobrevivencia Civil</c:v>
                </c:pt>
                <c:pt idx="1">
                  <c:v>Sobrevivencia Policía Nacional</c:v>
                </c:pt>
                <c:pt idx="2">
                  <c:v>Discapacidad Civil</c:v>
                </c:pt>
                <c:pt idx="3">
                  <c:v>Discapacidad Policía Nacional</c:v>
                </c:pt>
              </c:strCache>
            </c:strRef>
          </c:cat>
          <c:val>
            <c:numRef>
              <c:f>Servicios!$M$61:$M$64</c:f>
              <c:numCache>
                <c:formatCode>#,##0</c:formatCode>
                <c:ptCount val="4"/>
                <c:pt idx="0">
                  <c:v>11</c:v>
                </c:pt>
                <c:pt idx="1">
                  <c:v>8</c:v>
                </c:pt>
                <c:pt idx="2">
                  <c:v>9</c:v>
                </c:pt>
                <c:pt idx="3">
                  <c:v>0</c:v>
                </c:pt>
              </c:numCache>
            </c:numRef>
          </c:val>
          <c:extLst>
            <c:ext xmlns:c16="http://schemas.microsoft.com/office/drawing/2014/chart" uri="{C3380CC4-5D6E-409C-BE32-E72D297353CC}">
              <c16:uniqueId val="{00000000-B77A-4E09-8178-945075FB79EC}"/>
            </c:ext>
          </c:extLst>
        </c:ser>
        <c:ser>
          <c:idx val="22"/>
          <c:order val="1"/>
          <c:tx>
            <c:strRef>
              <c:f>Servicios!$N$60</c:f>
              <c:strCache>
                <c:ptCount val="1"/>
                <c:pt idx="0">
                  <c:v>Otorgadas</c:v>
                </c:pt>
              </c:strCache>
            </c:strRef>
          </c:tx>
          <c:spPr>
            <a:solidFill>
              <a:schemeClr val="accent3">
                <a:lumMod val="60000"/>
                <a:lumOff val="40000"/>
              </a:schemeClr>
            </a:solidFill>
            <a:ln>
              <a:solidFill>
                <a:schemeClr val="accent3">
                  <a:lumMod val="60000"/>
                  <a:lumOff val="40000"/>
                </a:schemeClr>
              </a:solidFill>
            </a:ln>
          </c:spPr>
          <c:invertIfNegative val="0"/>
          <c:cat>
            <c:strRef>
              <c:f>Servicios!$C$61:$C$64</c:f>
              <c:strCache>
                <c:ptCount val="4"/>
                <c:pt idx="0">
                  <c:v>Sobrevivencia Civil</c:v>
                </c:pt>
                <c:pt idx="1">
                  <c:v>Sobrevivencia Policía Nacional</c:v>
                </c:pt>
                <c:pt idx="2">
                  <c:v>Discapacidad Civil</c:v>
                </c:pt>
                <c:pt idx="3">
                  <c:v>Discapacidad Policía Nacional</c:v>
                </c:pt>
              </c:strCache>
            </c:strRef>
          </c:cat>
          <c:val>
            <c:numRef>
              <c:f>Servicios!$N$61:$N$64</c:f>
              <c:numCache>
                <c:formatCode>#,##0</c:formatCode>
                <c:ptCount val="4"/>
                <c:pt idx="0">
                  <c:v>2</c:v>
                </c:pt>
                <c:pt idx="1">
                  <c:v>0</c:v>
                </c:pt>
                <c:pt idx="2">
                  <c:v>0</c:v>
                </c:pt>
                <c:pt idx="3">
                  <c:v>0</c:v>
                </c:pt>
              </c:numCache>
            </c:numRef>
          </c:val>
          <c:extLst>
            <c:ext xmlns:c16="http://schemas.microsoft.com/office/drawing/2014/chart" uri="{C3380CC4-5D6E-409C-BE32-E72D297353CC}">
              <c16:uniqueId val="{00000001-B77A-4E09-8178-945075FB79EC}"/>
            </c:ext>
          </c:extLst>
        </c:ser>
        <c:dLbls>
          <c:showLegendKey val="0"/>
          <c:showVal val="0"/>
          <c:showCatName val="0"/>
          <c:showSerName val="0"/>
          <c:showPercent val="0"/>
          <c:showBubbleSize val="0"/>
        </c:dLbls>
        <c:gapWidth val="50"/>
        <c:axId val="1672055248"/>
        <c:axId val="1672041104"/>
      </c:barChart>
      <c:catAx>
        <c:axId val="1672055248"/>
        <c:scaling>
          <c:orientation val="minMax"/>
        </c:scaling>
        <c:delete val="0"/>
        <c:axPos val="b"/>
        <c:numFmt formatCode="General" sourceLinked="0"/>
        <c:majorTickMark val="out"/>
        <c:minorTickMark val="none"/>
        <c:tickLblPos val="nextTo"/>
        <c:crossAx val="1672041104"/>
        <c:crosses val="autoZero"/>
        <c:auto val="1"/>
        <c:lblAlgn val="ctr"/>
        <c:lblOffset val="100"/>
        <c:noMultiLvlLbl val="0"/>
      </c:catAx>
      <c:valAx>
        <c:axId val="1672041104"/>
        <c:scaling>
          <c:orientation val="minMax"/>
          <c:max val="30"/>
        </c:scaling>
        <c:delete val="0"/>
        <c:axPos val="l"/>
        <c:majorGridlines>
          <c:spPr>
            <a:ln>
              <a:noFill/>
            </a:ln>
          </c:spPr>
        </c:majorGridlines>
        <c:numFmt formatCode="#,##0" sourceLinked="1"/>
        <c:majorTickMark val="out"/>
        <c:minorTickMark val="none"/>
        <c:tickLblPos val="nextTo"/>
        <c:crossAx val="167205524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sz="1100" b="1">
                <a:solidFill>
                  <a:schemeClr val="accent1"/>
                </a:solidFill>
              </a:rPr>
              <a:t>Afiliados Policia Nacional</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DO"/>
        </a:p>
      </c:txPr>
    </c:title>
    <c:autoTitleDeleted val="0"/>
    <c:plotArea>
      <c:layout/>
      <c:barChart>
        <c:barDir val="col"/>
        <c:grouping val="clustered"/>
        <c:varyColors val="0"/>
        <c:ser>
          <c:idx val="0"/>
          <c:order val="0"/>
          <c:tx>
            <c:strRef>
              <c:f>'Afiliados y Cotizantes'!$G$7</c:f>
              <c:strCache>
                <c:ptCount val="1"/>
                <c:pt idx="0">
                  <c:v>Afiliados Policia Nacional</c:v>
                </c:pt>
              </c:strCache>
            </c:strRef>
          </c:tx>
          <c:spPr>
            <a:solidFill>
              <a:schemeClr val="bg1">
                <a:lumMod val="75000"/>
              </a:schemeClr>
            </a:solidFill>
            <a:ln>
              <a:noFill/>
            </a:ln>
            <a:effectLst>
              <a:outerShdw blurRad="76200" dir="18900000" sy="23000" kx="-1200000" algn="bl" rotWithShape="0">
                <a:prstClr val="black">
                  <a:alpha val="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'Afiliados y Cotizantes'!$A$12:$A$14</c:f>
            </c:strRef>
          </c:cat>
          <c:val>
            <c:numRef>
              <c:f>'Afiliados y Cotizantes'!$G$12:$G$14</c:f>
            </c:numRef>
          </c:val>
          <c:extLst>
            <c:ext xmlns:c16="http://schemas.microsoft.com/office/drawing/2014/chart" uri="{C3380CC4-5D6E-409C-BE32-E72D297353CC}">
              <c16:uniqueId val="{00000000-7C7C-4C5D-AA0A-07EE66F30F81}"/>
            </c:ext>
          </c:extLst>
        </c:ser>
        <c:dLbls>
          <c:dLblPos val="inEnd"/>
          <c:showLegendKey val="0"/>
          <c:showVal val="1"/>
          <c:showCatName val="0"/>
          <c:showSerName val="0"/>
          <c:showPercent val="0"/>
          <c:showBubbleSize val="0"/>
        </c:dLbls>
        <c:gapWidth val="41"/>
        <c:axId val="509055728"/>
        <c:axId val="509058352"/>
      </c:barChart>
      <c:catAx>
        <c:axId val="5090557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dk1">
                    <a:lumMod val="65000"/>
                    <a:lumOff val="35000"/>
                  </a:schemeClr>
                </a:solidFill>
                <a:effectLst/>
                <a:latin typeface="+mn-lt"/>
                <a:ea typeface="+mn-ea"/>
                <a:cs typeface="+mn-cs"/>
              </a:defRPr>
            </a:pPr>
            <a:endParaRPr lang="es-DO"/>
          </a:p>
        </c:txPr>
        <c:crossAx val="509058352"/>
        <c:crosses val="autoZero"/>
        <c:auto val="1"/>
        <c:lblAlgn val="ctr"/>
        <c:lblOffset val="100"/>
        <c:noMultiLvlLbl val="0"/>
      </c:catAx>
      <c:valAx>
        <c:axId val="509058352"/>
        <c:scaling>
          <c:orientation val="minMax"/>
        </c:scaling>
        <c:delete val="1"/>
        <c:axPos val="l"/>
        <c:numFmt formatCode="_(* #,##0_);_(* \(#,##0\);_(* &quot;-&quot;??_);_(@_)" sourceLinked="1"/>
        <c:majorTickMark val="none"/>
        <c:minorTickMark val="none"/>
        <c:tickLblPos val="nextTo"/>
        <c:crossAx val="509055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4.5543077687332418E-4"/>
                  <c:y val="0.273766439733349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31-4DD5-A172-124F91BB1E3C}"/>
                </c:ext>
              </c:extLst>
            </c:dLbl>
            <c:dLbl>
              <c:idx val="1"/>
              <c:layout>
                <c:manualLayout>
                  <c:x val="-9.0204995828106153E-3"/>
                  <c:y val="0.27249624705606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31-4DD5-A172-124F91BB1E3C}"/>
                </c:ext>
              </c:extLst>
            </c:dLbl>
            <c:dLbl>
              <c:idx val="2"/>
              <c:layout>
                <c:manualLayout>
                  <c:x val="-9.2786595286142946E-3"/>
                  <c:y val="0.29018789612227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31-4DD5-A172-124F91BB1E3C}"/>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Diciembre</c:v>
                </c:pt>
                <c:pt idx="1">
                  <c:v>Noviembre</c:v>
                </c:pt>
                <c:pt idx="2">
                  <c:v>Octubre</c:v>
                </c:pt>
              </c:strCache>
            </c:strRef>
          </c:cat>
          <c:val>
            <c:numRef>
              <c:f>'Afiliados y Cotizantes'!$B$8:$B$10</c:f>
              <c:numCache>
                <c:formatCode>#,##0</c:formatCode>
                <c:ptCount val="3"/>
                <c:pt idx="0">
                  <c:v>93468</c:v>
                </c:pt>
                <c:pt idx="1">
                  <c:v>93076</c:v>
                </c:pt>
                <c:pt idx="2">
                  <c:v>92860</c:v>
                </c:pt>
              </c:numCache>
            </c:numRef>
          </c:val>
          <c:extLst>
            <c:ext xmlns:c16="http://schemas.microsoft.com/office/drawing/2014/chart" uri="{C3380CC4-5D6E-409C-BE32-E72D297353CC}">
              <c16:uniqueId val="{00000003-A831-4DD5-A172-124F91BB1E3C}"/>
            </c:ext>
          </c:extLst>
        </c:ser>
        <c:ser>
          <c:idx val="1"/>
          <c:order val="1"/>
          <c:tx>
            <c:strRef>
              <c:f>'Afiliados y Cotizantes'!$C$7</c:f>
              <c:strCache>
                <c:ptCount val="1"/>
                <c:pt idx="0">
                  <c:v>Cotizantes</c:v>
                </c:pt>
              </c:strCache>
            </c:strRef>
          </c:tx>
          <c:spPr>
            <a:solidFill>
              <a:schemeClr val="accent3">
                <a:lumMod val="60000"/>
                <a:lumOff val="40000"/>
              </a:schemeClr>
            </a:solidFill>
          </c:spPr>
          <c:invertIfNegative val="0"/>
          <c:dLbls>
            <c:dLbl>
              <c:idx val="0"/>
              <c:layout>
                <c:manualLayout>
                  <c:x val="-4.614206816561146E-3"/>
                  <c:y val="0.102530383484265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31-4DD5-A172-124F91BB1E3C}"/>
                </c:ext>
              </c:extLst>
            </c:dLbl>
            <c:dLbl>
              <c:idx val="1"/>
              <c:layout>
                <c:manualLayout>
                  <c:x val="0"/>
                  <c:y val="0.10900244574882383"/>
                </c:manualLayout>
              </c:layout>
              <c:spPr>
                <a:noFill/>
                <a:ln>
                  <a:noFill/>
                </a:ln>
                <a:effectLst/>
              </c:spPr>
              <c:txPr>
                <a:bodyPr rot="-5400000" vert="horz"/>
                <a:lstStyle/>
                <a:p>
                  <a:pPr>
                    <a:defRPr sz="1050" b="0" baseline="0"/>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31-4DD5-A172-124F91BB1E3C}"/>
                </c:ext>
              </c:extLst>
            </c:dLbl>
            <c:dLbl>
              <c:idx val="2"/>
              <c:layout>
                <c:manualLayout>
                  <c:x val="2.586054759115484E-3"/>
                  <c:y val="9.2204685808960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31-4DD5-A172-124F91BB1E3C}"/>
                </c:ext>
              </c:extLst>
            </c:dLbl>
            <c:spPr>
              <a:noFill/>
              <a:ln>
                <a:noFill/>
              </a:ln>
              <a:effectLst/>
            </c:spPr>
            <c:txPr>
              <a:bodyPr rot="-5400000" vert="horz"/>
              <a:lstStyle/>
              <a:p>
                <a:pPr>
                  <a:defRPr sz="1050" baseline="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Diciembre</c:v>
                </c:pt>
                <c:pt idx="1">
                  <c:v>Noviembre</c:v>
                </c:pt>
                <c:pt idx="2">
                  <c:v>Octubre</c:v>
                </c:pt>
              </c:strCache>
            </c:strRef>
          </c:cat>
          <c:val>
            <c:numRef>
              <c:f>'Afiliados y Cotizantes'!$C$8:$C$10</c:f>
              <c:numCache>
                <c:formatCode>#,##0</c:formatCode>
                <c:ptCount val="3"/>
                <c:pt idx="0">
                  <c:v>23896</c:v>
                </c:pt>
                <c:pt idx="1">
                  <c:v>23045</c:v>
                </c:pt>
                <c:pt idx="2">
                  <c:v>23741</c:v>
                </c:pt>
              </c:numCache>
            </c:numRef>
          </c:val>
          <c:extLst>
            <c:ext xmlns:c16="http://schemas.microsoft.com/office/drawing/2014/chart" uri="{C3380CC4-5D6E-409C-BE32-E72D297353CC}">
              <c16:uniqueId val="{00000007-A831-4DD5-A172-124F91BB1E3C}"/>
            </c:ext>
          </c:extLst>
        </c:ser>
        <c:dLbls>
          <c:showLegendKey val="0"/>
          <c:showVal val="1"/>
          <c:showCatName val="0"/>
          <c:showSerName val="0"/>
          <c:showPercent val="0"/>
          <c:showBubbleSize val="0"/>
        </c:dLbls>
        <c:gapWidth val="75"/>
        <c:axId val="1578271600"/>
        <c:axId val="1578260720"/>
      </c:barChart>
      <c:lineChart>
        <c:grouping val="standard"/>
        <c:varyColors val="0"/>
        <c:ser>
          <c:idx val="2"/>
          <c:order val="2"/>
          <c:tx>
            <c:strRef>
              <c:f>'Afiliados y Cotizantes'!$D$7</c:f>
              <c:strCache>
                <c:ptCount val="1"/>
                <c:pt idx="0">
                  <c:v>%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6.7560538839129894E-2"/>
                  <c:y val="-0.423258071128098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31-4DD5-A172-124F91BB1E3C}"/>
                </c:ext>
              </c:extLst>
            </c:dLbl>
            <c:dLbl>
              <c:idx val="1"/>
              <c:layout>
                <c:manualLayout>
                  <c:x val="-3.5201781996576781E-2"/>
                  <c:y val="-0.142218073962709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31-4DD5-A172-124F91BB1E3C}"/>
                </c:ext>
              </c:extLst>
            </c:dLbl>
            <c:dLbl>
              <c:idx val="2"/>
              <c:layout>
                <c:manualLayout>
                  <c:x val="-1.0742790673351148E-2"/>
                  <c:y val="-0.3588563421949306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7.8047766387117218E-2"/>
                      <c:h val="0.17205190387619568"/>
                    </c:manualLayout>
                  </c15:layout>
                </c:ext>
                <c:ext xmlns:c16="http://schemas.microsoft.com/office/drawing/2014/chart" uri="{C3380CC4-5D6E-409C-BE32-E72D297353CC}">
                  <c16:uniqueId val="{0000000A-A831-4DD5-A172-124F91BB1E3C}"/>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Diciembre</c:v>
                </c:pt>
                <c:pt idx="1">
                  <c:v>Noviembre</c:v>
                </c:pt>
                <c:pt idx="2">
                  <c:v>Octubre</c:v>
                </c:pt>
              </c:strCache>
            </c:strRef>
          </c:cat>
          <c:val>
            <c:numRef>
              <c:f>'Afiliados y Cotizantes'!$D$8:$D$10</c:f>
              <c:numCache>
                <c:formatCode>0%</c:formatCode>
                <c:ptCount val="3"/>
                <c:pt idx="0">
                  <c:v>0.25565969101724656</c:v>
                </c:pt>
                <c:pt idx="1">
                  <c:v>0.24759336456229317</c:v>
                </c:pt>
                <c:pt idx="2">
                  <c:v>0.25566444109412018</c:v>
                </c:pt>
              </c:numCache>
            </c:numRef>
          </c:val>
          <c:smooth val="0"/>
          <c:extLst>
            <c:ext xmlns:c16="http://schemas.microsoft.com/office/drawing/2014/chart" uri="{C3380CC4-5D6E-409C-BE32-E72D297353CC}">
              <c16:uniqueId val="{0000000B-A831-4DD5-A172-124F91BB1E3C}"/>
            </c:ext>
          </c:extLst>
        </c:ser>
        <c:dLbls>
          <c:showLegendKey val="0"/>
          <c:showVal val="1"/>
          <c:showCatName val="0"/>
          <c:showSerName val="0"/>
          <c:showPercent val="0"/>
          <c:showBubbleSize val="0"/>
        </c:dLbls>
        <c:marker val="1"/>
        <c:smooth val="0"/>
        <c:axId val="1578262352"/>
        <c:axId val="1578258544"/>
      </c:lineChart>
      <c:catAx>
        <c:axId val="1578271600"/>
        <c:scaling>
          <c:orientation val="minMax"/>
        </c:scaling>
        <c:delete val="0"/>
        <c:axPos val="b"/>
        <c:numFmt formatCode="General" sourceLinked="0"/>
        <c:majorTickMark val="none"/>
        <c:minorTickMark val="none"/>
        <c:tickLblPos val="nextTo"/>
        <c:crossAx val="1578260720"/>
        <c:crosses val="autoZero"/>
        <c:auto val="1"/>
        <c:lblAlgn val="ctr"/>
        <c:lblOffset val="100"/>
        <c:noMultiLvlLbl val="0"/>
      </c:catAx>
      <c:valAx>
        <c:axId val="1578260720"/>
        <c:scaling>
          <c:orientation val="minMax"/>
        </c:scaling>
        <c:delete val="0"/>
        <c:axPos val="l"/>
        <c:numFmt formatCode="#,##0" sourceLinked="1"/>
        <c:majorTickMark val="none"/>
        <c:minorTickMark val="none"/>
        <c:tickLblPos val="nextTo"/>
        <c:crossAx val="1578271600"/>
        <c:crosses val="autoZero"/>
        <c:crossBetween val="between"/>
      </c:valAx>
      <c:valAx>
        <c:axId val="1578258544"/>
        <c:scaling>
          <c:orientation val="minMax"/>
        </c:scaling>
        <c:delete val="0"/>
        <c:axPos val="r"/>
        <c:numFmt formatCode="0%" sourceLinked="1"/>
        <c:majorTickMark val="out"/>
        <c:minorTickMark val="none"/>
        <c:tickLblPos val="nextTo"/>
        <c:crossAx val="1578262352"/>
        <c:crosses val="max"/>
        <c:crossBetween val="between"/>
      </c:valAx>
      <c:catAx>
        <c:axId val="1578262352"/>
        <c:scaling>
          <c:orientation val="minMax"/>
        </c:scaling>
        <c:delete val="1"/>
        <c:axPos val="b"/>
        <c:numFmt formatCode="General" sourceLinked="1"/>
        <c:majorTickMark val="out"/>
        <c:minorTickMark val="none"/>
        <c:tickLblPos val="nextTo"/>
        <c:crossAx val="1578258544"/>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474892115814746"/>
          <c:y val="0.11479713174635285"/>
          <c:w val="0.78893118039654453"/>
          <c:h val="0.65586379419781204"/>
        </c:manualLayout>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2.7176332025445854E-3"/>
                  <c:y val="0.519397127250657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2E-43E1-B9A8-BA03370DCA78}"/>
                </c:ext>
              </c:extLst>
            </c:dLbl>
            <c:dLbl>
              <c:idx val="1"/>
              <c:layout>
                <c:manualLayout>
                  <c:x val="-1.3588166012722802E-4"/>
                  <c:y val="0.500881605862386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2E-43E1-B9A8-BA03370DCA78}"/>
                </c:ext>
              </c:extLst>
            </c:dLbl>
            <c:dLbl>
              <c:idx val="2"/>
              <c:layout>
                <c:manualLayout>
                  <c:x val="-5.1633404454622094E-3"/>
                  <c:y val="0.47816026584343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2E-43E1-B9A8-BA03370DCA78}"/>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Diciembre</c:v>
                </c:pt>
                <c:pt idx="1">
                  <c:v>Noviembre</c:v>
                </c:pt>
                <c:pt idx="2">
                  <c:v>Octubre</c:v>
                </c:pt>
              </c:strCache>
            </c:strRef>
          </c:cat>
          <c:val>
            <c:numRef>
              <c:f>'Afiliados y Cotizantes'!$B$8:$B$10</c:f>
              <c:numCache>
                <c:formatCode>#,##0</c:formatCode>
                <c:ptCount val="3"/>
                <c:pt idx="0">
                  <c:v>93468</c:v>
                </c:pt>
                <c:pt idx="1">
                  <c:v>93076</c:v>
                </c:pt>
                <c:pt idx="2">
                  <c:v>92860</c:v>
                </c:pt>
              </c:numCache>
            </c:numRef>
          </c:val>
          <c:extLst>
            <c:ext xmlns:c16="http://schemas.microsoft.com/office/drawing/2014/chart" uri="{C3380CC4-5D6E-409C-BE32-E72D297353CC}">
              <c16:uniqueId val="{00000003-D92E-43E1-B9A8-BA03370DCA78}"/>
            </c:ext>
          </c:extLst>
        </c:ser>
        <c:ser>
          <c:idx val="1"/>
          <c:order val="1"/>
          <c:tx>
            <c:strRef>
              <c:f>'Afiliados y Cotizantes'!$F$7</c:f>
              <c:strCache>
                <c:ptCount val="1"/>
                <c:pt idx="0">
                  <c:v>% No Cotizantes</c:v>
                </c:pt>
              </c:strCache>
            </c:strRef>
          </c:tx>
          <c:spPr>
            <a:solidFill>
              <a:schemeClr val="accent3">
                <a:lumMod val="60000"/>
                <a:lumOff val="40000"/>
              </a:schemeClr>
            </a:solidFill>
          </c:spPr>
          <c:invertIfNegative val="0"/>
          <c:dLbls>
            <c:dLbl>
              <c:idx val="0"/>
              <c:layout>
                <c:manualLayout>
                  <c:x val="5.1633404454621149E-3"/>
                  <c:y val="0.393979007543447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2E-43E1-B9A8-BA03370DCA78}"/>
                </c:ext>
              </c:extLst>
            </c:dLbl>
            <c:dLbl>
              <c:idx val="1"/>
              <c:layout>
                <c:manualLayout>
                  <c:x val="2.5816702227310574E-3"/>
                  <c:y val="0.394030184119631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2E-43E1-B9A8-BA03370DCA78}"/>
                </c:ext>
              </c:extLst>
            </c:dLbl>
            <c:dLbl>
              <c:idx val="2"/>
              <c:layout>
                <c:manualLayout>
                  <c:x val="-2.5816702227310574E-3"/>
                  <c:y val="0.39379964773681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2E-43E1-B9A8-BA03370DCA78}"/>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'Afiliados y Cotizantes'!$A$8:$A$10</c:f>
              <c:strCache>
                <c:ptCount val="3"/>
                <c:pt idx="0">
                  <c:v>Diciembre</c:v>
                </c:pt>
                <c:pt idx="1">
                  <c:v>Noviembre</c:v>
                </c:pt>
                <c:pt idx="2">
                  <c:v>Octubre</c:v>
                </c:pt>
              </c:strCache>
            </c:strRef>
          </c:cat>
          <c:val>
            <c:numRef>
              <c:f>'Afiliados y Cotizantes'!$E$8:$E$10</c:f>
              <c:numCache>
                <c:formatCode>#,##0</c:formatCode>
                <c:ptCount val="3"/>
                <c:pt idx="0">
                  <c:v>69572</c:v>
                </c:pt>
                <c:pt idx="1">
                  <c:v>70031</c:v>
                </c:pt>
                <c:pt idx="2">
                  <c:v>69119</c:v>
                </c:pt>
              </c:numCache>
            </c:numRef>
          </c:val>
          <c:extLst>
            <c:ext xmlns:c16="http://schemas.microsoft.com/office/drawing/2014/chart" uri="{C3380CC4-5D6E-409C-BE32-E72D297353CC}">
              <c16:uniqueId val="{00000007-D92E-43E1-B9A8-BA03370DCA78}"/>
            </c:ext>
          </c:extLst>
        </c:ser>
        <c:dLbls>
          <c:showLegendKey val="0"/>
          <c:showVal val="1"/>
          <c:showCatName val="0"/>
          <c:showSerName val="0"/>
          <c:showPercent val="0"/>
          <c:showBubbleSize val="0"/>
        </c:dLbls>
        <c:gapWidth val="75"/>
        <c:axId val="1667770560"/>
        <c:axId val="1667758048"/>
      </c:barChart>
      <c:lineChart>
        <c:grouping val="standard"/>
        <c:varyColors val="0"/>
        <c:ser>
          <c:idx val="2"/>
          <c:order val="2"/>
          <c:tx>
            <c:strRef>
              <c:f>'Afiliados y Cotizantes'!$F$7</c:f>
              <c:strCache>
                <c:ptCount val="1"/>
                <c:pt idx="0">
                  <c:v>% No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9.8035169563652047E-2"/>
                  <c:y val="-0.389964708791332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2E-43E1-B9A8-BA03370DCA78}"/>
                </c:ext>
              </c:extLst>
            </c:dLbl>
            <c:dLbl>
              <c:idx val="1"/>
              <c:layout>
                <c:manualLayout>
                  <c:x val="-8.3761165986008967E-2"/>
                  <c:y val="-0.298864387349113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2E-43E1-B9A8-BA03370DCA78}"/>
                </c:ext>
              </c:extLst>
            </c:dLbl>
            <c:dLbl>
              <c:idx val="2"/>
              <c:layout>
                <c:manualLayout>
                  <c:x val="-7.9826106868700328E-2"/>
                  <c:y val="-0.102999527951985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2E-43E1-B9A8-BA03370DCA78}"/>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Diciembre</c:v>
                </c:pt>
                <c:pt idx="1">
                  <c:v>Noviembre</c:v>
                </c:pt>
                <c:pt idx="2">
                  <c:v>Octubre</c:v>
                </c:pt>
              </c:strCache>
            </c:strRef>
          </c:cat>
          <c:val>
            <c:numRef>
              <c:f>'Afiliados y Cotizantes'!$F$8:$F$10</c:f>
              <c:numCache>
                <c:formatCode>0%</c:formatCode>
                <c:ptCount val="3"/>
                <c:pt idx="0">
                  <c:v>0.7443403089827535</c:v>
                </c:pt>
                <c:pt idx="1">
                  <c:v>0.75240663543770681</c:v>
                </c:pt>
                <c:pt idx="2">
                  <c:v>0.74433555890587977</c:v>
                </c:pt>
              </c:numCache>
            </c:numRef>
          </c:val>
          <c:smooth val="0"/>
          <c:extLst>
            <c:ext xmlns:c16="http://schemas.microsoft.com/office/drawing/2014/chart" uri="{C3380CC4-5D6E-409C-BE32-E72D297353CC}">
              <c16:uniqueId val="{0000000B-D92E-43E1-B9A8-BA03370DCA78}"/>
            </c:ext>
          </c:extLst>
        </c:ser>
        <c:dLbls>
          <c:showLegendKey val="0"/>
          <c:showVal val="1"/>
          <c:showCatName val="0"/>
          <c:showSerName val="0"/>
          <c:showPercent val="0"/>
          <c:showBubbleSize val="0"/>
        </c:dLbls>
        <c:marker val="1"/>
        <c:smooth val="0"/>
        <c:axId val="1667766752"/>
        <c:axId val="1667762944"/>
      </c:lineChart>
      <c:catAx>
        <c:axId val="1667770560"/>
        <c:scaling>
          <c:orientation val="minMax"/>
        </c:scaling>
        <c:delete val="0"/>
        <c:axPos val="b"/>
        <c:numFmt formatCode="General" sourceLinked="0"/>
        <c:majorTickMark val="none"/>
        <c:minorTickMark val="none"/>
        <c:tickLblPos val="nextTo"/>
        <c:crossAx val="1667758048"/>
        <c:crosses val="autoZero"/>
        <c:auto val="1"/>
        <c:lblAlgn val="ctr"/>
        <c:lblOffset val="100"/>
        <c:noMultiLvlLbl val="0"/>
      </c:catAx>
      <c:valAx>
        <c:axId val="1667758048"/>
        <c:scaling>
          <c:orientation val="minMax"/>
        </c:scaling>
        <c:delete val="0"/>
        <c:axPos val="l"/>
        <c:numFmt formatCode="#,##0" sourceLinked="1"/>
        <c:majorTickMark val="none"/>
        <c:minorTickMark val="none"/>
        <c:tickLblPos val="nextTo"/>
        <c:crossAx val="1667770560"/>
        <c:crosses val="autoZero"/>
        <c:crossBetween val="between"/>
      </c:valAx>
      <c:valAx>
        <c:axId val="1667762944"/>
        <c:scaling>
          <c:orientation val="minMax"/>
        </c:scaling>
        <c:delete val="0"/>
        <c:axPos val="r"/>
        <c:numFmt formatCode="0%" sourceLinked="1"/>
        <c:majorTickMark val="out"/>
        <c:minorTickMark val="none"/>
        <c:tickLblPos val="nextTo"/>
        <c:crossAx val="1667766752"/>
        <c:crosses val="max"/>
        <c:crossBetween val="between"/>
      </c:valAx>
      <c:catAx>
        <c:axId val="1667766752"/>
        <c:scaling>
          <c:orientation val="minMax"/>
        </c:scaling>
        <c:delete val="1"/>
        <c:axPos val="b"/>
        <c:numFmt formatCode="General" sourceLinked="1"/>
        <c:majorTickMark val="out"/>
        <c:minorTickMark val="none"/>
        <c:tickLblPos val="nextTo"/>
        <c:crossAx val="1667762944"/>
        <c:crosses val="autoZero"/>
        <c:auto val="1"/>
        <c:lblAlgn val="ctr"/>
        <c:lblOffset val="100"/>
        <c:noMultiLvlLbl val="0"/>
      </c:catAx>
    </c:plotArea>
    <c:legend>
      <c:legendPos val="b"/>
      <c:layout>
        <c:manualLayout>
          <c:xMode val="edge"/>
          <c:yMode val="edge"/>
          <c:x val="2.3107547662018914E-2"/>
          <c:y val="0.76781711511228001"/>
          <c:w val="0.91580180266513356"/>
          <c:h val="0.23218272348309402"/>
        </c:manualLayout>
      </c:layout>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sz="1100" b="1">
                <a:solidFill>
                  <a:schemeClr val="accent1"/>
                </a:solidFill>
              </a:rPr>
              <a:t>Afiliados Policia Nacional</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DO"/>
        </a:p>
      </c:txPr>
    </c:title>
    <c:autoTitleDeleted val="0"/>
    <c:plotArea>
      <c:layout>
        <c:manualLayout>
          <c:layoutTarget val="inner"/>
          <c:xMode val="edge"/>
          <c:yMode val="edge"/>
          <c:x val="2.2158035646521756E-2"/>
          <c:y val="0.15470529868772639"/>
          <c:w val="0.93906540197206523"/>
          <c:h val="0.72936219924709977"/>
        </c:manualLayout>
      </c:layout>
      <c:barChart>
        <c:barDir val="col"/>
        <c:grouping val="clustered"/>
        <c:varyColors val="0"/>
        <c:ser>
          <c:idx val="0"/>
          <c:order val="0"/>
          <c:tx>
            <c:strRef>
              <c:f>'Afiliados y Cotizantes'!$G$7</c:f>
              <c:strCache>
                <c:ptCount val="1"/>
                <c:pt idx="0">
                  <c:v>Afiliados Policia Nacional</c:v>
                </c:pt>
              </c:strCache>
            </c:strRef>
          </c:tx>
          <c:spPr>
            <a:solidFill>
              <a:schemeClr val="bg1">
                <a:lumMod val="75000"/>
              </a:schemeClr>
            </a:solidFill>
            <a:ln>
              <a:noFill/>
            </a:ln>
            <a:effectLst>
              <a:outerShdw blurRad="76200" dir="18900000" sy="23000" kx="-1200000" algn="bl" rotWithShape="0">
                <a:prstClr val="black">
                  <a:alpha val="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'Afiliados y Cotizantes'!$A$8:$A$10</c:f>
              <c:strCache>
                <c:ptCount val="3"/>
                <c:pt idx="0">
                  <c:v>Diciembre</c:v>
                </c:pt>
                <c:pt idx="1">
                  <c:v>Noviembre</c:v>
                </c:pt>
                <c:pt idx="2">
                  <c:v>Octubre</c:v>
                </c:pt>
              </c:strCache>
            </c:strRef>
          </c:cat>
          <c:val>
            <c:numRef>
              <c:f>'Afiliados y Cotizantes'!$G$8:$G$10</c:f>
              <c:numCache>
                <c:formatCode>#,##0</c:formatCode>
                <c:ptCount val="3"/>
                <c:pt idx="0">
                  <c:v>65016.455949993797</c:v>
                </c:pt>
                <c:pt idx="1">
                  <c:v>65010</c:v>
                </c:pt>
                <c:pt idx="2">
                  <c:v>64950</c:v>
                </c:pt>
              </c:numCache>
            </c:numRef>
          </c:val>
          <c:extLst>
            <c:ext xmlns:c16="http://schemas.microsoft.com/office/drawing/2014/chart" uri="{C3380CC4-5D6E-409C-BE32-E72D297353CC}">
              <c16:uniqueId val="{00000000-2045-460B-884F-92E629733855}"/>
            </c:ext>
          </c:extLst>
        </c:ser>
        <c:dLbls>
          <c:dLblPos val="inEnd"/>
          <c:showLegendKey val="0"/>
          <c:showVal val="1"/>
          <c:showCatName val="0"/>
          <c:showSerName val="0"/>
          <c:showPercent val="0"/>
          <c:showBubbleSize val="0"/>
        </c:dLbls>
        <c:gapWidth val="41"/>
        <c:axId val="509055728"/>
        <c:axId val="509058352"/>
      </c:barChart>
      <c:catAx>
        <c:axId val="5090557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dk1">
                    <a:lumMod val="65000"/>
                    <a:lumOff val="35000"/>
                  </a:schemeClr>
                </a:solidFill>
                <a:effectLst/>
                <a:latin typeface="+mn-lt"/>
                <a:ea typeface="+mn-ea"/>
                <a:cs typeface="+mn-cs"/>
              </a:defRPr>
            </a:pPr>
            <a:endParaRPr lang="es-DO"/>
          </a:p>
        </c:txPr>
        <c:crossAx val="509058352"/>
        <c:crosses val="autoZero"/>
        <c:auto val="1"/>
        <c:lblAlgn val="ctr"/>
        <c:lblOffset val="100"/>
        <c:noMultiLvlLbl val="0"/>
      </c:catAx>
      <c:valAx>
        <c:axId val="509058352"/>
        <c:scaling>
          <c:orientation val="minMax"/>
        </c:scaling>
        <c:delete val="1"/>
        <c:axPos val="l"/>
        <c:numFmt formatCode="#,##0" sourceLinked="1"/>
        <c:majorTickMark val="none"/>
        <c:minorTickMark val="none"/>
        <c:tickLblPos val="nextTo"/>
        <c:crossAx val="509055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sz="1100">
                <a:solidFill>
                  <a:schemeClr val="accent1"/>
                </a:solidFill>
              </a:rPr>
              <a:t>Porcentaje de Cotizantes</a:t>
            </a:r>
            <a:r>
              <a:rPr lang="es-ES" sz="1100" baseline="0">
                <a:solidFill>
                  <a:schemeClr val="accent1"/>
                </a:solidFill>
              </a:rPr>
              <a:t> y No Cotizantes</a:t>
            </a:r>
            <a:endParaRPr lang="es-ES" sz="1100">
              <a:solidFill>
                <a:schemeClr val="accent1"/>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6"/>
          <c:dPt>
            <c:idx val="0"/>
            <c:bubble3D val="0"/>
            <c:spPr>
              <a:solidFill>
                <a:schemeClr val="bg1">
                  <a:lumMod val="75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284E-4ADE-AB0C-3A09AA13D1E1}"/>
              </c:ext>
            </c:extLst>
          </c:dPt>
          <c:dPt>
            <c:idx val="1"/>
            <c:bubble3D val="0"/>
            <c:spPr>
              <a:solidFill>
                <a:schemeClr val="accent3"/>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284E-4ADE-AB0C-3A09AA13D1E1}"/>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4E-4ADE-AB0C-3A09AA13D1E1}"/>
                </c:ext>
              </c:extLst>
            </c:dLbl>
            <c:dLbl>
              <c:idx val="1"/>
              <c:layout>
                <c:manualLayout>
                  <c:x val="0.23035559732586869"/>
                  <c:y val="-0.20764272468803488"/>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1"/>
              <c:showSerName val="0"/>
              <c:showPercent val="0"/>
              <c:showBubbleSize val="0"/>
              <c:extLst>
                <c:ext xmlns:c15="http://schemas.microsoft.com/office/drawing/2012/chart" uri="{CE6537A1-D6FC-4f65-9D91-7224C49458BB}">
                  <c15:layout>
                    <c:manualLayout>
                      <c:w val="0.24612764259574441"/>
                      <c:h val="0.16523693324276956"/>
                    </c:manualLayout>
                  </c15:layout>
                </c:ext>
                <c:ext xmlns:c16="http://schemas.microsoft.com/office/drawing/2014/chart" uri="{C3380CC4-5D6E-409C-BE32-E72D297353CC}">
                  <c16:uniqueId val="{00000003-284E-4ADE-AB0C-3A09AA13D1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Cotizantes'!$D$8,'Afiliados y Cotizantes'!$F$8)</c:f>
              <c:numCache>
                <c:formatCode>0%</c:formatCode>
                <c:ptCount val="2"/>
                <c:pt idx="0">
                  <c:v>0.25565969101724656</c:v>
                </c:pt>
                <c:pt idx="1">
                  <c:v>0.7443403089827535</c:v>
                </c:pt>
              </c:numCache>
            </c:numRef>
          </c:val>
          <c:extLst>
            <c:ext xmlns:c16="http://schemas.microsoft.com/office/drawing/2014/chart" uri="{C3380CC4-5D6E-409C-BE32-E72D297353CC}">
              <c16:uniqueId val="{00000004-284E-4ADE-AB0C-3A09AA13D1E1}"/>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367-44D4-8F31-B74EE93527D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367-44D4-8F31-B74EE93527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Cotizantes'!$D$9,'Afiliados y Cotizantes'!$F$9)</c:f>
              <c:numCache>
                <c:formatCode>0%</c:formatCode>
                <c:ptCount val="2"/>
                <c:pt idx="0">
                  <c:v>0.24759336456229317</c:v>
                </c:pt>
                <c:pt idx="1">
                  <c:v>0.75240663543770681</c:v>
                </c:pt>
              </c:numCache>
            </c:numRef>
          </c:val>
          <c:extLst>
            <c:ext xmlns:c16="http://schemas.microsoft.com/office/drawing/2014/chart" uri="{C3380CC4-5D6E-409C-BE32-E72D297353CC}">
              <c16:uniqueId val="{00000005-284E-4ADE-AB0C-3A09AA13D1E1}"/>
            </c:ext>
          </c:extLst>
        </c:ser>
        <c:ser>
          <c:idx val="2"/>
          <c:order val="2"/>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367-44D4-8F31-B74EE93527D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367-44D4-8F31-B74EE93527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Cotizantes'!$D$10,'Afiliados y Cotizantes'!$F$10)</c:f>
              <c:numCache>
                <c:formatCode>0%</c:formatCode>
                <c:ptCount val="2"/>
                <c:pt idx="0">
                  <c:v>0.25566444109412018</c:v>
                </c:pt>
                <c:pt idx="1">
                  <c:v>0.74433555890587977</c:v>
                </c:pt>
              </c:numCache>
            </c:numRef>
          </c:val>
          <c:extLst>
            <c:ext xmlns:c16="http://schemas.microsoft.com/office/drawing/2014/chart" uri="{C3380CC4-5D6E-409C-BE32-E72D297353CC}">
              <c16:uniqueId val="{00000006-284E-4ADE-AB0C-3A09AA13D1E1}"/>
            </c:ext>
          </c:extLst>
        </c:ser>
        <c:ser>
          <c:idx val="3"/>
          <c:order val="3"/>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367-44D4-8F31-B74EE93527D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367-44D4-8F31-B74EE93527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Cotizantes'!$D$11,'Afiliados y Cotizantes'!$F$11)</c:f>
              <c:numCache>
                <c:formatCode>0%</c:formatCode>
                <c:ptCount val="2"/>
                <c:pt idx="0">
                  <c:v>0.25297249889121992</c:v>
                </c:pt>
                <c:pt idx="1">
                  <c:v>0.74702750110878002</c:v>
                </c:pt>
              </c:numCache>
            </c:numRef>
          </c:val>
          <c:extLst>
            <c:ext xmlns:c16="http://schemas.microsoft.com/office/drawing/2014/chart" uri="{C3380CC4-5D6E-409C-BE32-E72D297353CC}">
              <c16:uniqueId val="{00000007-284E-4ADE-AB0C-3A09AA13D1E1}"/>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3">
  <a:schemeClr val="accent3"/>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image" Target="../media/image1.png"/><Relationship Id="rId1" Type="http://schemas.openxmlformats.org/officeDocument/2006/relationships/chart" Target="../charts/chart17.xml"/><Relationship Id="rId6" Type="http://schemas.openxmlformats.org/officeDocument/2006/relationships/image" Target="../media/image2.png"/><Relationship Id="rId5" Type="http://schemas.openxmlformats.org/officeDocument/2006/relationships/chart" Target="../charts/chart20.xml"/><Relationship Id="rId4"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image" Target="../media/image1.png"/><Relationship Id="rId1" Type="http://schemas.openxmlformats.org/officeDocument/2006/relationships/chart" Target="../charts/chart21.xml"/><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5.xml"/><Relationship Id="rId7" Type="http://schemas.openxmlformats.org/officeDocument/2006/relationships/chart" Target="../charts/chart28.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7.xml"/><Relationship Id="rId5" Type="http://schemas.openxmlformats.org/officeDocument/2006/relationships/chart" Target="../charts/chart26.xml"/><Relationship Id="rId10" Type="http://schemas.openxmlformats.org/officeDocument/2006/relationships/image" Target="../media/image2.png"/><Relationship Id="rId4" Type="http://schemas.openxmlformats.org/officeDocument/2006/relationships/image" Target="../media/image1.png"/><Relationship Id="rId9"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1.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image" Target="../media/image1.png"/><Relationship Id="rId1" Type="http://schemas.openxmlformats.org/officeDocument/2006/relationships/chart" Target="../charts/chart32.xml"/><Relationship Id="rId4" Type="http://schemas.openxmlformats.org/officeDocument/2006/relationships/image" Target="../media/image2.png"/></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image" Target="../media/image1.png"/><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image" Target="../media/image1.png"/><Relationship Id="rId1" Type="http://schemas.openxmlformats.org/officeDocument/2006/relationships/chart" Target="../charts/chart3.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image" Target="../media/image3.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image" Target="../media/image3.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4.xml"/><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image" Target="../media/image2.png"/><Relationship Id="rId4" Type="http://schemas.openxmlformats.org/officeDocument/2006/relationships/chart" Target="../charts/chart4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1.png"/><Relationship Id="rId1" Type="http://schemas.openxmlformats.org/officeDocument/2006/relationships/chart" Target="../charts/chart10.xml"/><Relationship Id="rId5" Type="http://schemas.openxmlformats.org/officeDocument/2006/relationships/image" Target="../media/image2.png"/><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png"/><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1.png"/><Relationship Id="rId1" Type="http://schemas.openxmlformats.org/officeDocument/2006/relationships/chart" Target="../charts/chart15.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674810</xdr:colOff>
      <xdr:row>57</xdr:row>
      <xdr:rowOff>155331</xdr:rowOff>
    </xdr:from>
    <xdr:to>
      <xdr:col>6</xdr:col>
      <xdr:colOff>253512</xdr:colOff>
      <xdr:row>74</xdr:row>
      <xdr:rowOff>23447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368128</xdr:colOff>
      <xdr:row>2</xdr:row>
      <xdr:rowOff>93657</xdr:rowOff>
    </xdr:from>
    <xdr:to>
      <xdr:col>2</xdr:col>
      <xdr:colOff>424449</xdr:colOff>
      <xdr:row>5</xdr:row>
      <xdr:rowOff>57023</xdr:rowOff>
    </xdr:to>
    <xdr:pic>
      <xdr:nvPicPr>
        <xdr:cNvPr id="15"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295780" y="474657"/>
          <a:ext cx="837371" cy="534866"/>
        </a:xfrm>
        <a:prstGeom prst="rect">
          <a:avLst/>
        </a:prstGeom>
      </xdr:spPr>
    </xdr:pic>
    <xdr:clientData/>
  </xdr:twoCellAnchor>
  <xdr:twoCellAnchor>
    <xdr:from>
      <xdr:col>1</xdr:col>
      <xdr:colOff>400326</xdr:colOff>
      <xdr:row>38</xdr:row>
      <xdr:rowOff>41965</xdr:rowOff>
    </xdr:from>
    <xdr:to>
      <xdr:col>5</xdr:col>
      <xdr:colOff>929941</xdr:colOff>
      <xdr:row>54</xdr:row>
      <xdr:rowOff>100581</xdr:rowOff>
    </xdr:to>
    <xdr:graphicFrame macro="">
      <xdr:nvGraphicFramePr>
        <xdr:cNvPr id="6" name="2 Gráfico">
          <a:extLst>
            <a:ext uri="{FF2B5EF4-FFF2-40B4-BE49-F238E27FC236}">
              <a16:creationId xmlns:a16="http://schemas.microsoft.com/office/drawing/2014/main" id="{1A0C5000-25F2-4CD1-AB0A-115A5C00C685}"/>
            </a:ext>
            <a:ext uri="{147F2762-F138-4A5C-976F-8EAC2B608ADB}">
              <a16:predDERef xmlns:a16="http://schemas.microsoft.com/office/drawing/2014/main" pre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901212</xdr:colOff>
      <xdr:row>36</xdr:row>
      <xdr:rowOff>122008</xdr:rowOff>
    </xdr:from>
    <xdr:to>
      <xdr:col>4</xdr:col>
      <xdr:colOff>628841</xdr:colOff>
      <xdr:row>37</xdr:row>
      <xdr:rowOff>180623</xdr:rowOff>
    </xdr:to>
    <xdr:sp macro="" textlink="">
      <xdr:nvSpPr>
        <xdr:cNvPr id="4" name="CuadroTexto 3">
          <a:extLst>
            <a:ext uri="{FF2B5EF4-FFF2-40B4-BE49-F238E27FC236}">
              <a16:creationId xmlns:a16="http://schemas.microsoft.com/office/drawing/2014/main" id="{D505F560-0670-97A6-6B39-0A52AC835241}"/>
            </a:ext>
          </a:extLst>
        </xdr:cNvPr>
        <xdr:cNvSpPr txBox="1"/>
      </xdr:nvSpPr>
      <xdr:spPr>
        <a:xfrm>
          <a:off x="1679777" y="2474269"/>
          <a:ext cx="1665760" cy="249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1" i="0" baseline="0">
              <a:solidFill>
                <a:schemeClr val="accent1"/>
              </a:solidFill>
              <a:effectLst/>
              <a:latin typeface="+mn-lt"/>
              <a:ea typeface="+mn-ea"/>
              <a:cs typeface="+mn-cs"/>
            </a:rPr>
            <a:t>Programado vs Ejecutado</a:t>
          </a:r>
          <a:endParaRPr lang="es-DO">
            <a:solidFill>
              <a:schemeClr val="accent1"/>
            </a:solidFill>
            <a:effectLst/>
          </a:endParaRPr>
        </a:p>
        <a:p>
          <a:endParaRPr lang="es-DO" sz="1100">
            <a:solidFill>
              <a:schemeClr val="accent1"/>
            </a:solidFill>
          </a:endParaRPr>
        </a:p>
      </xdr:txBody>
    </xdr:sp>
    <xdr:clientData/>
  </xdr:twoCellAnchor>
  <xdr:twoCellAnchor editAs="oneCell">
    <xdr:from>
      <xdr:col>5</xdr:col>
      <xdr:colOff>662608</xdr:colOff>
      <xdr:row>1</xdr:row>
      <xdr:rowOff>140805</xdr:rowOff>
    </xdr:from>
    <xdr:to>
      <xdr:col>6</xdr:col>
      <xdr:colOff>761668</xdr:colOff>
      <xdr:row>5</xdr:row>
      <xdr:rowOff>36030</xdr:rowOff>
    </xdr:to>
    <xdr:pic>
      <xdr:nvPicPr>
        <xdr:cNvPr id="11" name="Imagen 7">
          <a:extLst>
            <a:ext uri="{FF2B5EF4-FFF2-40B4-BE49-F238E27FC236}">
              <a16:creationId xmlns:a16="http://schemas.microsoft.com/office/drawing/2014/main" id="{A7CBF8D2-26E0-6475-C366-0F7E6D0A1B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10369" y="331305"/>
          <a:ext cx="1051560" cy="6572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282575</xdr:colOff>
      <xdr:row>48</xdr:row>
      <xdr:rowOff>7082</xdr:rowOff>
    </xdr:from>
    <xdr:to>
      <xdr:col>2</xdr:col>
      <xdr:colOff>1155700</xdr:colOff>
      <xdr:row>61</xdr:row>
      <xdr:rowOff>58614</xdr:rowOff>
    </xdr:to>
    <xdr:graphicFrame macro="">
      <xdr:nvGraphicFramePr>
        <xdr:cNvPr id="2" name="2 Gráfico">
          <a:extLst>
            <a:ext uri="{FF2B5EF4-FFF2-40B4-BE49-F238E27FC236}">
              <a16:creationId xmlns:a16="http://schemas.microsoft.com/office/drawing/2014/main" id="{F35143D0-E868-4C85-94B4-34429EEAF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236294</xdr:colOff>
      <xdr:row>2</xdr:row>
      <xdr:rowOff>28696</xdr:rowOff>
    </xdr:from>
    <xdr:to>
      <xdr:col>0</xdr:col>
      <xdr:colOff>815121</xdr:colOff>
      <xdr:row>4</xdr:row>
      <xdr:rowOff>11876</xdr:rowOff>
    </xdr:to>
    <xdr:pic>
      <xdr:nvPicPr>
        <xdr:cNvPr id="3" name="Picture 4">
          <a:extLst>
            <a:ext uri="{FF2B5EF4-FFF2-40B4-BE49-F238E27FC236}">
              <a16:creationId xmlns:a16="http://schemas.microsoft.com/office/drawing/2014/main" id="{F52C7FF6-A60C-4AB4-8A9F-B513AEF973A1}"/>
            </a:ext>
          </a:extLst>
        </xdr:cNvPr>
        <xdr:cNvPicPr>
          <a:picLocks noChangeAspect="1"/>
        </xdr:cNvPicPr>
      </xdr:nvPicPr>
      <xdr:blipFill>
        <a:blip xmlns:r="http://schemas.openxmlformats.org/officeDocument/2006/relationships" r:embed="rId2"/>
        <a:stretch>
          <a:fillRect/>
        </a:stretch>
      </xdr:blipFill>
      <xdr:spPr>
        <a:xfrm>
          <a:off x="236294" y="409696"/>
          <a:ext cx="578827" cy="364180"/>
        </a:xfrm>
        <a:prstGeom prst="rect">
          <a:avLst/>
        </a:prstGeom>
      </xdr:spPr>
    </xdr:pic>
    <xdr:clientData/>
  </xdr:twoCellAnchor>
  <xdr:twoCellAnchor>
    <xdr:from>
      <xdr:col>3</xdr:col>
      <xdr:colOff>433387</xdr:colOff>
      <xdr:row>48</xdr:row>
      <xdr:rowOff>103188</xdr:rowOff>
    </xdr:from>
    <xdr:to>
      <xdr:col>8</xdr:col>
      <xdr:colOff>652462</xdr:colOff>
      <xdr:row>61</xdr:row>
      <xdr:rowOff>165101</xdr:rowOff>
    </xdr:to>
    <xdr:graphicFrame macro="">
      <xdr:nvGraphicFramePr>
        <xdr:cNvPr id="5" name="Gráfico 4">
          <a:extLst>
            <a:ext uri="{FF2B5EF4-FFF2-40B4-BE49-F238E27FC236}">
              <a16:creationId xmlns:a16="http://schemas.microsoft.com/office/drawing/2014/main" id="{435ED3EA-9E43-417F-ABF0-1C53F998D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333916</xdr:colOff>
      <xdr:row>31</xdr:row>
      <xdr:rowOff>66676</xdr:rowOff>
    </xdr:from>
    <xdr:to>
      <xdr:col>2</xdr:col>
      <xdr:colOff>1092063</xdr:colOff>
      <xdr:row>45</xdr:row>
      <xdr:rowOff>16979</xdr:rowOff>
    </xdr:to>
    <xdr:graphicFrame macro="">
      <xdr:nvGraphicFramePr>
        <xdr:cNvPr id="4" name="2 Gráfico">
          <a:extLst>
            <a:ext uri="{FF2B5EF4-FFF2-40B4-BE49-F238E27FC236}">
              <a16:creationId xmlns:a16="http://schemas.microsoft.com/office/drawing/2014/main" id="{8275ACFC-2CA4-48B1-9393-094683E52A39}"/>
            </a:ext>
            <a:ext uri="{147F2762-F138-4A5C-976F-8EAC2B608ADB}">
              <a16:predDERef xmlns:a16="http://schemas.microsoft.com/office/drawing/2014/main" pred="{435ED3EA-9E43-417F-ABF0-1C53F998D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468149</xdr:colOff>
      <xdr:row>32</xdr:row>
      <xdr:rowOff>58573</xdr:rowOff>
    </xdr:from>
    <xdr:to>
      <xdr:col>8</xdr:col>
      <xdr:colOff>82826</xdr:colOff>
      <xdr:row>44</xdr:row>
      <xdr:rowOff>562389</xdr:rowOff>
    </xdr:to>
    <xdr:graphicFrame macro="">
      <xdr:nvGraphicFramePr>
        <xdr:cNvPr id="8" name="Gráfico 6">
          <a:extLst>
            <a:ext uri="{FF2B5EF4-FFF2-40B4-BE49-F238E27FC236}">
              <a16:creationId xmlns:a16="http://schemas.microsoft.com/office/drawing/2014/main" id="{9DA730B8-5946-4852-B167-4D208707CD91}"/>
            </a:ext>
            <a:ext uri="{147F2762-F138-4A5C-976F-8EAC2B608ADB}">
              <a16:predDERef xmlns:a16="http://schemas.microsoft.com/office/drawing/2014/main" pred="{8275ACFC-2CA4-48B1-9393-094683E52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266699</xdr:colOff>
      <xdr:row>0</xdr:row>
      <xdr:rowOff>123825</xdr:rowOff>
    </xdr:from>
    <xdr:to>
      <xdr:col>3</xdr:col>
      <xdr:colOff>1400174</xdr:colOff>
      <xdr:row>4</xdr:row>
      <xdr:rowOff>19050</xdr:rowOff>
    </xdr:to>
    <xdr:pic>
      <xdr:nvPicPr>
        <xdr:cNvPr id="9" name="Imagen 21">
          <a:extLst>
            <a:ext uri="{FF2B5EF4-FFF2-40B4-BE49-F238E27FC236}">
              <a16:creationId xmlns:a16="http://schemas.microsoft.com/office/drawing/2014/main" id="{88424F7E-8910-A61B-9D3C-993CBE622BE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095749" y="123825"/>
          <a:ext cx="1133475" cy="657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163767</xdr:colOff>
      <xdr:row>72</xdr:row>
      <xdr:rowOff>148168</xdr:rowOff>
    </xdr:from>
    <xdr:to>
      <xdr:col>8</xdr:col>
      <xdr:colOff>707619</xdr:colOff>
      <xdr:row>93</xdr:row>
      <xdr:rowOff>80432</xdr:rowOff>
    </xdr:to>
    <xdr:graphicFrame macro="">
      <xdr:nvGraphicFramePr>
        <xdr:cNvPr id="2" name="1 Gráfico">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939500</xdr:colOff>
      <xdr:row>2</xdr:row>
      <xdr:rowOff>119428</xdr:rowOff>
    </xdr:from>
    <xdr:to>
      <xdr:col>4</xdr:col>
      <xdr:colOff>471829</xdr:colOff>
      <xdr:row>5</xdr:row>
      <xdr:rowOff>68140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234900" y="309928"/>
          <a:ext cx="827729" cy="520212"/>
        </a:xfrm>
        <a:prstGeom prst="rect">
          <a:avLst/>
        </a:prstGeom>
      </xdr:spPr>
    </xdr:pic>
    <xdr:clientData/>
  </xdr:twoCellAnchor>
  <xdr:twoCellAnchor>
    <xdr:from>
      <xdr:col>2</xdr:col>
      <xdr:colOff>853406</xdr:colOff>
      <xdr:row>62</xdr:row>
      <xdr:rowOff>28575</xdr:rowOff>
    </xdr:from>
    <xdr:to>
      <xdr:col>9</xdr:col>
      <xdr:colOff>857250</xdr:colOff>
      <xdr:row>81</xdr:row>
      <xdr:rowOff>170331</xdr:rowOff>
    </xdr:to>
    <xdr:graphicFrame macro="">
      <xdr:nvGraphicFramePr>
        <xdr:cNvPr id="4" name="1 Gráfico">
          <a:extLst>
            <a:ext uri="{FF2B5EF4-FFF2-40B4-BE49-F238E27FC236}">
              <a16:creationId xmlns:a16="http://schemas.microsoft.com/office/drawing/2014/main" id="{F9F111A3-5B70-420B-B6C6-FF837AD885A1}"/>
            </a:ext>
            <a:ext uri="{147F2762-F138-4A5C-976F-8EAC2B608ADB}">
              <a16:predDERef xmlns:a16="http://schemas.microsoft.com/office/drawing/2014/main" pre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884093</xdr:colOff>
      <xdr:row>61</xdr:row>
      <xdr:rowOff>132536</xdr:rowOff>
    </xdr:from>
    <xdr:to>
      <xdr:col>8</xdr:col>
      <xdr:colOff>609599</xdr:colOff>
      <xdr:row>62</xdr:row>
      <xdr:rowOff>174931</xdr:rowOff>
    </xdr:to>
    <xdr:sp macro="" textlink="">
      <xdr:nvSpPr>
        <xdr:cNvPr id="8" name="CuadroTexto 7">
          <a:extLst>
            <a:ext uri="{FF2B5EF4-FFF2-40B4-BE49-F238E27FC236}">
              <a16:creationId xmlns:a16="http://schemas.microsoft.com/office/drawing/2014/main" id="{58508CB0-2E01-459C-8A10-2C7A8EE58F31}"/>
            </a:ext>
          </a:extLst>
        </xdr:cNvPr>
        <xdr:cNvSpPr txBox="1"/>
      </xdr:nvSpPr>
      <xdr:spPr>
        <a:xfrm>
          <a:off x="3970193" y="4237811"/>
          <a:ext cx="2859231" cy="232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200" b="1">
              <a:solidFill>
                <a:schemeClr val="accent1"/>
              </a:solidFill>
            </a:rPr>
            <a:t>Programado Total vs Ejecutado</a:t>
          </a:r>
        </a:p>
      </xdr:txBody>
    </xdr:sp>
    <xdr:clientData/>
  </xdr:twoCellAnchor>
  <xdr:twoCellAnchor editAs="oneCell">
    <xdr:from>
      <xdr:col>7</xdr:col>
      <xdr:colOff>864578</xdr:colOff>
      <xdr:row>1</xdr:row>
      <xdr:rowOff>95250</xdr:rowOff>
    </xdr:from>
    <xdr:to>
      <xdr:col>9</xdr:col>
      <xdr:colOff>11138</xdr:colOff>
      <xdr:row>4</xdr:row>
      <xdr:rowOff>180975</xdr:rowOff>
    </xdr:to>
    <xdr:pic>
      <xdr:nvPicPr>
        <xdr:cNvPr id="5" name="Imagen 2">
          <a:extLst>
            <a:ext uri="{FF2B5EF4-FFF2-40B4-BE49-F238E27FC236}">
              <a16:creationId xmlns:a16="http://schemas.microsoft.com/office/drawing/2014/main" id="{6E776361-7289-39AC-DD29-5124724361D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83924" y="285750"/>
          <a:ext cx="1051560" cy="657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238781</xdr:colOff>
      <xdr:row>76</xdr:row>
      <xdr:rowOff>75581</xdr:rowOff>
    </xdr:from>
    <xdr:to>
      <xdr:col>7</xdr:col>
      <xdr:colOff>103532</xdr:colOff>
      <xdr:row>88</xdr:row>
      <xdr:rowOff>100427</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407987</xdr:colOff>
      <xdr:row>90</xdr:row>
      <xdr:rowOff>18324</xdr:rowOff>
    </xdr:from>
    <xdr:to>
      <xdr:col>7</xdr:col>
      <xdr:colOff>792184</xdr:colOff>
      <xdr:row>101</xdr:row>
      <xdr:rowOff>131625</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145981</xdr:colOff>
      <xdr:row>75</xdr:row>
      <xdr:rowOff>108710</xdr:rowOff>
    </xdr:from>
    <xdr:to>
      <xdr:col>14</xdr:col>
      <xdr:colOff>130452</xdr:colOff>
      <xdr:row>87</xdr:row>
      <xdr:rowOff>121134</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145359</xdr:colOff>
      <xdr:row>51</xdr:row>
      <xdr:rowOff>136901</xdr:rowOff>
    </xdr:from>
    <xdr:to>
      <xdr:col>4</xdr:col>
      <xdr:colOff>1106887</xdr:colOff>
      <xdr:row>52</xdr:row>
      <xdr:rowOff>155951</xdr:rowOff>
    </xdr:to>
    <xdr:sp macro="" textlink="">
      <xdr:nvSpPr>
        <xdr:cNvPr id="5" name="4 CuadroTexto">
          <a:extLst>
            <a:ext uri="{FF2B5EF4-FFF2-40B4-BE49-F238E27FC236}">
              <a16:creationId xmlns:a16="http://schemas.microsoft.com/office/drawing/2014/main" id="{00000000-0008-0000-0700-000005000000}"/>
            </a:ext>
          </a:extLst>
        </xdr:cNvPr>
        <xdr:cNvSpPr txBox="1"/>
      </xdr:nvSpPr>
      <xdr:spPr>
        <a:xfrm>
          <a:off x="2455172" y="6994901"/>
          <a:ext cx="961528" cy="2095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1">
              <a:solidFill>
                <a:schemeClr val="accent5">
                  <a:lumMod val="75000"/>
                </a:schemeClr>
              </a:solidFill>
            </a:rPr>
            <a:t>Pensiones</a:t>
          </a:r>
        </a:p>
      </xdr:txBody>
    </xdr:sp>
    <xdr:clientData/>
  </xdr:twoCellAnchor>
  <xdr:twoCellAnchor>
    <xdr:from>
      <xdr:col>9</xdr:col>
      <xdr:colOff>218449</xdr:colOff>
      <xdr:row>36</xdr:row>
      <xdr:rowOff>32716</xdr:rowOff>
    </xdr:from>
    <xdr:to>
      <xdr:col>14</xdr:col>
      <xdr:colOff>363032</xdr:colOff>
      <xdr:row>36</xdr:row>
      <xdr:rowOff>86928</xdr:rowOff>
    </xdr:to>
    <xdr:sp macro="" textlink="">
      <xdr:nvSpPr>
        <xdr:cNvPr id="11" name="1 CuadroTexto">
          <a:extLst>
            <a:ext uri="{FF2B5EF4-FFF2-40B4-BE49-F238E27FC236}">
              <a16:creationId xmlns:a16="http://schemas.microsoft.com/office/drawing/2014/main" id="{00000000-0008-0000-0700-00000B000000}"/>
            </a:ext>
          </a:extLst>
        </xdr:cNvPr>
        <xdr:cNvSpPr txBox="1"/>
      </xdr:nvSpPr>
      <xdr:spPr>
        <a:xfrm>
          <a:off x="7162174" y="3271216"/>
          <a:ext cx="4383208" cy="5421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s-DO" sz="1100" b="1">
              <a:solidFill>
                <a:schemeClr val="accent5">
                  <a:lumMod val="75000"/>
                </a:schemeClr>
              </a:solidFill>
            </a:rPr>
            <a:t>Monto</a:t>
          </a:r>
        </a:p>
      </xdr:txBody>
    </xdr:sp>
    <xdr:clientData/>
  </xdr:twoCellAnchor>
  <xdr:twoCellAnchor editAs="oneCell">
    <xdr:from>
      <xdr:col>4</xdr:col>
      <xdr:colOff>21980</xdr:colOff>
      <xdr:row>2</xdr:row>
      <xdr:rowOff>14654</xdr:rowOff>
    </xdr:from>
    <xdr:to>
      <xdr:col>4</xdr:col>
      <xdr:colOff>1005426</xdr:colOff>
      <xdr:row>5</xdr:row>
      <xdr:rowOff>65942</xdr:rowOff>
    </xdr:to>
    <xdr:pic>
      <xdr:nvPicPr>
        <xdr:cNvPr id="17"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a:stretch>
          <a:fillRect/>
        </a:stretch>
      </xdr:blipFill>
      <xdr:spPr>
        <a:xfrm>
          <a:off x="2542442" y="395654"/>
          <a:ext cx="983446" cy="622788"/>
        </a:xfrm>
        <a:prstGeom prst="rect">
          <a:avLst/>
        </a:prstGeom>
      </xdr:spPr>
    </xdr:pic>
    <xdr:clientData/>
  </xdr:twoCellAnchor>
  <xdr:twoCellAnchor>
    <xdr:from>
      <xdr:col>8</xdr:col>
      <xdr:colOff>381000</xdr:colOff>
      <xdr:row>87</xdr:row>
      <xdr:rowOff>104774</xdr:rowOff>
    </xdr:from>
    <xdr:to>
      <xdr:col>14</xdr:col>
      <xdr:colOff>185738</xdr:colOff>
      <xdr:row>101</xdr:row>
      <xdr:rowOff>180974</xdr:rowOff>
    </xdr:to>
    <xdr:graphicFrame macro="">
      <xdr:nvGraphicFramePr>
        <xdr:cNvPr id="7" name="Gráfico 6">
          <a:extLst>
            <a:ext uri="{FF2B5EF4-FFF2-40B4-BE49-F238E27FC236}">
              <a16:creationId xmlns:a16="http://schemas.microsoft.com/office/drawing/2014/main" id="{A42BF6BF-17CA-41F1-AC5B-7C97748ADB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623889</xdr:colOff>
      <xdr:row>36</xdr:row>
      <xdr:rowOff>42862</xdr:rowOff>
    </xdr:from>
    <xdr:to>
      <xdr:col>7</xdr:col>
      <xdr:colOff>488640</xdr:colOff>
      <xdr:row>48</xdr:row>
      <xdr:rowOff>67708</xdr:rowOff>
    </xdr:to>
    <xdr:graphicFrame macro="">
      <xdr:nvGraphicFramePr>
        <xdr:cNvPr id="6" name="1 Gráfico">
          <a:extLst>
            <a:ext uri="{FF2B5EF4-FFF2-40B4-BE49-F238E27FC236}">
              <a16:creationId xmlns:a16="http://schemas.microsoft.com/office/drawing/2014/main" id="{B8779DCD-71A6-4AD6-B258-C5D46B284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428625</xdr:colOff>
      <xdr:row>37</xdr:row>
      <xdr:rowOff>119062</xdr:rowOff>
    </xdr:from>
    <xdr:to>
      <xdr:col>14</xdr:col>
      <xdr:colOff>413096</xdr:colOff>
      <xdr:row>49</xdr:row>
      <xdr:rowOff>131486</xdr:rowOff>
    </xdr:to>
    <xdr:graphicFrame macro="">
      <xdr:nvGraphicFramePr>
        <xdr:cNvPr id="8" name="3 Gráfico">
          <a:extLst>
            <a:ext uri="{FF2B5EF4-FFF2-40B4-BE49-F238E27FC236}">
              <a16:creationId xmlns:a16="http://schemas.microsoft.com/office/drawing/2014/main" id="{3B93A0B1-E3C2-49F9-B0A0-72EB4066F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452438</xdr:colOff>
      <xdr:row>53</xdr:row>
      <xdr:rowOff>119063</xdr:rowOff>
    </xdr:from>
    <xdr:to>
      <xdr:col>7</xdr:col>
      <xdr:colOff>836635</xdr:colOff>
      <xdr:row>65</xdr:row>
      <xdr:rowOff>41864</xdr:rowOff>
    </xdr:to>
    <xdr:graphicFrame macro="">
      <xdr:nvGraphicFramePr>
        <xdr:cNvPr id="9" name="2 Gráfico">
          <a:extLst>
            <a:ext uri="{FF2B5EF4-FFF2-40B4-BE49-F238E27FC236}">
              <a16:creationId xmlns:a16="http://schemas.microsoft.com/office/drawing/2014/main" id="{CEB296AD-AD40-42C9-B99C-3EE9C7E46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180975</xdr:colOff>
      <xdr:row>52</xdr:row>
      <xdr:rowOff>171450</xdr:rowOff>
    </xdr:from>
    <xdr:to>
      <xdr:col>14</xdr:col>
      <xdr:colOff>57149</xdr:colOff>
      <xdr:row>63</xdr:row>
      <xdr:rowOff>152399</xdr:rowOff>
    </xdr:to>
    <xdr:graphicFrame macro="">
      <xdr:nvGraphicFramePr>
        <xdr:cNvPr id="12" name="Gráfico 11">
          <a:extLst>
            <a:ext uri="{FF2B5EF4-FFF2-40B4-BE49-F238E27FC236}">
              <a16:creationId xmlns:a16="http://schemas.microsoft.com/office/drawing/2014/main" id="{94D01AE7-30DB-4FBD-8086-E33D01ECF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10</xdr:col>
      <xdr:colOff>337038</xdr:colOff>
      <xdr:row>1</xdr:row>
      <xdr:rowOff>95250</xdr:rowOff>
    </xdr:from>
    <xdr:to>
      <xdr:col>11</xdr:col>
      <xdr:colOff>356821</xdr:colOff>
      <xdr:row>4</xdr:row>
      <xdr:rowOff>180975</xdr:rowOff>
    </xdr:to>
    <xdr:pic>
      <xdr:nvPicPr>
        <xdr:cNvPr id="16" name="Imagen 12">
          <a:extLst>
            <a:ext uri="{FF2B5EF4-FFF2-40B4-BE49-F238E27FC236}">
              <a16:creationId xmlns:a16="http://schemas.microsoft.com/office/drawing/2014/main" id="{45BEC012-51C2-D2AA-31B2-CD00CC3F899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964365" y="285750"/>
          <a:ext cx="1077058" cy="657225"/>
        </a:xfrm>
        <a:prstGeom prst="rect">
          <a:avLst/>
        </a:prstGeom>
        <a:noFill/>
        <a:ln>
          <a:noFill/>
        </a:ln>
      </xdr:spPr>
    </xdr:pic>
    <xdr:clientData/>
  </xdr:twoCellAnchor>
</xdr:wsDr>
</file>

<file path=xl/drawings/drawing13.xml><?xml version="1.0" encoding="utf-8"?>
<c:userShapes xmlns:c="http://schemas.openxmlformats.org/drawingml/2006/chart">
  <cdr:relSizeAnchor xmlns:cdr="http://schemas.openxmlformats.org/drawingml/2006/chartDrawing">
    <cdr:from>
      <cdr:x>0.30281</cdr:x>
      <cdr:y>0</cdr:y>
    </cdr:from>
    <cdr:to>
      <cdr:x>0.71115</cdr:x>
      <cdr:y>0.09722</cdr:y>
    </cdr:to>
    <cdr:sp macro="" textlink="">
      <cdr:nvSpPr>
        <cdr:cNvPr id="2" name="1 CuadroTexto"/>
        <cdr:cNvSpPr txBox="1"/>
      </cdr:nvSpPr>
      <cdr:spPr>
        <a:xfrm xmlns:a="http://schemas.openxmlformats.org/drawingml/2006/main">
          <a:off x="1631919" y="0"/>
          <a:ext cx="2200646" cy="253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DO" sz="1100" b="1">
              <a:solidFill>
                <a:schemeClr val="accent5">
                  <a:lumMod val="75000"/>
                </a:schemeClr>
              </a:solidFill>
            </a:rPr>
            <a:t>Pensionados</a:t>
          </a:r>
        </a:p>
      </cdr:txBody>
    </cdr:sp>
  </cdr:relSizeAnchor>
</c:userShapes>
</file>

<file path=xl/drawings/drawing14.xml><?xml version="1.0" encoding="utf-8"?>
<c:userShapes xmlns:c="http://schemas.openxmlformats.org/drawingml/2006/chart">
  <cdr:relSizeAnchor xmlns:cdr="http://schemas.openxmlformats.org/drawingml/2006/chartDrawing">
    <cdr:from>
      <cdr:x>0.30281</cdr:x>
      <cdr:y>0</cdr:y>
    </cdr:from>
    <cdr:to>
      <cdr:x>0.71115</cdr:x>
      <cdr:y>0.09722</cdr:y>
    </cdr:to>
    <cdr:sp macro="" textlink="">
      <cdr:nvSpPr>
        <cdr:cNvPr id="2" name="1 CuadroTexto"/>
        <cdr:cNvSpPr txBox="1"/>
      </cdr:nvSpPr>
      <cdr:spPr>
        <a:xfrm xmlns:a="http://schemas.openxmlformats.org/drawingml/2006/main">
          <a:off x="1631919" y="0"/>
          <a:ext cx="2200646" cy="253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DO" sz="1100" b="1">
              <a:solidFill>
                <a:schemeClr val="accent5">
                  <a:lumMod val="75000"/>
                </a:schemeClr>
              </a:solidFill>
            </a:rPr>
            <a:t>Pensionados</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2</xdr:col>
      <xdr:colOff>446942</xdr:colOff>
      <xdr:row>2</xdr:row>
      <xdr:rowOff>36635</xdr:rowOff>
    </xdr:from>
    <xdr:to>
      <xdr:col>3</xdr:col>
      <xdr:colOff>165638</xdr:colOff>
      <xdr:row>5</xdr:row>
      <xdr:rowOff>87922</xdr:rowOff>
    </xdr:to>
    <xdr:pic>
      <xdr:nvPicPr>
        <xdr:cNvPr id="2" name="Picture 7">
          <a:extLst>
            <a:ext uri="{FF2B5EF4-FFF2-40B4-BE49-F238E27FC236}">
              <a16:creationId xmlns:a16="http://schemas.microsoft.com/office/drawing/2014/main" id="{E942B9E2-F9D1-4E35-8E7F-20E9BC51523D}"/>
            </a:ext>
          </a:extLst>
        </xdr:cNvPr>
        <xdr:cNvPicPr>
          <a:picLocks noChangeAspect="1"/>
        </xdr:cNvPicPr>
      </xdr:nvPicPr>
      <xdr:blipFill>
        <a:blip xmlns:r="http://schemas.openxmlformats.org/officeDocument/2006/relationships" r:embed="rId1"/>
        <a:stretch>
          <a:fillRect/>
        </a:stretch>
      </xdr:blipFill>
      <xdr:spPr>
        <a:xfrm>
          <a:off x="2409092" y="227135"/>
          <a:ext cx="987658" cy="622788"/>
        </a:xfrm>
        <a:prstGeom prst="rect">
          <a:avLst/>
        </a:prstGeom>
      </xdr:spPr>
    </xdr:pic>
    <xdr:clientData/>
  </xdr:twoCellAnchor>
  <xdr:twoCellAnchor>
    <xdr:from>
      <xdr:col>3</xdr:col>
      <xdr:colOff>216702</xdr:colOff>
      <xdr:row>21</xdr:row>
      <xdr:rowOff>522406</xdr:rowOff>
    </xdr:from>
    <xdr:to>
      <xdr:col>10</xdr:col>
      <xdr:colOff>156424</xdr:colOff>
      <xdr:row>29</xdr:row>
      <xdr:rowOff>58482</xdr:rowOff>
    </xdr:to>
    <xdr:graphicFrame macro="">
      <xdr:nvGraphicFramePr>
        <xdr:cNvPr id="6" name="Gráfico 5">
          <a:extLst>
            <a:ext uri="{FF2B5EF4-FFF2-40B4-BE49-F238E27FC236}">
              <a16:creationId xmlns:a16="http://schemas.microsoft.com/office/drawing/2014/main" id="{E89759A0-5C3E-1BAD-FEDD-D69933DC8E59}"/>
            </a:ext>
            <a:ext uri="{147F2762-F138-4A5C-976F-8EAC2B608ADB}">
              <a16:predDERef xmlns:a16="http://schemas.microsoft.com/office/drawing/2014/main" pred="{F0EDD90A-9281-44E9-A447-233166329F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942033</xdr:colOff>
      <xdr:row>1</xdr:row>
      <xdr:rowOff>146537</xdr:rowOff>
    </xdr:from>
    <xdr:to>
      <xdr:col>16</xdr:col>
      <xdr:colOff>485356</xdr:colOff>
      <xdr:row>5</xdr:row>
      <xdr:rowOff>41762</xdr:rowOff>
    </xdr:to>
    <xdr:pic>
      <xdr:nvPicPr>
        <xdr:cNvPr id="7" name="Imagen 3">
          <a:extLst>
            <a:ext uri="{FF2B5EF4-FFF2-40B4-BE49-F238E27FC236}">
              <a16:creationId xmlns:a16="http://schemas.microsoft.com/office/drawing/2014/main" id="{C3951394-5579-B933-82BB-8EDC477E80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07308" y="334944"/>
          <a:ext cx="1381648"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742950</xdr:colOff>
      <xdr:row>34</xdr:row>
      <xdr:rowOff>153440</xdr:rowOff>
    </xdr:from>
    <xdr:to>
      <xdr:col>20</xdr:col>
      <xdr:colOff>369818</xdr:colOff>
      <xdr:row>49</xdr:row>
      <xdr:rowOff>59221</xdr:rowOff>
    </xdr:to>
    <xdr:graphicFrame macro="">
      <xdr:nvGraphicFramePr>
        <xdr:cNvPr id="1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400751</xdr:colOff>
      <xdr:row>2</xdr:row>
      <xdr:rowOff>182218</xdr:rowOff>
    </xdr:from>
    <xdr:to>
      <xdr:col>5</xdr:col>
      <xdr:colOff>369945</xdr:colOff>
      <xdr:row>6</xdr:row>
      <xdr:rowOff>43006</xdr:rowOff>
    </xdr:to>
    <xdr:pic>
      <xdr:nvPicPr>
        <xdr:cNvPr id="11"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a:stretch>
          <a:fillRect/>
        </a:stretch>
      </xdr:blipFill>
      <xdr:spPr>
        <a:xfrm>
          <a:off x="1866773" y="563218"/>
          <a:ext cx="997894" cy="622788"/>
        </a:xfrm>
        <a:prstGeom prst="rect">
          <a:avLst/>
        </a:prstGeom>
      </xdr:spPr>
    </xdr:pic>
    <xdr:clientData/>
  </xdr:twoCellAnchor>
  <xdr:twoCellAnchor>
    <xdr:from>
      <xdr:col>2</xdr:col>
      <xdr:colOff>111401</xdr:colOff>
      <xdr:row>34</xdr:row>
      <xdr:rowOff>102013</xdr:rowOff>
    </xdr:from>
    <xdr:to>
      <xdr:col>10</xdr:col>
      <xdr:colOff>372717</xdr:colOff>
      <xdr:row>47</xdr:row>
      <xdr:rowOff>165653</xdr:rowOff>
    </xdr:to>
    <xdr:graphicFrame macro="">
      <xdr:nvGraphicFramePr>
        <xdr:cNvPr id="9" name="1 Gráfico">
          <a:extLst>
            <a:ext uri="{FF2B5EF4-FFF2-40B4-BE49-F238E27FC236}">
              <a16:creationId xmlns:a16="http://schemas.microsoft.com/office/drawing/2014/main" id="{00000000-0008-0000-0800-000009000000}"/>
            </a:ext>
            <a:ext uri="{147F2762-F138-4A5C-976F-8EAC2B608ADB}">
              <a16:predDERef xmlns:a16="http://schemas.microsoft.com/office/drawing/2014/main" pre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372718</xdr:colOff>
      <xdr:row>33</xdr:row>
      <xdr:rowOff>67917</xdr:rowOff>
    </xdr:from>
    <xdr:to>
      <xdr:col>15</xdr:col>
      <xdr:colOff>124239</xdr:colOff>
      <xdr:row>35</xdr:row>
      <xdr:rowOff>8283</xdr:rowOff>
    </xdr:to>
    <xdr:sp macro="" textlink="">
      <xdr:nvSpPr>
        <xdr:cNvPr id="3" name="CuadroTexto 2">
          <a:extLst>
            <a:ext uri="{FF2B5EF4-FFF2-40B4-BE49-F238E27FC236}">
              <a16:creationId xmlns:a16="http://schemas.microsoft.com/office/drawing/2014/main" id="{CCE4496F-D8FC-CEEB-BE14-D5023697E9AC}"/>
            </a:ext>
          </a:extLst>
        </xdr:cNvPr>
        <xdr:cNvSpPr txBox="1"/>
      </xdr:nvSpPr>
      <xdr:spPr>
        <a:xfrm>
          <a:off x="6949109" y="3107634"/>
          <a:ext cx="894521" cy="321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tx2">
                  <a:lumMod val="60000"/>
                  <a:lumOff val="40000"/>
                </a:schemeClr>
              </a:solidFill>
            </a:rPr>
            <a:t>PENSIONES</a:t>
          </a:r>
        </a:p>
      </xdr:txBody>
    </xdr:sp>
    <xdr:clientData/>
  </xdr:twoCellAnchor>
  <xdr:twoCellAnchor>
    <xdr:from>
      <xdr:col>4</xdr:col>
      <xdr:colOff>434009</xdr:colOff>
      <xdr:row>33</xdr:row>
      <xdr:rowOff>36444</xdr:rowOff>
    </xdr:from>
    <xdr:to>
      <xdr:col>5</xdr:col>
      <xdr:colOff>273328</xdr:colOff>
      <xdr:row>34</xdr:row>
      <xdr:rowOff>86140</xdr:rowOff>
    </xdr:to>
    <xdr:sp macro="" textlink="">
      <xdr:nvSpPr>
        <xdr:cNvPr id="4" name="CuadroTexto 3">
          <a:extLst>
            <a:ext uri="{FF2B5EF4-FFF2-40B4-BE49-F238E27FC236}">
              <a16:creationId xmlns:a16="http://schemas.microsoft.com/office/drawing/2014/main" id="{725675C8-07B1-4698-AACB-19A6DB968645}"/>
            </a:ext>
          </a:extLst>
        </xdr:cNvPr>
        <xdr:cNvSpPr txBox="1"/>
      </xdr:nvSpPr>
      <xdr:spPr>
        <a:xfrm>
          <a:off x="2090531" y="2844248"/>
          <a:ext cx="733840" cy="240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tx2">
                  <a:lumMod val="60000"/>
                  <a:lumOff val="40000"/>
                </a:schemeClr>
              </a:solidFill>
            </a:rPr>
            <a:t>MONTO</a:t>
          </a:r>
        </a:p>
      </xdr:txBody>
    </xdr:sp>
    <xdr:clientData/>
  </xdr:twoCellAnchor>
  <xdr:twoCellAnchor editAs="oneCell">
    <xdr:from>
      <xdr:col>14</xdr:col>
      <xdr:colOff>530087</xdr:colOff>
      <xdr:row>2</xdr:row>
      <xdr:rowOff>91109</xdr:rowOff>
    </xdr:from>
    <xdr:to>
      <xdr:col>16</xdr:col>
      <xdr:colOff>335445</xdr:colOff>
      <xdr:row>5</xdr:row>
      <xdr:rowOff>176834</xdr:rowOff>
    </xdr:to>
    <xdr:pic>
      <xdr:nvPicPr>
        <xdr:cNvPr id="10" name="Imagen 4">
          <a:extLst>
            <a:ext uri="{FF2B5EF4-FFF2-40B4-BE49-F238E27FC236}">
              <a16:creationId xmlns:a16="http://schemas.microsoft.com/office/drawing/2014/main" id="{08559F81-0C88-A8D5-B732-DDEE79C1B68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771283" y="472109"/>
          <a:ext cx="1234108" cy="6572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oneCellAnchor>
    <xdr:from>
      <xdr:col>3</xdr:col>
      <xdr:colOff>250659</xdr:colOff>
      <xdr:row>2</xdr:row>
      <xdr:rowOff>12529</xdr:rowOff>
    </xdr:from>
    <xdr:ext cx="1263336" cy="794853"/>
    <xdr:pic>
      <xdr:nvPicPr>
        <xdr:cNvPr id="7" name="Picture 9">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tretch>
          <a:fillRect/>
        </a:stretch>
      </xdr:blipFill>
      <xdr:spPr>
        <a:xfrm>
          <a:off x="2697080" y="203029"/>
          <a:ext cx="1263336" cy="794853"/>
        </a:xfrm>
        <a:prstGeom prst="rect">
          <a:avLst/>
        </a:prstGeom>
      </xdr:spPr>
    </xdr:pic>
    <xdr:clientData/>
  </xdr:oneCellAnchor>
  <xdr:twoCellAnchor>
    <xdr:from>
      <xdr:col>20</xdr:col>
      <xdr:colOff>751973</xdr:colOff>
      <xdr:row>7</xdr:row>
      <xdr:rowOff>10026</xdr:rowOff>
    </xdr:from>
    <xdr:to>
      <xdr:col>25</xdr:col>
      <xdr:colOff>571500</xdr:colOff>
      <xdr:row>20</xdr:row>
      <xdr:rowOff>120316</xdr:rowOff>
    </xdr:to>
    <xdr:graphicFrame macro="">
      <xdr:nvGraphicFramePr>
        <xdr:cNvPr id="4" name="Gráfico 2">
          <a:extLst>
            <a:ext uri="{FF2B5EF4-FFF2-40B4-BE49-F238E27FC236}">
              <a16:creationId xmlns:a16="http://schemas.microsoft.com/office/drawing/2014/main" id="{00000000-0008-0000-0900-000003000000}"/>
            </a:ext>
            <a:ext uri="{147F2762-F138-4A5C-976F-8EAC2B608ADB}">
              <a16:predDERef xmlns:a16="http://schemas.microsoft.com/office/drawing/2014/main" pred="{00000000-0008-0000-09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210551</xdr:colOff>
      <xdr:row>7</xdr:row>
      <xdr:rowOff>20052</xdr:rowOff>
    </xdr:from>
    <xdr:to>
      <xdr:col>20</xdr:col>
      <xdr:colOff>271502</xdr:colOff>
      <xdr:row>21</xdr:row>
      <xdr:rowOff>180473</xdr:rowOff>
    </xdr:to>
    <xdr:graphicFrame macro="">
      <xdr:nvGraphicFramePr>
        <xdr:cNvPr id="14" name="Gráfico 13">
          <a:extLst>
            <a:ext uri="{FF2B5EF4-FFF2-40B4-BE49-F238E27FC236}">
              <a16:creationId xmlns:a16="http://schemas.microsoft.com/office/drawing/2014/main" id="{00000000-0008-0000-0900-00000E000000}"/>
            </a:ext>
            <a:ext uri="{147F2762-F138-4A5C-976F-8EAC2B608ADB}">
              <a16:predDERef xmlns:a16="http://schemas.microsoft.com/office/drawing/2014/main" pre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692099</xdr:colOff>
      <xdr:row>28</xdr:row>
      <xdr:rowOff>23798</xdr:rowOff>
    </xdr:from>
    <xdr:to>
      <xdr:col>20</xdr:col>
      <xdr:colOff>235094</xdr:colOff>
      <xdr:row>42</xdr:row>
      <xdr:rowOff>88793</xdr:rowOff>
    </xdr:to>
    <xdr:graphicFrame macro="">
      <xdr:nvGraphicFramePr>
        <xdr:cNvPr id="16" name="Gráfico 15">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1091099</xdr:colOff>
      <xdr:row>28</xdr:row>
      <xdr:rowOff>235846</xdr:rowOff>
    </xdr:from>
    <xdr:to>
      <xdr:col>26</xdr:col>
      <xdr:colOff>162736</xdr:colOff>
      <xdr:row>41</xdr:row>
      <xdr:rowOff>179699</xdr:rowOff>
    </xdr:to>
    <xdr:graphicFrame macro="">
      <xdr:nvGraphicFramePr>
        <xdr:cNvPr id="17" name="Gráfico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62723</xdr:colOff>
      <xdr:row>48</xdr:row>
      <xdr:rowOff>169062</xdr:rowOff>
    </xdr:from>
    <xdr:to>
      <xdr:col>19</xdr:col>
      <xdr:colOff>995248</xdr:colOff>
      <xdr:row>64</xdr:row>
      <xdr:rowOff>2143</xdr:rowOff>
    </xdr:to>
    <xdr:graphicFrame macro="">
      <xdr:nvGraphicFramePr>
        <xdr:cNvPr id="18" name="Gráfico 17">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165562</xdr:colOff>
      <xdr:row>49</xdr:row>
      <xdr:rowOff>43432</xdr:rowOff>
    </xdr:from>
    <xdr:to>
      <xdr:col>26</xdr:col>
      <xdr:colOff>221591</xdr:colOff>
      <xdr:row>64</xdr:row>
      <xdr:rowOff>78219</xdr:rowOff>
    </xdr:to>
    <xdr:graphicFrame macro="">
      <xdr:nvGraphicFramePr>
        <xdr:cNvPr id="19" name="Gráfico 18">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12</xdr:col>
      <xdr:colOff>124237</xdr:colOff>
      <xdr:row>2</xdr:row>
      <xdr:rowOff>82826</xdr:rowOff>
    </xdr:from>
    <xdr:to>
      <xdr:col>12</xdr:col>
      <xdr:colOff>1292087</xdr:colOff>
      <xdr:row>5</xdr:row>
      <xdr:rowOff>168551</xdr:rowOff>
    </xdr:to>
    <xdr:pic>
      <xdr:nvPicPr>
        <xdr:cNvPr id="10" name="Imagen 1">
          <a:extLst>
            <a:ext uri="{FF2B5EF4-FFF2-40B4-BE49-F238E27FC236}">
              <a16:creationId xmlns:a16="http://schemas.microsoft.com/office/drawing/2014/main" id="{915747DA-4318-336E-3E19-F7248CB86D4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187607" y="463826"/>
          <a:ext cx="11678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348029</xdr:colOff>
      <xdr:row>1</xdr:row>
      <xdr:rowOff>168520</xdr:rowOff>
    </xdr:from>
    <xdr:to>
      <xdr:col>6</xdr:col>
      <xdr:colOff>19362</xdr:colOff>
      <xdr:row>5</xdr:row>
      <xdr:rowOff>29308</xdr:rowOff>
    </xdr:to>
    <xdr:pic>
      <xdr:nvPicPr>
        <xdr:cNvPr id="8"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3929429" y="359020"/>
          <a:ext cx="1061983" cy="622788"/>
        </a:xfrm>
        <a:prstGeom prst="rect">
          <a:avLst/>
        </a:prstGeom>
      </xdr:spPr>
    </xdr:pic>
    <xdr:clientData/>
  </xdr:twoCellAnchor>
  <xdr:twoCellAnchor>
    <xdr:from>
      <xdr:col>5</xdr:col>
      <xdr:colOff>333375</xdr:colOff>
      <xdr:row>34</xdr:row>
      <xdr:rowOff>142875</xdr:rowOff>
    </xdr:from>
    <xdr:to>
      <xdr:col>12</xdr:col>
      <xdr:colOff>217581</xdr:colOff>
      <xdr:row>52</xdr:row>
      <xdr:rowOff>93008</xdr:rowOff>
    </xdr:to>
    <xdr:graphicFrame macro="">
      <xdr:nvGraphicFramePr>
        <xdr:cNvPr id="7" name="Gráfico 3">
          <a:extLst>
            <a:ext uri="{FF2B5EF4-FFF2-40B4-BE49-F238E27FC236}">
              <a16:creationId xmlns:a16="http://schemas.microsoft.com/office/drawing/2014/main" id="{91CDAAE1-585E-4BD1-BB2C-E1468C36E4E7}"/>
            </a:ext>
            <a:ext uri="{147F2762-F138-4A5C-976F-8EAC2B608ADB}">
              <a16:predDERef xmlns:a16="http://schemas.microsoft.com/office/drawing/2014/main" pre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933449</xdr:colOff>
      <xdr:row>1</xdr:row>
      <xdr:rowOff>85725</xdr:rowOff>
    </xdr:from>
    <xdr:to>
      <xdr:col>14</xdr:col>
      <xdr:colOff>600074</xdr:colOff>
      <xdr:row>4</xdr:row>
      <xdr:rowOff>171450</xdr:rowOff>
    </xdr:to>
    <xdr:pic>
      <xdr:nvPicPr>
        <xdr:cNvPr id="5" name="Imagen 1">
          <a:extLst>
            <a:ext uri="{FF2B5EF4-FFF2-40B4-BE49-F238E27FC236}">
              <a16:creationId xmlns:a16="http://schemas.microsoft.com/office/drawing/2014/main" id="{6DE1679A-E382-3967-CF02-1E241B59DD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58399" y="276225"/>
          <a:ext cx="1228725" cy="657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721230</xdr:colOff>
      <xdr:row>33</xdr:row>
      <xdr:rowOff>124435</xdr:rowOff>
    </xdr:from>
    <xdr:to>
      <xdr:col>6</xdr:col>
      <xdr:colOff>455314</xdr:colOff>
      <xdr:row>35</xdr:row>
      <xdr:rowOff>7204</xdr:rowOff>
    </xdr:to>
    <xdr:sp macro="" textlink="">
      <xdr:nvSpPr>
        <xdr:cNvPr id="4" name="3 CuadroTexto">
          <a:extLst>
            <a:ext uri="{FF2B5EF4-FFF2-40B4-BE49-F238E27FC236}">
              <a16:creationId xmlns:a16="http://schemas.microsoft.com/office/drawing/2014/main" id="{00000000-0008-0000-0C00-000004000000}"/>
            </a:ext>
          </a:extLst>
        </xdr:cNvPr>
        <xdr:cNvSpPr txBox="1"/>
      </xdr:nvSpPr>
      <xdr:spPr>
        <a:xfrm>
          <a:off x="2245230" y="3121147"/>
          <a:ext cx="3763892" cy="26376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1">
              <a:solidFill>
                <a:schemeClr val="tx2">
                  <a:lumMod val="60000"/>
                  <a:lumOff val="40000"/>
                </a:schemeClr>
              </a:solidFill>
            </a:rPr>
            <a:t>Pago de Retroactivos</a:t>
          </a:r>
        </a:p>
      </xdr:txBody>
    </xdr:sp>
    <xdr:clientData/>
  </xdr:twoCellAnchor>
  <xdr:twoCellAnchor editAs="oneCell">
    <xdr:from>
      <xdr:col>1</xdr:col>
      <xdr:colOff>492902</xdr:colOff>
      <xdr:row>2</xdr:row>
      <xdr:rowOff>57283</xdr:rowOff>
    </xdr:from>
    <xdr:to>
      <xdr:col>3</xdr:col>
      <xdr:colOff>147348</xdr:colOff>
      <xdr:row>5</xdr:row>
      <xdr:rowOff>108571</xdr:rowOff>
    </xdr:to>
    <xdr:pic>
      <xdr:nvPicPr>
        <xdr:cNvPr id="3"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1254902" y="247783"/>
          <a:ext cx="987946" cy="622788"/>
        </a:xfrm>
        <a:prstGeom prst="rect">
          <a:avLst/>
        </a:prstGeom>
      </xdr:spPr>
    </xdr:pic>
    <xdr:clientData/>
  </xdr:twoCellAnchor>
  <xdr:twoCellAnchor>
    <xdr:from>
      <xdr:col>0</xdr:col>
      <xdr:colOff>728382</xdr:colOff>
      <xdr:row>34</xdr:row>
      <xdr:rowOff>113740</xdr:rowOff>
    </xdr:from>
    <xdr:to>
      <xdr:col>7</xdr:col>
      <xdr:colOff>659925</xdr:colOff>
      <xdr:row>50</xdr:row>
      <xdr:rowOff>77932</xdr:rowOff>
    </xdr:to>
    <xdr:graphicFrame macro="">
      <xdr:nvGraphicFramePr>
        <xdr:cNvPr id="15" name="6 Gráfico">
          <a:extLst>
            <a:ext uri="{FF2B5EF4-FFF2-40B4-BE49-F238E27FC236}">
              <a16:creationId xmlns:a16="http://schemas.microsoft.com/office/drawing/2014/main" id="{5764D4A6-A412-4894-B9AB-770947AF79C4}"/>
            </a:ext>
            <a:ext uri="{147F2762-F138-4A5C-976F-8EAC2B608ADB}">
              <a16:predDERef xmlns:a16="http://schemas.microsoft.com/office/drawing/2014/main" pre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510886</xdr:colOff>
      <xdr:row>2</xdr:row>
      <xdr:rowOff>8659</xdr:rowOff>
    </xdr:from>
    <xdr:to>
      <xdr:col>9</xdr:col>
      <xdr:colOff>228946</xdr:colOff>
      <xdr:row>5</xdr:row>
      <xdr:rowOff>94384</xdr:rowOff>
    </xdr:to>
    <xdr:pic>
      <xdr:nvPicPr>
        <xdr:cNvPr id="9" name="Imagen 4">
          <a:extLst>
            <a:ext uri="{FF2B5EF4-FFF2-40B4-BE49-F238E27FC236}">
              <a16:creationId xmlns:a16="http://schemas.microsoft.com/office/drawing/2014/main" id="{E18B1C81-401E-E159-3D62-4092535BB9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66954" y="389659"/>
          <a:ext cx="105156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418632</xdr:colOff>
      <xdr:row>47</xdr:row>
      <xdr:rowOff>108284</xdr:rowOff>
    </xdr:from>
    <xdr:to>
      <xdr:col>5</xdr:col>
      <xdr:colOff>505888</xdr:colOff>
      <xdr:row>59</xdr:row>
      <xdr:rowOff>51867</xdr:rowOff>
    </xdr:to>
    <xdr:graphicFrame macro="">
      <xdr:nvGraphicFramePr>
        <xdr:cNvPr id="2" name="10 Gráfico">
          <a:extLst>
            <a:ext uri="{FF2B5EF4-FFF2-40B4-BE49-F238E27FC236}">
              <a16:creationId xmlns:a16="http://schemas.microsoft.com/office/drawing/2014/main" id="{7412F171-EEEB-49E2-966D-2F1CACD4A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732967</xdr:colOff>
      <xdr:row>30</xdr:row>
      <xdr:rowOff>109362</xdr:rowOff>
    </xdr:from>
    <xdr:to>
      <xdr:col>10</xdr:col>
      <xdr:colOff>317531</xdr:colOff>
      <xdr:row>31</xdr:row>
      <xdr:rowOff>185562</xdr:rowOff>
    </xdr:to>
    <xdr:sp macro="" textlink="">
      <xdr:nvSpPr>
        <xdr:cNvPr id="4" name="2 CuadroTexto">
          <a:extLst>
            <a:ext uri="{FF2B5EF4-FFF2-40B4-BE49-F238E27FC236}">
              <a16:creationId xmlns:a16="http://schemas.microsoft.com/office/drawing/2014/main" id="{1641605F-E6E2-484F-A7BE-C823C39B7978}"/>
            </a:ext>
          </a:extLst>
        </xdr:cNvPr>
        <xdr:cNvSpPr txBox="1"/>
      </xdr:nvSpPr>
      <xdr:spPr>
        <a:xfrm>
          <a:off x="7190917" y="3024012"/>
          <a:ext cx="1870564" cy="266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accent1"/>
              </a:solidFill>
            </a:rPr>
            <a:t>Afiliados/No Cotizantes</a:t>
          </a:r>
        </a:p>
      </xdr:txBody>
    </xdr:sp>
    <xdr:clientData/>
  </xdr:twoCellAnchor>
  <xdr:oneCellAnchor>
    <xdr:from>
      <xdr:col>0</xdr:col>
      <xdr:colOff>270708</xdr:colOff>
      <xdr:row>2</xdr:row>
      <xdr:rowOff>161924</xdr:rowOff>
    </xdr:from>
    <xdr:ext cx="719537" cy="453537"/>
    <xdr:pic>
      <xdr:nvPicPr>
        <xdr:cNvPr id="5" name="Picture 8">
          <a:extLst>
            <a:ext uri="{FF2B5EF4-FFF2-40B4-BE49-F238E27FC236}">
              <a16:creationId xmlns:a16="http://schemas.microsoft.com/office/drawing/2014/main" id="{4DD5A5D0-8A9D-405C-BF51-D9919A6643E5}"/>
            </a:ext>
          </a:extLst>
        </xdr:cNvPr>
        <xdr:cNvPicPr>
          <a:picLocks noChangeAspect="1"/>
        </xdr:cNvPicPr>
      </xdr:nvPicPr>
      <xdr:blipFill>
        <a:blip xmlns:r="http://schemas.openxmlformats.org/officeDocument/2006/relationships" r:embed="rId2"/>
        <a:stretch>
          <a:fillRect/>
        </a:stretch>
      </xdr:blipFill>
      <xdr:spPr>
        <a:xfrm>
          <a:off x="270708" y="352424"/>
          <a:ext cx="719537" cy="453537"/>
        </a:xfrm>
        <a:prstGeom prst="rect">
          <a:avLst/>
        </a:prstGeom>
      </xdr:spPr>
    </xdr:pic>
    <xdr:clientData/>
  </xdr:oneCellAnchor>
  <xdr:twoCellAnchor>
    <xdr:from>
      <xdr:col>5</xdr:col>
      <xdr:colOff>860287</xdr:colOff>
      <xdr:row>46</xdr:row>
      <xdr:rowOff>127302</xdr:rowOff>
    </xdr:from>
    <xdr:to>
      <xdr:col>11</xdr:col>
      <xdr:colOff>663298</xdr:colOff>
      <xdr:row>58</xdr:row>
      <xdr:rowOff>65652</xdr:rowOff>
    </xdr:to>
    <xdr:graphicFrame macro="">
      <xdr:nvGraphicFramePr>
        <xdr:cNvPr id="6" name="10 Gráfico">
          <a:extLst>
            <a:ext uri="{FF2B5EF4-FFF2-40B4-BE49-F238E27FC236}">
              <a16:creationId xmlns:a16="http://schemas.microsoft.com/office/drawing/2014/main" id="{3C96AE7C-3C81-42F8-9061-2945E252F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228600</xdr:colOff>
      <xdr:row>30</xdr:row>
      <xdr:rowOff>62012</xdr:rowOff>
    </xdr:from>
    <xdr:to>
      <xdr:col>4</xdr:col>
      <xdr:colOff>173649</xdr:colOff>
      <xdr:row>31</xdr:row>
      <xdr:rowOff>138212</xdr:rowOff>
    </xdr:to>
    <xdr:sp macro="" textlink="">
      <xdr:nvSpPr>
        <xdr:cNvPr id="9" name="1 CuadroTexto">
          <a:extLst>
            <a:ext uri="{FF2B5EF4-FFF2-40B4-BE49-F238E27FC236}">
              <a16:creationId xmlns:a16="http://schemas.microsoft.com/office/drawing/2014/main" id="{53C8BA23-7508-4CB1-81D8-368BB9F6EE14}"/>
            </a:ext>
          </a:extLst>
        </xdr:cNvPr>
        <xdr:cNvSpPr txBox="1"/>
      </xdr:nvSpPr>
      <xdr:spPr>
        <a:xfrm>
          <a:off x="1876425" y="2786162"/>
          <a:ext cx="1630974" cy="266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accent1"/>
              </a:solidFill>
            </a:rPr>
            <a:t>Afiliados/Cotizantes</a:t>
          </a:r>
        </a:p>
      </xdr:txBody>
    </xdr:sp>
    <xdr:clientData/>
  </xdr:twoCellAnchor>
  <xdr:twoCellAnchor>
    <xdr:from>
      <xdr:col>12</xdr:col>
      <xdr:colOff>634403</xdr:colOff>
      <xdr:row>44</xdr:row>
      <xdr:rowOff>101870</xdr:rowOff>
    </xdr:from>
    <xdr:to>
      <xdr:col>18</xdr:col>
      <xdr:colOff>652740</xdr:colOff>
      <xdr:row>58</xdr:row>
      <xdr:rowOff>179191</xdr:rowOff>
    </xdr:to>
    <xdr:graphicFrame macro="">
      <xdr:nvGraphicFramePr>
        <xdr:cNvPr id="13" name="Gráfico 12">
          <a:extLst>
            <a:ext uri="{FF2B5EF4-FFF2-40B4-BE49-F238E27FC236}">
              <a16:creationId xmlns:a16="http://schemas.microsoft.com/office/drawing/2014/main" id="{FB5FE624-4100-C68A-BE51-0D04822C9B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333375</xdr:colOff>
      <xdr:row>32</xdr:row>
      <xdr:rowOff>19050</xdr:rowOff>
    </xdr:from>
    <xdr:to>
      <xdr:col>5</xdr:col>
      <xdr:colOff>533400</xdr:colOff>
      <xdr:row>61</xdr:row>
      <xdr:rowOff>133350</xdr:rowOff>
    </xdr:to>
    <xdr:graphicFrame macro="">
      <xdr:nvGraphicFramePr>
        <xdr:cNvPr id="10" name="10 Gráfico">
          <a:extLst>
            <a:ext uri="{FF2B5EF4-FFF2-40B4-BE49-F238E27FC236}">
              <a16:creationId xmlns:a16="http://schemas.microsoft.com/office/drawing/2014/main" id="{3553C151-FF51-4B48-A33C-0BB739263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809624</xdr:colOff>
      <xdr:row>31</xdr:row>
      <xdr:rowOff>123825</xdr:rowOff>
    </xdr:from>
    <xdr:to>
      <xdr:col>11</xdr:col>
      <xdr:colOff>714374</xdr:colOff>
      <xdr:row>61</xdr:row>
      <xdr:rowOff>9525</xdr:rowOff>
    </xdr:to>
    <xdr:graphicFrame macro="">
      <xdr:nvGraphicFramePr>
        <xdr:cNvPr id="11" name="10 Gráfico">
          <a:extLst>
            <a:ext uri="{FF2B5EF4-FFF2-40B4-BE49-F238E27FC236}">
              <a16:creationId xmlns:a16="http://schemas.microsoft.com/office/drawing/2014/main" id="{1B634670-15A7-498B-83C9-A2BD7941B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269553</xdr:colOff>
      <xdr:row>61</xdr:row>
      <xdr:rowOff>75130</xdr:rowOff>
    </xdr:from>
    <xdr:to>
      <xdr:col>4</xdr:col>
      <xdr:colOff>609601</xdr:colOff>
      <xdr:row>71</xdr:row>
      <xdr:rowOff>123825</xdr:rowOff>
    </xdr:to>
    <xdr:graphicFrame macro="">
      <xdr:nvGraphicFramePr>
        <xdr:cNvPr id="12" name="Gráfico 11">
          <a:extLst>
            <a:ext uri="{FF2B5EF4-FFF2-40B4-BE49-F238E27FC236}">
              <a16:creationId xmlns:a16="http://schemas.microsoft.com/office/drawing/2014/main" id="{2B384E77-B361-4F9B-B8B4-CD24BB733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209549</xdr:colOff>
      <xdr:row>60</xdr:row>
      <xdr:rowOff>171450</xdr:rowOff>
    </xdr:from>
    <xdr:to>
      <xdr:col>11</xdr:col>
      <xdr:colOff>371474</xdr:colOff>
      <xdr:row>76</xdr:row>
      <xdr:rowOff>104775</xdr:rowOff>
    </xdr:to>
    <xdr:graphicFrame macro="">
      <xdr:nvGraphicFramePr>
        <xdr:cNvPr id="3" name="Gráfico 2">
          <a:extLst>
            <a:ext uri="{FF2B5EF4-FFF2-40B4-BE49-F238E27FC236}">
              <a16:creationId xmlns:a16="http://schemas.microsoft.com/office/drawing/2014/main" id="{66E15D21-1862-40B9-8ADD-7453D2B60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4</xdr:col>
      <xdr:colOff>952500</xdr:colOff>
      <xdr:row>1</xdr:row>
      <xdr:rowOff>152400</xdr:rowOff>
    </xdr:from>
    <xdr:to>
      <xdr:col>6</xdr:col>
      <xdr:colOff>89535</xdr:colOff>
      <xdr:row>5</xdr:row>
      <xdr:rowOff>47625</xdr:rowOff>
    </xdr:to>
    <xdr:pic>
      <xdr:nvPicPr>
        <xdr:cNvPr id="15" name="Imagen 6">
          <a:extLst>
            <a:ext uri="{FF2B5EF4-FFF2-40B4-BE49-F238E27FC236}">
              <a16:creationId xmlns:a16="http://schemas.microsoft.com/office/drawing/2014/main" id="{3557A625-7BD4-78BB-461B-4DD38073601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933825" y="342900"/>
          <a:ext cx="1051560" cy="657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222738</xdr:colOff>
      <xdr:row>1</xdr:row>
      <xdr:rowOff>46892</xdr:rowOff>
    </xdr:from>
    <xdr:to>
      <xdr:col>2</xdr:col>
      <xdr:colOff>677730</xdr:colOff>
      <xdr:row>4</xdr:row>
      <xdr:rowOff>98180</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984738" y="237392"/>
          <a:ext cx="1188417" cy="622788"/>
        </a:xfrm>
        <a:prstGeom prst="rect">
          <a:avLst/>
        </a:prstGeom>
      </xdr:spPr>
    </xdr:pic>
    <xdr:clientData/>
  </xdr:twoCellAnchor>
  <xdr:twoCellAnchor editAs="oneCell">
    <xdr:from>
      <xdr:col>6</xdr:col>
      <xdr:colOff>219808</xdr:colOff>
      <xdr:row>1</xdr:row>
      <xdr:rowOff>14654</xdr:rowOff>
    </xdr:from>
    <xdr:to>
      <xdr:col>9</xdr:col>
      <xdr:colOff>261573</xdr:colOff>
      <xdr:row>4</xdr:row>
      <xdr:rowOff>1092</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25233" y="205154"/>
          <a:ext cx="2242040" cy="557938"/>
        </a:xfrm>
        <a:prstGeom prst="rect">
          <a:avLst/>
        </a:prstGeom>
      </xdr:spPr>
    </xdr:pic>
    <xdr:clientData/>
  </xdr:twoCellAnchor>
  <xdr:twoCellAnchor>
    <xdr:from>
      <xdr:col>9</xdr:col>
      <xdr:colOff>247650</xdr:colOff>
      <xdr:row>1</xdr:row>
      <xdr:rowOff>185737</xdr:rowOff>
    </xdr:from>
    <xdr:to>
      <xdr:col>14</xdr:col>
      <xdr:colOff>971550</xdr:colOff>
      <xdr:row>29</xdr:row>
      <xdr:rowOff>14287</xdr:rowOff>
    </xdr:to>
    <xdr:graphicFrame macro="">
      <xdr:nvGraphicFramePr>
        <xdr:cNvPr id="6" name="Chart 5">
          <a:extLst>
            <a:ext uri="{FF2B5EF4-FFF2-40B4-BE49-F238E27FC236}">
              <a16:creationId xmlns:a16="http://schemas.microsoft.com/office/drawing/2014/main" id="{00000000-0008-0000-0D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498230</xdr:colOff>
      <xdr:row>2</xdr:row>
      <xdr:rowOff>109903</xdr:rowOff>
    </xdr:from>
    <xdr:to>
      <xdr:col>13</xdr:col>
      <xdr:colOff>747345</xdr:colOff>
      <xdr:row>3</xdr:row>
      <xdr:rowOff>183172</xdr:rowOff>
    </xdr:to>
    <xdr:sp macro="" textlink="">
      <xdr:nvSpPr>
        <xdr:cNvPr id="3" name="3 CuadroTexto">
          <a:extLst>
            <a:ext uri="{FF2B5EF4-FFF2-40B4-BE49-F238E27FC236}">
              <a16:creationId xmlns:a16="http://schemas.microsoft.com/office/drawing/2014/main" id="{00000000-0008-0000-0E00-000003000000}"/>
            </a:ext>
          </a:extLst>
        </xdr:cNvPr>
        <xdr:cNvSpPr txBox="1"/>
      </xdr:nvSpPr>
      <xdr:spPr>
        <a:xfrm>
          <a:off x="10137530" y="490903"/>
          <a:ext cx="1792165" cy="26376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1">
              <a:solidFill>
                <a:schemeClr val="tx2">
                  <a:lumMod val="60000"/>
                  <a:lumOff val="40000"/>
                </a:schemeClr>
              </a:solidFill>
            </a:rPr>
            <a:t>Créditos</a:t>
          </a:r>
          <a:r>
            <a:rPr lang="es-DO" sz="1100" b="1" baseline="0">
              <a:solidFill>
                <a:schemeClr val="tx2">
                  <a:lumMod val="60000"/>
                  <a:lumOff val="40000"/>
                </a:schemeClr>
              </a:solidFill>
            </a:rPr>
            <a:t> Rechazados</a:t>
          </a:r>
          <a:endParaRPr lang="es-DO" sz="1100" b="1">
            <a:solidFill>
              <a:schemeClr val="tx2">
                <a:lumMod val="60000"/>
                <a:lumOff val="40000"/>
              </a:schemeClr>
            </a:solidFill>
          </a:endParaRPr>
        </a:p>
      </xdr:txBody>
    </xdr:sp>
    <xdr:clientData/>
  </xdr:twoCellAnchor>
  <xdr:twoCellAnchor editAs="oneCell">
    <xdr:from>
      <xdr:col>1</xdr:col>
      <xdr:colOff>365613</xdr:colOff>
      <xdr:row>0</xdr:row>
      <xdr:rowOff>189767</xdr:rowOff>
    </xdr:from>
    <xdr:to>
      <xdr:col>2</xdr:col>
      <xdr:colOff>820605</xdr:colOff>
      <xdr:row>4</xdr:row>
      <xdr:rowOff>50555</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1127613" y="189767"/>
          <a:ext cx="1188417" cy="622788"/>
        </a:xfrm>
        <a:prstGeom prst="rect">
          <a:avLst/>
        </a:prstGeom>
      </xdr:spPr>
    </xdr:pic>
    <xdr:clientData/>
  </xdr:twoCellAnchor>
  <xdr:twoCellAnchor editAs="oneCell">
    <xdr:from>
      <xdr:col>6</xdr:col>
      <xdr:colOff>0</xdr:colOff>
      <xdr:row>1</xdr:row>
      <xdr:rowOff>43962</xdr:rowOff>
    </xdr:from>
    <xdr:to>
      <xdr:col>8</xdr:col>
      <xdr:colOff>908540</xdr:colOff>
      <xdr:row>4</xdr:row>
      <xdr:rowOff>30400</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05425" y="234462"/>
          <a:ext cx="2242040" cy="557938"/>
        </a:xfrm>
        <a:prstGeom prst="rect">
          <a:avLst/>
        </a:prstGeom>
      </xdr:spPr>
    </xdr:pic>
    <xdr:clientData/>
  </xdr:twoCellAnchor>
  <xdr:twoCellAnchor>
    <xdr:from>
      <xdr:col>9</xdr:col>
      <xdr:colOff>285750</xdr:colOff>
      <xdr:row>2</xdr:row>
      <xdr:rowOff>119062</xdr:rowOff>
    </xdr:from>
    <xdr:to>
      <xdr:col>14</xdr:col>
      <xdr:colOff>1009650</xdr:colOff>
      <xdr:row>28</xdr:row>
      <xdr:rowOff>138112</xdr:rowOff>
    </xdr:to>
    <xdr:graphicFrame macro="">
      <xdr:nvGraphicFramePr>
        <xdr:cNvPr id="6" name="Chart 5">
          <a:extLst>
            <a:ext uri="{FF2B5EF4-FFF2-40B4-BE49-F238E27FC236}">
              <a16:creationId xmlns:a16="http://schemas.microsoft.com/office/drawing/2014/main" id="{00000000-0008-0000-0E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3</xdr:row>
      <xdr:rowOff>32397</xdr:rowOff>
    </xdr:from>
    <xdr:to>
      <xdr:col>4</xdr:col>
      <xdr:colOff>142875</xdr:colOff>
      <xdr:row>5</xdr:row>
      <xdr:rowOff>125747</xdr:rowOff>
    </xdr:to>
    <xdr:pic>
      <xdr:nvPicPr>
        <xdr:cNvPr id="2" name="Picture 1">
          <a:extLst>
            <a:ext uri="{FF2B5EF4-FFF2-40B4-BE49-F238E27FC236}">
              <a16:creationId xmlns:a16="http://schemas.microsoft.com/office/drawing/2014/main" id="{261DBFDE-CAF1-41FD-ACC8-A9576AF7DD17}"/>
            </a:ext>
          </a:extLst>
        </xdr:cNvPr>
        <xdr:cNvPicPr>
          <a:picLocks noChangeAspect="1"/>
        </xdr:cNvPicPr>
      </xdr:nvPicPr>
      <xdr:blipFill>
        <a:blip xmlns:r="http://schemas.openxmlformats.org/officeDocument/2006/relationships" r:embed="rId1"/>
        <a:stretch>
          <a:fillRect/>
        </a:stretch>
      </xdr:blipFill>
      <xdr:spPr>
        <a:xfrm>
          <a:off x="2190750" y="413397"/>
          <a:ext cx="752475" cy="474350"/>
        </a:xfrm>
        <a:prstGeom prst="rect">
          <a:avLst/>
        </a:prstGeom>
      </xdr:spPr>
    </xdr:pic>
    <xdr:clientData/>
  </xdr:twoCellAnchor>
  <xdr:twoCellAnchor editAs="oneCell">
    <xdr:from>
      <xdr:col>7</xdr:col>
      <xdr:colOff>733425</xdr:colOff>
      <xdr:row>2</xdr:row>
      <xdr:rowOff>28575</xdr:rowOff>
    </xdr:from>
    <xdr:to>
      <xdr:col>9</xdr:col>
      <xdr:colOff>3810</xdr:colOff>
      <xdr:row>5</xdr:row>
      <xdr:rowOff>114300</xdr:rowOff>
    </xdr:to>
    <xdr:pic>
      <xdr:nvPicPr>
        <xdr:cNvPr id="5" name="Imagen 3">
          <a:extLst>
            <a:ext uri="{FF2B5EF4-FFF2-40B4-BE49-F238E27FC236}">
              <a16:creationId xmlns:a16="http://schemas.microsoft.com/office/drawing/2014/main" id="{B95B68AC-4345-3882-4B09-8E70282DAF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34075" y="409575"/>
          <a:ext cx="105156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364149</xdr:colOff>
      <xdr:row>2</xdr:row>
      <xdr:rowOff>49823</xdr:rowOff>
    </xdr:from>
    <xdr:ext cx="989857" cy="622788"/>
    <xdr:pic>
      <xdr:nvPicPr>
        <xdr:cNvPr id="2"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821349" y="430823"/>
          <a:ext cx="989857" cy="622788"/>
        </a:xfrm>
        <a:prstGeom prst="rect">
          <a:avLst/>
        </a:prstGeom>
      </xdr:spPr>
    </xdr:pic>
    <xdr:clientData/>
  </xdr:oneCellAnchor>
  <xdr:twoCellAnchor>
    <xdr:from>
      <xdr:col>1</xdr:col>
      <xdr:colOff>865119</xdr:colOff>
      <xdr:row>43</xdr:row>
      <xdr:rowOff>12425</xdr:rowOff>
    </xdr:from>
    <xdr:to>
      <xdr:col>5</xdr:col>
      <xdr:colOff>119684</xdr:colOff>
      <xdr:row>45</xdr:row>
      <xdr:rowOff>86968</xdr:rowOff>
    </xdr:to>
    <xdr:sp macro="" textlink="">
      <xdr:nvSpPr>
        <xdr:cNvPr id="3" name="CuadroTexto 2">
          <a:extLst>
            <a:ext uri="{FF2B5EF4-FFF2-40B4-BE49-F238E27FC236}">
              <a16:creationId xmlns:a16="http://schemas.microsoft.com/office/drawing/2014/main" id="{53CF2A34-922B-238A-7CE5-F0C850928E51}"/>
            </a:ext>
          </a:extLst>
        </xdr:cNvPr>
        <xdr:cNvSpPr txBox="1"/>
      </xdr:nvSpPr>
      <xdr:spPr>
        <a:xfrm>
          <a:off x="893694" y="3584300"/>
          <a:ext cx="3074090" cy="455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r>
            <a:rPr lang="es-ES" sz="1100" b="1" i="0" baseline="0">
              <a:solidFill>
                <a:schemeClr val="accent1"/>
              </a:solidFill>
              <a:effectLst/>
              <a:latin typeface="+mn-lt"/>
              <a:ea typeface="+mn-ea"/>
              <a:cs typeface="+mn-cs"/>
            </a:rPr>
            <a:t>Recuperación de Fondos</a:t>
          </a:r>
          <a:endParaRPr lang="es-DO" sz="1100" b="1" i="0" baseline="0">
            <a:solidFill>
              <a:schemeClr val="accent1"/>
            </a:solidFill>
            <a:effectLst/>
            <a:latin typeface="+mn-lt"/>
            <a:ea typeface="+mn-ea"/>
            <a:cs typeface="+mn-cs"/>
          </a:endParaRPr>
        </a:p>
        <a:p>
          <a:pPr marL="0" indent="0" algn="ctr" rtl="0"/>
          <a:r>
            <a:rPr lang="es-ES" sz="1100" b="1" i="0" baseline="0">
              <a:solidFill>
                <a:schemeClr val="accent1"/>
              </a:solidFill>
              <a:effectLst/>
              <a:latin typeface="+mn-lt"/>
              <a:ea typeface="+mn-ea"/>
              <a:cs typeface="+mn-cs"/>
            </a:rPr>
            <a:t>Monto solicitado / Total Recuperado</a:t>
          </a:r>
          <a:endParaRPr lang="es-DO" sz="1100" b="1" i="0" baseline="0">
            <a:solidFill>
              <a:schemeClr val="accent1"/>
            </a:solidFill>
            <a:effectLst/>
            <a:latin typeface="+mn-lt"/>
            <a:ea typeface="+mn-ea"/>
            <a:cs typeface="+mn-cs"/>
          </a:endParaRPr>
        </a:p>
        <a:p>
          <a:pPr algn="ctr"/>
          <a:endParaRPr lang="es-DO" sz="1100">
            <a:solidFill>
              <a:schemeClr val="accent1"/>
            </a:solidFill>
          </a:endParaRPr>
        </a:p>
      </xdr:txBody>
    </xdr:sp>
    <xdr:clientData/>
  </xdr:twoCellAnchor>
  <xdr:twoCellAnchor>
    <xdr:from>
      <xdr:col>1</xdr:col>
      <xdr:colOff>228600</xdr:colOff>
      <xdr:row>45</xdr:row>
      <xdr:rowOff>9525</xdr:rowOff>
    </xdr:from>
    <xdr:to>
      <xdr:col>6</xdr:col>
      <xdr:colOff>333375</xdr:colOff>
      <xdr:row>64</xdr:row>
      <xdr:rowOff>85724</xdr:rowOff>
    </xdr:to>
    <xdr:graphicFrame macro="">
      <xdr:nvGraphicFramePr>
        <xdr:cNvPr id="6" name="7 Gráfico">
          <a:extLst>
            <a:ext uri="{FF2B5EF4-FFF2-40B4-BE49-F238E27FC236}">
              <a16:creationId xmlns:a16="http://schemas.microsoft.com/office/drawing/2014/main" id="{39409961-1378-4CF9-BE55-0452D2CF9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314325</xdr:colOff>
      <xdr:row>1</xdr:row>
      <xdr:rowOff>161925</xdr:rowOff>
    </xdr:from>
    <xdr:to>
      <xdr:col>7</xdr:col>
      <xdr:colOff>489585</xdr:colOff>
      <xdr:row>5</xdr:row>
      <xdr:rowOff>57150</xdr:rowOff>
    </xdr:to>
    <xdr:pic>
      <xdr:nvPicPr>
        <xdr:cNvPr id="7" name="Imagen 3">
          <a:extLst>
            <a:ext uri="{FF2B5EF4-FFF2-40B4-BE49-F238E27FC236}">
              <a16:creationId xmlns:a16="http://schemas.microsoft.com/office/drawing/2014/main" id="{AD110C75-1A37-A2E4-5567-B2491BFE97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352425"/>
          <a:ext cx="105156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571425</xdr:colOff>
      <xdr:row>8</xdr:row>
      <xdr:rowOff>76200</xdr:rowOff>
    </xdr:from>
    <xdr:to>
      <xdr:col>22</xdr:col>
      <xdr:colOff>400050</xdr:colOff>
      <xdr:row>30</xdr:row>
      <xdr:rowOff>85724</xdr:rowOff>
    </xdr:to>
    <xdr:graphicFrame macro="">
      <xdr:nvGraphicFramePr>
        <xdr:cNvPr id="5" name="4 Gráfico">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44523</xdr:colOff>
      <xdr:row>32</xdr:row>
      <xdr:rowOff>36287</xdr:rowOff>
    </xdr:from>
    <xdr:to>
      <xdr:col>22</xdr:col>
      <xdr:colOff>66675</xdr:colOff>
      <xdr:row>45</xdr:row>
      <xdr:rowOff>123825</xdr:rowOff>
    </xdr:to>
    <xdr:graphicFrame macro="">
      <xdr:nvGraphicFramePr>
        <xdr:cNvPr id="6" name="5 Gráfico">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123825</xdr:colOff>
      <xdr:row>4</xdr:row>
      <xdr:rowOff>0</xdr:rowOff>
    </xdr:from>
    <xdr:to>
      <xdr:col>2</xdr:col>
      <xdr:colOff>1113682</xdr:colOff>
      <xdr:row>7</xdr:row>
      <xdr:rowOff>51288</xdr:rowOff>
    </xdr:to>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stretch>
          <a:fillRect/>
        </a:stretch>
      </xdr:blipFill>
      <xdr:spPr>
        <a:xfrm>
          <a:off x="885825" y="571500"/>
          <a:ext cx="989857" cy="622788"/>
        </a:xfrm>
        <a:prstGeom prst="rect">
          <a:avLst/>
        </a:prstGeom>
      </xdr:spPr>
    </xdr:pic>
    <xdr:clientData/>
  </xdr:twoCellAnchor>
  <xdr:twoCellAnchor>
    <xdr:from>
      <xdr:col>16</xdr:col>
      <xdr:colOff>514350</xdr:colOff>
      <xdr:row>56</xdr:row>
      <xdr:rowOff>142875</xdr:rowOff>
    </xdr:from>
    <xdr:to>
      <xdr:col>22</xdr:col>
      <xdr:colOff>19050</xdr:colOff>
      <xdr:row>66</xdr:row>
      <xdr:rowOff>466725</xdr:rowOff>
    </xdr:to>
    <xdr:graphicFrame macro="">
      <xdr:nvGraphicFramePr>
        <xdr:cNvPr id="2" name="4 Gráfico">
          <a:extLst>
            <a:ext uri="{FF2B5EF4-FFF2-40B4-BE49-F238E27FC236}">
              <a16:creationId xmlns:a16="http://schemas.microsoft.com/office/drawing/2014/main" id="{DA6E1867-A5C0-43B4-8F05-07CBBFBFD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13</xdr:col>
      <xdr:colOff>866774</xdr:colOff>
      <xdr:row>3</xdr:row>
      <xdr:rowOff>152400</xdr:rowOff>
    </xdr:from>
    <xdr:to>
      <xdr:col>15</xdr:col>
      <xdr:colOff>257174</xdr:colOff>
      <xdr:row>7</xdr:row>
      <xdr:rowOff>47625</xdr:rowOff>
    </xdr:to>
    <xdr:pic>
      <xdr:nvPicPr>
        <xdr:cNvPr id="12" name="Imagen 2">
          <a:extLst>
            <a:ext uri="{FF2B5EF4-FFF2-40B4-BE49-F238E27FC236}">
              <a16:creationId xmlns:a16="http://schemas.microsoft.com/office/drawing/2014/main" id="{2C078FA1-74CE-D194-8E13-344E90F028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72049" y="723900"/>
          <a:ext cx="1171575" cy="657225"/>
        </a:xfrm>
        <a:prstGeom prst="rect">
          <a:avLst/>
        </a:prstGeom>
        <a:noFill/>
        <a:ln>
          <a:noFill/>
        </a:ln>
      </xdr:spPr>
    </xdr:pic>
    <xdr:clientData/>
  </xdr:twoCellAnchor>
</xdr:wsDr>
</file>

<file path=xl/drawings/drawing3.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4.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5.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6.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248479</xdr:colOff>
      <xdr:row>45</xdr:row>
      <xdr:rowOff>0</xdr:rowOff>
    </xdr:from>
    <xdr:to>
      <xdr:col>5</xdr:col>
      <xdr:colOff>740604</xdr:colOff>
      <xdr:row>56</xdr:row>
      <xdr:rowOff>104010</xdr:rowOff>
    </xdr:to>
    <xdr:graphicFrame macro="">
      <xdr:nvGraphicFramePr>
        <xdr:cNvPr id="4" name="3 Gráfico">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448288</xdr:colOff>
      <xdr:row>1</xdr:row>
      <xdr:rowOff>46512</xdr:rowOff>
    </xdr:from>
    <xdr:to>
      <xdr:col>1</xdr:col>
      <xdr:colOff>512692</xdr:colOff>
      <xdr:row>4</xdr:row>
      <xdr:rowOff>39184</xdr:rowOff>
    </xdr:to>
    <xdr:pic>
      <xdr:nvPicPr>
        <xdr:cNvPr id="14"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448288" y="237012"/>
          <a:ext cx="893079" cy="564172"/>
        </a:xfrm>
        <a:prstGeom prst="rect">
          <a:avLst/>
        </a:prstGeom>
      </xdr:spPr>
    </xdr:pic>
    <xdr:clientData/>
  </xdr:twoCellAnchor>
  <xdr:oneCellAnchor>
    <xdr:from>
      <xdr:col>0</xdr:col>
      <xdr:colOff>0</xdr:colOff>
      <xdr:row>30</xdr:row>
      <xdr:rowOff>82827</xdr:rowOff>
    </xdr:from>
    <xdr:ext cx="2898914" cy="298174"/>
    <xdr:sp macro="" textlink="">
      <xdr:nvSpPr>
        <xdr:cNvPr id="2" name="CuadroTexto 1">
          <a:extLst>
            <a:ext uri="{FF2B5EF4-FFF2-40B4-BE49-F238E27FC236}">
              <a16:creationId xmlns:a16="http://schemas.microsoft.com/office/drawing/2014/main" id="{708D513B-E3E0-7594-8479-50134A15EED6}"/>
            </a:ext>
          </a:extLst>
        </xdr:cNvPr>
        <xdr:cNvSpPr txBox="1"/>
      </xdr:nvSpPr>
      <xdr:spPr>
        <a:xfrm>
          <a:off x="0" y="2816088"/>
          <a:ext cx="2898914"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a:r>
            <a:rPr lang="es-ES" sz="1100" b="1" i="0" baseline="0">
              <a:solidFill>
                <a:srgbClr val="0070C0"/>
              </a:solidFill>
              <a:effectLst/>
              <a:latin typeface="+mn-lt"/>
              <a:ea typeface="+mn-ea"/>
              <a:cs typeface="+mn-cs"/>
            </a:rPr>
            <a:t>Cantidad de cotizantes por tipo de empleador</a:t>
          </a:r>
          <a:endParaRPr lang="es-DO">
            <a:solidFill>
              <a:srgbClr val="0070C0"/>
            </a:solidFill>
            <a:effectLst/>
          </a:endParaRPr>
        </a:p>
        <a:p>
          <a:endParaRPr lang="es-DO" sz="1100"/>
        </a:p>
      </xdr:txBody>
    </xdr:sp>
    <xdr:clientData/>
  </xdr:oneCellAnchor>
  <xdr:twoCellAnchor>
    <xdr:from>
      <xdr:col>0</xdr:col>
      <xdr:colOff>66262</xdr:colOff>
      <xdr:row>31</xdr:row>
      <xdr:rowOff>173936</xdr:rowOff>
    </xdr:from>
    <xdr:to>
      <xdr:col>4</xdr:col>
      <xdr:colOff>496957</xdr:colOff>
      <xdr:row>41</xdr:row>
      <xdr:rowOff>16566</xdr:rowOff>
    </xdr:to>
    <xdr:graphicFrame macro="">
      <xdr:nvGraphicFramePr>
        <xdr:cNvPr id="7" name="3 Gráfico">
          <a:extLst>
            <a:ext uri="{FF2B5EF4-FFF2-40B4-BE49-F238E27FC236}">
              <a16:creationId xmlns:a16="http://schemas.microsoft.com/office/drawing/2014/main" id="{4F17FD6F-61F5-4855-BE0D-C283BD563EA2}"/>
            </a:ext>
            <a:ext uri="{147F2762-F138-4A5C-976F-8EAC2B608ADB}">
              <a16:predDERef xmlns:a16="http://schemas.microsoft.com/office/drawing/2014/main" pred="{708D513B-E3E0-7594-8479-50134A15E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546653</xdr:colOff>
      <xdr:row>30</xdr:row>
      <xdr:rowOff>91108</xdr:rowOff>
    </xdr:from>
    <xdr:to>
      <xdr:col>9</xdr:col>
      <xdr:colOff>16565</xdr:colOff>
      <xdr:row>41</xdr:row>
      <xdr:rowOff>140804</xdr:rowOff>
    </xdr:to>
    <xdr:graphicFrame macro="">
      <xdr:nvGraphicFramePr>
        <xdr:cNvPr id="8" name="Gráfico 7">
          <a:extLst>
            <a:ext uri="{FF2B5EF4-FFF2-40B4-BE49-F238E27FC236}">
              <a16:creationId xmlns:a16="http://schemas.microsoft.com/office/drawing/2014/main" id="{0651A71E-FBF3-460C-A4E4-8B34A0DAC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422412</xdr:colOff>
      <xdr:row>0</xdr:row>
      <xdr:rowOff>91110</xdr:rowOff>
    </xdr:from>
    <xdr:to>
      <xdr:col>5</xdr:col>
      <xdr:colOff>483372</xdr:colOff>
      <xdr:row>3</xdr:row>
      <xdr:rowOff>176835</xdr:rowOff>
    </xdr:to>
    <xdr:pic>
      <xdr:nvPicPr>
        <xdr:cNvPr id="15" name="Imagen 2">
          <a:extLst>
            <a:ext uri="{FF2B5EF4-FFF2-40B4-BE49-F238E27FC236}">
              <a16:creationId xmlns:a16="http://schemas.microsoft.com/office/drawing/2014/main" id="{D286DF44-B594-42E3-4724-D4B1EFA9313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23521" y="91110"/>
          <a:ext cx="1051560" cy="657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80597</xdr:colOff>
      <xdr:row>2</xdr:row>
      <xdr:rowOff>36634</xdr:rowOff>
    </xdr:from>
    <xdr:to>
      <xdr:col>0</xdr:col>
      <xdr:colOff>753717</xdr:colOff>
      <xdr:row>4</xdr:row>
      <xdr:rowOff>7326</xdr:rowOff>
    </xdr:to>
    <xdr:pic>
      <xdr:nvPicPr>
        <xdr:cNvPr id="11"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80597" y="417634"/>
          <a:ext cx="673120" cy="351692"/>
        </a:xfrm>
        <a:prstGeom prst="rect">
          <a:avLst/>
        </a:prstGeom>
      </xdr:spPr>
    </xdr:pic>
    <xdr:clientData/>
  </xdr:twoCellAnchor>
  <xdr:oneCellAnchor>
    <xdr:from>
      <xdr:col>1</xdr:col>
      <xdr:colOff>612913</xdr:colOff>
      <xdr:row>31</xdr:row>
      <xdr:rowOff>149087</xdr:rowOff>
    </xdr:from>
    <xdr:ext cx="2319131" cy="233205"/>
    <xdr:sp macro="" textlink="">
      <xdr:nvSpPr>
        <xdr:cNvPr id="2" name="CuadroTexto 1">
          <a:extLst>
            <a:ext uri="{FF2B5EF4-FFF2-40B4-BE49-F238E27FC236}">
              <a16:creationId xmlns:a16="http://schemas.microsoft.com/office/drawing/2014/main" id="{9B39AD29-2384-4E02-BB57-597CDEA51294}"/>
            </a:ext>
          </a:extLst>
        </xdr:cNvPr>
        <xdr:cNvSpPr txBox="1"/>
      </xdr:nvSpPr>
      <xdr:spPr>
        <a:xfrm>
          <a:off x="1391478" y="2816087"/>
          <a:ext cx="23191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900" b="1">
              <a:solidFill>
                <a:schemeClr val="accent1"/>
              </a:solidFill>
            </a:rPr>
            <a:t>Aportes por empleador Público Vs Privado</a:t>
          </a:r>
        </a:p>
      </xdr:txBody>
    </xdr:sp>
    <xdr:clientData/>
  </xdr:oneCellAnchor>
  <xdr:twoCellAnchor>
    <xdr:from>
      <xdr:col>0</xdr:col>
      <xdr:colOff>372717</xdr:colOff>
      <xdr:row>34</xdr:row>
      <xdr:rowOff>24848</xdr:rowOff>
    </xdr:from>
    <xdr:to>
      <xdr:col>4</xdr:col>
      <xdr:colOff>463826</xdr:colOff>
      <xdr:row>45</xdr:row>
      <xdr:rowOff>91109</xdr:rowOff>
    </xdr:to>
    <xdr:graphicFrame macro="">
      <xdr:nvGraphicFramePr>
        <xdr:cNvPr id="4" name="4 Gráfico">
          <a:extLst>
            <a:ext uri="{FF2B5EF4-FFF2-40B4-BE49-F238E27FC236}">
              <a16:creationId xmlns:a16="http://schemas.microsoft.com/office/drawing/2014/main" id="{4051458B-5699-4FA4-9F6F-034B73DDB3DC}"/>
            </a:ext>
            <a:ext uri="{147F2762-F138-4A5C-976F-8EAC2B608ADB}">
              <a16:predDERef xmlns:a16="http://schemas.microsoft.com/office/drawing/2014/main" pred="{9B39AD29-2384-4E02-BB57-597CDEA51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625751</xdr:colOff>
      <xdr:row>33</xdr:row>
      <xdr:rowOff>158612</xdr:rowOff>
    </xdr:from>
    <xdr:to>
      <xdr:col>10</xdr:col>
      <xdr:colOff>39598</xdr:colOff>
      <xdr:row>45</xdr:row>
      <xdr:rowOff>35519</xdr:rowOff>
    </xdr:to>
    <xdr:graphicFrame macro="">
      <xdr:nvGraphicFramePr>
        <xdr:cNvPr id="5" name="Chart 2">
          <a:extLst>
            <a:ext uri="{FF2B5EF4-FFF2-40B4-BE49-F238E27FC236}">
              <a16:creationId xmlns:a16="http://schemas.microsoft.com/office/drawing/2014/main" id="{89D92D4D-D5BA-4E8A-9308-325481D61AEB}"/>
            </a:ext>
            <a:ext uri="{147F2762-F138-4A5C-976F-8EAC2B608ADB}">
              <a16:predDERef xmlns:a16="http://schemas.microsoft.com/office/drawing/2014/main" pred="{4051458B-5699-4FA4-9F6F-034B73DDB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405848</xdr:colOff>
      <xdr:row>0</xdr:row>
      <xdr:rowOff>107673</xdr:rowOff>
    </xdr:from>
    <xdr:to>
      <xdr:col>4</xdr:col>
      <xdr:colOff>123908</xdr:colOff>
      <xdr:row>4</xdr:row>
      <xdr:rowOff>2898</xdr:rowOff>
    </xdr:to>
    <xdr:pic>
      <xdr:nvPicPr>
        <xdr:cNvPr id="12" name="Imagen 2">
          <a:extLst>
            <a:ext uri="{FF2B5EF4-FFF2-40B4-BE49-F238E27FC236}">
              <a16:creationId xmlns:a16="http://schemas.microsoft.com/office/drawing/2014/main" id="{89256FD6-F999-6FA2-65A4-E5E7A27388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02935" y="107673"/>
          <a:ext cx="1051560" cy="657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446942</xdr:colOff>
      <xdr:row>44</xdr:row>
      <xdr:rowOff>109987</xdr:rowOff>
    </xdr:from>
    <xdr:to>
      <xdr:col>3</xdr:col>
      <xdr:colOff>47069</xdr:colOff>
      <xdr:row>56</xdr:row>
      <xdr:rowOff>109904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182217</xdr:colOff>
      <xdr:row>1</xdr:row>
      <xdr:rowOff>137580</xdr:rowOff>
    </xdr:from>
    <xdr:to>
      <xdr:col>0</xdr:col>
      <xdr:colOff>952903</xdr:colOff>
      <xdr:row>4</xdr:row>
      <xdr:rowOff>50972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944217" y="328080"/>
          <a:ext cx="770686" cy="484892"/>
        </a:xfrm>
        <a:prstGeom prst="rect">
          <a:avLst/>
        </a:prstGeom>
      </xdr:spPr>
    </xdr:pic>
    <xdr:clientData/>
  </xdr:twoCellAnchor>
  <xdr:twoCellAnchor>
    <xdr:from>
      <xdr:col>0</xdr:col>
      <xdr:colOff>422764</xdr:colOff>
      <xdr:row>30</xdr:row>
      <xdr:rowOff>14653</xdr:rowOff>
    </xdr:from>
    <xdr:to>
      <xdr:col>3</xdr:col>
      <xdr:colOff>320187</xdr:colOff>
      <xdr:row>42</xdr:row>
      <xdr:rowOff>19050</xdr:rowOff>
    </xdr:to>
    <xdr:graphicFrame macro="">
      <xdr:nvGraphicFramePr>
        <xdr:cNvPr id="4" name="2 Gráfico">
          <a:extLst>
            <a:ext uri="{FF2B5EF4-FFF2-40B4-BE49-F238E27FC236}">
              <a16:creationId xmlns:a16="http://schemas.microsoft.com/office/drawing/2014/main" id="{DB91C356-1ADB-40D5-9708-86727D3A89B2}"/>
            </a:ext>
            <a:ext uri="{147F2762-F138-4A5C-976F-8EAC2B608ADB}">
              <a16:predDERef xmlns:a16="http://schemas.microsoft.com/office/drawing/2014/main" pre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190500</xdr:colOff>
      <xdr:row>0</xdr:row>
      <xdr:rowOff>157370</xdr:rowOff>
    </xdr:from>
    <xdr:to>
      <xdr:col>4</xdr:col>
      <xdr:colOff>169379</xdr:colOff>
      <xdr:row>4</xdr:row>
      <xdr:rowOff>91109</xdr:rowOff>
    </xdr:to>
    <xdr:pic>
      <xdr:nvPicPr>
        <xdr:cNvPr id="9" name="Imagen 3">
          <a:extLst>
            <a:ext uri="{FF2B5EF4-FFF2-40B4-BE49-F238E27FC236}">
              <a16:creationId xmlns:a16="http://schemas.microsoft.com/office/drawing/2014/main" id="{D2DBB38C-9C08-95E1-7086-A0FA922437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93435" y="157370"/>
          <a:ext cx="1093304" cy="69573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acienda365-my.sharepoint.com/personal/jgil_dgjp_gob_do/Documents/Trabajos%20DFMEPPP/Estad&#237;sticas/Bolet&#237;n%20Estad&#237;stico/T3/Matriz%20Estad&#237;stica%20Bolet&#237;n%20Trimestral%20%20Julio-Septiembre%202025%20OAI.xlsx" TargetMode="External"/><Relationship Id="rId1" Type="http://schemas.openxmlformats.org/officeDocument/2006/relationships/externalLinkPath" Target="/personal/jgil_dgjp_gob_do/Documents/Trabajos%20DFMEPPP/Estad&#237;sticas/Bolet&#237;n%20Estad&#237;stico/T3/Matriz%20Estad&#237;stica%20Bolet&#237;n%20Trimestral%20%20Julio-Septiembre%202025%20OA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fsadfs1\PLANIFICACION%20Y%20DESARROLLO\PLANIFICACION\7.%20Estad&#237;sticas\Bolet&#237;n%20Estad&#237;stico%202023\T1\Matriz%20Estad&#237;stica%20Boleti&#769;n%20Trimestral%20OAI%20T1%20Prelimin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fsadfs1\COMPARTIDO%20PENSIONES\PLANIFICACION%20Y%20DESARROLLO\PLANIFICACION\7.%20Estad&#237;sticas\Bolet&#237;n%20Estad&#237;stico%202024\T2\Insumos\Metabase%20DMP%20T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supuesto Adm."/>
      <sheetName val="Afiliados y Cotizantes"/>
      <sheetName val="Cotizantes"/>
      <sheetName val="Empleador"/>
      <sheetName val="Aportes"/>
      <sheetName val="Traspasos"/>
      <sheetName val="Presupuesto de Pensiones"/>
      <sheetName val="Nómina"/>
      <sheetName val="Autoseguro"/>
      <sheetName val="Movimientos"/>
      <sheetName val="Hoja1"/>
      <sheetName val="Tipo de Pension"/>
      <sheetName val="Modalidad"/>
      <sheetName val="Retroactivos"/>
      <sheetName val="Reintegros"/>
      <sheetName val="Créditos Rechazados"/>
      <sheetName val="PUC"/>
      <sheetName val="Recuperación Fondos"/>
      <sheetName val="Servicios"/>
    </sheetNames>
    <sheetDataSet>
      <sheetData sheetId="0" refreshError="1"/>
      <sheetData sheetId="1" refreshError="1"/>
      <sheetData sheetId="2" refreshError="1"/>
      <sheetData sheetId="3" refreshError="1"/>
      <sheetData sheetId="4" refreshError="1"/>
      <sheetData sheetId="5">
        <row r="7">
          <cell r="B7" t="str">
            <v>Recibidos (SCI a Reparto)</v>
          </cell>
          <cell r="C7" t="str">
            <v>Cedidos (Reparto a SCI)</v>
          </cell>
          <cell r="D7" t="str">
            <v>Monto Traspasado (RD$)</v>
          </cell>
        </row>
        <row r="12">
          <cell r="A12" t="str">
            <v>Marzo</v>
          </cell>
          <cell r="B12">
            <v>162</v>
          </cell>
          <cell r="C12">
            <v>5</v>
          </cell>
          <cell r="D12">
            <v>124127103.37</v>
          </cell>
        </row>
        <row r="13">
          <cell r="A13" t="str">
            <v>Febrero</v>
          </cell>
          <cell r="B13">
            <v>1</v>
          </cell>
          <cell r="C13">
            <v>1</v>
          </cell>
          <cell r="D13">
            <v>4407042.8099999996</v>
          </cell>
        </row>
        <row r="14">
          <cell r="A14" t="str">
            <v>Enero</v>
          </cell>
          <cell r="B14">
            <v>210</v>
          </cell>
          <cell r="C14">
            <v>1</v>
          </cell>
          <cell r="D14">
            <v>174414722.21000001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Adm."/>
      <sheetName val="Afiliados y Cotizantes"/>
      <sheetName val="Cotizantes"/>
      <sheetName val="Empleador"/>
      <sheetName val="Aportes"/>
      <sheetName val="Traspaso"/>
      <sheetName val="Presupuesto de Pensiones"/>
      <sheetName val="Nómina"/>
      <sheetName val="Autoseguro"/>
      <sheetName val="Movimientos"/>
      <sheetName val="Hoja1"/>
      <sheetName val="Tipo de Pension"/>
      <sheetName val="Modalidad"/>
      <sheetName val="Retroactivos"/>
      <sheetName val="Reintegros"/>
      <sheetName val="Créditos Rechazados"/>
      <sheetName val="Recuperación Fondos"/>
      <sheetName val="Servic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M7" t="str">
            <v>Monto</v>
          </cell>
        </row>
        <row r="9">
          <cell r="A9" t="str">
            <v>Marzo</v>
          </cell>
        </row>
        <row r="10">
          <cell r="A10" t="str">
            <v>Febrero</v>
          </cell>
        </row>
        <row r="11">
          <cell r="A11" t="str">
            <v>Enero</v>
          </cell>
        </row>
      </sheetData>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Consolidado"/>
      <sheetName val="Abril"/>
      <sheetName val="Pv Abril"/>
      <sheetName val="Mayo"/>
      <sheetName val="Pv Mayo"/>
      <sheetName val="Junio"/>
      <sheetName val="pv Junio"/>
    </sheetNames>
    <sheetDataSet>
      <sheetData sheetId="0"/>
      <sheetData sheetId="1"/>
      <sheetData sheetId="2"/>
      <sheetData sheetId="3">
        <row r="8">
          <cell r="A8" t="str">
            <v>Pensión por Sobrevivencia Concubina</v>
          </cell>
          <cell r="B8">
            <v>21</v>
          </cell>
          <cell r="C8">
            <v>21</v>
          </cell>
        </row>
        <row r="9">
          <cell r="A9" t="str">
            <v>Pensión por Sobrevivencia Conyugue</v>
          </cell>
          <cell r="B9">
            <v>90</v>
          </cell>
          <cell r="C9">
            <v>89</v>
          </cell>
        </row>
        <row r="10">
          <cell r="A10" t="str">
            <v>Pension por Sobrevivencia Estudiante PN</v>
          </cell>
          <cell r="B10">
            <v>2</v>
          </cell>
          <cell r="C10">
            <v>2</v>
          </cell>
        </row>
        <row r="11">
          <cell r="A11" t="str">
            <v>Pensión por Sobrevivencia Menor</v>
          </cell>
          <cell r="B11">
            <v>19</v>
          </cell>
          <cell r="C11">
            <v>19</v>
          </cell>
        </row>
        <row r="12">
          <cell r="A12" t="str">
            <v>Pensión por Sobrevivencia Padres</v>
          </cell>
          <cell r="B12">
            <v>4</v>
          </cell>
          <cell r="C12">
            <v>4</v>
          </cell>
        </row>
        <row r="13">
          <cell r="A13" t="str">
            <v>Reactivacion</v>
          </cell>
          <cell r="B13">
            <v>93</v>
          </cell>
          <cell r="C13">
            <v>72</v>
          </cell>
        </row>
        <row r="14">
          <cell r="A14" t="str">
            <v>Reembolso - RE</v>
          </cell>
          <cell r="B14">
            <v>21</v>
          </cell>
          <cell r="C14">
            <v>18</v>
          </cell>
        </row>
        <row r="15">
          <cell r="A15" t="str">
            <v>Reinclusion</v>
          </cell>
          <cell r="B15">
            <v>13</v>
          </cell>
          <cell r="C15">
            <v>9</v>
          </cell>
        </row>
        <row r="16">
          <cell r="A16" t="str">
            <v>Retroactivo – RT</v>
          </cell>
          <cell r="B16">
            <v>269</v>
          </cell>
          <cell r="C16">
            <v>260</v>
          </cell>
        </row>
        <row r="17">
          <cell r="A17" t="str">
            <v>Retroactivo – RTI</v>
          </cell>
          <cell r="B17">
            <v>94</v>
          </cell>
          <cell r="C17">
            <v>76</v>
          </cell>
        </row>
        <row r="18">
          <cell r="A18" t="str">
            <v>Solicitud de aplicacion de Descuento ADL</v>
          </cell>
          <cell r="B18">
            <v>15</v>
          </cell>
          <cell r="C18">
            <v>15</v>
          </cell>
        </row>
        <row r="19">
          <cell r="A19" t="str">
            <v>Solicitud de Inclusión a Nómina</v>
          </cell>
          <cell r="B19">
            <v>2410</v>
          </cell>
          <cell r="C19">
            <v>1802</v>
          </cell>
        </row>
        <row r="20">
          <cell r="A20" t="str">
            <v>Solicitud de Suspension de Descuento SDL</v>
          </cell>
          <cell r="B20">
            <v>31</v>
          </cell>
          <cell r="C20">
            <v>31</v>
          </cell>
        </row>
        <row r="21">
          <cell r="A21" t="str">
            <v>Solicitud Modificación Monto Pensión</v>
          </cell>
          <cell r="B21">
            <v>241</v>
          </cell>
          <cell r="C21">
            <v>241</v>
          </cell>
        </row>
      </sheetData>
      <sheetData sheetId="4"/>
      <sheetData sheetId="5">
        <row r="7">
          <cell r="A7" t="str">
            <v>Pensión por Sobrevivencia Concubina</v>
          </cell>
          <cell r="B7">
            <v>14</v>
          </cell>
          <cell r="C7">
            <v>14</v>
          </cell>
        </row>
        <row r="8">
          <cell r="A8" t="str">
            <v>Pensión por Sobrevivencia Conyugue</v>
          </cell>
          <cell r="B8">
            <v>104</v>
          </cell>
          <cell r="C8">
            <v>101</v>
          </cell>
        </row>
        <row r="9">
          <cell r="A9" t="str">
            <v>Pension por Sobrevivencia Estudiante PN</v>
          </cell>
          <cell r="B9">
            <v>1</v>
          </cell>
          <cell r="C9">
            <v>1</v>
          </cell>
        </row>
        <row r="10">
          <cell r="A10" t="str">
            <v>Pensión por Sobrevivencia Menor</v>
          </cell>
          <cell r="B10">
            <v>13</v>
          </cell>
          <cell r="C10">
            <v>13</v>
          </cell>
        </row>
        <row r="11">
          <cell r="A11" t="str">
            <v>Reactivacion</v>
          </cell>
          <cell r="B11">
            <v>78</v>
          </cell>
          <cell r="C11">
            <v>57</v>
          </cell>
        </row>
        <row r="12">
          <cell r="A12" t="str">
            <v>Reembolso - RE</v>
          </cell>
          <cell r="B12">
            <v>26</v>
          </cell>
          <cell r="C12">
            <v>23</v>
          </cell>
        </row>
        <row r="13">
          <cell r="A13" t="str">
            <v>Reinclusion</v>
          </cell>
          <cell r="B13">
            <v>12</v>
          </cell>
          <cell r="C13">
            <v>8</v>
          </cell>
        </row>
        <row r="14">
          <cell r="A14" t="str">
            <v>Retroactivo – RT</v>
          </cell>
          <cell r="B14">
            <v>265</v>
          </cell>
          <cell r="C14">
            <v>256</v>
          </cell>
        </row>
        <row r="15">
          <cell r="A15" t="str">
            <v>Retroactivo – RTI</v>
          </cell>
          <cell r="B15">
            <v>165</v>
          </cell>
          <cell r="C15">
            <v>147</v>
          </cell>
        </row>
        <row r="16">
          <cell r="A16" t="str">
            <v>Solicitud de aplicacion de Descuento ADL</v>
          </cell>
          <cell r="B16">
            <v>11</v>
          </cell>
          <cell r="C16">
            <v>11</v>
          </cell>
        </row>
        <row r="17">
          <cell r="A17" t="str">
            <v>Solicitud de Inclusión a Nómina</v>
          </cell>
          <cell r="B17">
            <v>2466</v>
          </cell>
          <cell r="C17">
            <v>1860</v>
          </cell>
        </row>
        <row r="18">
          <cell r="A18" t="str">
            <v>Solicitud de Suspension de Descuento SDL</v>
          </cell>
          <cell r="B18">
            <v>22</v>
          </cell>
          <cell r="C18">
            <v>22</v>
          </cell>
        </row>
        <row r="19">
          <cell r="A19" t="str">
            <v>Solicitud Modificación Monto Pensión</v>
          </cell>
          <cell r="B19">
            <v>73</v>
          </cell>
          <cell r="C19">
            <v>73</v>
          </cell>
        </row>
        <row r="20">
          <cell r="A20" t="str">
            <v>Pensión por Sobrevivencia Hijo Discapacitado PN</v>
          </cell>
          <cell r="B20">
            <v>1</v>
          </cell>
          <cell r="C20">
            <v>1</v>
          </cell>
        </row>
        <row r="21">
          <cell r="A21" t="str">
            <v>Pensión por Sobrevivencia Padres</v>
          </cell>
          <cell r="B21">
            <v>1</v>
          </cell>
          <cell r="C21">
            <v>1</v>
          </cell>
        </row>
      </sheetData>
      <sheetData sheetId="6"/>
      <sheetData sheetId="7">
        <row r="7">
          <cell r="A7" t="str">
            <v>Pensión por Sobrevivencia Concubina</v>
          </cell>
          <cell r="B7">
            <v>14</v>
          </cell>
          <cell r="C7">
            <v>10</v>
          </cell>
        </row>
        <row r="8">
          <cell r="A8" t="str">
            <v>Pensión por Sobrevivencia Conyugue</v>
          </cell>
          <cell r="B8">
            <v>72</v>
          </cell>
          <cell r="C8">
            <v>63</v>
          </cell>
        </row>
        <row r="9">
          <cell r="A9" t="str">
            <v>Pension por Sobrevivencia Estudiante PN</v>
          </cell>
          <cell r="B9">
            <v>1</v>
          </cell>
          <cell r="C9">
            <v>1</v>
          </cell>
        </row>
        <row r="10">
          <cell r="A10" t="str">
            <v>Pensión por Sobrevivencia Menor</v>
          </cell>
          <cell r="B10">
            <v>3</v>
          </cell>
          <cell r="C10">
            <v>3</v>
          </cell>
        </row>
        <row r="11">
          <cell r="A11" t="str">
            <v>Reactivacion</v>
          </cell>
          <cell r="B11">
            <v>71</v>
          </cell>
          <cell r="C11">
            <v>33</v>
          </cell>
        </row>
        <row r="12">
          <cell r="A12" t="str">
            <v>Reembolso - RE</v>
          </cell>
          <cell r="B12">
            <v>6</v>
          </cell>
          <cell r="C12">
            <v>3</v>
          </cell>
        </row>
        <row r="13">
          <cell r="A13" t="str">
            <v>Reinclusion</v>
          </cell>
          <cell r="B13">
            <v>21</v>
          </cell>
          <cell r="C13">
            <v>10</v>
          </cell>
        </row>
        <row r="14">
          <cell r="A14" t="str">
            <v>Retroactivo – RT</v>
          </cell>
          <cell r="B14">
            <v>203</v>
          </cell>
          <cell r="C14">
            <v>194</v>
          </cell>
        </row>
        <row r="15">
          <cell r="A15" t="str">
            <v>Retroactivo – RTI</v>
          </cell>
          <cell r="B15">
            <v>75</v>
          </cell>
          <cell r="C15">
            <v>49</v>
          </cell>
        </row>
        <row r="16">
          <cell r="A16" t="str">
            <v>Solicitud de aplicacion de Descuento ADL</v>
          </cell>
          <cell r="B16">
            <v>21</v>
          </cell>
          <cell r="C16">
            <v>21</v>
          </cell>
        </row>
        <row r="17">
          <cell r="A17" t="str">
            <v>Solicitud de Inclusión a Nómina</v>
          </cell>
          <cell r="B17">
            <v>1860</v>
          </cell>
          <cell r="C17">
            <v>1083</v>
          </cell>
        </row>
        <row r="18">
          <cell r="A18" t="str">
            <v>Solicitud de Suspension de Descuento SDL</v>
          </cell>
          <cell r="B18">
            <v>28</v>
          </cell>
          <cell r="C18">
            <v>28</v>
          </cell>
        </row>
        <row r="19">
          <cell r="A19" t="str">
            <v>Solicitud Modificación Monto Pensión</v>
          </cell>
          <cell r="B19">
            <v>157</v>
          </cell>
          <cell r="C19">
            <v>157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I74"/>
  <sheetViews>
    <sheetView showGridLines="0" topLeftCell="A12" zoomScale="115" zoomScaleNormal="115" workbookViewId="0">
      <selection activeCell="K6" sqref="K6"/>
    </sheetView>
  </sheetViews>
  <sheetFormatPr defaultColWidth="11.42578125" defaultRowHeight="15"/>
  <cols>
    <col min="1" max="1" width="13.85546875" style="1" customWidth="1"/>
    <col min="2" max="2" width="11.7109375" style="1" customWidth="1"/>
    <col min="3" max="3" width="15.42578125" style="1" customWidth="1"/>
    <col min="4" max="4" width="14.28515625" style="1" bestFit="1" customWidth="1"/>
    <col min="5" max="5" width="11.42578125" style="1" bestFit="1" customWidth="1"/>
    <col min="6" max="6" width="14.28515625" style="1" customWidth="1"/>
    <col min="7" max="7" width="13.7109375" style="1" bestFit="1" customWidth="1"/>
    <col min="8" max="16384" width="11.42578125" style="1"/>
  </cols>
  <sheetData>
    <row r="2" spans="2:9">
      <c r="B2" s="562" t="s">
        <v>0</v>
      </c>
      <c r="C2" s="562"/>
      <c r="D2" s="562"/>
      <c r="E2" s="562"/>
      <c r="F2" s="562"/>
      <c r="G2" s="562"/>
    </row>
    <row r="3" spans="2:9">
      <c r="B3" s="562" t="s">
        <v>1</v>
      </c>
      <c r="C3" s="562"/>
      <c r="D3" s="562"/>
      <c r="E3" s="562"/>
      <c r="F3" s="562"/>
      <c r="G3" s="562"/>
    </row>
    <row r="4" spans="2:9">
      <c r="B4" s="562" t="s">
        <v>2</v>
      </c>
      <c r="C4" s="562"/>
      <c r="D4" s="562"/>
      <c r="E4" s="562"/>
      <c r="F4" s="562"/>
      <c r="G4" s="562"/>
    </row>
    <row r="5" spans="2:9">
      <c r="B5" s="562" t="s">
        <v>3</v>
      </c>
      <c r="C5" s="562"/>
      <c r="D5" s="562"/>
      <c r="E5" s="562"/>
      <c r="F5" s="562"/>
      <c r="G5" s="562"/>
    </row>
    <row r="6" spans="2:9">
      <c r="B6" s="562" t="s">
        <v>4</v>
      </c>
      <c r="C6" s="562"/>
      <c r="D6" s="562"/>
      <c r="E6" s="562"/>
      <c r="F6" s="562"/>
      <c r="G6" s="562"/>
    </row>
    <row r="7" spans="2:9">
      <c r="B7" s="561" t="s">
        <v>5</v>
      </c>
      <c r="C7" s="561" t="s">
        <v>6</v>
      </c>
      <c r="D7" s="561" t="s">
        <v>7</v>
      </c>
      <c r="E7" s="561"/>
      <c r="F7" s="561" t="s">
        <v>8</v>
      </c>
      <c r="G7" s="561"/>
    </row>
    <row r="8" spans="2:9" ht="11.25" customHeight="1">
      <c r="B8" s="561"/>
      <c r="C8" s="561"/>
      <c r="D8" s="561"/>
      <c r="E8" s="561"/>
      <c r="F8" s="561"/>
      <c r="G8" s="561"/>
    </row>
    <row r="9" spans="2:9" ht="14.25" customHeight="1">
      <c r="B9" s="96"/>
      <c r="C9" s="97" t="s">
        <v>9</v>
      </c>
      <c r="D9" s="97" t="s">
        <v>10</v>
      </c>
      <c r="E9" s="97" t="s">
        <v>11</v>
      </c>
      <c r="F9" s="97" t="s">
        <v>10</v>
      </c>
      <c r="G9" s="111" t="s">
        <v>11</v>
      </c>
      <c r="H9"/>
      <c r="I9"/>
    </row>
    <row r="10" spans="2:9" ht="14.25" hidden="1" customHeight="1">
      <c r="B10" s="133" t="s">
        <v>12</v>
      </c>
      <c r="C10" s="98"/>
      <c r="D10" s="98"/>
      <c r="E10" s="134" t="e">
        <f>D10/C10</f>
        <v>#DIV/0!</v>
      </c>
      <c r="F10" s="148">
        <f>C10-D10</f>
        <v>0</v>
      </c>
      <c r="G10" s="368" t="e">
        <f>F10/C10</f>
        <v>#DIV/0!</v>
      </c>
      <c r="H10"/>
      <c r="I10"/>
    </row>
    <row r="11" spans="2:9" ht="14.25" customHeight="1">
      <c r="B11" s="433" t="s">
        <v>13</v>
      </c>
      <c r="C11" s="492">
        <v>108126418</v>
      </c>
      <c r="D11" s="482">
        <v>117670426</v>
      </c>
      <c r="E11" s="493">
        <v>1.0900000000000001</v>
      </c>
      <c r="F11" s="482">
        <v>-9544008</v>
      </c>
      <c r="G11" s="493">
        <v>-0.09</v>
      </c>
      <c r="H11"/>
      <c r="I11"/>
    </row>
    <row r="12" spans="2:9" ht="14.25" customHeight="1">
      <c r="B12" s="433" t="s">
        <v>14</v>
      </c>
      <c r="C12" s="492">
        <v>27439500</v>
      </c>
      <c r="D12" s="482">
        <v>27217500</v>
      </c>
      <c r="E12" s="493">
        <v>0.99</v>
      </c>
      <c r="F12" s="482">
        <v>222000</v>
      </c>
      <c r="G12" s="493">
        <v>0.01</v>
      </c>
      <c r="H12"/>
      <c r="I12"/>
    </row>
    <row r="13" spans="2:9" ht="14.25" customHeight="1">
      <c r="B13" s="433" t="s">
        <v>15</v>
      </c>
      <c r="C13" s="492">
        <v>56643727</v>
      </c>
      <c r="D13" s="483">
        <v>45499112</v>
      </c>
      <c r="E13" s="493">
        <v>0.8</v>
      </c>
      <c r="F13" s="482">
        <v>11144615</v>
      </c>
      <c r="G13" s="493">
        <v>0.2</v>
      </c>
      <c r="H13"/>
      <c r="I13"/>
    </row>
    <row r="14" spans="2:9" ht="15.75" customHeight="1">
      <c r="B14" s="434" t="s">
        <v>16</v>
      </c>
      <c r="C14" s="492">
        <v>77469226</v>
      </c>
      <c r="D14" s="492">
        <v>81934180</v>
      </c>
      <c r="E14" s="493">
        <v>1.06</v>
      </c>
      <c r="F14" s="482">
        <v>-4464954</v>
      </c>
      <c r="G14" s="493">
        <v>-0.06</v>
      </c>
      <c r="H14"/>
      <c r="I14"/>
    </row>
    <row r="15" spans="2:9" ht="13.5" customHeight="1">
      <c r="B15" s="455" t="s">
        <v>17</v>
      </c>
      <c r="C15" s="193">
        <f>SUM(C11:C14)</f>
        <v>269678871</v>
      </c>
      <c r="D15" s="545">
        <f>SUM(D11:D14)</f>
        <v>272321218</v>
      </c>
      <c r="E15" s="456">
        <f>(D15/C15)</f>
        <v>1.0097981239323714</v>
      </c>
      <c r="F15" s="457">
        <f>SUM(F11:F14)</f>
        <v>-2642347</v>
      </c>
      <c r="G15" s="458">
        <f>(F15/C15)</f>
        <v>-9.7981239323714012E-3</v>
      </c>
      <c r="H15" s="64"/>
      <c r="I15"/>
    </row>
    <row r="16" spans="2:9" ht="15" hidden="1" customHeight="1">
      <c r="B16" s="72" t="s">
        <v>18</v>
      </c>
      <c r="C16" s="107">
        <v>37653391.100000001</v>
      </c>
      <c r="D16" s="107">
        <v>38913006.759999998</v>
      </c>
      <c r="E16" s="173">
        <f>+D16/C16</f>
        <v>1.0334529141520004</v>
      </c>
      <c r="F16" s="149">
        <f>+C16-D16</f>
        <v>-1259615.6599999964</v>
      </c>
      <c r="G16" s="4">
        <f t="shared" ref="G16:G19" si="0">(F16/C16)</f>
        <v>-3.3452914152000413E-2</v>
      </c>
      <c r="H16"/>
      <c r="I16"/>
    </row>
    <row r="17" spans="2:9" ht="15" hidden="1" customHeight="1">
      <c r="B17" s="72" t="s">
        <v>19</v>
      </c>
      <c r="C17" s="107">
        <v>33544691.100000001</v>
      </c>
      <c r="D17" s="107">
        <v>33205275.879999999</v>
      </c>
      <c r="E17" s="173">
        <f>+D17/C17</f>
        <v>0.9898817008334293</v>
      </c>
      <c r="F17" s="149">
        <f>+C17-D17</f>
        <v>339415.22000000253</v>
      </c>
      <c r="G17" s="4">
        <f t="shared" si="0"/>
        <v>1.0118299166570728E-2</v>
      </c>
      <c r="H17"/>
      <c r="I17"/>
    </row>
    <row r="18" spans="2:9" ht="15" hidden="1" customHeight="1">
      <c r="B18" s="72" t="s">
        <v>20</v>
      </c>
      <c r="C18" s="107">
        <v>33294691.100000001</v>
      </c>
      <c r="D18" s="107">
        <v>32763928.640000001</v>
      </c>
      <c r="E18" s="173">
        <f>+D18/C18</f>
        <v>0.98405864591427306</v>
      </c>
      <c r="F18" s="149">
        <f>+C18-D18</f>
        <v>530762.46000000089</v>
      </c>
      <c r="G18" s="4">
        <f t="shared" si="0"/>
        <v>1.5941354085726923E-2</v>
      </c>
      <c r="H18"/>
      <c r="I18"/>
    </row>
    <row r="19" spans="2:9" hidden="1">
      <c r="B19" s="100" t="s">
        <v>21</v>
      </c>
      <c r="C19" s="8">
        <f>SUM(C10:C18)</f>
        <v>643850515.30000007</v>
      </c>
      <c r="D19" s="8">
        <f>SUM(D10:D18)</f>
        <v>649524647.27999997</v>
      </c>
      <c r="E19" s="178">
        <f>(D19/C19)</f>
        <v>1.0088128095655187</v>
      </c>
      <c r="F19" s="150">
        <f>SUM(F10:F18)</f>
        <v>-5674131.979999993</v>
      </c>
      <c r="G19" s="177">
        <f t="shared" si="0"/>
        <v>-8.812809565518713E-3</v>
      </c>
      <c r="H19"/>
      <c r="I19"/>
    </row>
    <row r="20" spans="2:9" hidden="1">
      <c r="B20" s="72" t="s">
        <v>22</v>
      </c>
      <c r="C20" s="101"/>
      <c r="D20" s="102"/>
      <c r="E20" s="2" t="e">
        <f t="shared" ref="E20:E31" si="1">+D20/C20</f>
        <v>#DIV/0!</v>
      </c>
      <c r="F20" s="103"/>
      <c r="G20" s="4" t="e">
        <f t="shared" ref="G20:G31" si="2">(F20/C20)</f>
        <v>#DIV/0!</v>
      </c>
      <c r="H20"/>
      <c r="I20"/>
    </row>
    <row r="21" spans="2:9" hidden="1">
      <c r="B21" s="72" t="s">
        <v>23</v>
      </c>
      <c r="C21" s="101"/>
      <c r="D21" s="102"/>
      <c r="E21" s="2" t="e">
        <f t="shared" si="1"/>
        <v>#DIV/0!</v>
      </c>
      <c r="F21" s="103"/>
      <c r="G21" s="4" t="e">
        <f t="shared" si="2"/>
        <v>#DIV/0!</v>
      </c>
      <c r="H21"/>
      <c r="I21"/>
    </row>
    <row r="22" spans="2:9" hidden="1">
      <c r="B22" s="72" t="s">
        <v>24</v>
      </c>
      <c r="C22" s="101"/>
      <c r="D22" s="102"/>
      <c r="E22" s="2" t="e">
        <f t="shared" si="1"/>
        <v>#DIV/0!</v>
      </c>
      <c r="F22" s="103"/>
      <c r="G22" s="4" t="e">
        <f t="shared" si="2"/>
        <v>#DIV/0!</v>
      </c>
      <c r="H22"/>
      <c r="I22"/>
    </row>
    <row r="23" spans="2:9" hidden="1">
      <c r="B23" s="100" t="s">
        <v>25</v>
      </c>
      <c r="C23" s="8">
        <f>SUM(C20:C22)</f>
        <v>0</v>
      </c>
      <c r="D23" s="8">
        <f>SUM(D20:D22)</f>
        <v>0</v>
      </c>
      <c r="E23" s="3" t="e">
        <f>(D23/C23)</f>
        <v>#DIV/0!</v>
      </c>
      <c r="F23" s="9">
        <f>SUM(F20:F22)</f>
        <v>0</v>
      </c>
      <c r="G23" s="5" t="e">
        <f>(F23/C23)</f>
        <v>#DIV/0!</v>
      </c>
      <c r="H23"/>
      <c r="I23"/>
    </row>
    <row r="24" spans="2:9" hidden="1">
      <c r="B24" s="72" t="s">
        <v>26</v>
      </c>
      <c r="C24" s="101"/>
      <c r="D24" s="102"/>
      <c r="E24" s="2" t="e">
        <f t="shared" si="1"/>
        <v>#DIV/0!</v>
      </c>
      <c r="F24" s="103"/>
      <c r="G24" s="4" t="e">
        <f t="shared" si="2"/>
        <v>#DIV/0!</v>
      </c>
      <c r="H24"/>
      <c r="I24"/>
    </row>
    <row r="25" spans="2:9" hidden="1">
      <c r="B25" s="72" t="s">
        <v>27</v>
      </c>
      <c r="C25" s="101"/>
      <c r="D25" s="102"/>
      <c r="E25" s="2" t="e">
        <f t="shared" si="1"/>
        <v>#DIV/0!</v>
      </c>
      <c r="F25" s="103"/>
      <c r="G25" s="4" t="e">
        <f t="shared" si="2"/>
        <v>#DIV/0!</v>
      </c>
      <c r="H25"/>
      <c r="I25"/>
    </row>
    <row r="26" spans="2:9" hidden="1">
      <c r="B26" s="72" t="s">
        <v>28</v>
      </c>
      <c r="C26" s="101"/>
      <c r="D26" s="102"/>
      <c r="E26" s="2" t="e">
        <f t="shared" si="1"/>
        <v>#DIV/0!</v>
      </c>
      <c r="F26" s="103"/>
      <c r="G26" s="4" t="e">
        <f t="shared" si="2"/>
        <v>#DIV/0!</v>
      </c>
      <c r="H26"/>
      <c r="I26"/>
    </row>
    <row r="27" spans="2:9" hidden="1">
      <c r="B27" s="100" t="s">
        <v>29</v>
      </c>
      <c r="C27" s="8">
        <f>SUM(C24:C26)</f>
        <v>0</v>
      </c>
      <c r="D27" s="8">
        <f>SUM(D24:D26)</f>
        <v>0</v>
      </c>
      <c r="E27" s="3" t="e">
        <f>(D27/C27)</f>
        <v>#DIV/0!</v>
      </c>
      <c r="F27" s="9">
        <f>SUM(F24:F26)</f>
        <v>0</v>
      </c>
      <c r="G27" s="5" t="e">
        <f>(F27/C27)</f>
        <v>#DIV/0!</v>
      </c>
      <c r="H27"/>
      <c r="I27"/>
    </row>
    <row r="28" spans="2:9" hidden="1">
      <c r="B28" s="72" t="s">
        <v>16</v>
      </c>
      <c r="C28" s="101"/>
      <c r="D28" s="102"/>
      <c r="E28" s="2" t="e">
        <f t="shared" si="1"/>
        <v>#DIV/0!</v>
      </c>
      <c r="F28" s="103"/>
      <c r="G28" s="4" t="e">
        <f t="shared" si="2"/>
        <v>#DIV/0!</v>
      </c>
      <c r="H28"/>
      <c r="I28"/>
    </row>
    <row r="29" spans="2:9" hidden="1">
      <c r="B29" s="72" t="s">
        <v>15</v>
      </c>
      <c r="C29" s="101"/>
      <c r="D29" s="102"/>
      <c r="E29" s="2" t="e">
        <f t="shared" si="1"/>
        <v>#DIV/0!</v>
      </c>
      <c r="F29" s="103"/>
      <c r="G29" s="4" t="e">
        <f t="shared" si="2"/>
        <v>#DIV/0!</v>
      </c>
      <c r="H29"/>
      <c r="I29"/>
    </row>
    <row r="30" spans="2:9" hidden="1">
      <c r="B30" s="72" t="s">
        <v>13</v>
      </c>
      <c r="C30" s="101"/>
      <c r="D30" s="102"/>
      <c r="E30" s="2" t="e">
        <f t="shared" si="1"/>
        <v>#DIV/0!</v>
      </c>
      <c r="F30" s="103"/>
      <c r="G30" s="4" t="e">
        <f t="shared" si="2"/>
        <v>#DIV/0!</v>
      </c>
      <c r="H30"/>
      <c r="I30"/>
    </row>
    <row r="31" spans="2:9" hidden="1">
      <c r="B31" s="72" t="s">
        <v>12</v>
      </c>
      <c r="C31" s="101"/>
      <c r="D31" s="102"/>
      <c r="E31" s="2" t="e">
        <f t="shared" si="1"/>
        <v>#DIV/0!</v>
      </c>
      <c r="F31" s="103"/>
      <c r="G31" s="4" t="e">
        <f t="shared" si="2"/>
        <v>#DIV/0!</v>
      </c>
      <c r="H31"/>
      <c r="I31"/>
    </row>
    <row r="32" spans="2:9" hidden="1">
      <c r="B32" s="100" t="s">
        <v>17</v>
      </c>
      <c r="C32" s="8">
        <f>SUM(C28:C31)</f>
        <v>0</v>
      </c>
      <c r="D32" s="8">
        <f>SUM(D28:D31)</f>
        <v>0</v>
      </c>
      <c r="E32" s="3" t="e">
        <f>(D32/C32)</f>
        <v>#DIV/0!</v>
      </c>
      <c r="F32" s="9">
        <f>SUM(F28:F31)</f>
        <v>0</v>
      </c>
      <c r="G32" s="5" t="e">
        <f>(F32/C32)</f>
        <v>#DIV/0!</v>
      </c>
      <c r="H32"/>
      <c r="I32"/>
    </row>
    <row r="33" spans="2:9" hidden="1">
      <c r="B33" s="104" t="s">
        <v>30</v>
      </c>
      <c r="C33" s="10">
        <f>+C19+C23+C27+C32</f>
        <v>643850515.30000007</v>
      </c>
      <c r="D33" s="10">
        <f>+D19+D23+D27+D32</f>
        <v>649524647.27999997</v>
      </c>
      <c r="E33" s="7">
        <f>(D33/C33)</f>
        <v>1.0088128095655187</v>
      </c>
      <c r="F33" s="11">
        <f>+F19+F23+F27+F32</f>
        <v>-5674131.979999993</v>
      </c>
      <c r="G33" s="6">
        <f>(F33/C33)</f>
        <v>-8.812809565518713E-3</v>
      </c>
      <c r="H33"/>
      <c r="I33"/>
    </row>
    <row r="34" spans="2:9" ht="15" hidden="1" customHeight="1">
      <c r="B34" s="557"/>
      <c r="C34" s="558"/>
      <c r="D34" s="558"/>
      <c r="E34" s="558"/>
      <c r="F34" s="558"/>
      <c r="G34" s="558"/>
      <c r="H34"/>
      <c r="I34"/>
    </row>
    <row r="35" spans="2:9" ht="15.75" customHeight="1">
      <c r="B35" s="559" t="s">
        <v>31</v>
      </c>
      <c r="C35" s="560"/>
      <c r="D35" s="560"/>
      <c r="E35" s="560"/>
      <c r="F35" s="560"/>
      <c r="G35" s="560"/>
      <c r="H35"/>
      <c r="I35"/>
    </row>
    <row r="36" spans="2:9" ht="12.75" customHeight="1">
      <c r="H36"/>
      <c r="I36"/>
    </row>
    <row r="37" spans="2:9">
      <c r="B37"/>
      <c r="C37"/>
      <c r="D37"/>
      <c r="E37"/>
      <c r="F37"/>
      <c r="G37"/>
      <c r="H37"/>
      <c r="I37"/>
    </row>
    <row r="38" spans="2:9">
      <c r="B38"/>
      <c r="C38"/>
      <c r="D38"/>
      <c r="E38"/>
      <c r="F38"/>
      <c r="G38"/>
      <c r="H38"/>
      <c r="I38"/>
    </row>
    <row r="39" spans="2:9">
      <c r="B39"/>
      <c r="C39"/>
      <c r="D39"/>
      <c r="E39"/>
      <c r="F39"/>
      <c r="G39"/>
      <c r="H39"/>
      <c r="I39"/>
    </row>
    <row r="40" spans="2:9">
      <c r="B40"/>
      <c r="C40"/>
      <c r="D40"/>
      <c r="E40"/>
      <c r="F40"/>
      <c r="G40"/>
      <c r="H40"/>
      <c r="I40"/>
    </row>
    <row r="41" spans="2:9">
      <c r="B41"/>
      <c r="C41"/>
      <c r="D41"/>
      <c r="E41"/>
      <c r="F41"/>
      <c r="G41"/>
      <c r="H41"/>
      <c r="I41"/>
    </row>
    <row r="42" spans="2:9">
      <c r="B42"/>
      <c r="C42"/>
      <c r="D42"/>
      <c r="E42"/>
      <c r="F42"/>
      <c r="G42"/>
      <c r="H42"/>
      <c r="I42"/>
    </row>
    <row r="43" spans="2:9">
      <c r="B43"/>
      <c r="C43"/>
      <c r="D43"/>
      <c r="E43"/>
      <c r="F43"/>
      <c r="G43"/>
      <c r="H43"/>
      <c r="I43"/>
    </row>
    <row r="44" spans="2:9">
      <c r="B44"/>
      <c r="C44"/>
      <c r="D44"/>
      <c r="E44"/>
      <c r="F44"/>
      <c r="G44"/>
      <c r="H44"/>
      <c r="I44"/>
    </row>
    <row r="45" spans="2:9">
      <c r="B45"/>
      <c r="C45"/>
      <c r="D45"/>
      <c r="E45"/>
      <c r="F45"/>
      <c r="G45"/>
      <c r="H45"/>
      <c r="I45"/>
    </row>
    <row r="46" spans="2:9">
      <c r="B46"/>
      <c r="C46"/>
      <c r="D46"/>
      <c r="E46"/>
      <c r="F46"/>
      <c r="G46"/>
      <c r="H46"/>
      <c r="I46"/>
    </row>
    <row r="47" spans="2:9">
      <c r="B47"/>
      <c r="C47"/>
      <c r="D47"/>
      <c r="E47"/>
      <c r="F47"/>
      <c r="G47"/>
      <c r="H47"/>
      <c r="I47"/>
    </row>
    <row r="48" spans="2:9">
      <c r="B48"/>
      <c r="C48"/>
      <c r="D48"/>
      <c r="E48"/>
      <c r="F48"/>
      <c r="G48"/>
      <c r="H48"/>
      <c r="I48"/>
    </row>
    <row r="49" spans="2:9">
      <c r="B49"/>
      <c r="C49"/>
      <c r="D49"/>
      <c r="E49"/>
      <c r="F49"/>
      <c r="G49"/>
      <c r="H49"/>
      <c r="I49"/>
    </row>
    <row r="50" spans="2:9">
      <c r="B50"/>
      <c r="C50"/>
      <c r="D50"/>
      <c r="E50"/>
      <c r="F50"/>
      <c r="G50"/>
      <c r="H50"/>
      <c r="I50"/>
    </row>
    <row r="51" spans="2:9">
      <c r="B51"/>
      <c r="C51"/>
      <c r="D51"/>
      <c r="E51"/>
      <c r="F51"/>
      <c r="G51"/>
      <c r="H51"/>
      <c r="I51"/>
    </row>
    <row r="52" spans="2:9">
      <c r="B52"/>
      <c r="C52"/>
      <c r="D52"/>
      <c r="E52"/>
      <c r="F52"/>
      <c r="G52"/>
      <c r="H52"/>
      <c r="I52"/>
    </row>
    <row r="56" spans="2:9">
      <c r="B56" s="72"/>
      <c r="C56" s="98"/>
      <c r="D56" s="98"/>
      <c r="E56" s="2"/>
      <c r="F56" s="99"/>
      <c r="G56" s="4"/>
    </row>
    <row r="57" spans="2:9" ht="2.25" customHeight="1"/>
    <row r="58" spans="2:9" hidden="1"/>
    <row r="59" spans="2:9" hidden="1"/>
    <row r="60" spans="2:9" hidden="1"/>
    <row r="61" spans="2:9" hidden="1"/>
    <row r="62" spans="2:9" hidden="1"/>
    <row r="63" spans="2:9" hidden="1"/>
    <row r="64" spans="2:9" hidden="1"/>
    <row r="65" hidden="1"/>
    <row r="66" hidden="1"/>
    <row r="67" hidden="1"/>
    <row r="68" hidden="1"/>
    <row r="69" hidden="1"/>
    <row r="70" hidden="1"/>
    <row r="71" hidden="1"/>
    <row r="72" hidden="1"/>
    <row r="73" hidden="1"/>
    <row r="74" hidden="1"/>
  </sheetData>
  <mergeCells count="11">
    <mergeCell ref="B34:G34"/>
    <mergeCell ref="B35:G35"/>
    <mergeCell ref="C7:C8"/>
    <mergeCell ref="B7:B8"/>
    <mergeCell ref="B2:G2"/>
    <mergeCell ref="B3:G3"/>
    <mergeCell ref="B4:G4"/>
    <mergeCell ref="B6:G6"/>
    <mergeCell ref="D7:E8"/>
    <mergeCell ref="F7:G8"/>
    <mergeCell ref="B5:G5"/>
  </mergeCells>
  <pageMargins left="0.7" right="0.7" top="0.75" bottom="0.75" header="0.3" footer="0.3"/>
  <pageSetup paperSize="9" orientation="portrait" r:id="rId1"/>
  <ignoredErrors>
    <ignoredError sqref="F17" unlockedFormula="1"/>
    <ignoredError sqref="E19 E15:F1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C2:S61"/>
  <sheetViews>
    <sheetView showGridLines="0" zoomScale="115" zoomScaleNormal="115" workbookViewId="0">
      <selection activeCell="C4" sqref="C4:Q13"/>
    </sheetView>
  </sheetViews>
  <sheetFormatPr defaultColWidth="11.42578125" defaultRowHeight="15"/>
  <cols>
    <col min="1" max="2" width="1.7109375" style="1" customWidth="1"/>
    <col min="3" max="3" width="11.140625" style="1" customWidth="1"/>
    <col min="4" max="4" width="7.28515625" style="1" customWidth="1"/>
    <col min="5" max="5" width="15.42578125" style="1" customWidth="1"/>
    <col min="6" max="6" width="7.42578125" style="1" customWidth="1"/>
    <col min="7" max="7" width="12.42578125" style="1" bestFit="1" customWidth="1"/>
    <col min="8" max="8" width="7.140625" style="1" customWidth="1"/>
    <col min="9" max="9" width="12.42578125" style="1" bestFit="1" customWidth="1"/>
    <col min="10" max="10" width="6.85546875" style="1" customWidth="1"/>
    <col min="11" max="11" width="12.42578125" style="1" bestFit="1" customWidth="1"/>
    <col min="12" max="12" width="7.28515625" style="1" customWidth="1"/>
    <col min="13" max="13" width="13.5703125" style="1" bestFit="1" customWidth="1"/>
    <col min="14" max="14" width="6.5703125" style="1" customWidth="1"/>
    <col min="15" max="15" width="13.42578125" style="1" bestFit="1" customWidth="1"/>
    <col min="16" max="16" width="8" style="1" customWidth="1"/>
    <col min="17" max="17" width="14.42578125" style="1" customWidth="1"/>
    <col min="18" max="18" width="15" style="1" bestFit="1" customWidth="1"/>
    <col min="19" max="16384" width="11.42578125" style="1"/>
  </cols>
  <sheetData>
    <row r="2" spans="3:19">
      <c r="C2" s="562" t="s">
        <v>0</v>
      </c>
      <c r="D2" s="562"/>
      <c r="E2" s="562"/>
      <c r="F2" s="562"/>
      <c r="G2" s="562"/>
      <c r="H2" s="562"/>
      <c r="I2" s="562"/>
      <c r="J2" s="562"/>
      <c r="K2" s="562"/>
      <c r="L2" s="562"/>
      <c r="M2" s="562"/>
      <c r="N2" s="562"/>
      <c r="O2" s="562"/>
      <c r="P2" s="562"/>
      <c r="Q2" s="562"/>
    </row>
    <row r="3" spans="3:19">
      <c r="C3" s="562" t="s">
        <v>74</v>
      </c>
      <c r="D3" s="562"/>
      <c r="E3" s="562"/>
      <c r="F3" s="562"/>
      <c r="G3" s="562"/>
      <c r="H3" s="562"/>
      <c r="I3" s="562"/>
      <c r="J3" s="562"/>
      <c r="K3" s="562"/>
      <c r="L3" s="562"/>
      <c r="M3" s="562"/>
      <c r="N3" s="562"/>
      <c r="O3" s="562"/>
      <c r="P3" s="562"/>
      <c r="Q3" s="562"/>
    </row>
    <row r="4" spans="3:19">
      <c r="C4" s="562" t="s">
        <v>118</v>
      </c>
      <c r="D4" s="562"/>
      <c r="E4" s="562"/>
      <c r="F4" s="562"/>
      <c r="G4" s="562"/>
      <c r="H4" s="562"/>
      <c r="I4" s="562"/>
      <c r="J4" s="562"/>
      <c r="K4" s="562"/>
      <c r="L4" s="562"/>
      <c r="M4" s="562"/>
      <c r="N4" s="562"/>
      <c r="O4" s="562"/>
      <c r="P4" s="562"/>
      <c r="Q4" s="562"/>
    </row>
    <row r="5" spans="3:19">
      <c r="C5" s="562" t="s">
        <v>3</v>
      </c>
      <c r="D5" s="562"/>
      <c r="E5" s="562"/>
      <c r="F5" s="562"/>
      <c r="G5" s="562"/>
      <c r="H5" s="562"/>
      <c r="I5" s="562"/>
      <c r="J5" s="562"/>
      <c r="K5" s="562"/>
      <c r="L5" s="562"/>
      <c r="M5" s="562"/>
      <c r="N5" s="562"/>
      <c r="O5" s="562"/>
      <c r="P5" s="562"/>
      <c r="Q5" s="562"/>
      <c r="R5" s="22"/>
      <c r="S5" s="22"/>
    </row>
    <row r="6" spans="3:19">
      <c r="C6" s="562" t="s">
        <v>4</v>
      </c>
      <c r="D6" s="562"/>
      <c r="E6" s="562"/>
      <c r="F6" s="562"/>
      <c r="G6" s="562"/>
      <c r="H6" s="562"/>
      <c r="I6" s="562"/>
      <c r="J6" s="562"/>
      <c r="K6" s="562"/>
      <c r="L6" s="562"/>
      <c r="M6" s="562"/>
      <c r="N6" s="562"/>
      <c r="O6" s="562"/>
      <c r="P6" s="562"/>
      <c r="Q6" s="562"/>
    </row>
    <row r="7" spans="3:19">
      <c r="C7" s="562" t="s">
        <v>119</v>
      </c>
      <c r="D7" s="562"/>
      <c r="E7" s="562"/>
      <c r="F7" s="562"/>
      <c r="G7" s="562"/>
      <c r="H7" s="562"/>
      <c r="I7" s="562"/>
      <c r="J7" s="562"/>
      <c r="K7" s="562"/>
      <c r="L7" s="562"/>
      <c r="M7" s="562"/>
      <c r="N7" s="562"/>
      <c r="O7" s="562"/>
      <c r="P7" s="562"/>
      <c r="Q7" s="562"/>
    </row>
    <row r="8" spans="3:19" ht="24" customHeight="1">
      <c r="C8" s="289"/>
      <c r="D8" s="563" t="s">
        <v>120</v>
      </c>
      <c r="E8" s="563"/>
      <c r="F8" s="563" t="s">
        <v>121</v>
      </c>
      <c r="G8" s="563"/>
      <c r="H8" s="563" t="s">
        <v>122</v>
      </c>
      <c r="I8" s="563"/>
      <c r="J8" s="563" t="s">
        <v>123</v>
      </c>
      <c r="K8" s="563"/>
      <c r="L8" s="563" t="s">
        <v>124</v>
      </c>
      <c r="M8" s="563"/>
      <c r="N8" s="591" t="s">
        <v>125</v>
      </c>
      <c r="O8" s="591"/>
      <c r="P8" s="591" t="s">
        <v>30</v>
      </c>
      <c r="Q8" s="591"/>
      <c r="R8"/>
      <c r="S8"/>
    </row>
    <row r="9" spans="3:19">
      <c r="C9" s="111" t="s">
        <v>5</v>
      </c>
      <c r="D9" s="111" t="s">
        <v>126</v>
      </c>
      <c r="E9" s="111" t="s">
        <v>9</v>
      </c>
      <c r="F9" s="111" t="s">
        <v>126</v>
      </c>
      <c r="G9" s="111" t="s">
        <v>9</v>
      </c>
      <c r="H9" s="111" t="s">
        <v>126</v>
      </c>
      <c r="I9" s="111" t="s">
        <v>9</v>
      </c>
      <c r="J9" s="111" t="s">
        <v>126</v>
      </c>
      <c r="K9" s="111" t="s">
        <v>9</v>
      </c>
      <c r="L9" s="111" t="s">
        <v>126</v>
      </c>
      <c r="M9" s="111" t="s">
        <v>9</v>
      </c>
      <c r="N9" s="111" t="s">
        <v>126</v>
      </c>
      <c r="O9" s="111" t="s">
        <v>9</v>
      </c>
      <c r="P9" s="111" t="s">
        <v>126</v>
      </c>
      <c r="Q9" s="111" t="s">
        <v>9</v>
      </c>
      <c r="R9"/>
      <c r="S9"/>
    </row>
    <row r="10" spans="3:19">
      <c r="C10" s="433" t="s">
        <v>13</v>
      </c>
      <c r="D10" s="483">
        <v>2720</v>
      </c>
      <c r="E10" s="484">
        <v>25021262.420000002</v>
      </c>
      <c r="F10" s="485">
        <v>125</v>
      </c>
      <c r="G10" s="484">
        <v>2010335.11</v>
      </c>
      <c r="H10" s="485">
        <v>72</v>
      </c>
      <c r="I10" s="484">
        <v>1030059.19</v>
      </c>
      <c r="J10" s="485">
        <v>47</v>
      </c>
      <c r="K10" s="484">
        <v>989866.96</v>
      </c>
      <c r="L10" s="485">
        <v>788</v>
      </c>
      <c r="M10" s="484">
        <v>9617088.8900000006</v>
      </c>
      <c r="N10" s="485">
        <v>218</v>
      </c>
      <c r="O10" s="484">
        <v>2834589.26</v>
      </c>
      <c r="P10" s="486">
        <v>1911</v>
      </c>
      <c r="Q10" s="487">
        <v>16599845.529999999</v>
      </c>
      <c r="R10"/>
      <c r="S10"/>
    </row>
    <row r="11" spans="3:19">
      <c r="C11" s="433" t="s">
        <v>15</v>
      </c>
      <c r="D11" s="482">
        <v>2368</v>
      </c>
      <c r="E11" s="479">
        <v>44876886.109999999</v>
      </c>
      <c r="F11" s="478">
        <v>135</v>
      </c>
      <c r="G11" s="479">
        <v>2179239.9900000002</v>
      </c>
      <c r="H11" s="478">
        <v>108</v>
      </c>
      <c r="I11" s="479">
        <v>1413562.88</v>
      </c>
      <c r="J11" s="478">
        <v>25</v>
      </c>
      <c r="K11" s="479">
        <v>379879.76</v>
      </c>
      <c r="L11" s="478">
        <v>822</v>
      </c>
      <c r="M11" s="479">
        <v>8938650.9600000009</v>
      </c>
      <c r="N11" s="478">
        <v>183</v>
      </c>
      <c r="O11" s="479">
        <v>2585834.4300000002</v>
      </c>
      <c r="P11" s="480">
        <v>1606</v>
      </c>
      <c r="Q11" s="481">
        <v>37325083.350000001</v>
      </c>
      <c r="R11"/>
      <c r="S11"/>
    </row>
    <row r="12" spans="3:19">
      <c r="C12" s="434" t="s">
        <v>16</v>
      </c>
      <c r="D12" s="478">
        <v>961</v>
      </c>
      <c r="E12" s="479">
        <v>16371208.57</v>
      </c>
      <c r="F12" s="478">
        <v>153</v>
      </c>
      <c r="G12" s="479">
        <v>2382947.7599999998</v>
      </c>
      <c r="H12" s="478">
        <v>140</v>
      </c>
      <c r="I12" s="479">
        <v>1760065.36</v>
      </c>
      <c r="J12" s="478">
        <v>317</v>
      </c>
      <c r="K12" s="479">
        <v>5066378.67</v>
      </c>
      <c r="L12" s="478">
        <v>162</v>
      </c>
      <c r="M12" s="479">
        <v>2484553.67</v>
      </c>
      <c r="N12" s="478">
        <v>268</v>
      </c>
      <c r="O12" s="479">
        <v>3693823.74</v>
      </c>
      <c r="P12" s="480">
        <v>824</v>
      </c>
      <c r="Q12" s="481">
        <v>19402222.949999999</v>
      </c>
      <c r="R12" s="203"/>
      <c r="S12"/>
    </row>
    <row r="13" spans="3:19">
      <c r="C13" s="330" t="s">
        <v>17</v>
      </c>
      <c r="D13" s="193">
        <f t="shared" ref="D13:O13" si="0">SUM(D10:D12)</f>
        <v>6049</v>
      </c>
      <c r="E13" s="342">
        <f t="shared" si="0"/>
        <v>86269357.099999994</v>
      </c>
      <c r="F13" s="193">
        <f t="shared" si="0"/>
        <v>413</v>
      </c>
      <c r="G13" s="348">
        <f t="shared" si="0"/>
        <v>6572522.8600000003</v>
      </c>
      <c r="H13" s="193">
        <f t="shared" si="0"/>
        <v>320</v>
      </c>
      <c r="I13" s="348">
        <f t="shared" si="0"/>
        <v>4203687.43</v>
      </c>
      <c r="J13" s="193">
        <f t="shared" si="0"/>
        <v>389</v>
      </c>
      <c r="K13" s="348">
        <f t="shared" si="0"/>
        <v>6436125.3899999997</v>
      </c>
      <c r="L13" s="193">
        <f t="shared" si="0"/>
        <v>1772</v>
      </c>
      <c r="M13" s="348">
        <f t="shared" si="0"/>
        <v>21040293.520000003</v>
      </c>
      <c r="N13" s="193">
        <f t="shared" si="0"/>
        <v>669</v>
      </c>
      <c r="O13" s="348">
        <f t="shared" si="0"/>
        <v>9114247.4299999997</v>
      </c>
      <c r="P13" s="193">
        <f>+SUM(P10:P12)</f>
        <v>4341</v>
      </c>
      <c r="Q13" s="349">
        <f>+SUM(Q10:Q12)</f>
        <v>73327151.829999998</v>
      </c>
      <c r="R13"/>
      <c r="S13"/>
    </row>
    <row r="14" spans="3:19" ht="1.5" customHeight="1">
      <c r="C14" s="60"/>
      <c r="D14" s="122"/>
      <c r="E14" s="122"/>
      <c r="F14" s="122"/>
      <c r="G14" s="122"/>
      <c r="H14" s="122"/>
      <c r="I14" s="122"/>
      <c r="J14" s="122"/>
      <c r="K14" s="122"/>
      <c r="L14" s="122"/>
      <c r="M14" s="122"/>
      <c r="N14" s="122"/>
      <c r="O14" s="122"/>
      <c r="P14" s="41"/>
      <c r="Q14" s="68"/>
      <c r="R14"/>
      <c r="S14"/>
    </row>
    <row r="15" spans="3:19" hidden="1">
      <c r="C15" s="60" t="s">
        <v>19</v>
      </c>
      <c r="D15" s="122"/>
      <c r="E15" s="122"/>
      <c r="F15" s="122"/>
      <c r="G15" s="122"/>
      <c r="H15" s="122"/>
      <c r="I15" s="122"/>
      <c r="J15" s="122"/>
      <c r="K15" s="122"/>
      <c r="L15" s="122"/>
      <c r="M15" s="122"/>
      <c r="N15" s="122"/>
      <c r="O15" s="122"/>
      <c r="P15" s="41"/>
      <c r="Q15" s="68"/>
      <c r="R15"/>
      <c r="S15"/>
    </row>
    <row r="16" spans="3:19" hidden="1">
      <c r="C16" s="60" t="s">
        <v>20</v>
      </c>
      <c r="D16" s="122"/>
      <c r="E16" s="122"/>
      <c r="F16" s="122"/>
      <c r="G16" s="122"/>
      <c r="H16" s="122"/>
      <c r="I16" s="122"/>
      <c r="J16" s="122"/>
      <c r="K16" s="122"/>
      <c r="L16" s="122"/>
      <c r="M16" s="122"/>
      <c r="N16" s="122"/>
      <c r="O16" s="122"/>
      <c r="P16" s="41"/>
      <c r="Q16" s="68"/>
      <c r="R16"/>
      <c r="S16"/>
    </row>
    <row r="17" spans="3:19" hidden="1">
      <c r="C17" s="40" t="s">
        <v>21</v>
      </c>
      <c r="D17" s="8">
        <f t="shared" ref="D17:K17" si="1">SUM(D14:D16)</f>
        <v>0</v>
      </c>
      <c r="E17" s="8">
        <f t="shared" si="1"/>
        <v>0</v>
      </c>
      <c r="F17" s="8">
        <f t="shared" si="1"/>
        <v>0</v>
      </c>
      <c r="G17" s="8">
        <f t="shared" si="1"/>
        <v>0</v>
      </c>
      <c r="H17" s="8">
        <f t="shared" si="1"/>
        <v>0</v>
      </c>
      <c r="I17" s="8">
        <f t="shared" si="1"/>
        <v>0</v>
      </c>
      <c r="J17" s="8">
        <f t="shared" si="1"/>
        <v>0</v>
      </c>
      <c r="K17" s="8">
        <f t="shared" si="1"/>
        <v>0</v>
      </c>
      <c r="L17" s="8">
        <f t="shared" ref="L17:Q17" si="2">SUM(L14:L16)</f>
        <v>0</v>
      </c>
      <c r="M17" s="8">
        <f t="shared" si="2"/>
        <v>0</v>
      </c>
      <c r="N17" s="8">
        <f t="shared" si="2"/>
        <v>0</v>
      </c>
      <c r="O17" s="8">
        <f t="shared" si="2"/>
        <v>0</v>
      </c>
      <c r="P17" s="8">
        <f t="shared" si="2"/>
        <v>0</v>
      </c>
      <c r="Q17" s="69">
        <f t="shared" si="2"/>
        <v>0</v>
      </c>
      <c r="R17"/>
      <c r="S17"/>
    </row>
    <row r="18" spans="3:19" hidden="1">
      <c r="C18" s="60" t="s">
        <v>22</v>
      </c>
      <c r="D18" s="122"/>
      <c r="E18" s="122"/>
      <c r="F18" s="122"/>
      <c r="G18" s="122"/>
      <c r="H18" s="122"/>
      <c r="I18" s="122"/>
      <c r="J18" s="122"/>
      <c r="K18" s="122"/>
      <c r="L18" s="122"/>
      <c r="M18" s="122"/>
      <c r="N18" s="122"/>
      <c r="O18" s="122"/>
      <c r="P18" s="41">
        <f t="shared" ref="P18:P28" si="3">+D18-(L18+N18)</f>
        <v>0</v>
      </c>
      <c r="Q18" s="41">
        <f t="shared" ref="Q18:Q28" si="4">+M18+O18+K18+E18</f>
        <v>0</v>
      </c>
      <c r="R18"/>
      <c r="S18"/>
    </row>
    <row r="19" spans="3:19" hidden="1">
      <c r="C19" s="60" t="s">
        <v>23</v>
      </c>
      <c r="D19" s="122"/>
      <c r="E19" s="122"/>
      <c r="F19" s="122"/>
      <c r="G19" s="122"/>
      <c r="H19" s="122"/>
      <c r="I19" s="122"/>
      <c r="J19" s="122"/>
      <c r="K19" s="122"/>
      <c r="L19" s="122"/>
      <c r="M19" s="122"/>
      <c r="N19" s="122"/>
      <c r="O19" s="122"/>
      <c r="P19" s="41">
        <f t="shared" si="3"/>
        <v>0</v>
      </c>
      <c r="Q19" s="41">
        <f t="shared" si="4"/>
        <v>0</v>
      </c>
      <c r="R19"/>
      <c r="S19"/>
    </row>
    <row r="20" spans="3:19" hidden="1">
      <c r="C20" s="60" t="s">
        <v>24</v>
      </c>
      <c r="D20" s="122"/>
      <c r="E20" s="122"/>
      <c r="F20" s="122"/>
      <c r="G20" s="122"/>
      <c r="H20" s="122"/>
      <c r="I20" s="122"/>
      <c r="J20" s="122"/>
      <c r="K20" s="122"/>
      <c r="L20" s="122"/>
      <c r="M20" s="122"/>
      <c r="N20" s="122"/>
      <c r="O20" s="122"/>
      <c r="P20" s="41">
        <f t="shared" si="3"/>
        <v>0</v>
      </c>
      <c r="Q20" s="41">
        <f t="shared" si="4"/>
        <v>0</v>
      </c>
      <c r="R20"/>
      <c r="S20"/>
    </row>
    <row r="21" spans="3:19" hidden="1">
      <c r="C21" s="40" t="s">
        <v>25</v>
      </c>
      <c r="D21" s="8">
        <f t="shared" ref="D21:Q21" si="5">SUM(D18:D20)</f>
        <v>0</v>
      </c>
      <c r="E21" s="8">
        <f t="shared" si="5"/>
        <v>0</v>
      </c>
      <c r="F21" s="8"/>
      <c r="G21" s="8"/>
      <c r="H21" s="8"/>
      <c r="I21" s="8"/>
      <c r="J21" s="8">
        <f t="shared" si="5"/>
        <v>0</v>
      </c>
      <c r="K21" s="8">
        <f t="shared" si="5"/>
        <v>0</v>
      </c>
      <c r="L21" s="8">
        <f t="shared" si="5"/>
        <v>0</v>
      </c>
      <c r="M21" s="8">
        <f t="shared" si="5"/>
        <v>0</v>
      </c>
      <c r="N21" s="8">
        <f t="shared" si="5"/>
        <v>0</v>
      </c>
      <c r="O21" s="8">
        <f t="shared" si="5"/>
        <v>0</v>
      </c>
      <c r="P21" s="8">
        <f t="shared" si="5"/>
        <v>0</v>
      </c>
      <c r="Q21" s="8">
        <f t="shared" si="5"/>
        <v>0</v>
      </c>
      <c r="R21"/>
      <c r="S21"/>
    </row>
    <row r="22" spans="3:19" hidden="1">
      <c r="C22" s="60" t="s">
        <v>43</v>
      </c>
      <c r="D22" s="122"/>
      <c r="E22" s="122"/>
      <c r="F22" s="122"/>
      <c r="G22" s="122"/>
      <c r="H22" s="122"/>
      <c r="I22" s="122"/>
      <c r="J22" s="122"/>
      <c r="K22" s="122"/>
      <c r="L22" s="122"/>
      <c r="M22" s="122"/>
      <c r="N22" s="122"/>
      <c r="O22" s="122"/>
      <c r="P22" s="41">
        <f t="shared" si="3"/>
        <v>0</v>
      </c>
      <c r="Q22" s="41">
        <f t="shared" si="4"/>
        <v>0</v>
      </c>
      <c r="R22"/>
      <c r="S22"/>
    </row>
    <row r="23" spans="3:19" hidden="1">
      <c r="C23" s="60" t="s">
        <v>27</v>
      </c>
      <c r="D23" s="122"/>
      <c r="E23" s="122"/>
      <c r="F23" s="122"/>
      <c r="G23" s="122"/>
      <c r="H23" s="122"/>
      <c r="I23" s="122"/>
      <c r="J23" s="122"/>
      <c r="K23" s="122"/>
      <c r="L23" s="122"/>
      <c r="M23" s="122"/>
      <c r="N23" s="122"/>
      <c r="O23" s="122"/>
      <c r="P23" s="41">
        <f t="shared" si="3"/>
        <v>0</v>
      </c>
      <c r="Q23" s="41">
        <f t="shared" si="4"/>
        <v>0</v>
      </c>
      <c r="R23"/>
      <c r="S23"/>
    </row>
    <row r="24" spans="3:19" hidden="1">
      <c r="C24" s="60" t="s">
        <v>28</v>
      </c>
      <c r="D24" s="122"/>
      <c r="E24" s="122"/>
      <c r="F24" s="122"/>
      <c r="G24" s="122"/>
      <c r="H24" s="122"/>
      <c r="I24" s="122"/>
      <c r="J24" s="122"/>
      <c r="K24" s="122"/>
      <c r="L24" s="122"/>
      <c r="M24" s="122"/>
      <c r="N24" s="122"/>
      <c r="O24" s="122"/>
      <c r="P24" s="41">
        <f t="shared" si="3"/>
        <v>0</v>
      </c>
      <c r="Q24" s="41">
        <f t="shared" si="4"/>
        <v>0</v>
      </c>
      <c r="R24"/>
      <c r="S24"/>
    </row>
    <row r="25" spans="3:19" hidden="1">
      <c r="C25" s="40" t="s">
        <v>29</v>
      </c>
      <c r="D25" s="8">
        <f t="shared" ref="D25:Q25" si="6">SUM(D22:D24)</f>
        <v>0</v>
      </c>
      <c r="E25" s="8">
        <f t="shared" si="6"/>
        <v>0</v>
      </c>
      <c r="F25" s="8"/>
      <c r="G25" s="8"/>
      <c r="H25" s="8"/>
      <c r="I25" s="8"/>
      <c r="J25" s="8">
        <f t="shared" si="6"/>
        <v>0</v>
      </c>
      <c r="K25" s="8">
        <f t="shared" si="6"/>
        <v>0</v>
      </c>
      <c r="L25" s="8">
        <f t="shared" si="6"/>
        <v>0</v>
      </c>
      <c r="M25" s="8">
        <f t="shared" si="6"/>
        <v>0</v>
      </c>
      <c r="N25" s="8">
        <f t="shared" si="6"/>
        <v>0</v>
      </c>
      <c r="O25" s="8">
        <f t="shared" si="6"/>
        <v>0</v>
      </c>
      <c r="P25" s="8">
        <f t="shared" si="6"/>
        <v>0</v>
      </c>
      <c r="Q25" s="8">
        <f t="shared" si="6"/>
        <v>0</v>
      </c>
      <c r="R25"/>
      <c r="S25"/>
    </row>
    <row r="26" spans="3:19" hidden="1">
      <c r="C26" s="60" t="s">
        <v>16</v>
      </c>
      <c r="D26" s="122"/>
      <c r="E26" s="122"/>
      <c r="F26" s="122"/>
      <c r="G26" s="122"/>
      <c r="H26" s="122"/>
      <c r="I26" s="122"/>
      <c r="J26" s="122"/>
      <c r="K26" s="122"/>
      <c r="L26" s="122"/>
      <c r="M26" s="122"/>
      <c r="N26" s="122"/>
      <c r="O26" s="122"/>
      <c r="P26" s="41">
        <f t="shared" si="3"/>
        <v>0</v>
      </c>
      <c r="Q26" s="41">
        <f t="shared" si="4"/>
        <v>0</v>
      </c>
      <c r="R26"/>
      <c r="S26"/>
    </row>
    <row r="27" spans="3:19" hidden="1">
      <c r="C27" s="60" t="s">
        <v>15</v>
      </c>
      <c r="D27" s="122"/>
      <c r="E27" s="122"/>
      <c r="F27" s="122"/>
      <c r="G27" s="122"/>
      <c r="H27" s="122"/>
      <c r="I27" s="122"/>
      <c r="J27" s="122"/>
      <c r="K27" s="122"/>
      <c r="L27" s="122"/>
      <c r="M27" s="122"/>
      <c r="N27" s="122"/>
      <c r="O27" s="122"/>
      <c r="P27" s="41">
        <f t="shared" si="3"/>
        <v>0</v>
      </c>
      <c r="Q27" s="41">
        <f t="shared" si="4"/>
        <v>0</v>
      </c>
      <c r="R27"/>
      <c r="S27"/>
    </row>
    <row r="28" spans="3:19" hidden="1">
      <c r="C28" s="60" t="s">
        <v>13</v>
      </c>
      <c r="D28" s="122"/>
      <c r="E28" s="122"/>
      <c r="F28" s="122"/>
      <c r="G28" s="122"/>
      <c r="H28" s="122"/>
      <c r="I28" s="122"/>
      <c r="J28" s="122"/>
      <c r="K28" s="122"/>
      <c r="L28" s="122"/>
      <c r="M28" s="122"/>
      <c r="N28" s="122"/>
      <c r="O28" s="122"/>
      <c r="P28" s="41">
        <f t="shared" si="3"/>
        <v>0</v>
      </c>
      <c r="Q28" s="41">
        <f t="shared" si="4"/>
        <v>0</v>
      </c>
      <c r="R28"/>
      <c r="S28"/>
    </row>
    <row r="29" spans="3:19" hidden="1">
      <c r="C29" s="40" t="s">
        <v>17</v>
      </c>
      <c r="D29" s="8">
        <f t="shared" ref="D29:Q29" si="7">SUM(D26:D28)</f>
        <v>0</v>
      </c>
      <c r="E29" s="8">
        <f t="shared" si="7"/>
        <v>0</v>
      </c>
      <c r="F29" s="8"/>
      <c r="G29" s="8"/>
      <c r="H29" s="8"/>
      <c r="I29" s="8"/>
      <c r="J29" s="8">
        <f t="shared" si="7"/>
        <v>0</v>
      </c>
      <c r="K29" s="8">
        <f t="shared" si="7"/>
        <v>0</v>
      </c>
      <c r="L29" s="8">
        <f t="shared" si="7"/>
        <v>0</v>
      </c>
      <c r="M29" s="8">
        <f t="shared" si="7"/>
        <v>0</v>
      </c>
      <c r="N29" s="8">
        <f t="shared" si="7"/>
        <v>0</v>
      </c>
      <c r="O29" s="8">
        <f t="shared" si="7"/>
        <v>0</v>
      </c>
      <c r="P29" s="8">
        <f t="shared" si="7"/>
        <v>0</v>
      </c>
      <c r="Q29" s="8">
        <f t="shared" si="7"/>
        <v>0</v>
      </c>
      <c r="R29"/>
      <c r="S29"/>
    </row>
    <row r="30" spans="3:19" hidden="1">
      <c r="C30" s="43" t="s">
        <v>30</v>
      </c>
      <c r="D30" s="44">
        <f>+D17+D21+D25+D29</f>
        <v>0</v>
      </c>
      <c r="E30" s="42">
        <f t="shared" ref="E30:Q30" si="8">+E17+E21+E25+E29</f>
        <v>0</v>
      </c>
      <c r="F30" s="42"/>
      <c r="G30" s="42"/>
      <c r="H30" s="42"/>
      <c r="I30" s="42"/>
      <c r="J30" s="42">
        <f t="shared" si="8"/>
        <v>0</v>
      </c>
      <c r="K30" s="42">
        <f t="shared" si="8"/>
        <v>0</v>
      </c>
      <c r="L30" s="42">
        <f t="shared" si="8"/>
        <v>0</v>
      </c>
      <c r="M30" s="42">
        <f t="shared" si="8"/>
        <v>0</v>
      </c>
      <c r="N30" s="42">
        <f t="shared" si="8"/>
        <v>0</v>
      </c>
      <c r="O30" s="42">
        <f t="shared" si="8"/>
        <v>0</v>
      </c>
      <c r="P30" s="42">
        <f t="shared" si="8"/>
        <v>0</v>
      </c>
      <c r="Q30" s="42">
        <f t="shared" si="8"/>
        <v>0</v>
      </c>
      <c r="R30"/>
      <c r="S30"/>
    </row>
    <row r="31" spans="3:19" ht="15.75" customHeight="1">
      <c r="C31" s="106"/>
      <c r="D31" s="196"/>
      <c r="E31" s="196"/>
      <c r="F31" s="196"/>
      <c r="G31" s="196"/>
      <c r="H31" s="196"/>
      <c r="I31" s="196"/>
      <c r="J31" s="196"/>
      <c r="K31" s="196"/>
      <c r="L31" s="196"/>
      <c r="M31" s="196"/>
      <c r="N31" s="196"/>
      <c r="O31" s="196"/>
      <c r="P31" s="196"/>
      <c r="Q31" s="196"/>
      <c r="R31"/>
      <c r="S31"/>
    </row>
    <row r="32" spans="3:19" s="15" customFormat="1" ht="9" customHeight="1">
      <c r="C32" s="106" t="s">
        <v>94</v>
      </c>
      <c r="D32" s="109"/>
      <c r="E32" s="109"/>
      <c r="F32" s="109"/>
      <c r="G32" s="109"/>
      <c r="H32" s="109"/>
      <c r="I32" s="109"/>
      <c r="J32" s="109"/>
      <c r="K32" s="109"/>
      <c r="L32" s="106"/>
      <c r="M32" s="106"/>
      <c r="N32" s="106"/>
      <c r="O32" s="106"/>
      <c r="P32" s="106"/>
      <c r="Q32" s="106"/>
      <c r="R32" s="106"/>
      <c r="S32" s="106"/>
    </row>
    <row r="33" spans="3:19" ht="13.5" customHeight="1">
      <c r="C33"/>
      <c r="D33"/>
      <c r="E33"/>
      <c r="F33"/>
      <c r="G33"/>
      <c r="H33"/>
      <c r="I33"/>
      <c r="J33"/>
      <c r="K33"/>
      <c r="L33"/>
      <c r="M33"/>
      <c r="N33"/>
      <c r="O33"/>
      <c r="P33"/>
      <c r="Q33"/>
      <c r="R33"/>
      <c r="S33"/>
    </row>
    <row r="34" spans="3:19">
      <c r="C34"/>
      <c r="D34"/>
      <c r="E34"/>
      <c r="F34"/>
      <c r="G34"/>
      <c r="H34"/>
      <c r="I34" s="267"/>
      <c r="J34"/>
      <c r="K34"/>
      <c r="L34"/>
      <c r="M34"/>
      <c r="N34"/>
      <c r="O34"/>
      <c r="P34"/>
      <c r="Q34"/>
      <c r="R34"/>
      <c r="S34"/>
    </row>
    <row r="35" spans="3:19">
      <c r="C35"/>
      <c r="D35"/>
      <c r="E35"/>
      <c r="F35"/>
      <c r="G35"/>
      <c r="H35"/>
      <c r="I35"/>
      <c r="J35"/>
      <c r="K35"/>
      <c r="L35"/>
      <c r="M35"/>
      <c r="N35"/>
      <c r="O35"/>
      <c r="P35"/>
      <c r="Q35"/>
      <c r="R35"/>
      <c r="S35"/>
    </row>
    <row r="36" spans="3:19">
      <c r="C36"/>
      <c r="D36"/>
      <c r="E36"/>
      <c r="F36"/>
      <c r="G36"/>
      <c r="H36"/>
      <c r="I36"/>
      <c r="J36"/>
      <c r="K36"/>
      <c r="L36"/>
      <c r="M36"/>
      <c r="N36"/>
      <c r="O36"/>
      <c r="P36"/>
      <c r="Q36"/>
      <c r="R36"/>
      <c r="S36"/>
    </row>
    <row r="37" spans="3:19">
      <c r="C37"/>
      <c r="D37"/>
      <c r="E37"/>
      <c r="F37"/>
      <c r="G37"/>
      <c r="H37"/>
      <c r="I37"/>
      <c r="J37"/>
      <c r="K37"/>
      <c r="L37"/>
      <c r="M37"/>
      <c r="N37"/>
      <c r="O37"/>
      <c r="P37"/>
      <c r="Q37"/>
      <c r="R37"/>
      <c r="S37"/>
    </row>
    <row r="38" spans="3:19">
      <c r="C38"/>
      <c r="D38"/>
      <c r="E38"/>
      <c r="F38"/>
      <c r="G38"/>
      <c r="H38"/>
      <c r="I38"/>
      <c r="J38"/>
      <c r="K38"/>
      <c r="L38"/>
      <c r="M38"/>
      <c r="N38"/>
      <c r="O38"/>
      <c r="P38"/>
      <c r="Q38"/>
      <c r="R38"/>
      <c r="S38"/>
    </row>
    <row r="39" spans="3:19">
      <c r="C39"/>
      <c r="D39"/>
      <c r="E39"/>
      <c r="F39"/>
      <c r="G39"/>
      <c r="H39"/>
      <c r="I39"/>
      <c r="J39"/>
      <c r="K39"/>
      <c r="L39"/>
      <c r="M39"/>
      <c r="N39"/>
      <c r="O39"/>
      <c r="P39"/>
      <c r="Q39"/>
      <c r="R39"/>
      <c r="S39"/>
    </row>
    <row r="40" spans="3:19">
      <c r="C40"/>
      <c r="D40"/>
      <c r="E40"/>
      <c r="F40"/>
      <c r="G40"/>
      <c r="H40"/>
      <c r="I40"/>
      <c r="J40"/>
      <c r="K40"/>
      <c r="L40"/>
      <c r="M40"/>
      <c r="N40"/>
      <c r="O40"/>
      <c r="P40"/>
      <c r="Q40"/>
      <c r="R40"/>
      <c r="S40"/>
    </row>
    <row r="41" spans="3:19">
      <c r="C41"/>
      <c r="D41"/>
      <c r="E41"/>
      <c r="F41"/>
      <c r="G41"/>
      <c r="H41"/>
      <c r="I41"/>
      <c r="J41"/>
      <c r="K41"/>
      <c r="L41"/>
      <c r="M41"/>
      <c r="N41"/>
      <c r="O41"/>
      <c r="P41"/>
      <c r="Q41"/>
      <c r="R41"/>
      <c r="S41"/>
    </row>
    <row r="42" spans="3:19">
      <c r="C42"/>
      <c r="D42"/>
      <c r="E42"/>
      <c r="F42"/>
      <c r="G42"/>
      <c r="H42"/>
      <c r="I42"/>
      <c r="J42"/>
      <c r="K42"/>
      <c r="L42"/>
      <c r="M42"/>
      <c r="N42"/>
      <c r="O42"/>
      <c r="P42"/>
      <c r="Q42"/>
      <c r="R42"/>
      <c r="S42"/>
    </row>
    <row r="43" spans="3:19">
      <c r="C43"/>
      <c r="D43"/>
      <c r="E43"/>
      <c r="F43"/>
      <c r="G43"/>
      <c r="H43"/>
      <c r="I43"/>
      <c r="J43"/>
      <c r="K43"/>
      <c r="L43"/>
      <c r="M43"/>
      <c r="N43"/>
      <c r="O43"/>
      <c r="P43"/>
      <c r="Q43"/>
      <c r="R43"/>
      <c r="S43"/>
    </row>
    <row r="44" spans="3:19">
      <c r="C44"/>
      <c r="D44"/>
      <c r="E44"/>
      <c r="F44"/>
      <c r="G44"/>
      <c r="H44"/>
      <c r="I44"/>
      <c r="J44"/>
      <c r="K44"/>
      <c r="L44"/>
      <c r="M44"/>
      <c r="N44"/>
      <c r="O44"/>
      <c r="P44"/>
      <c r="Q44"/>
      <c r="R44"/>
      <c r="S44"/>
    </row>
    <row r="47" spans="3:19">
      <c r="D47" s="60"/>
      <c r="E47" s="122"/>
      <c r="F47" s="122"/>
      <c r="G47" s="122"/>
      <c r="H47" s="122"/>
      <c r="I47" s="122"/>
      <c r="J47" s="122"/>
      <c r="K47" s="122"/>
      <c r="L47" s="122"/>
      <c r="M47" s="122"/>
      <c r="N47" s="122"/>
      <c r="O47" s="122"/>
      <c r="P47" s="122"/>
      <c r="Q47" s="41"/>
      <c r="R47" s="68"/>
    </row>
    <row r="49" spans="4:18">
      <c r="D49" s="60"/>
      <c r="E49" s="122"/>
      <c r="F49" s="122"/>
      <c r="G49" s="122"/>
      <c r="H49" s="122"/>
      <c r="I49" s="122"/>
      <c r="J49" s="122"/>
      <c r="K49" s="122"/>
      <c r="L49" s="122"/>
      <c r="M49" s="122"/>
      <c r="N49" s="122"/>
      <c r="O49" s="122"/>
      <c r="P49" s="122"/>
      <c r="Q49" s="41"/>
      <c r="R49" s="68"/>
    </row>
    <row r="52" spans="4:18" ht="6" customHeight="1"/>
    <row r="55" spans="4:18" customFormat="1"/>
    <row r="56" spans="4:18" customFormat="1"/>
    <row r="57" spans="4:18" customFormat="1"/>
    <row r="58" spans="4:18" customFormat="1"/>
    <row r="59" spans="4:18" customFormat="1"/>
    <row r="60" spans="4:18" customFormat="1"/>
    <row r="61" spans="4:18" customFormat="1"/>
  </sheetData>
  <mergeCells count="13">
    <mergeCell ref="D8:E8"/>
    <mergeCell ref="J8:K8"/>
    <mergeCell ref="L8:M8"/>
    <mergeCell ref="N8:O8"/>
    <mergeCell ref="P8:Q8"/>
    <mergeCell ref="F8:G8"/>
    <mergeCell ref="H8:I8"/>
    <mergeCell ref="C7:Q7"/>
    <mergeCell ref="C2:Q2"/>
    <mergeCell ref="C3:Q3"/>
    <mergeCell ref="C4:Q4"/>
    <mergeCell ref="C6:Q6"/>
    <mergeCell ref="C5:Q5"/>
  </mergeCells>
  <pageMargins left="0.7" right="0.7" top="0.75" bottom="0.75" header="0.3" footer="0.3"/>
  <pageSetup paperSize="9" scale="48" orientation="portrait" r:id="rId1"/>
  <ignoredErrors>
    <ignoredError sqref="P1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5:H72"/>
  <sheetViews>
    <sheetView topLeftCell="A10" workbookViewId="0">
      <selection activeCell="H23" sqref="H23"/>
    </sheetView>
  </sheetViews>
  <sheetFormatPr defaultColWidth="11.42578125" defaultRowHeight="15"/>
  <cols>
    <col min="1" max="1" width="18.42578125" customWidth="1"/>
    <col min="3" max="3" width="18.140625" customWidth="1"/>
    <col min="6" max="6" width="13.7109375" bestFit="1" customWidth="1"/>
  </cols>
  <sheetData>
    <row r="5" spans="1:8">
      <c r="A5" t="s">
        <v>127</v>
      </c>
    </row>
    <row r="6" spans="1:8">
      <c r="A6" t="s">
        <v>128</v>
      </c>
      <c r="B6" t="s">
        <v>129</v>
      </c>
      <c r="C6" s="64">
        <v>31310</v>
      </c>
      <c r="D6" s="83">
        <v>0.2</v>
      </c>
      <c r="E6" s="64">
        <v>391848281</v>
      </c>
      <c r="F6" s="83">
        <v>0.19</v>
      </c>
    </row>
    <row r="7" spans="1:8">
      <c r="A7" t="s">
        <v>130</v>
      </c>
      <c r="B7" s="64">
        <v>58606</v>
      </c>
      <c r="C7" s="83">
        <v>0.37</v>
      </c>
      <c r="D7" s="64">
        <v>502596251</v>
      </c>
      <c r="E7" s="83">
        <v>0.25</v>
      </c>
    </row>
    <row r="8" spans="1:8">
      <c r="A8" t="s">
        <v>131</v>
      </c>
      <c r="B8" t="s">
        <v>132</v>
      </c>
      <c r="C8" t="s">
        <v>133</v>
      </c>
      <c r="D8">
        <v>280</v>
      </c>
      <c r="E8" s="84">
        <v>2E-3</v>
      </c>
      <c r="F8" s="64">
        <v>4723136</v>
      </c>
      <c r="G8" s="84">
        <v>2E-3</v>
      </c>
    </row>
    <row r="9" spans="1:8">
      <c r="A9" t="s">
        <v>134</v>
      </c>
      <c r="B9" t="s">
        <v>135</v>
      </c>
      <c r="C9" t="s">
        <v>136</v>
      </c>
      <c r="D9" t="s">
        <v>137</v>
      </c>
      <c r="E9">
        <v>164</v>
      </c>
      <c r="F9" s="84">
        <v>1E-3</v>
      </c>
      <c r="G9" s="64">
        <v>4627394</v>
      </c>
      <c r="H9" s="84">
        <v>2E-3</v>
      </c>
    </row>
    <row r="10" spans="1:8">
      <c r="A10" t="s">
        <v>138</v>
      </c>
      <c r="B10" t="s">
        <v>139</v>
      </c>
      <c r="C10">
        <v>311</v>
      </c>
      <c r="D10" s="84">
        <v>2E-3</v>
      </c>
      <c r="E10" s="64">
        <v>8307901</v>
      </c>
      <c r="F10" s="84">
        <v>4.0000000000000001E-3</v>
      </c>
    </row>
    <row r="11" spans="1:8">
      <c r="A11" t="s">
        <v>138</v>
      </c>
      <c r="B11" t="s">
        <v>140</v>
      </c>
      <c r="C11" s="64">
        <v>19019</v>
      </c>
      <c r="D11" s="83">
        <v>0.12</v>
      </c>
      <c r="E11" s="64">
        <v>425653300</v>
      </c>
      <c r="F11" s="83">
        <v>0.21</v>
      </c>
    </row>
    <row r="12" spans="1:8">
      <c r="A12" t="s">
        <v>141</v>
      </c>
      <c r="B12" t="s">
        <v>142</v>
      </c>
      <c r="C12" s="64">
        <v>21131</v>
      </c>
      <c r="D12" s="83">
        <v>0.13</v>
      </c>
      <c r="E12" s="64">
        <v>448771667</v>
      </c>
      <c r="F12" s="83">
        <v>0.22</v>
      </c>
    </row>
    <row r="13" spans="1:8">
      <c r="A13" t="s">
        <v>128</v>
      </c>
      <c r="B13" t="s">
        <v>143</v>
      </c>
      <c r="C13" s="64">
        <v>10163</v>
      </c>
      <c r="D13" s="83">
        <v>0.06</v>
      </c>
      <c r="E13" s="64">
        <v>60978000</v>
      </c>
      <c r="F13" s="83">
        <v>0.03</v>
      </c>
    </row>
    <row r="14" spans="1:8">
      <c r="A14" t="s">
        <v>144</v>
      </c>
      <c r="B14" t="s">
        <v>145</v>
      </c>
      <c r="C14" t="s">
        <v>146</v>
      </c>
      <c r="D14" s="64">
        <v>16719</v>
      </c>
      <c r="E14" s="83">
        <v>0.11</v>
      </c>
      <c r="F14" s="64">
        <v>171659274</v>
      </c>
      <c r="G14" s="83">
        <v>0.09</v>
      </c>
    </row>
    <row r="17" spans="1:7">
      <c r="A17" t="s">
        <v>147</v>
      </c>
      <c r="B17" t="s">
        <v>148</v>
      </c>
      <c r="C17" t="s">
        <v>61</v>
      </c>
      <c r="D17" t="s">
        <v>149</v>
      </c>
      <c r="E17" t="s">
        <v>61</v>
      </c>
    </row>
    <row r="18" spans="1:7">
      <c r="A18" t="s">
        <v>150</v>
      </c>
      <c r="B18" t="s">
        <v>151</v>
      </c>
      <c r="C18" t="s">
        <v>152</v>
      </c>
      <c r="D18">
        <v>42</v>
      </c>
      <c r="E18" s="84">
        <v>2.9999999999999997E-4</v>
      </c>
      <c r="F18" s="85">
        <v>167356.85</v>
      </c>
      <c r="G18" s="83">
        <v>0</v>
      </c>
    </row>
    <row r="19" spans="1:7">
      <c r="A19" t="s">
        <v>153</v>
      </c>
      <c r="B19" t="s">
        <v>154</v>
      </c>
      <c r="C19" t="s">
        <v>155</v>
      </c>
      <c r="D19">
        <v>1</v>
      </c>
      <c r="E19" s="84">
        <v>0</v>
      </c>
      <c r="F19" s="85">
        <v>5117.5</v>
      </c>
      <c r="G19" s="83">
        <v>0</v>
      </c>
    </row>
    <row r="20" spans="1:7">
      <c r="A20" s="85">
        <v>5117.5</v>
      </c>
      <c r="B20" t="s">
        <v>109</v>
      </c>
      <c r="C20" s="85">
        <v>10000</v>
      </c>
      <c r="D20" s="64">
        <v>93522</v>
      </c>
      <c r="E20" s="84">
        <v>0.73980000000000001</v>
      </c>
      <c r="F20" s="85">
        <v>750253033.45000005</v>
      </c>
      <c r="G20" s="83">
        <v>0.5</v>
      </c>
    </row>
    <row r="21" spans="1:7">
      <c r="A21" s="85">
        <v>10000</v>
      </c>
      <c r="B21" t="s">
        <v>109</v>
      </c>
      <c r="C21" s="85">
        <v>20000</v>
      </c>
      <c r="D21" s="64">
        <v>18138</v>
      </c>
      <c r="E21" s="84">
        <v>0.14349999999999999</v>
      </c>
      <c r="F21" s="85">
        <v>227429836.90000001</v>
      </c>
      <c r="G21" s="83">
        <v>0.15</v>
      </c>
    </row>
    <row r="22" spans="1:7">
      <c r="A22" s="85">
        <v>20000</v>
      </c>
      <c r="B22" t="s">
        <v>109</v>
      </c>
      <c r="C22" s="85">
        <v>30000</v>
      </c>
      <c r="D22" s="64">
        <v>6578</v>
      </c>
      <c r="E22" s="84">
        <v>5.1999999999999998E-2</v>
      </c>
      <c r="F22" s="85">
        <v>161421192.27000001</v>
      </c>
      <c r="G22" s="83">
        <v>0.11</v>
      </c>
    </row>
    <row r="23" spans="1:7">
      <c r="A23" s="85">
        <v>30000</v>
      </c>
      <c r="B23" t="s">
        <v>109</v>
      </c>
      <c r="C23" s="85">
        <v>40000</v>
      </c>
      <c r="D23" s="64">
        <v>3651</v>
      </c>
      <c r="E23" s="84">
        <v>2.8899999999999999E-2</v>
      </c>
      <c r="F23" s="85">
        <v>122505219.92</v>
      </c>
      <c r="G23" s="83">
        <v>0.08</v>
      </c>
    </row>
    <row r="24" spans="1:7">
      <c r="A24" s="85">
        <v>40000</v>
      </c>
      <c r="B24" t="s">
        <v>109</v>
      </c>
      <c r="C24" s="85">
        <v>50000</v>
      </c>
      <c r="D24" s="64">
        <v>2228</v>
      </c>
      <c r="E24" s="84">
        <v>1.7600000000000001E-2</v>
      </c>
      <c r="F24" s="85">
        <v>96897867.079999998</v>
      </c>
      <c r="G24" s="83">
        <v>0.06</v>
      </c>
    </row>
    <row r="25" spans="1:7">
      <c r="A25" s="85">
        <v>50000</v>
      </c>
      <c r="B25" t="s">
        <v>109</v>
      </c>
      <c r="C25" s="85">
        <v>60000</v>
      </c>
      <c r="D25" s="64">
        <v>1212</v>
      </c>
      <c r="E25" s="84">
        <v>9.5999999999999992E-3</v>
      </c>
      <c r="F25" s="85">
        <v>63870772.049999997</v>
      </c>
      <c r="G25" s="83">
        <v>0.04</v>
      </c>
    </row>
    <row r="26" spans="1:7">
      <c r="A26" s="85">
        <v>60000</v>
      </c>
      <c r="B26" t="s">
        <v>109</v>
      </c>
      <c r="C26" s="85">
        <v>70000</v>
      </c>
      <c r="D26">
        <v>256</v>
      </c>
      <c r="E26" s="84">
        <v>2E-3</v>
      </c>
      <c r="F26" s="85">
        <v>15987935.460000001</v>
      </c>
      <c r="G26" s="83">
        <v>0.01</v>
      </c>
    </row>
    <row r="27" spans="1:7">
      <c r="A27" s="85">
        <v>70000</v>
      </c>
      <c r="B27" t="s">
        <v>109</v>
      </c>
      <c r="C27" s="85">
        <v>80000</v>
      </c>
      <c r="D27">
        <v>185</v>
      </c>
      <c r="E27" s="84">
        <v>1.5E-3</v>
      </c>
      <c r="F27" s="85">
        <v>13603340.310000001</v>
      </c>
      <c r="G27" s="83">
        <v>0.01</v>
      </c>
    </row>
    <row r="28" spans="1:7">
      <c r="A28" s="85">
        <v>80000</v>
      </c>
      <c r="B28" t="s">
        <v>109</v>
      </c>
      <c r="C28" s="85">
        <v>90000</v>
      </c>
      <c r="D28">
        <v>246</v>
      </c>
      <c r="E28" s="84">
        <v>1.9E-3</v>
      </c>
      <c r="F28" s="85">
        <v>20637258.829999998</v>
      </c>
      <c r="G28" s="83">
        <v>0.01</v>
      </c>
    </row>
    <row r="29" spans="1:7">
      <c r="A29" s="85">
        <v>90000</v>
      </c>
      <c r="B29" t="s">
        <v>109</v>
      </c>
      <c r="C29" s="85">
        <v>100000</v>
      </c>
      <c r="D29">
        <v>300</v>
      </c>
      <c r="E29" s="84">
        <v>2.3999999999999998E-3</v>
      </c>
      <c r="F29" s="85">
        <v>28790914.350000001</v>
      </c>
      <c r="G29" s="83">
        <v>0.02</v>
      </c>
    </row>
    <row r="30" spans="1:7">
      <c r="A30" t="s">
        <v>156</v>
      </c>
      <c r="B30">
        <v>50</v>
      </c>
      <c r="C30" s="84">
        <v>4.0000000000000002E-4</v>
      </c>
      <c r="D30" s="85">
        <v>7845693.5999999996</v>
      </c>
      <c r="E30" s="83">
        <v>0.01</v>
      </c>
    </row>
    <row r="32" spans="1:7">
      <c r="A32" t="s">
        <v>147</v>
      </c>
      <c r="B32" t="s">
        <v>148</v>
      </c>
      <c r="C32" t="s">
        <v>61</v>
      </c>
      <c r="D32" t="s">
        <v>149</v>
      </c>
      <c r="E32" t="s">
        <v>61</v>
      </c>
    </row>
    <row r="33" spans="1:7">
      <c r="A33" t="s">
        <v>157</v>
      </c>
      <c r="B33">
        <v>8</v>
      </c>
      <c r="C33" s="84">
        <v>1E-4</v>
      </c>
      <c r="D33" s="64">
        <v>120807</v>
      </c>
      <c r="E33" s="84">
        <v>1E-4</v>
      </c>
    </row>
    <row r="34" spans="1:7">
      <c r="A34" t="s">
        <v>158</v>
      </c>
      <c r="B34">
        <v>105</v>
      </c>
      <c r="C34" s="84">
        <v>8.9999999999999998E-4</v>
      </c>
      <c r="D34" s="64">
        <v>1623898</v>
      </c>
      <c r="E34" s="84">
        <v>1.1000000000000001E-3</v>
      </c>
    </row>
    <row r="35" spans="1:7">
      <c r="A35" t="s">
        <v>159</v>
      </c>
      <c r="B35">
        <v>662</v>
      </c>
      <c r="C35" s="84">
        <v>5.7999999999999996E-3</v>
      </c>
      <c r="D35" s="64">
        <v>8844351</v>
      </c>
      <c r="E35" s="84">
        <v>5.8999999999999999E-3</v>
      </c>
    </row>
    <row r="36" spans="1:7">
      <c r="A36" t="s">
        <v>160</v>
      </c>
      <c r="B36" s="64">
        <v>3613</v>
      </c>
      <c r="C36" s="84">
        <v>3.1699999999999999E-2</v>
      </c>
      <c r="D36" s="64">
        <v>58835635</v>
      </c>
      <c r="E36" s="84">
        <v>3.9E-2</v>
      </c>
    </row>
    <row r="37" spans="1:7">
      <c r="A37" t="s">
        <v>161</v>
      </c>
      <c r="B37" s="64">
        <v>37680</v>
      </c>
      <c r="C37" s="84">
        <v>0.3306</v>
      </c>
      <c r="D37" s="64">
        <v>525796423</v>
      </c>
      <c r="E37" s="84">
        <v>0.3483</v>
      </c>
    </row>
    <row r="38" spans="1:7">
      <c r="A38" t="s">
        <v>162</v>
      </c>
      <c r="B38" s="64">
        <v>44491</v>
      </c>
      <c r="C38" s="84">
        <v>0.39040000000000002</v>
      </c>
      <c r="D38" s="64">
        <v>593494378</v>
      </c>
      <c r="E38" s="84">
        <v>0.39319999999999999</v>
      </c>
    </row>
    <row r="39" spans="1:7">
      <c r="A39" t="s">
        <v>163</v>
      </c>
      <c r="B39" s="64">
        <v>22199</v>
      </c>
      <c r="C39" s="84">
        <v>0.1948</v>
      </c>
      <c r="D39" s="64">
        <v>263071212</v>
      </c>
      <c r="E39" s="84">
        <v>0.17430000000000001</v>
      </c>
    </row>
    <row r="40" spans="1:7">
      <c r="A40" t="s">
        <v>164</v>
      </c>
      <c r="B40" s="64">
        <v>4787</v>
      </c>
      <c r="C40" s="84">
        <v>4.2000000000000003E-2</v>
      </c>
      <c r="D40" s="64">
        <v>53293459</v>
      </c>
      <c r="E40" s="84">
        <v>3.5299999999999998E-2</v>
      </c>
    </row>
    <row r="41" spans="1:7">
      <c r="A41">
        <v>100</v>
      </c>
      <c r="B41">
        <v>273</v>
      </c>
      <c r="C41" s="84">
        <v>2.3999999999999998E-3</v>
      </c>
      <c r="D41" s="64">
        <v>3036509</v>
      </c>
      <c r="E41" s="84">
        <v>2E-3</v>
      </c>
    </row>
    <row r="42" spans="1:7">
      <c r="A42">
        <v>0</v>
      </c>
      <c r="B42">
        <v>148</v>
      </c>
      <c r="C42" s="84">
        <v>1.2999999999999999E-3</v>
      </c>
      <c r="D42" s="64">
        <v>1202867</v>
      </c>
      <c r="E42" s="84">
        <v>8.0000000000000004E-4</v>
      </c>
    </row>
    <row r="43" spans="1:7">
      <c r="A43" t="s">
        <v>165</v>
      </c>
      <c r="B43" t="s">
        <v>166</v>
      </c>
      <c r="C43" s="86">
        <v>1</v>
      </c>
      <c r="D43">
        <v>11</v>
      </c>
      <c r="E43" s="84">
        <v>1E-4</v>
      </c>
      <c r="F43" s="64">
        <v>96000</v>
      </c>
      <c r="G43" s="84">
        <v>1E-4</v>
      </c>
    </row>
    <row r="60" spans="1:4" ht="1.5" customHeight="1" thickBot="1"/>
    <row r="61" spans="1:4" ht="31.5" customHeight="1">
      <c r="A61" s="592" t="s">
        <v>167</v>
      </c>
      <c r="B61" s="593"/>
      <c r="C61" s="593"/>
      <c r="D61" s="594"/>
    </row>
    <row r="62" spans="1:4">
      <c r="A62" s="88" t="s">
        <v>168</v>
      </c>
      <c r="B62" s="89" t="s">
        <v>61</v>
      </c>
      <c r="C62" s="90" t="s">
        <v>9</v>
      </c>
      <c r="D62" s="91" t="s">
        <v>61</v>
      </c>
    </row>
    <row r="63" spans="1:4">
      <c r="A63" s="76">
        <v>31137</v>
      </c>
      <c r="B63" s="66">
        <f>A63/$F$18</f>
        <v>0.18605154195959114</v>
      </c>
      <c r="C63" s="45">
        <v>395798200.03000003</v>
      </c>
      <c r="D63" s="77">
        <f>C63/C72</f>
        <v>0.19391687100775967</v>
      </c>
    </row>
    <row r="64" spans="1:4">
      <c r="A64" s="76">
        <v>59538</v>
      </c>
      <c r="B64" s="66">
        <f t="shared" ref="B64:B71" si="0">A64/$F$18</f>
        <v>0.35575478386453857</v>
      </c>
      <c r="C64" s="45">
        <v>514655292.12</v>
      </c>
      <c r="D64" s="77">
        <f>C64/C72</f>
        <v>0.25214956482351464</v>
      </c>
    </row>
    <row r="65" spans="1:4">
      <c r="A65" s="76">
        <v>272</v>
      </c>
      <c r="B65" s="67">
        <f t="shared" si="0"/>
        <v>1.6252695960756909E-3</v>
      </c>
      <c r="C65" s="45">
        <v>4588034.25</v>
      </c>
      <c r="D65" s="78">
        <f>C65/C72</f>
        <v>2.2478557147783836E-3</v>
      </c>
    </row>
    <row r="66" spans="1:4">
      <c r="A66" s="76">
        <v>165</v>
      </c>
      <c r="B66" s="67">
        <f t="shared" si="0"/>
        <v>9.8591721820768022E-4</v>
      </c>
      <c r="C66" s="45">
        <v>4769926.3500000006</v>
      </c>
      <c r="D66" s="78">
        <f>C66/C72</f>
        <v>2.3369717008802837E-3</v>
      </c>
    </row>
    <row r="67" spans="1:4">
      <c r="A67" s="76">
        <v>291</v>
      </c>
      <c r="B67" s="67">
        <f t="shared" si="0"/>
        <v>1.7387994575662723E-3</v>
      </c>
      <c r="C67" s="45">
        <v>7859081.6799999997</v>
      </c>
      <c r="D67" s="78">
        <f>C67/C72</f>
        <v>3.8504685677309622E-3</v>
      </c>
    </row>
    <row r="68" spans="1:4">
      <c r="A68" s="76">
        <v>18719</v>
      </c>
      <c r="B68" s="66">
        <f t="shared" si="0"/>
        <v>0.11185081459169433</v>
      </c>
      <c r="C68" s="45">
        <v>422264407.25999999</v>
      </c>
      <c r="D68" s="77">
        <f>C68/C72</f>
        <v>0.20688369120324193</v>
      </c>
    </row>
    <row r="69" spans="1:4">
      <c r="A69" s="76">
        <v>21144</v>
      </c>
      <c r="B69" s="66">
        <f t="shared" si="0"/>
        <v>0.12634081007141326</v>
      </c>
      <c r="C69" s="45">
        <v>451598843.05000001</v>
      </c>
      <c r="D69" s="77">
        <f>C69/C72</f>
        <v>0.22125576768247726</v>
      </c>
    </row>
    <row r="70" spans="1:4">
      <c r="A70" s="76">
        <v>9753</v>
      </c>
      <c r="B70" s="66">
        <f t="shared" si="0"/>
        <v>5.8276670479875788E-2</v>
      </c>
      <c r="C70" s="45">
        <v>58518000</v>
      </c>
      <c r="D70" s="77">
        <f>C70/C72</f>
        <v>2.8670235126819606E-2</v>
      </c>
    </row>
    <row r="71" spans="1:4">
      <c r="A71" s="76">
        <v>17481</v>
      </c>
      <c r="B71" s="66">
        <f t="shared" si="0"/>
        <v>0.10445344782720277</v>
      </c>
      <c r="C71" s="45">
        <v>181019721.69</v>
      </c>
      <c r="D71" s="77">
        <f>C71/C72</f>
        <v>8.8688574172797213E-2</v>
      </c>
    </row>
    <row r="72" spans="1:4" ht="15.75" thickBot="1">
      <c r="A72" s="79">
        <f>SUM(A63:A71)</f>
        <v>158500</v>
      </c>
      <c r="B72" s="80">
        <f>SUM(B63:B71)</f>
        <v>0.9470780550661656</v>
      </c>
      <c r="C72" s="81">
        <f>SUM(C63:C71)</f>
        <v>2041071506.4300001</v>
      </c>
      <c r="D72" s="82">
        <f>SUM(D63:D71)</f>
        <v>0.99999999999999989</v>
      </c>
    </row>
  </sheetData>
  <mergeCells count="1">
    <mergeCell ref="A61:D6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AB95"/>
  <sheetViews>
    <sheetView showGridLines="0" zoomScale="115" zoomScaleNormal="115" workbookViewId="0">
      <selection activeCell="G11" sqref="G11"/>
    </sheetView>
  </sheetViews>
  <sheetFormatPr defaultColWidth="11.42578125" defaultRowHeight="15" outlineLevelRow="1"/>
  <cols>
    <col min="1" max="1" width="2.140625" style="1" customWidth="1"/>
    <col min="2" max="2" width="23.28515625" style="1" customWidth="1"/>
    <col min="3" max="3" width="11.28515625" style="1" customWidth="1"/>
    <col min="4" max="4" width="12.140625" style="1" customWidth="1"/>
    <col min="5" max="5" width="16.42578125" style="1" bestFit="1" customWidth="1"/>
    <col min="6" max="6" width="9" style="1" customWidth="1"/>
    <col min="7" max="7" width="11.140625" style="1" customWidth="1"/>
    <col min="8" max="8" width="14.42578125" style="1" bestFit="1" customWidth="1"/>
    <col min="9" max="9" width="18.5703125" style="1" customWidth="1"/>
    <col min="10" max="11" width="10.5703125" style="1" customWidth="1"/>
    <col min="12" max="12" width="11.42578125" style="1" customWidth="1"/>
    <col min="13" max="13" width="20.28515625" style="1" customWidth="1"/>
    <col min="14" max="14" width="19.140625" style="1" customWidth="1"/>
    <col min="15" max="15" width="16" style="1" customWidth="1"/>
    <col min="16" max="16" width="12.140625" style="1" customWidth="1"/>
    <col min="17" max="17" width="15.140625" style="1" customWidth="1"/>
    <col min="18" max="18" width="11.42578125" style="1" customWidth="1"/>
    <col min="19" max="20" width="15.7109375" style="1" customWidth="1"/>
    <col min="21" max="21" width="18.42578125" style="1" bestFit="1" customWidth="1"/>
    <col min="22" max="22" width="19.7109375" style="1" customWidth="1"/>
    <col min="23" max="23" width="11.42578125" style="1"/>
    <col min="24" max="24" width="13.7109375" style="1" bestFit="1" customWidth="1"/>
    <col min="25" max="16384" width="11.42578125" style="1"/>
  </cols>
  <sheetData>
    <row r="2" spans="2:28">
      <c r="B2" s="600" t="s">
        <v>0</v>
      </c>
      <c r="C2" s="600"/>
      <c r="D2" s="600"/>
      <c r="E2" s="600"/>
      <c r="F2" s="600"/>
      <c r="G2" s="600"/>
      <c r="H2" s="600"/>
      <c r="I2" s="600"/>
      <c r="J2" s="600"/>
      <c r="K2" s="600"/>
      <c r="L2" s="600"/>
      <c r="M2" s="600"/>
      <c r="N2" s="600"/>
      <c r="O2" s="22"/>
      <c r="P2" s="22"/>
      <c r="Q2" s="22"/>
      <c r="R2" s="22"/>
      <c r="S2" s="22"/>
      <c r="T2" s="22"/>
      <c r="U2" s="22"/>
      <c r="V2" s="22"/>
      <c r="W2" s="22"/>
      <c r="X2" s="22"/>
      <c r="Y2" s="22"/>
      <c r="Z2" s="22"/>
      <c r="AA2" s="22"/>
      <c r="AB2" s="22"/>
    </row>
    <row r="3" spans="2:28">
      <c r="B3" s="600" t="s">
        <v>74</v>
      </c>
      <c r="C3" s="600"/>
      <c r="D3" s="600"/>
      <c r="E3" s="600"/>
      <c r="F3" s="600"/>
      <c r="G3" s="600"/>
      <c r="H3" s="600"/>
      <c r="I3" s="600"/>
      <c r="J3" s="600"/>
      <c r="K3" s="600"/>
      <c r="L3" s="600"/>
      <c r="M3" s="600"/>
      <c r="N3" s="600"/>
      <c r="O3" s="22"/>
      <c r="P3" s="22"/>
      <c r="Q3" s="22"/>
      <c r="R3" s="22"/>
      <c r="S3" s="22"/>
      <c r="T3" s="22"/>
      <c r="U3" s="22"/>
      <c r="V3" s="22"/>
      <c r="W3" s="22"/>
      <c r="X3" s="22"/>
      <c r="Y3" s="22"/>
      <c r="Z3" s="22"/>
      <c r="AA3" s="22"/>
      <c r="AB3" s="22"/>
    </row>
    <row r="4" spans="2:28" s="269" customFormat="1">
      <c r="B4" s="600" t="s">
        <v>3</v>
      </c>
      <c r="C4" s="600"/>
      <c r="D4" s="600"/>
      <c r="E4" s="600"/>
      <c r="F4" s="600"/>
      <c r="G4" s="600"/>
      <c r="H4" s="600"/>
      <c r="I4" s="600"/>
      <c r="J4" s="600"/>
      <c r="K4" s="600"/>
      <c r="L4" s="600"/>
      <c r="M4" s="600"/>
      <c r="N4" s="600"/>
    </row>
    <row r="5" spans="2:28" s="22" customFormat="1">
      <c r="B5" s="600" t="s">
        <v>4</v>
      </c>
      <c r="C5" s="600"/>
      <c r="D5" s="600"/>
      <c r="E5" s="600"/>
      <c r="F5" s="600"/>
      <c r="G5" s="600"/>
      <c r="H5" s="600"/>
      <c r="I5" s="600"/>
      <c r="J5" s="600"/>
      <c r="K5" s="600"/>
      <c r="L5" s="600"/>
      <c r="M5" s="600"/>
      <c r="N5" s="600"/>
    </row>
    <row r="6" spans="2:28">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row>
    <row r="7" spans="2:28" ht="15.75" thickBot="1">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row>
    <row r="8" spans="2:28" ht="15.75" customHeight="1">
      <c r="B8" s="607" t="s">
        <v>169</v>
      </c>
      <c r="C8" s="608"/>
      <c r="D8" s="608"/>
      <c r="E8" s="608"/>
      <c r="F8" s="608"/>
      <c r="G8" s="608"/>
      <c r="H8" s="608"/>
      <c r="I8" s="608"/>
      <c r="J8" s="608"/>
      <c r="K8" s="608"/>
      <c r="L8" s="608"/>
      <c r="M8" s="608"/>
      <c r="N8" s="609"/>
      <c r="O8"/>
      <c r="P8" s="96"/>
      <c r="Q8" s="96"/>
      <c r="R8"/>
      <c r="S8"/>
      <c r="T8"/>
    </row>
    <row r="9" spans="2:28" ht="31.5" customHeight="1">
      <c r="B9" s="439"/>
      <c r="C9" s="603" t="s">
        <v>170</v>
      </c>
      <c r="D9" s="604"/>
      <c r="E9" s="604"/>
      <c r="F9" s="605"/>
      <c r="G9" s="603" t="s">
        <v>171</v>
      </c>
      <c r="H9" s="604"/>
      <c r="I9" s="604"/>
      <c r="J9" s="605"/>
      <c r="K9" s="606" t="s">
        <v>172</v>
      </c>
      <c r="L9" s="606"/>
      <c r="M9" s="606"/>
      <c r="N9" s="606"/>
      <c r="O9" s="271"/>
      <c r="P9"/>
      <c r="Q9"/>
      <c r="R9"/>
    </row>
    <row r="10" spans="2:28" ht="24">
      <c r="B10" s="440" t="s">
        <v>173</v>
      </c>
      <c r="C10" s="294" t="s">
        <v>168</v>
      </c>
      <c r="D10" s="272" t="s">
        <v>61</v>
      </c>
      <c r="E10" s="272" t="s">
        <v>9</v>
      </c>
      <c r="F10" s="295" t="s">
        <v>61</v>
      </c>
      <c r="G10" s="294" t="s">
        <v>168</v>
      </c>
      <c r="H10" s="272" t="s">
        <v>61</v>
      </c>
      <c r="I10" s="272" t="s">
        <v>9</v>
      </c>
      <c r="J10" s="416" t="s">
        <v>61</v>
      </c>
      <c r="K10" s="303" t="s">
        <v>174</v>
      </c>
      <c r="L10" s="304" t="s">
        <v>175</v>
      </c>
      <c r="M10" s="304" t="s">
        <v>176</v>
      </c>
      <c r="N10" s="441" t="s">
        <v>177</v>
      </c>
      <c r="O10"/>
      <c r="P10"/>
      <c r="Q10"/>
      <c r="R10"/>
    </row>
    <row r="11" spans="2:28">
      <c r="B11" s="526" t="s">
        <v>178</v>
      </c>
      <c r="C11" s="531">
        <v>38907</v>
      </c>
      <c r="D11" s="534">
        <v>0.1603</v>
      </c>
      <c r="E11" s="532">
        <v>3142417219.7599998</v>
      </c>
      <c r="F11" s="533">
        <f>E11/E20</f>
        <v>0.21240819080124471</v>
      </c>
      <c r="G11" s="540">
        <v>161576</v>
      </c>
      <c r="H11" s="534">
        <v>0.1555</v>
      </c>
      <c r="I11" s="525">
        <v>3471374119.0999999</v>
      </c>
      <c r="J11" s="535">
        <v>0.21709999999999999</v>
      </c>
      <c r="K11" s="536">
        <f t="shared" ref="K11:K20" si="0">+G11-C11</f>
        <v>122669</v>
      </c>
      <c r="L11" s="537">
        <f>+(G11-C11)/C11</f>
        <v>3.1528773742514202</v>
      </c>
      <c r="M11" s="532">
        <f t="shared" ref="M11:M20" si="1">+I11-E11</f>
        <v>328956899.34000015</v>
      </c>
      <c r="N11" s="533">
        <f>+M11/$M$20</f>
        <v>0.25487204592459212</v>
      </c>
      <c r="O11"/>
      <c r="P11"/>
      <c r="Q11"/>
      <c r="R11"/>
    </row>
    <row r="12" spans="2:28">
      <c r="B12" s="527" t="s">
        <v>130</v>
      </c>
      <c r="C12" s="531">
        <v>77731</v>
      </c>
      <c r="D12" s="534">
        <v>0.32029999999999997</v>
      </c>
      <c r="E12" s="532">
        <v>3135878609.9000001</v>
      </c>
      <c r="F12" s="533">
        <f>E12/E20</f>
        <v>0.21196622075284235</v>
      </c>
      <c r="G12" s="540">
        <v>332221</v>
      </c>
      <c r="H12" s="534">
        <v>0.32229999999999998</v>
      </c>
      <c r="I12" s="525">
        <v>3380060358.48</v>
      </c>
      <c r="J12" s="535">
        <v>0.2104</v>
      </c>
      <c r="K12" s="536">
        <f t="shared" si="0"/>
        <v>254490</v>
      </c>
      <c r="L12" s="537">
        <f t="shared" ref="L12:L19" si="2">+(G12-C12)/C12</f>
        <v>3.2739833528450681</v>
      </c>
      <c r="M12" s="532">
        <f t="shared" si="1"/>
        <v>244181748.57999992</v>
      </c>
      <c r="N12" s="533">
        <f t="shared" ref="N12:N19" si="3">+M12/$M$20</f>
        <v>0.18918922802012608</v>
      </c>
      <c r="O12"/>
      <c r="P12"/>
    </row>
    <row r="13" spans="2:28">
      <c r="B13" s="527" t="s">
        <v>179</v>
      </c>
      <c r="C13" s="531">
        <v>252</v>
      </c>
      <c r="D13" s="534">
        <v>1E-3</v>
      </c>
      <c r="E13" s="532">
        <v>30255531.440000001</v>
      </c>
      <c r="F13" s="533">
        <f>E13/E20</f>
        <v>2.0450889380600455E-3</v>
      </c>
      <c r="G13" s="541">
        <v>971</v>
      </c>
      <c r="H13" s="534">
        <v>8.9999999999999998E-4</v>
      </c>
      <c r="I13" s="525">
        <v>29077500</v>
      </c>
      <c r="J13" s="535">
        <v>1.8E-3</v>
      </c>
      <c r="K13" s="536">
        <f t="shared" si="0"/>
        <v>719</v>
      </c>
      <c r="L13" s="537">
        <f t="shared" si="2"/>
        <v>2.8531746031746033</v>
      </c>
      <c r="M13" s="532">
        <f t="shared" si="1"/>
        <v>-1178031.4400000013</v>
      </c>
      <c r="N13" s="533">
        <f t="shared" si="3"/>
        <v>-9.127252958630517E-4</v>
      </c>
      <c r="O13"/>
      <c r="P13"/>
      <c r="Q13"/>
      <c r="R13"/>
    </row>
    <row r="14" spans="2:28">
      <c r="B14" s="527" t="s">
        <v>180</v>
      </c>
      <c r="C14" s="531">
        <v>175</v>
      </c>
      <c r="D14" s="534">
        <v>6.9999999999999999E-4</v>
      </c>
      <c r="E14" s="532">
        <v>34724151.780000001</v>
      </c>
      <c r="F14" s="533">
        <f>E14/E20</f>
        <v>2.3471403511660161E-3</v>
      </c>
      <c r="G14" s="541">
        <v>739</v>
      </c>
      <c r="H14" s="538">
        <v>6.9999999999999999E-4</v>
      </c>
      <c r="I14" s="525">
        <v>36856370.640000001</v>
      </c>
      <c r="J14" s="539">
        <v>2.3E-3</v>
      </c>
      <c r="K14" s="536">
        <f t="shared" si="0"/>
        <v>564</v>
      </c>
      <c r="L14" s="537">
        <f t="shared" si="2"/>
        <v>3.2228571428571429</v>
      </c>
      <c r="M14" s="532">
        <f t="shared" si="1"/>
        <v>2132218.8599999994</v>
      </c>
      <c r="N14" s="533">
        <f t="shared" si="3"/>
        <v>1.6520188033676555E-3</v>
      </c>
      <c r="O14"/>
      <c r="P14"/>
      <c r="Q14"/>
      <c r="R14"/>
    </row>
    <row r="15" spans="2:28">
      <c r="B15" s="527" t="s">
        <v>181</v>
      </c>
      <c r="C15" s="531">
        <v>225</v>
      </c>
      <c r="D15" s="534">
        <v>8.9999999999999998E-4</v>
      </c>
      <c r="E15" s="532">
        <v>28927995.449999999</v>
      </c>
      <c r="F15" s="533">
        <f>E15/E20</f>
        <v>1.9553556219089278E-3</v>
      </c>
      <c r="G15" s="541">
        <v>838</v>
      </c>
      <c r="H15" s="538">
        <v>8.0000000000000004E-4</v>
      </c>
      <c r="I15" s="525">
        <v>27692036.640000001</v>
      </c>
      <c r="J15" s="539">
        <v>1.6999999999999999E-3</v>
      </c>
      <c r="K15" s="536">
        <f t="shared" si="0"/>
        <v>613</v>
      </c>
      <c r="L15" s="537">
        <f t="shared" si="2"/>
        <v>2.7244444444444444</v>
      </c>
      <c r="M15" s="532">
        <f t="shared" si="1"/>
        <v>-1235958.8099999987</v>
      </c>
      <c r="N15" s="533">
        <f t="shared" si="3"/>
        <v>-9.5760676008086235E-4</v>
      </c>
      <c r="O15"/>
      <c r="P15"/>
      <c r="Q15"/>
      <c r="R15"/>
    </row>
    <row r="16" spans="2:28">
      <c r="B16" s="527" t="s">
        <v>182</v>
      </c>
      <c r="C16" s="531">
        <v>27406</v>
      </c>
      <c r="D16" s="534">
        <v>0.1129</v>
      </c>
      <c r="E16" s="532">
        <v>3178882260.9400001</v>
      </c>
      <c r="F16" s="533">
        <f>E16/E20</f>
        <v>0.21487300463176728</v>
      </c>
      <c r="G16" s="540">
        <v>114089</v>
      </c>
      <c r="H16" s="538">
        <v>0.1099</v>
      </c>
      <c r="I16" s="525">
        <v>3402146053.5</v>
      </c>
      <c r="J16" s="539">
        <v>0.2107</v>
      </c>
      <c r="K16" s="536">
        <f t="shared" si="0"/>
        <v>86683</v>
      </c>
      <c r="L16" s="537">
        <f t="shared" si="2"/>
        <v>3.1629205283514561</v>
      </c>
      <c r="M16" s="532">
        <f t="shared" si="1"/>
        <v>223263792.55999994</v>
      </c>
      <c r="N16" s="533">
        <f t="shared" si="3"/>
        <v>0.1729822347694156</v>
      </c>
      <c r="O16"/>
      <c r="P16"/>
      <c r="Q16"/>
      <c r="R16"/>
    </row>
    <row r="17" spans="2:28">
      <c r="B17" s="527" t="s">
        <v>183</v>
      </c>
      <c r="C17" s="531">
        <v>25526</v>
      </c>
      <c r="D17" s="534">
        <v>0.1052</v>
      </c>
      <c r="E17" s="532">
        <v>3010977548.8899999</v>
      </c>
      <c r="F17" s="533">
        <f>E17/E20</f>
        <v>0.20352367269414878</v>
      </c>
      <c r="G17" s="540">
        <v>106139</v>
      </c>
      <c r="H17" s="538">
        <v>0.1016</v>
      </c>
      <c r="I17" s="525">
        <v>3286350398.3600001</v>
      </c>
      <c r="J17" s="539">
        <v>0.2026</v>
      </c>
      <c r="K17" s="536">
        <f t="shared" si="0"/>
        <v>80613</v>
      </c>
      <c r="L17" s="537">
        <f t="shared" si="2"/>
        <v>3.1580741205045837</v>
      </c>
      <c r="M17" s="532">
        <f t="shared" si="1"/>
        <v>275372849.47000027</v>
      </c>
      <c r="N17" s="533">
        <f t="shared" si="3"/>
        <v>0.2133557365032272</v>
      </c>
      <c r="O17"/>
      <c r="P17"/>
      <c r="Q17"/>
      <c r="R17"/>
      <c r="S17"/>
      <c r="T17"/>
    </row>
    <row r="18" spans="2:28">
      <c r="B18" s="527" t="s">
        <v>184</v>
      </c>
      <c r="C18" s="531">
        <v>51921</v>
      </c>
      <c r="D18" s="534">
        <v>0.21390000000000001</v>
      </c>
      <c r="E18" s="532">
        <v>1202430000</v>
      </c>
      <c r="F18" s="533">
        <f>E18/E20</f>
        <v>8.1276916145669273E-2</v>
      </c>
      <c r="G18" s="540">
        <v>231313</v>
      </c>
      <c r="H18" s="538">
        <v>0.22700000000000001</v>
      </c>
      <c r="I18" s="525">
        <v>1369938500</v>
      </c>
      <c r="J18" s="539">
        <v>8.6699999999999999E-2</v>
      </c>
      <c r="K18" s="536">
        <f t="shared" si="0"/>
        <v>179392</v>
      </c>
      <c r="L18" s="537">
        <f t="shared" si="2"/>
        <v>3.4550952408466711</v>
      </c>
      <c r="M18" s="532">
        <f t="shared" si="1"/>
        <v>167508500</v>
      </c>
      <c r="N18" s="533">
        <f t="shared" si="3"/>
        <v>0.12978367132720653</v>
      </c>
      <c r="O18"/>
      <c r="P18"/>
      <c r="Q18"/>
      <c r="R18"/>
      <c r="S18"/>
      <c r="T18"/>
    </row>
    <row r="19" spans="2:28">
      <c r="B19" s="527" t="s">
        <v>185</v>
      </c>
      <c r="C19" s="531">
        <v>20537</v>
      </c>
      <c r="D19" s="534">
        <v>8.4599999999999995E-2</v>
      </c>
      <c r="E19" s="532">
        <v>1029744172.9</v>
      </c>
      <c r="F19" s="533">
        <f>E19/E20</f>
        <v>6.9604410063192748E-2</v>
      </c>
      <c r="G19" s="540">
        <v>84537</v>
      </c>
      <c r="H19" s="538">
        <v>8.1199999999999994E-2</v>
      </c>
      <c r="I19" s="525">
        <v>1081416846.21</v>
      </c>
      <c r="J19" s="539">
        <v>6.6699999999999995E-2</v>
      </c>
      <c r="K19" s="536">
        <f t="shared" si="0"/>
        <v>64000</v>
      </c>
      <c r="L19" s="537">
        <f t="shared" si="2"/>
        <v>3.1163266299849055</v>
      </c>
      <c r="M19" s="532">
        <f t="shared" si="1"/>
        <v>51672673.310000062</v>
      </c>
      <c r="N19" s="533">
        <f t="shared" si="3"/>
        <v>4.0035396708006848E-2</v>
      </c>
      <c r="O19"/>
      <c r="P19"/>
      <c r="Q19"/>
      <c r="R19"/>
      <c r="S19"/>
      <c r="T19"/>
    </row>
    <row r="20" spans="2:28" ht="15.75" thickBot="1">
      <c r="B20" s="442" t="s">
        <v>186</v>
      </c>
      <c r="C20" s="443">
        <f>SUM(C11:C19)</f>
        <v>242680</v>
      </c>
      <c r="D20" s="449">
        <f t="shared" ref="D20:J20" si="4">SUM(D11:D19)</f>
        <v>0.99979999999999991</v>
      </c>
      <c r="E20" s="444">
        <f>SUM(E11:E19)</f>
        <v>14794237491.059998</v>
      </c>
      <c r="F20" s="451">
        <f t="shared" si="4"/>
        <v>1</v>
      </c>
      <c r="G20" s="445">
        <f>+SUM(G11:G19)</f>
        <v>1032423</v>
      </c>
      <c r="H20" s="449">
        <f>SUM(H11:H19)</f>
        <v>0.99990000000000001</v>
      </c>
      <c r="I20" s="446">
        <f>SUM(I11:I19)</f>
        <v>16084912182.93</v>
      </c>
      <c r="J20" s="449">
        <f t="shared" si="4"/>
        <v>1</v>
      </c>
      <c r="K20" s="447">
        <f t="shared" si="0"/>
        <v>789743</v>
      </c>
      <c r="L20" s="450">
        <f>+(G20-C20)/C20</f>
        <v>3.2542566342508654</v>
      </c>
      <c r="M20" s="444">
        <f t="shared" si="1"/>
        <v>1290674691.8700027</v>
      </c>
      <c r="N20" s="448">
        <f>+(I20-E20)/E20</f>
        <v>8.7241717773555008E-2</v>
      </c>
      <c r="O20"/>
      <c r="P20"/>
      <c r="Q20"/>
      <c r="R20"/>
      <c r="S20"/>
      <c r="T20"/>
    </row>
    <row r="21" spans="2:28" ht="14.25" customHeight="1">
      <c r="B21" s="106"/>
      <c r="I21" s="65"/>
      <c r="K21" s="275"/>
      <c r="L21" s="275"/>
      <c r="M21" s="275"/>
      <c r="N21" s="275"/>
      <c r="O21" s="275"/>
      <c r="P21" s="275"/>
      <c r="Q21" s="275"/>
      <c r="R21" s="275"/>
      <c r="S21" s="275"/>
      <c r="T21" s="275"/>
      <c r="U21" s="275"/>
      <c r="V21" s="275"/>
      <c r="W21"/>
      <c r="X21"/>
      <c r="Y21"/>
      <c r="Z21"/>
      <c r="AA21"/>
      <c r="AB21"/>
    </row>
    <row r="22" spans="2:28">
      <c r="B22" s="601" t="s">
        <v>187</v>
      </c>
      <c r="C22" s="601"/>
      <c r="D22" s="601"/>
      <c r="E22" s="601"/>
      <c r="F22" s="601"/>
      <c r="G22" s="601"/>
      <c r="H22" s="601"/>
      <c r="I22" s="601"/>
      <c r="J22" s="601"/>
      <c r="K22"/>
      <c r="L22"/>
      <c r="M22"/>
      <c r="N22"/>
      <c r="O22"/>
      <c r="P22"/>
      <c r="Q22"/>
      <c r="R22"/>
      <c r="S22"/>
      <c r="T22"/>
      <c r="U22"/>
      <c r="V22"/>
      <c r="W22"/>
      <c r="X22"/>
      <c r="Y22"/>
      <c r="Z22"/>
      <c r="AA22"/>
      <c r="AB22"/>
    </row>
    <row r="23" spans="2:28">
      <c r="B23"/>
      <c r="C23" s="276"/>
      <c r="D23"/>
      <c r="E23"/>
      <c r="F23"/>
      <c r="G23" s="273"/>
      <c r="H23"/>
      <c r="I23" s="203"/>
      <c r="J23"/>
      <c r="K23"/>
      <c r="L23"/>
      <c r="M23"/>
      <c r="N23"/>
      <c r="O23"/>
      <c r="P23"/>
      <c r="Q23"/>
      <c r="R23"/>
      <c r="S23"/>
      <c r="T23"/>
      <c r="U23"/>
      <c r="V23"/>
      <c r="W23"/>
      <c r="X23"/>
      <c r="Y23"/>
      <c r="Z23"/>
      <c r="AA23"/>
      <c r="AB23"/>
    </row>
    <row r="24" spans="2:28">
      <c r="B24"/>
      <c r="C24" s="276"/>
      <c r="D24" s="64"/>
      <c r="E24"/>
      <c r="F24"/>
      <c r="G24" s="64"/>
      <c r="H24" s="64"/>
      <c r="I24" s="64"/>
      <c r="J24"/>
      <c r="K24"/>
      <c r="L24"/>
      <c r="M24"/>
      <c r="N24"/>
      <c r="O24"/>
      <c r="P24"/>
      <c r="Q24"/>
      <c r="R24"/>
      <c r="S24"/>
      <c r="T24"/>
      <c r="U24"/>
      <c r="V24"/>
      <c r="W24"/>
      <c r="X24"/>
      <c r="Y24"/>
      <c r="Z24"/>
      <c r="AA24"/>
      <c r="AB24"/>
    </row>
    <row r="25" spans="2:28">
      <c r="B25"/>
      <c r="C25" s="276"/>
      <c r="D25"/>
      <c r="E25"/>
      <c r="F25"/>
      <c r="G25"/>
      <c r="H25" s="64"/>
      <c r="I25" s="276"/>
      <c r="J25"/>
      <c r="K25"/>
      <c r="L25"/>
      <c r="M25"/>
      <c r="N25"/>
      <c r="O25"/>
      <c r="P25"/>
      <c r="Q25"/>
      <c r="R25"/>
      <c r="S25"/>
      <c r="T25"/>
      <c r="U25"/>
      <c r="V25"/>
      <c r="W25"/>
      <c r="X25"/>
      <c r="Y25"/>
      <c r="Z25"/>
      <c r="AA25"/>
      <c r="AB25"/>
    </row>
    <row r="26" spans="2:28" hidden="1" outlineLevel="1">
      <c r="B26" s="429" t="s">
        <v>130</v>
      </c>
      <c r="C26" s="361">
        <v>71175</v>
      </c>
      <c r="D26" s="246">
        <v>0.30385112895582794</v>
      </c>
      <c r="E26" s="300">
        <v>2186333244.48</v>
      </c>
      <c r="F26" s="425">
        <f t="shared" ref="F26:F33" si="5">+E26/$E$20</f>
        <v>0.14778275972662858</v>
      </c>
      <c r="G26" s="426">
        <v>80555</v>
      </c>
      <c r="H26" s="427">
        <f t="shared" ref="H26:H33" si="6">+G26/$G$20</f>
        <v>7.8025189287724117E-2</v>
      </c>
      <c r="I26" s="417">
        <v>2466031697.7800002</v>
      </c>
      <c r="J26" s="428">
        <f t="shared" ref="J26:J33" si="7">+I26/$I$20</f>
        <v>0.15331334543418018</v>
      </c>
      <c r="K26"/>
      <c r="L26"/>
      <c r="M26"/>
      <c r="N26"/>
      <c r="O26"/>
      <c r="P26"/>
      <c r="Q26"/>
      <c r="R26"/>
      <c r="S26"/>
      <c r="T26"/>
      <c r="U26"/>
      <c r="V26"/>
      <c r="W26"/>
      <c r="X26"/>
      <c r="Y26"/>
      <c r="Z26"/>
      <c r="AA26"/>
      <c r="AB26"/>
    </row>
    <row r="27" spans="2:28" hidden="1" outlineLevel="1">
      <c r="B27" s="429" t="s">
        <v>179</v>
      </c>
      <c r="C27" s="361">
        <v>252</v>
      </c>
      <c r="D27" s="246">
        <v>1.0758058938794329E-3</v>
      </c>
      <c r="E27" s="430">
        <v>22670663.25</v>
      </c>
      <c r="F27" s="425">
        <f t="shared" si="5"/>
        <v>1.5323982235447853E-3</v>
      </c>
      <c r="G27" s="426">
        <v>245</v>
      </c>
      <c r="H27" s="427">
        <f t="shared" si="6"/>
        <v>2.373058329773746E-4</v>
      </c>
      <c r="I27" s="417">
        <v>22110000</v>
      </c>
      <c r="J27" s="428">
        <f t="shared" si="7"/>
        <v>1.3745800877585194E-3</v>
      </c>
      <c r="K27" s="422"/>
      <c r="L27" s="422"/>
      <c r="M27" s="422"/>
      <c r="N27" s="422"/>
      <c r="O27"/>
      <c r="P27"/>
      <c r="Q27"/>
      <c r="R27"/>
      <c r="S27"/>
    </row>
    <row r="28" spans="2:28" hidden="1" outlineLevel="1">
      <c r="B28" s="429" t="s">
        <v>180</v>
      </c>
      <c r="C28" s="361">
        <v>174</v>
      </c>
      <c r="D28" s="246">
        <v>7.4281835529770371E-4</v>
      </c>
      <c r="E28" s="430">
        <v>25511201.280000001</v>
      </c>
      <c r="F28" s="425">
        <f t="shared" si="5"/>
        <v>1.7244012268571565E-3</v>
      </c>
      <c r="G28" s="426">
        <v>184</v>
      </c>
      <c r="H28" s="427">
        <f t="shared" si="6"/>
        <v>1.7822152354219153E-4</v>
      </c>
      <c r="I28" s="417">
        <v>27650000</v>
      </c>
      <c r="J28" s="428">
        <f t="shared" si="7"/>
        <v>1.7190022354827256E-3</v>
      </c>
      <c r="K28" s="423" t="s">
        <v>172</v>
      </c>
      <c r="L28" s="413"/>
      <c r="M28" s="413"/>
      <c r="N28" s="424"/>
      <c r="O28"/>
      <c r="P28"/>
      <c r="Q28"/>
      <c r="R28"/>
      <c r="S28"/>
      <c r="T28"/>
    </row>
    <row r="29" spans="2:28" ht="36" hidden="1" outlineLevel="1">
      <c r="B29" s="429" t="s">
        <v>181</v>
      </c>
      <c r="C29" s="361">
        <v>227</v>
      </c>
      <c r="D29" s="246">
        <v>9.6907911869298119E-4</v>
      </c>
      <c r="E29" s="301">
        <v>21655007.200000003</v>
      </c>
      <c r="F29" s="425">
        <f t="shared" si="5"/>
        <v>1.4637460844525376E-3</v>
      </c>
      <c r="G29" s="426">
        <v>218</v>
      </c>
      <c r="H29" s="427">
        <f t="shared" si="6"/>
        <v>2.1115376158803125E-4</v>
      </c>
      <c r="I29" s="417">
        <v>21471881.899999999</v>
      </c>
      <c r="J29" s="428">
        <f t="shared" si="7"/>
        <v>1.3349082454293336E-3</v>
      </c>
      <c r="K29" s="303" t="s">
        <v>188</v>
      </c>
      <c r="L29" s="304" t="s">
        <v>189</v>
      </c>
      <c r="M29" s="304" t="s">
        <v>190</v>
      </c>
      <c r="N29" s="305" t="s">
        <v>189</v>
      </c>
      <c r="O29"/>
      <c r="P29"/>
      <c r="Q29"/>
      <c r="R29"/>
      <c r="S29"/>
      <c r="T29"/>
    </row>
    <row r="30" spans="2:28" hidden="1" outlineLevel="1">
      <c r="B30" s="429" t="s">
        <v>182</v>
      </c>
      <c r="C30" s="361">
        <v>34800</v>
      </c>
      <c r="D30" s="246">
        <v>0.14856367105954074</v>
      </c>
      <c r="E30" s="301">
        <v>3057359275.0799999</v>
      </c>
      <c r="F30" s="425">
        <f t="shared" si="5"/>
        <v>0.20665879379910793</v>
      </c>
      <c r="G30" s="426">
        <v>27887</v>
      </c>
      <c r="H30" s="427">
        <f t="shared" si="6"/>
        <v>2.701121536424508E-2</v>
      </c>
      <c r="I30" s="417">
        <v>2474293768.6300001</v>
      </c>
      <c r="J30" s="428">
        <f t="shared" si="7"/>
        <v>0.15382699889750265</v>
      </c>
      <c r="K30" s="361">
        <f t="shared" ref="K30:K42" si="8">+G30-C30</f>
        <v>-6913</v>
      </c>
      <c r="L30" s="246">
        <f>+K30/$K$43</f>
        <v>-0.40490833479763372</v>
      </c>
      <c r="M30" s="301">
        <f t="shared" ref="M30:M42" si="9">+I30-E30</f>
        <v>-583065506.44999981</v>
      </c>
      <c r="N30" s="308">
        <f>+M30/$M$43</f>
        <v>-0.64492103774340903</v>
      </c>
      <c r="O30"/>
      <c r="P30"/>
      <c r="Q30"/>
      <c r="R30"/>
      <c r="S30"/>
      <c r="T30"/>
    </row>
    <row r="31" spans="2:28" hidden="1" outlineLevel="1">
      <c r="B31" s="429" t="s">
        <v>183</v>
      </c>
      <c r="C31" s="361">
        <v>25549</v>
      </c>
      <c r="D31" s="246">
        <v>0.10907049516954616</v>
      </c>
      <c r="E31" s="301">
        <v>2219834206.0099998</v>
      </c>
      <c r="F31" s="425">
        <f t="shared" si="5"/>
        <v>0.15004721989568048</v>
      </c>
      <c r="G31" s="426">
        <v>26556</v>
      </c>
      <c r="H31" s="427">
        <f t="shared" si="6"/>
        <v>2.5722015104274121E-2</v>
      </c>
      <c r="I31" s="417">
        <v>2373694130.3299999</v>
      </c>
      <c r="J31" s="428">
        <f t="shared" si="7"/>
        <v>0.14757271307014447</v>
      </c>
      <c r="K31" s="361">
        <f t="shared" si="8"/>
        <v>1007</v>
      </c>
      <c r="L31" s="246">
        <f t="shared" ref="L31:L42" si="10">+K31/$K$43</f>
        <v>5.898201839161249E-2</v>
      </c>
      <c r="M31" s="301">
        <f t="shared" si="9"/>
        <v>153859924.32000017</v>
      </c>
      <c r="N31" s="308">
        <f t="shared" ref="N31:N42" si="11">+M31/$M$43</f>
        <v>0.17018242540829509</v>
      </c>
      <c r="O31"/>
      <c r="P31"/>
      <c r="Q31"/>
      <c r="R31"/>
      <c r="S31"/>
      <c r="T31"/>
    </row>
    <row r="32" spans="2:28" hidden="1" outlineLevel="1">
      <c r="B32" s="429" t="s">
        <v>184</v>
      </c>
      <c r="C32" s="361">
        <v>48335</v>
      </c>
      <c r="D32" s="246">
        <v>0.20634554714548567</v>
      </c>
      <c r="E32" s="301">
        <v>865128000</v>
      </c>
      <c r="F32" s="425">
        <f t="shared" si="5"/>
        <v>5.847736326544628E-2</v>
      </c>
      <c r="G32" s="426">
        <v>55224</v>
      </c>
      <c r="H32" s="427">
        <f t="shared" si="6"/>
        <v>5.3489703348336873E-2</v>
      </c>
      <c r="I32" s="417">
        <v>956988000</v>
      </c>
      <c r="J32" s="428">
        <f t="shared" si="7"/>
        <v>5.9496004026406611E-2</v>
      </c>
      <c r="K32" s="361">
        <f t="shared" si="8"/>
        <v>6889</v>
      </c>
      <c r="L32" s="246">
        <f t="shared" si="10"/>
        <v>0.40350260645463598</v>
      </c>
      <c r="M32" s="301">
        <f t="shared" si="9"/>
        <v>91860000</v>
      </c>
      <c r="N32" s="308">
        <f t="shared" si="11"/>
        <v>0.10160512990694268</v>
      </c>
      <c r="O32"/>
      <c r="P32"/>
      <c r="Q32"/>
      <c r="R32"/>
      <c r="S32"/>
      <c r="T32"/>
    </row>
    <row r="33" spans="2:28" hidden="1" outlineLevel="1">
      <c r="B33" s="429" t="s">
        <v>185</v>
      </c>
      <c r="C33" s="361">
        <v>20082</v>
      </c>
      <c r="D33" s="246">
        <v>8.5731483971772909E-2</v>
      </c>
      <c r="E33" s="301">
        <v>757504394.19000006</v>
      </c>
      <c r="F33" s="425">
        <f t="shared" si="5"/>
        <v>5.1202665541076518E-2</v>
      </c>
      <c r="G33" s="426">
        <v>20917</v>
      </c>
      <c r="H33" s="427">
        <f t="shared" si="6"/>
        <v>2.0260106564847936E-2</v>
      </c>
      <c r="I33" s="417">
        <v>798269425.39999998</v>
      </c>
      <c r="J33" s="428">
        <f t="shared" si="7"/>
        <v>4.962846028137833E-2</v>
      </c>
      <c r="K33" s="361">
        <f t="shared" si="8"/>
        <v>835</v>
      </c>
      <c r="L33" s="246">
        <f t="shared" si="10"/>
        <v>4.890763193346219E-2</v>
      </c>
      <c r="M33" s="301">
        <f t="shared" si="9"/>
        <v>40765031.209999919</v>
      </c>
      <c r="N33" s="308">
        <f t="shared" si="11"/>
        <v>4.5089661351541632E-2</v>
      </c>
      <c r="O33"/>
      <c r="P33"/>
      <c r="Q33"/>
      <c r="R33"/>
      <c r="S33"/>
      <c r="T33"/>
    </row>
    <row r="34" spans="2:28" hidden="1" outlineLevel="1">
      <c r="B34" s="274" t="s">
        <v>186</v>
      </c>
      <c r="C34" s="362">
        <f>SUM(C26:C33)</f>
        <v>200594</v>
      </c>
      <c r="D34" s="296">
        <f>SUM(D26:D33)</f>
        <v>0.85635002967004359</v>
      </c>
      <c r="E34" s="302">
        <f>SUM(E26:E33)</f>
        <v>9155995991.4899998</v>
      </c>
      <c r="F34" s="298">
        <f>SUM(F26:F33)</f>
        <v>0.61888934776279425</v>
      </c>
      <c r="G34" s="431">
        <f>+SUM(G26:G33)</f>
        <v>211786</v>
      </c>
      <c r="H34" s="296">
        <f>SUM(H26:H33)</f>
        <v>0.20513491078753576</v>
      </c>
      <c r="I34" s="297">
        <v>11628460230.029999</v>
      </c>
      <c r="J34" s="296">
        <f>SUM(J26:J33)</f>
        <v>0.56826601227828277</v>
      </c>
      <c r="K34" s="361">
        <f t="shared" si="8"/>
        <v>11192</v>
      </c>
      <c r="L34" s="246">
        <f t="shared" si="10"/>
        <v>0.65553798395126806</v>
      </c>
      <c r="M34" s="301">
        <f t="shared" si="9"/>
        <v>2472464238.539999</v>
      </c>
      <c r="N34" s="308">
        <f t="shared" si="11"/>
        <v>2.7347599624115686</v>
      </c>
      <c r="O34"/>
      <c r="P34"/>
      <c r="Q34"/>
      <c r="R34"/>
      <c r="S34"/>
      <c r="T34"/>
    </row>
    <row r="35" spans="2:28" hidden="1" outlineLevel="1">
      <c r="B35" s="278" t="s">
        <v>191</v>
      </c>
      <c r="C35" s="361">
        <v>5287</v>
      </c>
      <c r="D35" s="246">
        <f t="shared" ref="D35:D42" si="12">+C35/$C$43</f>
        <v>1.5357444744279809E-2</v>
      </c>
      <c r="E35" s="301">
        <v>520806968.96000004</v>
      </c>
      <c r="F35" s="246">
        <f t="shared" ref="F35:F42" si="13">+E35/$E$43</f>
        <v>2.8426738700327751E-2</v>
      </c>
      <c r="G35" s="361">
        <v>6429</v>
      </c>
      <c r="H35" s="246">
        <f t="shared" ref="H35:H42" si="14">+G35/$G$43</f>
        <v>1.7792304115836783E-2</v>
      </c>
      <c r="I35" s="322">
        <v>211750514.68000001</v>
      </c>
      <c r="J35" s="248">
        <f t="shared" ref="J35:J42" si="15">+I35/$I$43</f>
        <v>1.1014266635297604E-2</v>
      </c>
      <c r="K35" s="361">
        <f t="shared" si="8"/>
        <v>1142</v>
      </c>
      <c r="L35" s="246">
        <f t="shared" si="10"/>
        <v>6.6889240320974638E-2</v>
      </c>
      <c r="M35" s="301">
        <f t="shared" si="9"/>
        <v>-309056454.28000003</v>
      </c>
      <c r="N35" s="308">
        <f t="shared" si="11"/>
        <v>-0.34184325262027532</v>
      </c>
      <c r="O35"/>
      <c r="P35"/>
      <c r="Q35"/>
      <c r="R35"/>
      <c r="S35"/>
      <c r="T35"/>
    </row>
    <row r="36" spans="2:28" hidden="1" outlineLevel="1">
      <c r="B36" s="278" t="s">
        <v>192</v>
      </c>
      <c r="C36" s="361">
        <v>2359</v>
      </c>
      <c r="D36" s="246">
        <f t="shared" si="12"/>
        <v>6.8523193023938096E-3</v>
      </c>
      <c r="E36" s="301">
        <v>299811581.82999998</v>
      </c>
      <c r="F36" s="246">
        <f t="shared" si="13"/>
        <v>1.6364346108947544E-2</v>
      </c>
      <c r="G36" s="361">
        <v>3368</v>
      </c>
      <c r="H36" s="246">
        <f t="shared" si="14"/>
        <v>9.3209644209267823E-3</v>
      </c>
      <c r="I36" s="322">
        <v>143662880.87</v>
      </c>
      <c r="J36" s="248">
        <f t="shared" si="15"/>
        <v>7.4726679077424165E-3</v>
      </c>
      <c r="K36" s="361">
        <f t="shared" si="8"/>
        <v>1009</v>
      </c>
      <c r="L36" s="246">
        <f t="shared" si="10"/>
        <v>5.9099162420195632E-2</v>
      </c>
      <c r="M36" s="301">
        <f t="shared" si="9"/>
        <v>-156148700.95999998</v>
      </c>
      <c r="N36" s="308">
        <f t="shared" si="11"/>
        <v>-0.1727140109497185</v>
      </c>
      <c r="O36"/>
      <c r="P36"/>
      <c r="Q36"/>
      <c r="R36"/>
      <c r="S36"/>
      <c r="T36"/>
    </row>
    <row r="37" spans="2:28" hidden="1" outlineLevel="1">
      <c r="B37" s="278" t="s">
        <v>193</v>
      </c>
      <c r="C37" s="361">
        <v>3692</v>
      </c>
      <c r="D37" s="246">
        <f t="shared" si="12"/>
        <v>1.0724358992979206E-2</v>
      </c>
      <c r="E37" s="301">
        <v>560892803.09000003</v>
      </c>
      <c r="F37" s="246">
        <f t="shared" si="13"/>
        <v>3.0614707756643714E-2</v>
      </c>
      <c r="G37" s="361">
        <v>4433</v>
      </c>
      <c r="H37" s="246">
        <f t="shared" si="14"/>
        <v>1.2268359643102265E-2</v>
      </c>
      <c r="I37" s="322">
        <v>228795264.71000001</v>
      </c>
      <c r="J37" s="248">
        <f t="shared" si="15"/>
        <v>1.1900854428702146E-2</v>
      </c>
      <c r="K37" s="361">
        <f t="shared" si="8"/>
        <v>741</v>
      </c>
      <c r="L37" s="246">
        <f t="shared" si="10"/>
        <v>4.340186259005447E-2</v>
      </c>
      <c r="M37" s="301">
        <f t="shared" si="9"/>
        <v>-332097538.38</v>
      </c>
      <c r="N37" s="308">
        <f t="shared" si="11"/>
        <v>-0.36732869071277791</v>
      </c>
      <c r="O37"/>
      <c r="P37"/>
      <c r="Q37"/>
      <c r="R37"/>
      <c r="S37"/>
      <c r="T37"/>
    </row>
    <row r="38" spans="2:28" hidden="1" outlineLevel="1">
      <c r="B38" s="278" t="s">
        <v>194</v>
      </c>
      <c r="C38" s="361">
        <v>1044</v>
      </c>
      <c r="D38" s="246">
        <f t="shared" si="12"/>
        <v>3.0325652190331229E-3</v>
      </c>
      <c r="E38" s="301">
        <v>194753084.99000001</v>
      </c>
      <c r="F38" s="246">
        <f t="shared" si="13"/>
        <v>1.0630032599503585E-2</v>
      </c>
      <c r="G38" s="361">
        <v>1310</v>
      </c>
      <c r="H38" s="246">
        <f t="shared" si="14"/>
        <v>3.6254344986383865E-3</v>
      </c>
      <c r="I38" s="322">
        <v>83185353.760000005</v>
      </c>
      <c r="J38" s="248">
        <f t="shared" si="15"/>
        <v>4.3269111664205762E-3</v>
      </c>
      <c r="K38" s="361">
        <f t="shared" si="8"/>
        <v>266</v>
      </c>
      <c r="L38" s="246">
        <f t="shared" si="10"/>
        <v>1.5580155801558016E-2</v>
      </c>
      <c r="M38" s="301">
        <f t="shared" si="9"/>
        <v>-111567731.23</v>
      </c>
      <c r="N38" s="308">
        <f t="shared" si="11"/>
        <v>-0.12340359051869165</v>
      </c>
      <c r="O38"/>
      <c r="P38"/>
      <c r="Q38"/>
      <c r="R38"/>
      <c r="S38"/>
      <c r="T38"/>
    </row>
    <row r="39" spans="2:28" hidden="1" outlineLevel="1">
      <c r="B39" s="278" t="s">
        <v>195</v>
      </c>
      <c r="C39" s="361">
        <v>752</v>
      </c>
      <c r="D39" s="246">
        <f t="shared" si="12"/>
        <v>2.1843764796100657E-3</v>
      </c>
      <c r="E39" s="301">
        <v>159546541.41000003</v>
      </c>
      <c r="F39" s="246">
        <f t="shared" si="13"/>
        <v>8.708385473911404E-3</v>
      </c>
      <c r="G39" s="361">
        <v>978</v>
      </c>
      <c r="H39" s="246">
        <f t="shared" si="14"/>
        <v>2.7066220913498792E-3</v>
      </c>
      <c r="I39" s="322">
        <v>72235954.590000004</v>
      </c>
      <c r="J39" s="248">
        <f t="shared" si="15"/>
        <v>3.7573748791679203E-3</v>
      </c>
      <c r="K39" s="361">
        <f t="shared" si="8"/>
        <v>226</v>
      </c>
      <c r="L39" s="246">
        <f t="shared" si="10"/>
        <v>1.3237275229895156E-2</v>
      </c>
      <c r="M39" s="301">
        <f t="shared" si="9"/>
        <v>-87310586.820000023</v>
      </c>
      <c r="N39" s="308">
        <f t="shared" si="11"/>
        <v>-9.6573084216171334E-2</v>
      </c>
      <c r="O39"/>
      <c r="P39"/>
      <c r="Q39"/>
      <c r="R39"/>
      <c r="S39"/>
      <c r="T39"/>
    </row>
    <row r="40" spans="2:28" hidden="1" outlineLevel="1">
      <c r="B40" s="278" t="s">
        <v>196</v>
      </c>
      <c r="C40" s="361">
        <v>746</v>
      </c>
      <c r="D40" s="246">
        <f t="shared" si="12"/>
        <v>2.1669479438684957E-3</v>
      </c>
      <c r="E40" s="301">
        <v>178095293.09</v>
      </c>
      <c r="F40" s="246">
        <f t="shared" si="13"/>
        <v>9.7208153157730664E-3</v>
      </c>
      <c r="G40" s="361">
        <v>1036</v>
      </c>
      <c r="H40" s="246">
        <f t="shared" si="14"/>
        <v>2.8671375119002813E-3</v>
      </c>
      <c r="I40" s="322">
        <v>86123428</v>
      </c>
      <c r="J40" s="248">
        <f t="shared" si="15"/>
        <v>4.4797359806722122E-3</v>
      </c>
      <c r="K40" s="361">
        <f t="shared" si="8"/>
        <v>290</v>
      </c>
      <c r="L40" s="246">
        <f t="shared" si="10"/>
        <v>1.6985884144555732E-2</v>
      </c>
      <c r="M40" s="301">
        <f t="shared" si="9"/>
        <v>-91971865.090000004</v>
      </c>
      <c r="N40" s="308">
        <f t="shared" si="11"/>
        <v>-0.10172886240206026</v>
      </c>
      <c r="O40"/>
      <c r="P40"/>
      <c r="Q40"/>
      <c r="R40"/>
      <c r="S40"/>
      <c r="T40"/>
    </row>
    <row r="41" spans="2:28" hidden="1" outlineLevel="1">
      <c r="B41" s="278" t="s">
        <v>197</v>
      </c>
      <c r="C41" s="361">
        <v>484</v>
      </c>
      <c r="D41" s="246">
        <f t="shared" si="12"/>
        <v>1.4059018831532868E-3</v>
      </c>
      <c r="E41" s="301">
        <v>129724942.09000002</v>
      </c>
      <c r="F41" s="246">
        <f t="shared" si="13"/>
        <v>7.0806599210288326E-3</v>
      </c>
      <c r="G41" s="361">
        <v>656</v>
      </c>
      <c r="H41" s="246">
        <f t="shared" si="14"/>
        <v>1.8154847565700623E-3</v>
      </c>
      <c r="I41" s="322">
        <v>61750462.460000001</v>
      </c>
      <c r="J41" s="248">
        <f t="shared" si="15"/>
        <v>3.2119688559680967E-3</v>
      </c>
      <c r="K41" s="361">
        <f t="shared" si="8"/>
        <v>172</v>
      </c>
      <c r="L41" s="246">
        <f t="shared" si="10"/>
        <v>1.0074386458150297E-2</v>
      </c>
      <c r="M41" s="301">
        <f t="shared" si="9"/>
        <v>-67974479.630000025</v>
      </c>
      <c r="N41" s="308">
        <f t="shared" si="11"/>
        <v>-7.5185672035303519E-2</v>
      </c>
      <c r="O41"/>
      <c r="P41"/>
      <c r="Q41"/>
      <c r="R41"/>
      <c r="S41"/>
      <c r="T41"/>
    </row>
    <row r="42" spans="2:28" hidden="1" outlineLevel="1">
      <c r="B42" s="278" t="s">
        <v>156</v>
      </c>
      <c r="C42" s="361">
        <v>539</v>
      </c>
      <c r="D42" s="246">
        <f t="shared" si="12"/>
        <v>1.5656634607843422E-3</v>
      </c>
      <c r="E42" s="301">
        <v>221571163.65000001</v>
      </c>
      <c r="F42" s="246">
        <f t="shared" si="13"/>
        <v>1.2093819683679886E-2</v>
      </c>
      <c r="G42" s="361">
        <v>756</v>
      </c>
      <c r="H42" s="246">
        <f t="shared" si="14"/>
        <v>2.0922354816569617E-3</v>
      </c>
      <c r="I42" s="322">
        <v>105903042.18000001</v>
      </c>
      <c r="J42" s="248">
        <f t="shared" si="15"/>
        <v>5.508578554448541E-3</v>
      </c>
      <c r="K42" s="361">
        <f t="shared" si="8"/>
        <v>217</v>
      </c>
      <c r="L42" s="246">
        <f t="shared" si="10"/>
        <v>1.2710127101271012E-2</v>
      </c>
      <c r="M42" s="301">
        <f t="shared" si="9"/>
        <v>-115668121.47</v>
      </c>
      <c r="N42" s="308">
        <f t="shared" si="11"/>
        <v>-0.12793897787994093</v>
      </c>
      <c r="O42"/>
      <c r="P42"/>
      <c r="Q42"/>
      <c r="R42"/>
      <c r="S42"/>
      <c r="T42"/>
    </row>
    <row r="43" spans="2:28" hidden="1" outlineLevel="1">
      <c r="B43" s="274" t="s">
        <v>186</v>
      </c>
      <c r="C43" s="362">
        <f>SUM(C30:C42)</f>
        <v>344263</v>
      </c>
      <c r="D43" s="296">
        <f t="shared" ref="D43:J43" si="16">SUM(D30:D42)</f>
        <v>1.4493508050424913</v>
      </c>
      <c r="E43" s="302">
        <f>SUM(E30:E42)</f>
        <v>18321024245.880001</v>
      </c>
      <c r="F43" s="296">
        <f t="shared" si="16"/>
        <v>1.2089148958239215</v>
      </c>
      <c r="G43" s="363">
        <f>+SUM(G30:G42)</f>
        <v>361336</v>
      </c>
      <c r="H43" s="296">
        <f t="shared" si="16"/>
        <v>0.38410649368922106</v>
      </c>
      <c r="I43" s="309">
        <f>SUM(I30:I42)</f>
        <v>19225112455.639996</v>
      </c>
      <c r="J43" s="296">
        <f t="shared" si="16"/>
        <v>1.0304625469621347</v>
      </c>
      <c r="K43" s="362">
        <f>+SUM(K30:K42)</f>
        <v>17073</v>
      </c>
      <c r="L43" s="296">
        <f>+SUM(L30:L42)</f>
        <v>1</v>
      </c>
      <c r="M43" s="302">
        <f>+SUM(M30:M42)</f>
        <v>904088209.75999963</v>
      </c>
      <c r="N43" s="298">
        <f>+SUM(N30:N42)</f>
        <v>0.99999999999999978</v>
      </c>
      <c r="O43"/>
      <c r="P43" s="64"/>
      <c r="Q43" s="64"/>
      <c r="R43"/>
      <c r="S43"/>
      <c r="T43"/>
    </row>
    <row r="44" spans="2:28" hidden="1" outlineLevel="1">
      <c r="B44" s="129" t="s">
        <v>198</v>
      </c>
      <c r="C44" s="279"/>
      <c r="D44" s="279"/>
      <c r="E44" s="279"/>
      <c r="F44"/>
      <c r="G44" s="102"/>
      <c r="H44" s="102"/>
      <c r="I44" s="280"/>
      <c r="J44"/>
      <c r="K44" s="64"/>
      <c r="L44"/>
      <c r="M44"/>
      <c r="N44"/>
      <c r="O44"/>
      <c r="P44"/>
      <c r="Q44"/>
      <c r="R44"/>
      <c r="S44" s="102"/>
      <c r="T44" s="102"/>
      <c r="U44" s="102"/>
      <c r="V44"/>
      <c r="W44"/>
      <c r="X44"/>
      <c r="Y44"/>
      <c r="Z44"/>
      <c r="AA44"/>
      <c r="AB44"/>
    </row>
    <row r="45" spans="2:28" hidden="1" outlineLevel="1">
      <c r="B45" s="281" t="s">
        <v>199</v>
      </c>
      <c r="C45" s="102"/>
      <c r="D45" s="102"/>
      <c r="E45" s="102"/>
      <c r="F45" s="64"/>
      <c r="G45" s="64"/>
      <c r="H45"/>
      <c r="I45" s="64"/>
      <c r="J45"/>
      <c r="K45"/>
      <c r="L45"/>
      <c r="M45"/>
      <c r="N45"/>
      <c r="O45"/>
      <c r="P45"/>
      <c r="Q45"/>
      <c r="R45"/>
      <c r="S45" s="102"/>
      <c r="T45" s="102"/>
      <c r="U45" s="102"/>
      <c r="V45"/>
      <c r="W45"/>
      <c r="X45"/>
      <c r="Y45"/>
      <c r="Z45"/>
      <c r="AA45"/>
      <c r="AB45"/>
    </row>
    <row r="46" spans="2:28" hidden="1" outlineLevel="1">
      <c r="B46" s="106" t="s">
        <v>200</v>
      </c>
      <c r="C46"/>
      <c r="D46"/>
      <c r="E46" s="64"/>
      <c r="F46" s="64"/>
      <c r="G46" s="64"/>
      <c r="H46" s="85"/>
      <c r="I46" s="85"/>
      <c r="J46"/>
      <c r="K46"/>
      <c r="L46"/>
      <c r="M46" s="64"/>
      <c r="N46" s="64"/>
      <c r="O46" s="64"/>
      <c r="P46"/>
      <c r="Q46"/>
      <c r="R46"/>
      <c r="S46"/>
      <c r="T46"/>
      <c r="U46"/>
      <c r="V46"/>
      <c r="W46"/>
      <c r="X46"/>
      <c r="Y46"/>
      <c r="Z46"/>
      <c r="AA46"/>
      <c r="AB46"/>
    </row>
    <row r="47" spans="2:28" hidden="1" outlineLevel="1">
      <c r="B47"/>
      <c r="C47"/>
      <c r="D47"/>
      <c r="E47"/>
      <c r="F47"/>
      <c r="G47" s="64"/>
      <c r="H47"/>
      <c r="I47" s="64"/>
      <c r="J47"/>
      <c r="K47"/>
      <c r="L47"/>
      <c r="M47"/>
      <c r="N47" s="180"/>
      <c r="O47" s="85"/>
      <c r="P47"/>
      <c r="Q47"/>
      <c r="R47"/>
      <c r="S47"/>
      <c r="T47"/>
      <c r="U47"/>
      <c r="V47"/>
      <c r="W47"/>
      <c r="X47"/>
      <c r="Y47"/>
      <c r="Z47"/>
      <c r="AA47"/>
      <c r="AB47"/>
    </row>
    <row r="48" spans="2:28" hidden="1" outlineLevel="1">
      <c r="B48"/>
      <c r="C48"/>
      <c r="D48"/>
      <c r="E48"/>
      <c r="F48"/>
      <c r="G48"/>
      <c r="H48"/>
      <c r="I48"/>
      <c r="J48"/>
      <c r="K48"/>
      <c r="L48"/>
      <c r="M48"/>
      <c r="N48"/>
      <c r="O48"/>
      <c r="P48"/>
      <c r="Q48"/>
      <c r="R48"/>
      <c r="S48"/>
      <c r="T48"/>
      <c r="U48"/>
      <c r="V48"/>
      <c r="W48"/>
      <c r="X48"/>
      <c r="Y48"/>
      <c r="Z48"/>
      <c r="AA48"/>
      <c r="AB48"/>
    </row>
    <row r="49" spans="2:20" hidden="1" outlineLevel="1">
      <c r="B49" s="599" t="s">
        <v>201</v>
      </c>
      <c r="C49" s="599"/>
      <c r="D49" s="599"/>
      <c r="E49" s="599"/>
      <c r="F49" s="599"/>
      <c r="G49" s="599"/>
      <c r="H49" s="599"/>
      <c r="I49" s="599"/>
      <c r="J49" s="599"/>
      <c r="K49" s="599"/>
      <c r="L49" s="599"/>
      <c r="M49" s="599"/>
      <c r="N49" s="599"/>
      <c r="O49"/>
      <c r="P49"/>
      <c r="Q49"/>
      <c r="R49"/>
      <c r="S49"/>
      <c r="T49"/>
    </row>
    <row r="50" spans="2:20" hidden="1" outlineLevel="1">
      <c r="B50" s="270"/>
      <c r="C50" s="595" t="s">
        <v>202</v>
      </c>
      <c r="D50" s="598"/>
      <c r="E50" s="598"/>
      <c r="F50" s="598"/>
      <c r="G50" s="595" t="s">
        <v>203</v>
      </c>
      <c r="H50" s="598"/>
      <c r="I50" s="598"/>
      <c r="J50" s="598"/>
      <c r="K50" s="595" t="s">
        <v>172</v>
      </c>
      <c r="L50" s="596"/>
      <c r="M50" s="596"/>
      <c r="N50" s="597"/>
      <c r="O50"/>
      <c r="P50"/>
      <c r="Q50"/>
      <c r="R50"/>
      <c r="S50"/>
      <c r="T50"/>
    </row>
    <row r="51" spans="2:20" ht="24" hidden="1" outlineLevel="1">
      <c r="B51" s="272" t="s">
        <v>147</v>
      </c>
      <c r="C51" s="294" t="s">
        <v>126</v>
      </c>
      <c r="D51" s="272" t="s">
        <v>61</v>
      </c>
      <c r="E51" s="272" t="s">
        <v>9</v>
      </c>
      <c r="F51" s="272" t="s">
        <v>61</v>
      </c>
      <c r="G51" s="294" t="s">
        <v>204</v>
      </c>
      <c r="H51" s="272" t="s">
        <v>61</v>
      </c>
      <c r="I51" s="272" t="s">
        <v>9</v>
      </c>
      <c r="J51" s="272" t="s">
        <v>61</v>
      </c>
      <c r="K51" s="303" t="s">
        <v>174</v>
      </c>
      <c r="L51" s="304" t="s">
        <v>175</v>
      </c>
      <c r="M51" s="304" t="s">
        <v>205</v>
      </c>
      <c r="N51" s="305" t="s">
        <v>175</v>
      </c>
      <c r="O51"/>
      <c r="P51"/>
      <c r="Q51"/>
      <c r="R51"/>
      <c r="S51"/>
      <c r="T51"/>
    </row>
    <row r="52" spans="2:20" hidden="1" outlineLevel="1">
      <c r="B52" s="282" t="s">
        <v>206</v>
      </c>
      <c r="C52" s="299">
        <v>0</v>
      </c>
      <c r="D52" s="247">
        <f>C52/$G$64</f>
        <v>0</v>
      </c>
      <c r="E52" s="307">
        <v>0</v>
      </c>
      <c r="F52" s="283">
        <f>E52/E64</f>
        <v>0</v>
      </c>
      <c r="G52" s="299">
        <v>0</v>
      </c>
      <c r="H52" s="247">
        <f>G52/$G$64</f>
        <v>0</v>
      </c>
      <c r="I52" s="307">
        <v>0</v>
      </c>
      <c r="J52" s="283">
        <f>I52/I64</f>
        <v>0</v>
      </c>
      <c r="K52" s="299">
        <f>+G52-C52</f>
        <v>0</v>
      </c>
      <c r="L52" s="247"/>
      <c r="M52" s="307">
        <f>+I52-E52</f>
        <v>0</v>
      </c>
      <c r="N52" s="310"/>
      <c r="O52"/>
      <c r="P52"/>
      <c r="Q52"/>
      <c r="R52"/>
      <c r="S52"/>
      <c r="T52"/>
    </row>
    <row r="53" spans="2:20" hidden="1" outlineLevel="1">
      <c r="B53" s="284" t="s">
        <v>207</v>
      </c>
      <c r="C53" s="361">
        <v>1</v>
      </c>
      <c r="D53" s="246">
        <f t="shared" ref="D53:D63" si="17">+C53/$C$64</f>
        <v>7.398693390747194E-6</v>
      </c>
      <c r="E53" s="311">
        <v>30000</v>
      </c>
      <c r="F53" s="285">
        <f>+E53/$E$64</f>
        <v>4.4613728260228678E-6</v>
      </c>
      <c r="G53" s="361">
        <v>1</v>
      </c>
      <c r="H53" s="246">
        <f>+G53/$G$64</f>
        <v>6.7730486846739454E-6</v>
      </c>
      <c r="I53" s="322">
        <v>10000</v>
      </c>
      <c r="J53" s="248">
        <f>+I53/$I$64</f>
        <v>3.8615254519771113E-6</v>
      </c>
      <c r="K53" s="361">
        <f>+G53-C53</f>
        <v>0</v>
      </c>
      <c r="L53" s="248">
        <f>K53/$K$64</f>
        <v>0</v>
      </c>
      <c r="M53" s="307">
        <f>+I53-E53</f>
        <v>-20000</v>
      </c>
      <c r="N53" s="306">
        <f>M53/$M$64</f>
        <v>4.8370665378608776E-6</v>
      </c>
      <c r="O53"/>
      <c r="P53"/>
      <c r="Q53"/>
      <c r="R53"/>
      <c r="S53"/>
      <c r="T53"/>
    </row>
    <row r="54" spans="2:20" hidden="1" outlineLevel="1">
      <c r="B54" s="277" t="s">
        <v>157</v>
      </c>
      <c r="C54" s="361">
        <v>9</v>
      </c>
      <c r="D54" s="246">
        <f t="shared" si="17"/>
        <v>6.6588240516724748E-5</v>
      </c>
      <c r="E54" s="311">
        <v>450422.05000000005</v>
      </c>
      <c r="F54" s="285">
        <f t="shared" ref="F54:F63" si="18">+E54/$E$64</f>
        <v>6.6983356470383789E-5</v>
      </c>
      <c r="G54" s="361">
        <v>10</v>
      </c>
      <c r="H54" s="246">
        <f t="shared" ref="H54:H63" si="19">+G54/$G$64</f>
        <v>6.7730486846739454E-5</v>
      </c>
      <c r="I54" s="322">
        <v>225913.22</v>
      </c>
      <c r="J54" s="248">
        <f t="shared" ref="J54:J63" si="20">+I54/$I$64</f>
        <v>8.7236964896810471E-5</v>
      </c>
      <c r="K54" s="361">
        <f>+G54-C54</f>
        <v>1</v>
      </c>
      <c r="L54" s="248">
        <f t="shared" ref="L54:L63" si="21">K54/$K$64</f>
        <v>8.009611533840609E-5</v>
      </c>
      <c r="M54" s="307">
        <f>+I54-E54</f>
        <v>-224508.83000000005</v>
      </c>
      <c r="N54" s="306">
        <f t="shared" ref="N54:N63" si="22">M54/$M$64</f>
        <v>5.4298207452364831E-5</v>
      </c>
      <c r="O54"/>
      <c r="P54"/>
      <c r="Q54"/>
      <c r="R54"/>
      <c r="S54"/>
      <c r="T54"/>
    </row>
    <row r="55" spans="2:20" hidden="1" outlineLevel="1">
      <c r="B55" s="277" t="s">
        <v>158</v>
      </c>
      <c r="C55" s="361">
        <v>65</v>
      </c>
      <c r="D55" s="246">
        <f t="shared" si="17"/>
        <v>4.8091507039856762E-4</v>
      </c>
      <c r="E55" s="311">
        <v>3508748.91</v>
      </c>
      <c r="F55" s="285">
        <f t="shared" si="18"/>
        <v>5.2179456801371192E-4</v>
      </c>
      <c r="G55" s="361">
        <v>66</v>
      </c>
      <c r="H55" s="246">
        <f t="shared" si="19"/>
        <v>4.4702121318848041E-4</v>
      </c>
      <c r="I55" s="322">
        <v>1231936.8400000001</v>
      </c>
      <c r="J55" s="248">
        <f t="shared" si="20"/>
        <v>4.7571554628882552E-4</v>
      </c>
      <c r="K55" s="361">
        <f t="shared" ref="K55:K63" si="23">+G55-C55</f>
        <v>1</v>
      </c>
      <c r="L55" s="248">
        <f t="shared" si="21"/>
        <v>8.009611533840609E-5</v>
      </c>
      <c r="M55" s="307">
        <f t="shared" ref="M55:M63" si="24">+I55-E55</f>
        <v>-2276812.0700000003</v>
      </c>
      <c r="N55" s="306">
        <f t="shared" si="22"/>
        <v>5.5065457383973802E-4</v>
      </c>
      <c r="O55"/>
      <c r="P55"/>
      <c r="Q55"/>
      <c r="R55"/>
      <c r="S55"/>
      <c r="T55"/>
    </row>
    <row r="56" spans="2:20" hidden="1" outlineLevel="1">
      <c r="B56" s="277" t="s">
        <v>159</v>
      </c>
      <c r="C56" s="361">
        <v>527</v>
      </c>
      <c r="D56" s="246">
        <f t="shared" si="17"/>
        <v>3.8991114169237714E-3</v>
      </c>
      <c r="E56" s="311">
        <v>28611527.600000001</v>
      </c>
      <c r="F56" s="285">
        <f t="shared" si="18"/>
        <v>4.2548897248547764E-3</v>
      </c>
      <c r="G56" s="361">
        <v>484</v>
      </c>
      <c r="H56" s="246">
        <f t="shared" si="19"/>
        <v>3.2781555633821895E-3</v>
      </c>
      <c r="I56" s="322">
        <v>10459426.51</v>
      </c>
      <c r="J56" s="248">
        <f t="shared" si="20"/>
        <v>4.038934168144913E-3</v>
      </c>
      <c r="K56" s="361">
        <f t="shared" si="23"/>
        <v>-43</v>
      </c>
      <c r="L56" s="248">
        <f t="shared" si="21"/>
        <v>-3.4441329595514616E-3</v>
      </c>
      <c r="M56" s="307">
        <f t="shared" si="24"/>
        <v>-18152101.090000004</v>
      </c>
      <c r="N56" s="306">
        <f t="shared" si="22"/>
        <v>4.3901460387153488E-3</v>
      </c>
      <c r="O56"/>
      <c r="P56"/>
      <c r="Q56"/>
      <c r="R56"/>
      <c r="S56"/>
      <c r="T56"/>
    </row>
    <row r="57" spans="2:20" hidden="1" outlineLevel="1">
      <c r="B57" s="277" t="s">
        <v>160</v>
      </c>
      <c r="C57" s="361">
        <v>2822</v>
      </c>
      <c r="D57" s="246">
        <f t="shared" si="17"/>
        <v>2.0879112748688582E-2</v>
      </c>
      <c r="E57" s="311">
        <v>164946719.48000002</v>
      </c>
      <c r="F57" s="285">
        <f t="shared" si="18"/>
        <v>2.4529627067656296E-2</v>
      </c>
      <c r="G57" s="361">
        <v>2790</v>
      </c>
      <c r="H57" s="246">
        <f t="shared" si="19"/>
        <v>1.8896805830240306E-2</v>
      </c>
      <c r="I57" s="322">
        <v>60566792.960000001</v>
      </c>
      <c r="J57" s="248">
        <f t="shared" si="20"/>
        <v>2.3388021255966816E-2</v>
      </c>
      <c r="K57" s="361">
        <f t="shared" si="23"/>
        <v>-32</v>
      </c>
      <c r="L57" s="248">
        <f t="shared" si="21"/>
        <v>-2.5630756908289949E-3</v>
      </c>
      <c r="M57" s="307">
        <f t="shared" si="24"/>
        <v>-104379926.52000001</v>
      </c>
      <c r="N57" s="306">
        <f t="shared" si="22"/>
        <v>2.5244632489713464E-2</v>
      </c>
      <c r="O57"/>
      <c r="P57"/>
      <c r="Q57"/>
      <c r="R57"/>
      <c r="S57"/>
      <c r="T57"/>
    </row>
    <row r="58" spans="2:20" hidden="1" outlineLevel="1">
      <c r="B58" s="277" t="s">
        <v>161</v>
      </c>
      <c r="C58" s="361">
        <v>43703</v>
      </c>
      <c r="D58" s="246">
        <f t="shared" si="17"/>
        <v>0.32334509725582461</v>
      </c>
      <c r="E58" s="311">
        <v>2328534476</v>
      </c>
      <c r="F58" s="285">
        <f t="shared" si="18"/>
        <v>0.34628201452279322</v>
      </c>
      <c r="G58" s="361">
        <v>48728</v>
      </c>
      <c r="H58" s="246">
        <f t="shared" si="19"/>
        <v>0.330037116306792</v>
      </c>
      <c r="I58" s="322">
        <v>931532453.09000003</v>
      </c>
      <c r="J58" s="248">
        <f t="shared" si="20"/>
        <v>0.35971362769497101</v>
      </c>
      <c r="K58" s="361">
        <f t="shared" si="23"/>
        <v>5025</v>
      </c>
      <c r="L58" s="248">
        <f t="shared" si="21"/>
        <v>0.40248297957549056</v>
      </c>
      <c r="M58" s="307">
        <f t="shared" si="24"/>
        <v>-1397002022.9099998</v>
      </c>
      <c r="N58" s="306">
        <f t="shared" si="22"/>
        <v>0.33786958691709579</v>
      </c>
      <c r="O58"/>
      <c r="P58"/>
      <c r="Q58"/>
      <c r="R58"/>
      <c r="S58"/>
      <c r="T58"/>
    </row>
    <row r="59" spans="2:20" hidden="1" outlineLevel="1">
      <c r="B59" s="277" t="s">
        <v>162</v>
      </c>
      <c r="C59" s="361">
        <v>54708</v>
      </c>
      <c r="D59" s="246">
        <f t="shared" si="17"/>
        <v>0.40476771802099748</v>
      </c>
      <c r="E59" s="311">
        <v>2745069713.7600002</v>
      </c>
      <c r="F59" s="285">
        <f t="shared" si="18"/>
        <v>0.40822598088357454</v>
      </c>
      <c r="G59" s="361">
        <v>60495</v>
      </c>
      <c r="H59" s="246">
        <f t="shared" si="19"/>
        <v>0.40973558017935036</v>
      </c>
      <c r="I59" s="322">
        <v>1062260753.1900001</v>
      </c>
      <c r="J59" s="248">
        <f t="shared" si="20"/>
        <v>0.41019469350795618</v>
      </c>
      <c r="K59" s="361">
        <f t="shared" si="23"/>
        <v>5787</v>
      </c>
      <c r="L59" s="248">
        <f t="shared" si="21"/>
        <v>0.46351621946335603</v>
      </c>
      <c r="M59" s="307">
        <f t="shared" si="24"/>
        <v>-1682808960.5700002</v>
      </c>
      <c r="N59" s="306">
        <f t="shared" si="22"/>
        <v>0.40699294563927962</v>
      </c>
      <c r="O59"/>
      <c r="P59"/>
      <c r="Q59"/>
      <c r="R59"/>
      <c r="S59"/>
      <c r="T59"/>
    </row>
    <row r="60" spans="2:20" hidden="1" outlineLevel="1">
      <c r="B60" s="277" t="s">
        <v>163</v>
      </c>
      <c r="C60" s="361">
        <v>27179</v>
      </c>
      <c r="D60" s="246">
        <f t="shared" si="17"/>
        <v>0.201089087667118</v>
      </c>
      <c r="E60" s="311">
        <v>1195580820.73</v>
      </c>
      <c r="F60" s="285">
        <f t="shared" si="18"/>
        <v>0.17779772616396466</v>
      </c>
      <c r="G60" s="361">
        <v>28413</v>
      </c>
      <c r="H60" s="246">
        <f t="shared" si="19"/>
        <v>0.1924426322776408</v>
      </c>
      <c r="I60" s="322">
        <v>429192161.23000002</v>
      </c>
      <c r="J60" s="248">
        <f t="shared" si="20"/>
        <v>0.16573364543787092</v>
      </c>
      <c r="K60" s="361">
        <f t="shared" si="23"/>
        <v>1234</v>
      </c>
      <c r="L60" s="248">
        <f t="shared" si="21"/>
        <v>9.8838606327593115E-2</v>
      </c>
      <c r="M60" s="307">
        <f t="shared" si="24"/>
        <v>-766388659.5</v>
      </c>
      <c r="N60" s="306">
        <f t="shared" si="22"/>
        <v>0.18535364699317519</v>
      </c>
      <c r="O60"/>
      <c r="P60"/>
      <c r="Q60"/>
      <c r="R60"/>
      <c r="S60"/>
      <c r="T60"/>
    </row>
    <row r="61" spans="2:20" hidden="1" outlineLevel="1">
      <c r="B61" s="277" t="s">
        <v>164</v>
      </c>
      <c r="C61" s="361">
        <v>5739</v>
      </c>
      <c r="D61" s="246">
        <f t="shared" si="17"/>
        <v>4.2461101369498148E-2</v>
      </c>
      <c r="E61" s="311">
        <v>241252185.55000001</v>
      </c>
      <c r="F61" s="285">
        <f t="shared" si="18"/>
        <v>3.5877198161046557E-2</v>
      </c>
      <c r="G61" s="361">
        <v>6221</v>
      </c>
      <c r="H61" s="246">
        <f t="shared" si="19"/>
        <v>4.2135135867356614E-2</v>
      </c>
      <c r="I61" s="322">
        <v>88215125.420000002</v>
      </c>
      <c r="J61" s="248">
        <f t="shared" si="20"/>
        <v>3.4064495205868309E-2</v>
      </c>
      <c r="K61" s="361">
        <f t="shared" si="23"/>
        <v>482</v>
      </c>
      <c r="L61" s="248">
        <f t="shared" si="21"/>
        <v>3.8606327593111736E-2</v>
      </c>
      <c r="M61" s="307">
        <f t="shared" si="24"/>
        <v>-153037060.13</v>
      </c>
      <c r="N61" s="306">
        <f t="shared" si="22"/>
        <v>3.7012522130371303E-2</v>
      </c>
      <c r="O61"/>
      <c r="P61"/>
      <c r="Q61"/>
      <c r="R61"/>
      <c r="S61"/>
      <c r="T61"/>
    </row>
    <row r="62" spans="2:20" hidden="1" outlineLevel="1">
      <c r="B62" s="278">
        <v>100</v>
      </c>
      <c r="C62" s="361">
        <v>342</v>
      </c>
      <c r="D62" s="246">
        <f t="shared" si="17"/>
        <v>2.5303531396355405E-3</v>
      </c>
      <c r="E62" s="311">
        <v>12771843.52</v>
      </c>
      <c r="F62" s="285">
        <f t="shared" si="18"/>
        <v>1.8993318539448083E-3</v>
      </c>
      <c r="G62" s="361">
        <v>377</v>
      </c>
      <c r="H62" s="246">
        <f t="shared" si="19"/>
        <v>2.5534393541220774E-3</v>
      </c>
      <c r="I62" s="322">
        <v>4835223.8</v>
      </c>
      <c r="J62" s="248">
        <f t="shared" si="20"/>
        <v>1.8671339769705487E-3</v>
      </c>
      <c r="K62" s="361">
        <f t="shared" si="23"/>
        <v>35</v>
      </c>
      <c r="L62" s="248">
        <f t="shared" si="21"/>
        <v>2.803364036844213E-3</v>
      </c>
      <c r="M62" s="307">
        <f t="shared" si="24"/>
        <v>-7936619.7199999997</v>
      </c>
      <c r="N62" s="306">
        <f t="shared" si="22"/>
        <v>1.9194978835669384E-3</v>
      </c>
      <c r="O62"/>
      <c r="P62"/>
      <c r="Q62"/>
      <c r="R62"/>
      <c r="S62"/>
      <c r="T62"/>
    </row>
    <row r="63" spans="2:20" hidden="1" outlineLevel="1">
      <c r="B63" s="278" t="s">
        <v>208</v>
      </c>
      <c r="C63" s="361">
        <v>64</v>
      </c>
      <c r="D63" s="246">
        <f t="shared" si="17"/>
        <v>4.7351637700782041E-4</v>
      </c>
      <c r="E63" s="311">
        <v>3631117.68</v>
      </c>
      <c r="F63" s="285">
        <f t="shared" si="18"/>
        <v>5.3999232485477328E-4</v>
      </c>
      <c r="G63" s="361">
        <v>59</v>
      </c>
      <c r="H63" s="246">
        <f t="shared" si="19"/>
        <v>3.9960987239576277E-4</v>
      </c>
      <c r="I63" s="312">
        <v>1120372.56</v>
      </c>
      <c r="J63" s="248">
        <f t="shared" si="20"/>
        <v>4.3263471561367541E-4</v>
      </c>
      <c r="K63" s="361">
        <f t="shared" si="23"/>
        <v>-5</v>
      </c>
      <c r="L63" s="248">
        <f t="shared" si="21"/>
        <v>-4.0048057669203043E-4</v>
      </c>
      <c r="M63" s="307">
        <f t="shared" si="24"/>
        <v>-2510745.12</v>
      </c>
      <c r="N63" s="306">
        <f t="shared" si="22"/>
        <v>6.0723206025247475E-4</v>
      </c>
      <c r="O63"/>
      <c r="P63"/>
      <c r="Q63"/>
      <c r="R63"/>
      <c r="S63"/>
      <c r="T63"/>
    </row>
    <row r="64" spans="2:20" hidden="1" outlineLevel="1">
      <c r="B64" s="274" t="s">
        <v>186</v>
      </c>
      <c r="C64" s="362">
        <f t="shared" ref="C64:J64" si="25">SUM(C52:C63)</f>
        <v>135159</v>
      </c>
      <c r="D64" s="296">
        <f>SUM(D52:D63)</f>
        <v>0.99999999999999989</v>
      </c>
      <c r="E64" s="302">
        <f>+SUM(E53:E63)</f>
        <v>6724387575.2800016</v>
      </c>
      <c r="F64" s="296">
        <f t="shared" si="25"/>
        <v>0.99999999999999989</v>
      </c>
      <c r="G64" s="363">
        <f>+SUM(G53:G63)</f>
        <v>147644</v>
      </c>
      <c r="H64" s="296">
        <f t="shared" si="25"/>
        <v>1</v>
      </c>
      <c r="I64" s="313">
        <f>+SUM(I53:I63)</f>
        <v>2589650158.8200002</v>
      </c>
      <c r="J64" s="296">
        <f t="shared" si="25"/>
        <v>1</v>
      </c>
      <c r="K64" s="362">
        <f>+SUM(K53:K63)</f>
        <v>12485</v>
      </c>
      <c r="L64" s="296">
        <f>+SUM(L53:L63)</f>
        <v>0.99999999999999989</v>
      </c>
      <c r="M64" s="302">
        <f>+SUM(M53:M63)</f>
        <v>-4134737416.4599996</v>
      </c>
      <c r="N64" s="298">
        <f>+SUM(N53:N63)</f>
        <v>1</v>
      </c>
      <c r="O64"/>
      <c r="P64"/>
      <c r="Q64"/>
      <c r="R64"/>
      <c r="S64"/>
      <c r="T64"/>
    </row>
    <row r="65" spans="2:28" hidden="1" outlineLevel="1">
      <c r="B65" s="286" t="s">
        <v>209</v>
      </c>
      <c r="C65" s="102"/>
      <c r="D65" s="102"/>
      <c r="E65" s="102"/>
      <c r="F65"/>
      <c r="G65" s="102"/>
      <c r="H65" s="102"/>
      <c r="I65" s="102"/>
      <c r="J65" s="85"/>
      <c r="K65"/>
      <c r="L65"/>
      <c r="M65"/>
      <c r="N65"/>
      <c r="O65"/>
      <c r="P65"/>
      <c r="Q65"/>
      <c r="R65"/>
      <c r="S65" s="102"/>
      <c r="T65" s="102"/>
      <c r="U65" s="102"/>
      <c r="V65"/>
      <c r="W65"/>
      <c r="X65"/>
      <c r="Y65"/>
      <c r="Z65"/>
      <c r="AA65"/>
      <c r="AB65"/>
    </row>
    <row r="66" spans="2:28" hidden="1" outlineLevel="1">
      <c r="B66" s="286" t="s">
        <v>210</v>
      </c>
      <c r="C66"/>
      <c r="D66"/>
      <c r="E66"/>
      <c r="F66"/>
      <c r="K66"/>
      <c r="L66"/>
      <c r="M66"/>
      <c r="N66"/>
      <c r="O66"/>
      <c r="P66"/>
      <c r="Q66"/>
      <c r="R66"/>
      <c r="S66"/>
      <c r="T66"/>
      <c r="U66"/>
      <c r="V66"/>
      <c r="W66"/>
      <c r="X66"/>
      <c r="Y66"/>
      <c r="Z66"/>
      <c r="AA66"/>
      <c r="AB66"/>
    </row>
    <row r="67" spans="2:28" hidden="1" outlineLevel="1">
      <c r="B67" s="106" t="s">
        <v>200</v>
      </c>
      <c r="C67" s="64"/>
      <c r="D67"/>
      <c r="E67" s="85"/>
      <c r="F67"/>
      <c r="G67" s="64"/>
      <c r="H67"/>
      <c r="I67" s="85"/>
      <c r="J67"/>
      <c r="K67"/>
      <c r="L67"/>
      <c r="M67"/>
      <c r="N67"/>
      <c r="O67"/>
      <c r="P67"/>
      <c r="Q67"/>
      <c r="R67"/>
      <c r="S67" s="64"/>
      <c r="T67"/>
      <c r="U67" s="85"/>
      <c r="V67"/>
      <c r="W67"/>
      <c r="X67"/>
      <c r="Y67"/>
      <c r="Z67"/>
      <c r="AA67"/>
      <c r="AB67"/>
    </row>
    <row r="68" spans="2:28" hidden="1" outlineLevel="1">
      <c r="B68" s="1" t="s">
        <v>211</v>
      </c>
      <c r="G68" s="14"/>
      <c r="H68" s="14"/>
      <c r="I68" s="31"/>
    </row>
    <row r="69" spans="2:28" collapsed="1">
      <c r="D69" s="287"/>
      <c r="G69" s="14"/>
      <c r="H69" s="14"/>
      <c r="I69" s="65"/>
      <c r="J69" s="65"/>
    </row>
    <row r="70" spans="2:28">
      <c r="B70" s="502"/>
      <c r="C70" s="503"/>
      <c r="D70" s="501"/>
      <c r="E70" s="180"/>
      <c r="F70" s="504"/>
      <c r="G70" s="432"/>
    </row>
    <row r="71" spans="2:28">
      <c r="B71" s="505"/>
      <c r="C71" s="503"/>
      <c r="D71" s="501"/>
      <c r="E71" s="180"/>
      <c r="F71" s="504"/>
    </row>
    <row r="72" spans="2:28">
      <c r="B72" s="505"/>
      <c r="C72" s="503"/>
      <c r="D72" s="501"/>
      <c r="E72" s="180"/>
      <c r="F72" s="504"/>
      <c r="G72" s="288"/>
      <c r="H72" s="288"/>
      <c r="I72" s="65"/>
    </row>
    <row r="73" spans="2:28">
      <c r="B73" s="505"/>
      <c r="C73" s="503"/>
      <c r="D73" s="501"/>
      <c r="E73" s="180"/>
      <c r="F73" s="504"/>
      <c r="G73" s="288"/>
      <c r="H73" s="288"/>
      <c r="I73" s="65"/>
    </row>
    <row r="74" spans="2:28">
      <c r="B74" s="505"/>
      <c r="C74" s="503"/>
      <c r="D74" s="501"/>
      <c r="E74" s="180"/>
      <c r="F74" s="504"/>
      <c r="G74" s="288"/>
      <c r="H74" s="288"/>
      <c r="I74" s="65"/>
    </row>
    <row r="75" spans="2:28">
      <c r="B75" s="505"/>
      <c r="C75" s="503"/>
      <c r="D75" s="501"/>
      <c r="E75" s="180"/>
      <c r="F75" s="504"/>
      <c r="G75" s="288"/>
      <c r="H75" s="288"/>
      <c r="I75" s="65"/>
    </row>
    <row r="76" spans="2:28">
      <c r="B76" s="505"/>
      <c r="C76" s="503"/>
      <c r="D76" s="501"/>
      <c r="E76" s="180"/>
      <c r="F76" s="504"/>
      <c r="G76" s="288"/>
      <c r="H76" s="288"/>
      <c r="I76" s="65"/>
    </row>
    <row r="77" spans="2:28">
      <c r="B77" s="505"/>
      <c r="C77" s="503"/>
      <c r="D77" s="501"/>
      <c r="E77" s="180"/>
      <c r="F77" s="504"/>
      <c r="G77" s="288"/>
      <c r="H77" s="288"/>
      <c r="I77" s="65"/>
    </row>
    <row r="78" spans="2:28">
      <c r="B78" s="505"/>
      <c r="C78" s="503"/>
      <c r="D78" s="501"/>
      <c r="E78" s="180"/>
      <c r="F78" s="504"/>
      <c r="G78" s="288"/>
      <c r="H78" s="288"/>
      <c r="I78" s="65"/>
    </row>
    <row r="79" spans="2:28">
      <c r="D79" s="287"/>
      <c r="F79" s="288"/>
      <c r="G79" s="288"/>
      <c r="H79" s="288"/>
      <c r="I79" s="65"/>
    </row>
    <row r="80" spans="2:28">
      <c r="D80" s="287"/>
      <c r="F80" s="288"/>
      <c r="G80" s="288"/>
      <c r="H80" s="288"/>
      <c r="I80" s="65"/>
    </row>
    <row r="81" spans="3:14">
      <c r="F81" s="288"/>
      <c r="G81" s="288"/>
      <c r="H81" s="288"/>
      <c r="I81" s="65"/>
    </row>
    <row r="82" spans="3:14">
      <c r="F82" s="288"/>
      <c r="G82" s="288"/>
      <c r="H82" s="288"/>
      <c r="I82" s="65"/>
    </row>
    <row r="83" spans="3:14">
      <c r="F83" s="288"/>
      <c r="G83" s="288"/>
      <c r="H83" s="288"/>
      <c r="I83" s="65"/>
    </row>
    <row r="84" spans="3:14">
      <c r="F84" s="65"/>
      <c r="G84" s="65"/>
      <c r="H84" s="65"/>
      <c r="I84" s="65"/>
    </row>
    <row r="85" spans="3:14">
      <c r="C85" s="287"/>
      <c r="D85" s="287"/>
      <c r="E85" s="287"/>
      <c r="F85" s="287"/>
      <c r="G85" s="287"/>
      <c r="H85" s="287"/>
      <c r="I85" s="287"/>
      <c r="J85" s="287"/>
      <c r="K85" s="287"/>
      <c r="L85" s="287"/>
      <c r="M85" s="287"/>
    </row>
    <row r="86" spans="3:14">
      <c r="C86" s="287"/>
      <c r="D86" s="287"/>
      <c r="E86" s="287"/>
      <c r="F86" s="287"/>
      <c r="G86" s="287"/>
      <c r="H86" s="287"/>
      <c r="I86" s="287"/>
      <c r="J86" s="287"/>
      <c r="K86" s="287"/>
      <c r="L86" s="287"/>
      <c r="M86" s="287"/>
      <c r="N86" s="65"/>
    </row>
    <row r="87" spans="3:14">
      <c r="C87" s="287"/>
      <c r="D87" s="287"/>
      <c r="E87" s="287"/>
      <c r="F87" s="287"/>
      <c r="G87" s="287"/>
      <c r="H87" s="287"/>
      <c r="I87" s="287"/>
      <c r="J87" s="287"/>
      <c r="K87" s="287"/>
      <c r="L87" s="287"/>
      <c r="M87" s="287"/>
      <c r="N87" s="65"/>
    </row>
    <row r="88" spans="3:14">
      <c r="C88" s="287"/>
      <c r="D88" s="287"/>
      <c r="E88" s="287"/>
      <c r="F88" s="287"/>
      <c r="G88" s="287"/>
      <c r="H88" s="287"/>
      <c r="I88" s="287"/>
      <c r="J88" s="287"/>
      <c r="K88" s="287"/>
      <c r="L88" s="287"/>
      <c r="M88" s="287"/>
      <c r="N88" s="65"/>
    </row>
    <row r="89" spans="3:14">
      <c r="N89" s="65"/>
    </row>
    <row r="90" spans="3:14">
      <c r="N90" s="65"/>
    </row>
    <row r="91" spans="3:14">
      <c r="N91" s="65"/>
    </row>
    <row r="92" spans="3:14">
      <c r="N92" s="65"/>
    </row>
    <row r="93" spans="3:14">
      <c r="N93" s="65"/>
    </row>
    <row r="94" spans="3:14">
      <c r="N94" s="65"/>
    </row>
    <row r="95" spans="3:14">
      <c r="N95" s="65"/>
    </row>
  </sheetData>
  <mergeCells count="15">
    <mergeCell ref="K50:N50"/>
    <mergeCell ref="C50:F50"/>
    <mergeCell ref="G50:J50"/>
    <mergeCell ref="B49:N49"/>
    <mergeCell ref="B2:N2"/>
    <mergeCell ref="B3:N3"/>
    <mergeCell ref="B6:AB6"/>
    <mergeCell ref="B22:J22"/>
    <mergeCell ref="B7:AB7"/>
    <mergeCell ref="C9:F9"/>
    <mergeCell ref="G9:J9"/>
    <mergeCell ref="K9:N9"/>
    <mergeCell ref="B8:N8"/>
    <mergeCell ref="B4:N4"/>
    <mergeCell ref="B5:N5"/>
  </mergeCells>
  <pageMargins left="0.7" right="0.7" top="0.75" bottom="0.75" header="0.3" footer="0.3"/>
  <pageSetup paperSize="9" scale="22" orientation="portrait" r:id="rId1"/>
  <rowBreaks count="1" manualBreakCount="1">
    <brk id="45" min="1" max="18" man="1"/>
  </rowBreaks>
  <ignoredErrors>
    <ignoredError sqref="M54:M63 G20 L30:L42 L53:L63 L11:L20 M2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2:S53"/>
  <sheetViews>
    <sheetView showGridLines="0" zoomScaleNormal="100" workbookViewId="0">
      <selection activeCell="A4" sqref="A4"/>
    </sheetView>
  </sheetViews>
  <sheetFormatPr defaultColWidth="11.42578125" defaultRowHeight="15"/>
  <cols>
    <col min="1" max="1" width="11.28515625" style="1" customWidth="1"/>
    <col min="2" max="2" width="7.7109375" style="1" customWidth="1"/>
    <col min="3" max="3" width="16.42578125" style="1" customWidth="1"/>
    <col min="4" max="4" width="8" style="1" customWidth="1"/>
    <col min="5" max="5" width="12.85546875" style="1" bestFit="1" customWidth="1"/>
    <col min="6" max="6" width="8" style="1" customWidth="1"/>
    <col min="7" max="7" width="16.28515625" style="1" customWidth="1"/>
    <col min="8" max="8" width="8.7109375" style="1" customWidth="1"/>
    <col min="9" max="9" width="14.85546875" style="1" customWidth="1"/>
    <col min="10" max="10" width="8.7109375" style="1" customWidth="1"/>
    <col min="11" max="11" width="15.28515625" style="1" bestFit="1" customWidth="1"/>
    <col min="12" max="12" width="8.7109375" style="1" customWidth="1"/>
    <col min="13" max="13" width="14.42578125" style="1" customWidth="1"/>
    <col min="14" max="14" width="9" style="1" customWidth="1"/>
    <col min="15" max="15" width="17" style="1" bestFit="1" customWidth="1"/>
    <col min="16" max="16" width="6.85546875" style="1" customWidth="1"/>
    <col min="17" max="17" width="13.42578125" style="1" bestFit="1" customWidth="1"/>
    <col min="18" max="18" width="18" style="1" customWidth="1"/>
    <col min="19" max="19" width="20.42578125" style="1" customWidth="1"/>
    <col min="20" max="16384" width="11.42578125" style="1"/>
  </cols>
  <sheetData>
    <row r="2" spans="1:19">
      <c r="A2" s="562" t="s">
        <v>0</v>
      </c>
      <c r="B2" s="562"/>
      <c r="C2" s="562"/>
      <c r="D2" s="562"/>
      <c r="E2" s="562"/>
      <c r="F2" s="562"/>
      <c r="G2" s="562"/>
      <c r="H2" s="562"/>
      <c r="I2" s="562"/>
      <c r="J2" s="562"/>
      <c r="K2" s="562"/>
      <c r="L2" s="562"/>
      <c r="M2" s="562"/>
      <c r="N2" s="562"/>
      <c r="O2" s="562"/>
      <c r="P2" s="562"/>
      <c r="Q2" s="562"/>
      <c r="R2" s="171"/>
    </row>
    <row r="3" spans="1:19">
      <c r="A3" s="562" t="s">
        <v>74</v>
      </c>
      <c r="B3" s="562"/>
      <c r="C3" s="562"/>
      <c r="D3" s="562"/>
      <c r="E3" s="562"/>
      <c r="F3" s="562"/>
      <c r="G3" s="562"/>
      <c r="H3" s="562"/>
      <c r="I3" s="562"/>
      <c r="J3" s="562"/>
      <c r="K3" s="562"/>
      <c r="L3" s="562"/>
      <c r="M3" s="562"/>
      <c r="N3" s="562"/>
      <c r="O3" s="562"/>
      <c r="P3" s="562"/>
      <c r="Q3" s="562"/>
      <c r="R3" s="171"/>
    </row>
    <row r="4" spans="1:19">
      <c r="A4" s="562" t="s">
        <v>212</v>
      </c>
      <c r="B4" s="562"/>
      <c r="C4" s="562"/>
      <c r="D4" s="562"/>
      <c r="E4" s="562"/>
      <c r="F4" s="562"/>
      <c r="G4" s="562"/>
      <c r="H4" s="562"/>
      <c r="I4" s="562"/>
      <c r="J4" s="562"/>
      <c r="K4" s="562"/>
      <c r="L4" s="562"/>
      <c r="M4" s="562"/>
      <c r="N4" s="562"/>
      <c r="O4" s="562"/>
      <c r="P4" s="562"/>
      <c r="Q4" s="562"/>
      <c r="R4" s="171"/>
    </row>
    <row r="5" spans="1:19">
      <c r="A5" s="562" t="s">
        <v>3</v>
      </c>
      <c r="B5" s="562"/>
      <c r="C5" s="562"/>
      <c r="D5" s="562"/>
      <c r="E5" s="562"/>
      <c r="F5" s="562"/>
      <c r="G5" s="562"/>
      <c r="H5" s="562"/>
      <c r="I5" s="562"/>
      <c r="J5" s="562"/>
      <c r="K5" s="562"/>
      <c r="L5" s="562"/>
      <c r="M5" s="562"/>
      <c r="N5" s="562"/>
      <c r="O5" s="562"/>
      <c r="P5" s="562"/>
      <c r="Q5" s="562"/>
      <c r="R5" s="171"/>
    </row>
    <row r="6" spans="1:19">
      <c r="A6" s="562" t="s">
        <v>4</v>
      </c>
      <c r="B6" s="562"/>
      <c r="C6" s="562"/>
      <c r="D6" s="562"/>
      <c r="E6" s="562"/>
      <c r="F6" s="562"/>
      <c r="G6" s="562"/>
      <c r="H6" s="562"/>
      <c r="I6" s="562"/>
      <c r="J6" s="562"/>
      <c r="K6" s="562"/>
      <c r="L6" s="562"/>
      <c r="M6" s="562"/>
      <c r="N6" s="562"/>
      <c r="O6" s="562"/>
      <c r="P6" s="562"/>
      <c r="Q6" s="562"/>
      <c r="R6" s="171"/>
    </row>
    <row r="7" spans="1:19">
      <c r="A7" s="74"/>
      <c r="B7" s="572" t="s">
        <v>87</v>
      </c>
      <c r="C7" s="572"/>
      <c r="D7" s="572"/>
      <c r="E7" s="572"/>
      <c r="F7" s="573" t="s">
        <v>89</v>
      </c>
      <c r="G7" s="573"/>
      <c r="H7" s="573"/>
      <c r="I7" s="573"/>
      <c r="J7" s="575" t="s">
        <v>88</v>
      </c>
      <c r="K7" s="575"/>
      <c r="L7" s="575"/>
      <c r="M7" s="575"/>
      <c r="N7" s="612" t="s">
        <v>90</v>
      </c>
      <c r="O7" s="612"/>
      <c r="P7" s="612"/>
      <c r="Q7" s="612"/>
      <c r="R7" s="612"/>
    </row>
    <row r="8" spans="1:19">
      <c r="A8" s="382"/>
      <c r="B8" s="610" t="s">
        <v>213</v>
      </c>
      <c r="C8" s="610"/>
      <c r="D8" s="610" t="s">
        <v>214</v>
      </c>
      <c r="E8" s="610"/>
      <c r="F8" s="610" t="s">
        <v>213</v>
      </c>
      <c r="G8" s="610"/>
      <c r="H8" s="610" t="s">
        <v>214</v>
      </c>
      <c r="I8" s="610"/>
      <c r="J8" s="610" t="s">
        <v>213</v>
      </c>
      <c r="K8" s="610"/>
      <c r="L8" s="610" t="s">
        <v>214</v>
      </c>
      <c r="M8" s="610"/>
      <c r="N8" s="611" t="s">
        <v>215</v>
      </c>
      <c r="O8" s="611"/>
      <c r="P8" s="611" t="s">
        <v>214</v>
      </c>
      <c r="Q8" s="611"/>
      <c r="R8" s="383" t="s">
        <v>216</v>
      </c>
    </row>
    <row r="9" spans="1:19" ht="22.5" customHeight="1">
      <c r="A9" s="110" t="s">
        <v>5</v>
      </c>
      <c r="B9" s="97" t="s">
        <v>217</v>
      </c>
      <c r="C9" s="97" t="s">
        <v>9</v>
      </c>
      <c r="D9" s="97" t="s">
        <v>92</v>
      </c>
      <c r="E9" s="111" t="s">
        <v>9</v>
      </c>
      <c r="F9" s="97" t="s">
        <v>218</v>
      </c>
      <c r="G9" s="97" t="s">
        <v>9</v>
      </c>
      <c r="H9" s="97" t="s">
        <v>92</v>
      </c>
      <c r="I9" s="111" t="s">
        <v>9</v>
      </c>
      <c r="J9" s="97" t="s">
        <v>218</v>
      </c>
      <c r="K9" s="97" t="s">
        <v>9</v>
      </c>
      <c r="L9" s="97" t="s">
        <v>92</v>
      </c>
      <c r="M9" s="384" t="s">
        <v>9</v>
      </c>
      <c r="N9" s="97" t="s">
        <v>219</v>
      </c>
      <c r="O9" s="97" t="s">
        <v>9</v>
      </c>
      <c r="P9" s="97" t="s">
        <v>220</v>
      </c>
      <c r="Q9" s="111" t="s">
        <v>9</v>
      </c>
      <c r="R9" s="385" t="s">
        <v>221</v>
      </c>
    </row>
    <row r="10" spans="1:19" hidden="1">
      <c r="A10" s="38" t="s">
        <v>12</v>
      </c>
      <c r="B10" s="139"/>
      <c r="C10" s="139"/>
      <c r="D10" s="139"/>
      <c r="E10" s="386"/>
      <c r="F10" s="139"/>
      <c r="G10" s="139"/>
      <c r="H10" s="139"/>
      <c r="I10" s="124"/>
      <c r="J10" s="139"/>
      <c r="K10" s="387"/>
      <c r="L10" s="121"/>
      <c r="M10" s="329"/>
      <c r="N10" s="384">
        <f>+B10+J10+F10</f>
        <v>0</v>
      </c>
      <c r="O10" s="33">
        <f>+C10+K10+G10</f>
        <v>0</v>
      </c>
      <c r="P10" s="388">
        <f>+D10+L10+H10</f>
        <v>0</v>
      </c>
      <c r="Q10" s="384">
        <f>+E10+M10+I10</f>
        <v>0</v>
      </c>
      <c r="R10" s="158"/>
    </row>
    <row r="11" spans="1:19" ht="14.25" customHeight="1">
      <c r="A11" s="437" t="s">
        <v>13</v>
      </c>
      <c r="B11" s="482">
        <v>174718</v>
      </c>
      <c r="C11" s="479">
        <v>2903412440.8099999</v>
      </c>
      <c r="D11" s="478">
        <v>161</v>
      </c>
      <c r="E11" s="479">
        <v>2342287.4700000002</v>
      </c>
      <c r="F11" s="482">
        <v>26451</v>
      </c>
      <c r="G11" s="479">
        <v>828096274.13</v>
      </c>
      <c r="H11" s="528">
        <v>15</v>
      </c>
      <c r="I11" s="479">
        <v>288933.61</v>
      </c>
      <c r="J11" s="482">
        <v>59080</v>
      </c>
      <c r="K11" s="479">
        <v>354480000</v>
      </c>
      <c r="L11" s="478">
        <v>36</v>
      </c>
      <c r="M11" s="479">
        <v>216000</v>
      </c>
      <c r="N11" s="488">
        <v>260249</v>
      </c>
      <c r="O11" s="481">
        <v>4085988714.9400001</v>
      </c>
      <c r="P11" s="480">
        <v>212</v>
      </c>
      <c r="Q11" s="481">
        <v>2847221.08</v>
      </c>
      <c r="R11" s="524">
        <f>+SUM(O11+Q11)</f>
        <v>4088835936.02</v>
      </c>
    </row>
    <row r="12" spans="1:19" ht="14.25" customHeight="1">
      <c r="A12" s="437" t="s">
        <v>14</v>
      </c>
      <c r="B12" s="482">
        <v>172254</v>
      </c>
      <c r="C12" s="479">
        <v>2757373752.3099999</v>
      </c>
      <c r="D12" s="478">
        <v>239</v>
      </c>
      <c r="E12" s="479">
        <v>3790520.29</v>
      </c>
      <c r="F12" s="482">
        <v>26532</v>
      </c>
      <c r="G12" s="479">
        <v>798984716.14999998</v>
      </c>
      <c r="H12" s="528">
        <v>28</v>
      </c>
      <c r="I12" s="479">
        <v>491157.82</v>
      </c>
      <c r="J12" s="482">
        <v>56964</v>
      </c>
      <c r="K12" s="479">
        <v>323847500</v>
      </c>
      <c r="L12" s="478">
        <v>53</v>
      </c>
      <c r="M12" s="479">
        <v>315000</v>
      </c>
      <c r="N12" s="488">
        <v>255750</v>
      </c>
      <c r="O12" s="481">
        <v>3880205968.46</v>
      </c>
      <c r="P12" s="480">
        <v>320</v>
      </c>
      <c r="Q12" s="481">
        <v>4596678.1100000003</v>
      </c>
      <c r="R12" s="521">
        <v>3884802646.5700002</v>
      </c>
    </row>
    <row r="13" spans="1:19" ht="14.25" customHeight="1">
      <c r="A13" s="437" t="s">
        <v>15</v>
      </c>
      <c r="B13" s="482">
        <v>174234</v>
      </c>
      <c r="C13" s="479">
        <v>2894551401.77</v>
      </c>
      <c r="D13" s="478">
        <v>364</v>
      </c>
      <c r="E13" s="479">
        <v>5808407.5899999999</v>
      </c>
      <c r="F13" s="482">
        <v>26450</v>
      </c>
      <c r="G13" s="479">
        <v>828611357.48000002</v>
      </c>
      <c r="H13" s="528">
        <v>41</v>
      </c>
      <c r="I13" s="479">
        <v>747426.36</v>
      </c>
      <c r="J13" s="482">
        <v>57689</v>
      </c>
      <c r="K13" s="479">
        <v>346134000</v>
      </c>
      <c r="L13" s="478">
        <v>85</v>
      </c>
      <c r="M13" s="479">
        <v>510000</v>
      </c>
      <c r="N13" s="488">
        <v>258373</v>
      </c>
      <c r="O13" s="481">
        <v>4069296759.25</v>
      </c>
      <c r="P13" s="480">
        <v>490</v>
      </c>
      <c r="Q13" s="481">
        <v>7065833.9500000002</v>
      </c>
      <c r="R13" s="524">
        <f>+SUM(O13+Q13)</f>
        <v>4076362593.1999998</v>
      </c>
    </row>
    <row r="14" spans="1:19" ht="14.25" customHeight="1">
      <c r="A14" s="438" t="s">
        <v>16</v>
      </c>
      <c r="B14" s="482">
        <v>173028</v>
      </c>
      <c r="C14" s="479">
        <v>2860675584.7600002</v>
      </c>
      <c r="D14" s="478">
        <v>289</v>
      </c>
      <c r="E14" s="479">
        <v>4795392.28</v>
      </c>
      <c r="F14" s="482">
        <v>26492</v>
      </c>
      <c r="G14" s="479">
        <v>828442344.28999996</v>
      </c>
      <c r="H14" s="528">
        <v>40</v>
      </c>
      <c r="I14" s="479">
        <v>688188.52</v>
      </c>
      <c r="J14" s="482">
        <v>57315</v>
      </c>
      <c r="K14" s="479">
        <v>343890000</v>
      </c>
      <c r="L14" s="478">
        <v>91</v>
      </c>
      <c r="M14" s="479">
        <v>546000</v>
      </c>
      <c r="N14" s="488">
        <v>256835</v>
      </c>
      <c r="O14" s="481">
        <v>4033007929.0500002</v>
      </c>
      <c r="P14" s="480">
        <v>420</v>
      </c>
      <c r="Q14" s="481">
        <v>6029580.7999999998</v>
      </c>
      <c r="R14" s="524">
        <f>+SUM(O14+Q14)</f>
        <v>4039037509.8500004</v>
      </c>
    </row>
    <row r="15" spans="1:19">
      <c r="A15" s="330" t="s">
        <v>17</v>
      </c>
      <c r="B15" s="409">
        <f>+B11</f>
        <v>174718</v>
      </c>
      <c r="C15" s="499">
        <f>SUM(C11:C14)</f>
        <v>11416013179.65</v>
      </c>
      <c r="D15" s="389">
        <f>D11</f>
        <v>161</v>
      </c>
      <c r="E15" s="499">
        <f>SUM(E11:E14)</f>
        <v>16736607.629999999</v>
      </c>
      <c r="F15" s="409">
        <f>+F11</f>
        <v>26451</v>
      </c>
      <c r="G15" s="499">
        <f>SUM(G11:G14)</f>
        <v>3284134692.0500002</v>
      </c>
      <c r="H15" s="389">
        <f>H11</f>
        <v>15</v>
      </c>
      <c r="I15" s="499">
        <f>+SUM(I11:I14)</f>
        <v>2215706.31</v>
      </c>
      <c r="J15" s="409">
        <f>+J11</f>
        <v>59080</v>
      </c>
      <c r="K15" s="499">
        <f>SUM(K11:K14)</f>
        <v>1368351500</v>
      </c>
      <c r="L15" s="389">
        <f>L11</f>
        <v>36</v>
      </c>
      <c r="M15" s="499">
        <f>SUM(M11:M14)</f>
        <v>1587000</v>
      </c>
      <c r="N15" s="409">
        <f>+N11</f>
        <v>260249</v>
      </c>
      <c r="O15" s="500">
        <f>+SUM(O11:O14)</f>
        <v>16068499371.700001</v>
      </c>
      <c r="P15" s="389">
        <f>P11</f>
        <v>212</v>
      </c>
      <c r="Q15" s="500">
        <f>+SUM(Q11:Q14)</f>
        <v>20539313.940000001</v>
      </c>
      <c r="R15" s="500">
        <f>+SUM(O15+Q15)</f>
        <v>16089038685.640001</v>
      </c>
      <c r="S15" s="290"/>
    </row>
    <row r="16" spans="1:19" hidden="1">
      <c r="A16" s="38" t="s">
        <v>18</v>
      </c>
      <c r="B16" s="139"/>
      <c r="C16" s="390"/>
      <c r="D16" s="139"/>
      <c r="E16" s="390"/>
      <c r="F16" s="139"/>
      <c r="G16" s="390"/>
      <c r="H16" s="139"/>
      <c r="I16" s="390"/>
      <c r="J16" s="139"/>
      <c r="K16" s="390"/>
      <c r="L16" s="121"/>
      <c r="M16" s="139"/>
      <c r="N16" s="391"/>
      <c r="O16" s="391"/>
      <c r="P16" s="391"/>
      <c r="Q16" s="391"/>
      <c r="R16" s="392"/>
      <c r="S16" s="30"/>
    </row>
    <row r="17" spans="1:19" hidden="1">
      <c r="A17" s="38" t="s">
        <v>19</v>
      </c>
      <c r="B17" s="139"/>
      <c r="C17" s="390"/>
      <c r="D17" s="139"/>
      <c r="E17" s="390"/>
      <c r="F17" s="139"/>
      <c r="G17" s="390"/>
      <c r="H17" s="139"/>
      <c r="I17" s="390"/>
      <c r="J17" s="139"/>
      <c r="K17" s="390"/>
      <c r="L17" s="121"/>
      <c r="M17" s="139"/>
      <c r="N17" s="391"/>
      <c r="O17" s="391"/>
      <c r="P17" s="391"/>
      <c r="Q17" s="391"/>
      <c r="R17" s="392"/>
    </row>
    <row r="18" spans="1:19" hidden="1">
      <c r="A18" s="38" t="s">
        <v>20</v>
      </c>
      <c r="B18" s="139"/>
      <c r="C18" s="390"/>
      <c r="D18" s="139"/>
      <c r="E18" s="390"/>
      <c r="F18" s="139"/>
      <c r="G18" s="390"/>
      <c r="H18" s="139"/>
      <c r="I18" s="390"/>
      <c r="J18" s="139"/>
      <c r="K18" s="390"/>
      <c r="L18" s="393"/>
      <c r="M18" s="139"/>
      <c r="N18" s="391"/>
      <c r="O18" s="391"/>
      <c r="P18" s="391"/>
      <c r="Q18" s="391"/>
      <c r="R18" s="392"/>
    </row>
    <row r="19" spans="1:19" hidden="1">
      <c r="A19" s="40" t="s">
        <v>21</v>
      </c>
      <c r="B19" s="394">
        <f>+B16</f>
        <v>0</v>
      </c>
      <c r="C19" s="394">
        <f>SUM(C16:C18)</f>
        <v>0</v>
      </c>
      <c r="D19" s="394">
        <f t="shared" ref="D19:Q19" si="0">SUM(D16:D18)</f>
        <v>0</v>
      </c>
      <c r="E19" s="394">
        <f t="shared" si="0"/>
        <v>0</v>
      </c>
      <c r="F19" s="394">
        <f t="shared" si="0"/>
        <v>0</v>
      </c>
      <c r="G19" s="394">
        <f t="shared" si="0"/>
        <v>0</v>
      </c>
      <c r="H19" s="394">
        <f t="shared" si="0"/>
        <v>0</v>
      </c>
      <c r="I19" s="394">
        <f t="shared" si="0"/>
        <v>0</v>
      </c>
      <c r="J19" s="394">
        <f t="shared" si="0"/>
        <v>0</v>
      </c>
      <c r="K19" s="394">
        <f t="shared" si="0"/>
        <v>0</v>
      </c>
      <c r="L19" s="394">
        <f t="shared" si="0"/>
        <v>0</v>
      </c>
      <c r="M19" s="394">
        <f t="shared" si="0"/>
        <v>0</v>
      </c>
      <c r="N19" s="394">
        <f t="shared" si="0"/>
        <v>0</v>
      </c>
      <c r="O19" s="394">
        <f t="shared" si="0"/>
        <v>0</v>
      </c>
      <c r="P19" s="394">
        <f t="shared" si="0"/>
        <v>0</v>
      </c>
      <c r="Q19" s="394">
        <f t="shared" si="0"/>
        <v>0</v>
      </c>
      <c r="R19" s="395"/>
      <c r="S19" s="169">
        <f>O19+Q19</f>
        <v>0</v>
      </c>
    </row>
    <row r="20" spans="1:19" hidden="1">
      <c r="A20" s="38" t="s">
        <v>22</v>
      </c>
      <c r="B20" s="121"/>
      <c r="C20" s="123"/>
      <c r="D20" s="121"/>
      <c r="E20" s="124"/>
      <c r="F20" s="121"/>
      <c r="G20" s="123"/>
      <c r="H20" s="121">
        <f>SUM(H16:H18)</f>
        <v>0</v>
      </c>
      <c r="I20" s="124"/>
      <c r="J20" s="121"/>
      <c r="K20" s="123"/>
      <c r="L20" s="121"/>
      <c r="M20" s="124"/>
      <c r="N20" s="391">
        <f t="shared" ref="N20:P22" si="1">+B20+J20+F20</f>
        <v>0</v>
      </c>
      <c r="O20" s="396">
        <f t="shared" si="1"/>
        <v>0</v>
      </c>
      <c r="P20" s="391">
        <f t="shared" si="1"/>
        <v>0</v>
      </c>
      <c r="Q20" s="396">
        <f>+E20+M20+I20</f>
        <v>0</v>
      </c>
      <c r="R20" s="392"/>
    </row>
    <row r="21" spans="1:19" hidden="1">
      <c r="A21" s="38" t="s">
        <v>23</v>
      </c>
      <c r="B21" s="121"/>
      <c r="C21" s="123"/>
      <c r="D21" s="121"/>
      <c r="E21" s="124"/>
      <c r="F21" s="121"/>
      <c r="G21" s="123"/>
      <c r="H21" s="121"/>
      <c r="I21" s="124"/>
      <c r="J21" s="121"/>
      <c r="K21" s="123"/>
      <c r="L21" s="121"/>
      <c r="M21" s="124"/>
      <c r="N21" s="391">
        <f t="shared" si="1"/>
        <v>0</v>
      </c>
      <c r="O21" s="396">
        <f t="shared" si="1"/>
        <v>0</v>
      </c>
      <c r="P21" s="391">
        <f t="shared" si="1"/>
        <v>0</v>
      </c>
      <c r="Q21" s="396">
        <f>+E21+M21+I21</f>
        <v>0</v>
      </c>
      <c r="R21" s="392"/>
    </row>
    <row r="22" spans="1:19" hidden="1">
      <c r="A22" s="38" t="s">
        <v>24</v>
      </c>
      <c r="B22" s="121"/>
      <c r="C22" s="123"/>
      <c r="D22" s="121"/>
      <c r="E22" s="124"/>
      <c r="F22" s="121"/>
      <c r="G22" s="123"/>
      <c r="H22" s="121"/>
      <c r="I22" s="124"/>
      <c r="J22" s="121"/>
      <c r="K22" s="123"/>
      <c r="L22" s="121"/>
      <c r="M22" s="124"/>
      <c r="N22" s="391">
        <f t="shared" si="1"/>
        <v>0</v>
      </c>
      <c r="O22" s="396">
        <f t="shared" si="1"/>
        <v>0</v>
      </c>
      <c r="P22" s="391">
        <f t="shared" si="1"/>
        <v>0</v>
      </c>
      <c r="Q22" s="396">
        <f>+E22+M22+I22</f>
        <v>0</v>
      </c>
      <c r="R22" s="392"/>
    </row>
    <row r="23" spans="1:19" hidden="1">
      <c r="A23" s="40" t="s">
        <v>25</v>
      </c>
      <c r="B23" s="394">
        <f>+B22</f>
        <v>0</v>
      </c>
      <c r="C23" s="397">
        <f>SUM(C20:C22)</f>
        <v>0</v>
      </c>
      <c r="D23" s="394">
        <f>+D22</f>
        <v>0</v>
      </c>
      <c r="E23" s="397">
        <f>SUM(E20:E22)</f>
        <v>0</v>
      </c>
      <c r="F23" s="394">
        <f>+F22</f>
        <v>0</v>
      </c>
      <c r="G23" s="397">
        <f>SUM(G20:G22)</f>
        <v>0</v>
      </c>
      <c r="H23" s="394">
        <f>+H22</f>
        <v>0</v>
      </c>
      <c r="I23" s="397">
        <f>SUM(I20:I22)</f>
        <v>0</v>
      </c>
      <c r="J23" s="394">
        <f>+J22</f>
        <v>0</v>
      </c>
      <c r="K23" s="397">
        <f>SUM(K20:K22)</f>
        <v>0</v>
      </c>
      <c r="L23" s="394">
        <f>+L22</f>
        <v>0</v>
      </c>
      <c r="M23" s="397">
        <f>SUM(M20:M22)</f>
        <v>0</v>
      </c>
      <c r="N23" s="398">
        <f>+N22</f>
        <v>0</v>
      </c>
      <c r="O23" s="399">
        <f>SUM(O20:O22)</f>
        <v>0</v>
      </c>
      <c r="P23" s="398">
        <f>+P22</f>
        <v>0</v>
      </c>
      <c r="Q23" s="399">
        <f>SUM(Q20:Q22)</f>
        <v>0</v>
      </c>
      <c r="R23" s="392"/>
      <c r="S23" s="31"/>
    </row>
    <row r="24" spans="1:19" hidden="1">
      <c r="A24" s="38" t="s">
        <v>43</v>
      </c>
      <c r="B24" s="121"/>
      <c r="C24" s="123"/>
      <c r="D24" s="121"/>
      <c r="E24" s="124"/>
      <c r="F24" s="121"/>
      <c r="G24" s="123"/>
      <c r="H24" s="121"/>
      <c r="I24" s="124"/>
      <c r="J24" s="121"/>
      <c r="K24" s="123"/>
      <c r="L24" s="121"/>
      <c r="M24" s="124"/>
      <c r="N24" s="391">
        <f t="shared" ref="N24:P26" si="2">+B24+J24+F24</f>
        <v>0</v>
      </c>
      <c r="O24" s="396">
        <f t="shared" si="2"/>
        <v>0</v>
      </c>
      <c r="P24" s="391">
        <f t="shared" si="2"/>
        <v>0</v>
      </c>
      <c r="Q24" s="396">
        <f>+E24+M24+I24</f>
        <v>0</v>
      </c>
      <c r="R24" s="392"/>
    </row>
    <row r="25" spans="1:19" hidden="1">
      <c r="A25" s="38" t="s">
        <v>27</v>
      </c>
      <c r="B25" s="121"/>
      <c r="C25" s="123"/>
      <c r="D25" s="121"/>
      <c r="E25" s="124"/>
      <c r="F25" s="121"/>
      <c r="G25" s="123"/>
      <c r="H25" s="121"/>
      <c r="I25" s="124"/>
      <c r="J25" s="121"/>
      <c r="K25" s="123"/>
      <c r="L25" s="121"/>
      <c r="M25" s="124"/>
      <c r="N25" s="391">
        <f t="shared" si="2"/>
        <v>0</v>
      </c>
      <c r="O25" s="396">
        <f t="shared" si="2"/>
        <v>0</v>
      </c>
      <c r="P25" s="391">
        <f t="shared" si="2"/>
        <v>0</v>
      </c>
      <c r="Q25" s="396">
        <f>+E25+M25+I25</f>
        <v>0</v>
      </c>
      <c r="R25" s="392"/>
    </row>
    <row r="26" spans="1:19" hidden="1">
      <c r="A26" s="38" t="s">
        <v>28</v>
      </c>
      <c r="B26" s="121"/>
      <c r="C26" s="123"/>
      <c r="D26" s="121"/>
      <c r="E26" s="124"/>
      <c r="F26" s="121"/>
      <c r="G26" s="123"/>
      <c r="H26" s="121"/>
      <c r="I26" s="124"/>
      <c r="J26" s="121"/>
      <c r="K26" s="123"/>
      <c r="L26" s="121"/>
      <c r="M26" s="124"/>
      <c r="N26" s="391">
        <f t="shared" si="2"/>
        <v>0</v>
      </c>
      <c r="O26" s="396">
        <f t="shared" si="2"/>
        <v>0</v>
      </c>
      <c r="P26" s="391">
        <f t="shared" si="2"/>
        <v>0</v>
      </c>
      <c r="Q26" s="396">
        <f>+E26+M26+I26</f>
        <v>0</v>
      </c>
      <c r="R26" s="392"/>
    </row>
    <row r="27" spans="1:19" hidden="1">
      <c r="A27" s="40" t="s">
        <v>29</v>
      </c>
      <c r="B27" s="394">
        <f>+B26</f>
        <v>0</v>
      </c>
      <c r="C27" s="397">
        <f>SUM(C24:C26)</f>
        <v>0</v>
      </c>
      <c r="D27" s="394">
        <f>+D26</f>
        <v>0</v>
      </c>
      <c r="E27" s="397">
        <f>SUM(E24:E26)</f>
        <v>0</v>
      </c>
      <c r="F27" s="394">
        <f>+F26</f>
        <v>0</v>
      </c>
      <c r="G27" s="397">
        <f>SUM(G24:G26)</f>
        <v>0</v>
      </c>
      <c r="H27" s="394">
        <f>+H26</f>
        <v>0</v>
      </c>
      <c r="I27" s="397">
        <f>SUM(I24:I26)</f>
        <v>0</v>
      </c>
      <c r="J27" s="394">
        <f>+J26</f>
        <v>0</v>
      </c>
      <c r="K27" s="397">
        <f>SUM(K24:K26)</f>
        <v>0</v>
      </c>
      <c r="L27" s="394">
        <f>+L26</f>
        <v>0</v>
      </c>
      <c r="M27" s="397">
        <f>SUM(M24:M26)</f>
        <v>0</v>
      </c>
      <c r="N27" s="398">
        <f>+N26</f>
        <v>0</v>
      </c>
      <c r="O27" s="399">
        <f>SUM(O24:O26)</f>
        <v>0</v>
      </c>
      <c r="P27" s="398">
        <f>+P26</f>
        <v>0</v>
      </c>
      <c r="Q27" s="399">
        <f>SUM(Q24:Q26)</f>
        <v>0</v>
      </c>
      <c r="R27" s="392"/>
      <c r="S27" s="31"/>
    </row>
    <row r="28" spans="1:19" hidden="1">
      <c r="A28" s="38" t="s">
        <v>16</v>
      </c>
      <c r="B28" s="121"/>
      <c r="C28" s="123"/>
      <c r="D28" s="121"/>
      <c r="E28" s="124"/>
      <c r="F28" s="121"/>
      <c r="G28" s="123"/>
      <c r="H28" s="121"/>
      <c r="I28" s="124"/>
      <c r="J28" s="121"/>
      <c r="K28" s="123"/>
      <c r="L28" s="121"/>
      <c r="M28" s="124"/>
      <c r="N28" s="391">
        <f t="shared" ref="N28:P31" si="3">+B28+J28+F28</f>
        <v>0</v>
      </c>
      <c r="O28" s="396">
        <f t="shared" si="3"/>
        <v>0</v>
      </c>
      <c r="P28" s="391">
        <f t="shared" si="3"/>
        <v>0</v>
      </c>
      <c r="Q28" s="396">
        <f>+E28+M28+I28</f>
        <v>0</v>
      </c>
      <c r="R28" s="392"/>
    </row>
    <row r="29" spans="1:19" hidden="1">
      <c r="A29" s="38" t="s">
        <v>15</v>
      </c>
      <c r="B29" s="121"/>
      <c r="C29" s="123"/>
      <c r="D29" s="121"/>
      <c r="E29" s="124"/>
      <c r="F29" s="121"/>
      <c r="G29" s="123"/>
      <c r="H29" s="121"/>
      <c r="I29" s="124"/>
      <c r="J29" s="121"/>
      <c r="K29" s="123"/>
      <c r="L29" s="121"/>
      <c r="M29" s="124"/>
      <c r="N29" s="391">
        <f t="shared" si="3"/>
        <v>0</v>
      </c>
      <c r="O29" s="396">
        <f t="shared" si="3"/>
        <v>0</v>
      </c>
      <c r="P29" s="391">
        <f t="shared" si="3"/>
        <v>0</v>
      </c>
      <c r="Q29" s="396">
        <f>+E29+M29+I29</f>
        <v>0</v>
      </c>
      <c r="R29" s="392"/>
    </row>
    <row r="30" spans="1:19" hidden="1">
      <c r="A30" s="38" t="s">
        <v>13</v>
      </c>
      <c r="B30" s="121"/>
      <c r="C30" s="123"/>
      <c r="D30" s="121"/>
      <c r="E30" s="124"/>
      <c r="F30" s="121"/>
      <c r="G30" s="123"/>
      <c r="H30" s="121"/>
      <c r="I30" s="124"/>
      <c r="J30" s="121"/>
      <c r="K30" s="123"/>
      <c r="L30" s="121"/>
      <c r="M30" s="124"/>
      <c r="N30" s="391">
        <f t="shared" si="3"/>
        <v>0</v>
      </c>
      <c r="O30" s="396">
        <f t="shared" si="3"/>
        <v>0</v>
      </c>
      <c r="P30" s="391">
        <f t="shared" si="3"/>
        <v>0</v>
      </c>
      <c r="Q30" s="396">
        <f>+E30+M30+I30</f>
        <v>0</v>
      </c>
      <c r="R30" s="392"/>
    </row>
    <row r="31" spans="1:19" hidden="1">
      <c r="A31" s="38" t="s">
        <v>12</v>
      </c>
      <c r="B31" s="121"/>
      <c r="C31" s="123"/>
      <c r="D31" s="121"/>
      <c r="E31" s="124"/>
      <c r="F31" s="121"/>
      <c r="G31" s="123"/>
      <c r="H31" s="121"/>
      <c r="I31" s="124"/>
      <c r="J31" s="121"/>
      <c r="K31" s="123"/>
      <c r="L31" s="121"/>
      <c r="M31" s="124"/>
      <c r="N31" s="391">
        <f t="shared" si="3"/>
        <v>0</v>
      </c>
      <c r="O31" s="396">
        <f t="shared" si="3"/>
        <v>0</v>
      </c>
      <c r="P31" s="391">
        <f t="shared" si="3"/>
        <v>0</v>
      </c>
      <c r="Q31" s="396">
        <f>+E31+M31+I31</f>
        <v>0</v>
      </c>
      <c r="R31" s="392"/>
    </row>
    <row r="32" spans="1:19" hidden="1">
      <c r="A32" s="40" t="s">
        <v>17</v>
      </c>
      <c r="B32" s="394">
        <f>+B30</f>
        <v>0</v>
      </c>
      <c r="C32" s="394">
        <f>SUM(C28:C31)</f>
        <v>0</v>
      </c>
      <c r="D32" s="394">
        <f>+D30</f>
        <v>0</v>
      </c>
      <c r="E32" s="397">
        <f>SUM(E28:E31)</f>
        <v>0</v>
      </c>
      <c r="F32" s="394">
        <f>+F30</f>
        <v>0</v>
      </c>
      <c r="G32" s="397">
        <f>SUM(G28:G31)</f>
        <v>0</v>
      </c>
      <c r="H32" s="394">
        <f>+H30</f>
        <v>0</v>
      </c>
      <c r="I32" s="397">
        <f>SUM(I28:I31)</f>
        <v>0</v>
      </c>
      <c r="J32" s="394">
        <f>+J30</f>
        <v>0</v>
      </c>
      <c r="K32" s="397">
        <f>SUM(K28:K31)</f>
        <v>0</v>
      </c>
      <c r="L32" s="394">
        <f>+L30</f>
        <v>0</v>
      </c>
      <c r="M32" s="397">
        <f>SUM(M28:M31)</f>
        <v>0</v>
      </c>
      <c r="N32" s="398">
        <f>+N30</f>
        <v>0</v>
      </c>
      <c r="O32" s="399">
        <f>SUM(O28:O31)</f>
        <v>0</v>
      </c>
      <c r="P32" s="398">
        <f>+P30</f>
        <v>0</v>
      </c>
      <c r="Q32" s="399">
        <f>SUM(Q28:Q31)</f>
        <v>0</v>
      </c>
      <c r="R32" s="392"/>
      <c r="S32" s="31"/>
    </row>
    <row r="33" spans="1:19" hidden="1">
      <c r="A33" s="43" t="s">
        <v>30</v>
      </c>
      <c r="B33" s="400">
        <f>+B32</f>
        <v>0</v>
      </c>
      <c r="C33" s="401">
        <f>+C19+C23+C27+C32</f>
        <v>0</v>
      </c>
      <c r="D33" s="400">
        <f>+D32</f>
        <v>0</v>
      </c>
      <c r="E33" s="401">
        <f>+E19+E23+E27+E32</f>
        <v>0</v>
      </c>
      <c r="F33" s="400">
        <f>+F32</f>
        <v>0</v>
      </c>
      <c r="G33" s="401">
        <f>+G19+G23+G27+G32</f>
        <v>0</v>
      </c>
      <c r="H33" s="400">
        <f>+H32</f>
        <v>0</v>
      </c>
      <c r="I33" s="401">
        <f>+I19+I23+I27+I32</f>
        <v>0</v>
      </c>
      <c r="J33" s="400">
        <f>+J32</f>
        <v>0</v>
      </c>
      <c r="K33" s="401">
        <f>+K19+K23+K27+K32</f>
        <v>0</v>
      </c>
      <c r="L33" s="400">
        <f>+L32</f>
        <v>0</v>
      </c>
      <c r="M33" s="401">
        <f>+M19+M23+M27+M32</f>
        <v>0</v>
      </c>
      <c r="N33" s="398">
        <f>+N32</f>
        <v>0</v>
      </c>
      <c r="O33" s="399">
        <f>+O19+O23+O27+O32</f>
        <v>0</v>
      </c>
      <c r="P33" s="398">
        <f>+P32</f>
        <v>0</v>
      </c>
      <c r="Q33" s="399">
        <f>+Q19+Q23+Q27+Q32</f>
        <v>0</v>
      </c>
      <c r="R33" s="392"/>
      <c r="S33" s="31"/>
    </row>
    <row r="34" spans="1:19" ht="13.5" customHeight="1">
      <c r="A34" s="172" t="s">
        <v>61</v>
      </c>
      <c r="B34" s="402"/>
      <c r="C34" s="402"/>
      <c r="D34" s="403"/>
      <c r="E34" s="172"/>
      <c r="F34" s="172"/>
      <c r="G34" s="172"/>
      <c r="H34" s="172"/>
      <c r="I34" s="172"/>
      <c r="J34" s="172"/>
      <c r="K34" s="172"/>
      <c r="L34" s="172"/>
      <c r="M34" s="172"/>
      <c r="N34" s="172"/>
      <c r="O34" s="404">
        <f>O15/R15</f>
        <v>0.99872339706919022</v>
      </c>
      <c r="P34" s="404"/>
      <c r="Q34" s="404">
        <f>+Q15/R15</f>
        <v>1.2766029308097827E-3</v>
      </c>
      <c r="R34" s="405"/>
    </row>
    <row r="35" spans="1:19" ht="12.75" customHeight="1">
      <c r="R35" s="171"/>
    </row>
    <row r="36" spans="1:19" ht="41.25" customHeight="1">
      <c r="A36"/>
      <c r="B36"/>
      <c r="C36"/>
      <c r="D36"/>
      <c r="I36"/>
      <c r="J36"/>
      <c r="K36"/>
      <c r="L36"/>
      <c r="M36"/>
      <c r="N36"/>
      <c r="O36"/>
      <c r="P36"/>
      <c r="Q36"/>
    </row>
    <row r="37" spans="1:19" ht="18.75" customHeight="1">
      <c r="A37"/>
      <c r="B37"/>
      <c r="C37"/>
      <c r="D37"/>
      <c r="E37"/>
      <c r="F37"/>
      <c r="G37"/>
      <c r="H37"/>
      <c r="I37"/>
      <c r="J37"/>
      <c r="K37"/>
      <c r="L37"/>
      <c r="M37"/>
      <c r="N37"/>
      <c r="O37"/>
      <c r="P37"/>
      <c r="Q37"/>
    </row>
    <row r="38" spans="1:19">
      <c r="A38"/>
      <c r="B38"/>
      <c r="C38"/>
      <c r="D38"/>
      <c r="E38"/>
      <c r="F38"/>
      <c r="G38"/>
      <c r="H38"/>
      <c r="I38"/>
      <c r="J38"/>
      <c r="K38"/>
      <c r="L38"/>
      <c r="M38"/>
      <c r="N38"/>
      <c r="O38"/>
      <c r="P38"/>
      <c r="Q38"/>
    </row>
    <row r="39" spans="1:19" ht="0.75" customHeight="1">
      <c r="A39"/>
      <c r="B39"/>
      <c r="C39"/>
      <c r="D39"/>
      <c r="E39"/>
      <c r="F39"/>
      <c r="G39"/>
      <c r="H39"/>
      <c r="I39"/>
      <c r="J39"/>
      <c r="K39"/>
      <c r="L39"/>
      <c r="M39"/>
      <c r="N39"/>
      <c r="O39"/>
      <c r="P39"/>
      <c r="Q39"/>
    </row>
    <row r="40" spans="1:19" hidden="1">
      <c r="A40"/>
      <c r="B40"/>
      <c r="C40"/>
      <c r="D40"/>
      <c r="E40"/>
      <c r="F40"/>
      <c r="G40"/>
      <c r="H40"/>
      <c r="I40"/>
      <c r="J40"/>
      <c r="K40"/>
      <c r="L40"/>
      <c r="M40"/>
      <c r="N40"/>
      <c r="O40"/>
      <c r="P40"/>
      <c r="Q40"/>
    </row>
    <row r="41" spans="1:19" hidden="1">
      <c r="A41"/>
      <c r="B41"/>
      <c r="C41"/>
      <c r="D41"/>
      <c r="E41"/>
      <c r="F41"/>
      <c r="G41"/>
      <c r="H41"/>
      <c r="I41"/>
      <c r="J41"/>
      <c r="K41"/>
      <c r="L41"/>
      <c r="M41"/>
      <c r="N41"/>
      <c r="O41"/>
      <c r="P41"/>
      <c r="Q41"/>
    </row>
    <row r="42" spans="1:19" hidden="1">
      <c r="A42"/>
      <c r="B42"/>
      <c r="C42"/>
      <c r="D42"/>
      <c r="E42"/>
      <c r="F42"/>
      <c r="G42"/>
      <c r="H42"/>
      <c r="I42"/>
      <c r="J42"/>
      <c r="K42"/>
      <c r="L42"/>
      <c r="M42"/>
      <c r="N42"/>
      <c r="O42"/>
      <c r="P42"/>
      <c r="Q42"/>
    </row>
    <row r="43" spans="1:19">
      <c r="A43"/>
      <c r="B43"/>
      <c r="C43"/>
      <c r="D43"/>
      <c r="E43"/>
      <c r="F43"/>
      <c r="G43"/>
      <c r="H43"/>
      <c r="I43"/>
      <c r="J43"/>
      <c r="K43"/>
      <c r="L43"/>
      <c r="M43"/>
      <c r="N43"/>
      <c r="O43"/>
      <c r="P43"/>
      <c r="Q43"/>
    </row>
    <row r="44" spans="1:19">
      <c r="A44"/>
      <c r="B44"/>
      <c r="C44"/>
      <c r="D44"/>
      <c r="E44"/>
      <c r="F44"/>
      <c r="G44"/>
      <c r="H44"/>
      <c r="I44"/>
      <c r="J44"/>
      <c r="K44"/>
      <c r="L44"/>
      <c r="M44"/>
      <c r="N44"/>
      <c r="O44"/>
      <c r="P44"/>
      <c r="Q44"/>
    </row>
    <row r="45" spans="1:19">
      <c r="A45"/>
      <c r="B45"/>
      <c r="C45"/>
      <c r="D45"/>
      <c r="E45"/>
      <c r="F45"/>
      <c r="G45"/>
      <c r="H45"/>
      <c r="I45"/>
      <c r="J45"/>
      <c r="K45"/>
      <c r="L45"/>
      <c r="M45"/>
      <c r="N45"/>
      <c r="O45"/>
      <c r="P45"/>
      <c r="Q45"/>
    </row>
    <row r="46" spans="1:19" ht="93.75" customHeight="1">
      <c r="A46"/>
      <c r="B46"/>
      <c r="C46"/>
      <c r="D46"/>
      <c r="E46"/>
      <c r="F46"/>
      <c r="G46"/>
      <c r="H46"/>
      <c r="I46"/>
      <c r="J46"/>
      <c r="K46"/>
      <c r="L46"/>
      <c r="M46"/>
      <c r="N46"/>
      <c r="O46"/>
      <c r="P46"/>
      <c r="Q46"/>
    </row>
    <row r="51" spans="1:18" ht="45" customHeight="1">
      <c r="A51" s="38"/>
      <c r="B51" s="121"/>
      <c r="C51" s="123"/>
      <c r="D51" s="121"/>
      <c r="E51" s="124"/>
      <c r="F51" s="121"/>
      <c r="G51" s="123"/>
      <c r="H51" s="121"/>
      <c r="I51" s="124"/>
      <c r="J51" s="121"/>
      <c r="K51" s="123"/>
      <c r="L51" s="121"/>
      <c r="M51" s="124"/>
      <c r="N51" s="33"/>
      <c r="O51" s="33"/>
      <c r="P51" s="33"/>
      <c r="Q51" s="49"/>
      <c r="R51" s="49"/>
    </row>
    <row r="53" spans="1:18">
      <c r="A53" s="38"/>
      <c r="B53" s="121"/>
      <c r="C53" s="123"/>
      <c r="D53" s="121"/>
      <c r="E53" s="124"/>
      <c r="F53" s="121"/>
      <c r="G53" s="123"/>
      <c r="H53" s="121"/>
      <c r="I53" s="124"/>
      <c r="J53" s="121"/>
      <c r="K53" s="123"/>
      <c r="L53" s="121"/>
      <c r="M53" s="124"/>
      <c r="N53" s="33"/>
      <c r="O53" s="33"/>
      <c r="P53" s="33"/>
      <c r="Q53" s="49"/>
      <c r="R53" s="49"/>
    </row>
  </sheetData>
  <mergeCells count="17">
    <mergeCell ref="B7:E7"/>
    <mergeCell ref="J7:M7"/>
    <mergeCell ref="L8:M8"/>
    <mergeCell ref="A2:Q2"/>
    <mergeCell ref="A3:Q3"/>
    <mergeCell ref="A4:Q4"/>
    <mergeCell ref="A6:Q6"/>
    <mergeCell ref="B8:C8"/>
    <mergeCell ref="D8:E8"/>
    <mergeCell ref="J8:K8"/>
    <mergeCell ref="N8:O8"/>
    <mergeCell ref="P8:Q8"/>
    <mergeCell ref="A5:Q5"/>
    <mergeCell ref="F8:G8"/>
    <mergeCell ref="H8:I8"/>
    <mergeCell ref="N7:R7"/>
    <mergeCell ref="F7:I7"/>
  </mergeCells>
  <pageMargins left="0.7" right="0.7" top="0.75" bottom="0.75" header="0.3" footer="0.3"/>
  <pageSetup paperSize="9" scale="40" orientation="portrait" r:id="rId1"/>
  <colBreaks count="1" manualBreakCount="1">
    <brk id="18" max="1048575" man="1"/>
  </colBreaks>
  <ignoredErrors>
    <ignoredError sqref="C32 E32" formula="1"/>
    <ignoredError sqref="R13 R11 R14 O15 Q15:R15" unlockedFormula="1"/>
    <ignoredError sqref="D15:N15 P15" formula="1"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2:Q43"/>
  <sheetViews>
    <sheetView showGridLines="0" zoomScale="110" zoomScaleNormal="110" workbookViewId="0">
      <selection activeCell="A4" sqref="A4"/>
    </sheetView>
  </sheetViews>
  <sheetFormatPr defaultColWidth="11.42578125" defaultRowHeight="15"/>
  <cols>
    <col min="1" max="1" width="11.42578125" style="1"/>
    <col min="2" max="3" width="10" style="1" customWidth="1"/>
    <col min="4" max="4" width="13.7109375" style="1" customWidth="1"/>
    <col min="5" max="6" width="10" style="1" customWidth="1"/>
    <col min="7" max="7" width="13.5703125" style="1" customWidth="1"/>
    <col min="8" max="9" width="10" style="1" customWidth="1"/>
    <col min="10" max="10" width="10.85546875" style="1" customWidth="1"/>
    <col min="11" max="11" width="11.5703125" style="1" customWidth="1"/>
    <col min="12" max="12" width="10" style="1" customWidth="1"/>
    <col min="13" max="13" width="14.140625" style="1" customWidth="1"/>
    <col min="14" max="14" width="11.7109375" style="1" bestFit="1" customWidth="1"/>
    <col min="15" max="15" width="18.42578125" style="1" customWidth="1"/>
    <col min="16" max="16" width="16" style="1" bestFit="1" customWidth="1"/>
    <col min="17" max="17" width="11.7109375" style="1" bestFit="1" customWidth="1"/>
    <col min="18" max="16384" width="11.42578125" style="1"/>
  </cols>
  <sheetData>
    <row r="2" spans="1:15">
      <c r="A2" s="562" t="s">
        <v>0</v>
      </c>
      <c r="B2" s="562"/>
      <c r="C2" s="562"/>
      <c r="D2" s="562"/>
      <c r="E2" s="562"/>
      <c r="F2" s="562"/>
      <c r="G2" s="562"/>
      <c r="H2" s="562"/>
      <c r="I2" s="562"/>
      <c r="J2" s="562"/>
    </row>
    <row r="3" spans="1:15">
      <c r="A3" s="562" t="s">
        <v>74</v>
      </c>
      <c r="B3" s="562"/>
      <c r="C3" s="562"/>
      <c r="D3" s="562"/>
      <c r="E3" s="562"/>
      <c r="F3" s="562"/>
      <c r="G3" s="562"/>
      <c r="H3" s="562"/>
      <c r="I3" s="562"/>
      <c r="J3" s="562"/>
    </row>
    <row r="4" spans="1:15">
      <c r="A4" s="562" t="s">
        <v>222</v>
      </c>
      <c r="B4" s="562"/>
      <c r="C4" s="562"/>
      <c r="D4" s="562"/>
      <c r="E4" s="562"/>
      <c r="F4" s="562"/>
      <c r="G4" s="562"/>
      <c r="H4" s="562"/>
      <c r="I4" s="562"/>
      <c r="J4" s="562"/>
    </row>
    <row r="5" spans="1:15">
      <c r="A5" s="562" t="s">
        <v>3</v>
      </c>
      <c r="B5" s="562"/>
      <c r="C5" s="562"/>
      <c r="D5" s="562"/>
      <c r="E5" s="562"/>
      <c r="F5" s="562"/>
      <c r="G5" s="562"/>
      <c r="H5" s="562"/>
      <c r="I5" s="562"/>
      <c r="J5" s="562"/>
    </row>
    <row r="6" spans="1:15">
      <c r="A6" s="562" t="s">
        <v>4</v>
      </c>
      <c r="B6" s="562"/>
      <c r="C6" s="562"/>
      <c r="D6" s="562"/>
      <c r="E6" s="562"/>
      <c r="F6" s="562"/>
      <c r="G6" s="562"/>
      <c r="H6" s="562"/>
      <c r="I6" s="562"/>
      <c r="J6" s="562"/>
    </row>
    <row r="7" spans="1:15">
      <c r="A7" s="74"/>
      <c r="B7" s="572" t="s">
        <v>87</v>
      </c>
      <c r="C7" s="572"/>
      <c r="D7" s="572"/>
      <c r="E7" s="573" t="s">
        <v>89</v>
      </c>
      <c r="F7" s="573"/>
      <c r="G7" s="573"/>
      <c r="H7" s="613" t="s">
        <v>223</v>
      </c>
      <c r="I7" s="613"/>
      <c r="J7" s="613"/>
      <c r="K7" s="574" t="s">
        <v>90</v>
      </c>
      <c r="L7" s="574"/>
      <c r="M7" s="574"/>
      <c r="N7"/>
      <c r="O7"/>
    </row>
    <row r="8" spans="1:15" ht="38.25">
      <c r="A8" s="75" t="s">
        <v>5</v>
      </c>
      <c r="B8" s="39" t="s">
        <v>224</v>
      </c>
      <c r="C8" s="39" t="s">
        <v>225</v>
      </c>
      <c r="D8" s="39" t="s">
        <v>108</v>
      </c>
      <c r="E8" s="39" t="s">
        <v>224</v>
      </c>
      <c r="F8" s="39" t="s">
        <v>225</v>
      </c>
      <c r="G8" s="39" t="s">
        <v>108</v>
      </c>
      <c r="H8" s="39" t="s">
        <v>91</v>
      </c>
      <c r="I8" s="39" t="s">
        <v>92</v>
      </c>
      <c r="J8" s="39" t="s">
        <v>108</v>
      </c>
      <c r="K8" s="39" t="s">
        <v>91</v>
      </c>
      <c r="L8" s="39" t="s">
        <v>92</v>
      </c>
      <c r="M8" s="39" t="s">
        <v>108</v>
      </c>
      <c r="N8"/>
      <c r="O8"/>
    </row>
    <row r="9" spans="1:15" ht="0.75" customHeight="1">
      <c r="A9" s="143" t="s">
        <v>14</v>
      </c>
      <c r="B9" s="139" t="s">
        <v>109</v>
      </c>
      <c r="C9" s="139" t="s">
        <v>109</v>
      </c>
      <c r="D9" s="93" t="s">
        <v>109</v>
      </c>
      <c r="E9" s="140" t="s">
        <v>109</v>
      </c>
      <c r="F9" s="128" t="s">
        <v>109</v>
      </c>
      <c r="G9" s="50" t="s">
        <v>109</v>
      </c>
      <c r="H9" s="144" t="s">
        <v>109</v>
      </c>
      <c r="I9" s="144" t="s">
        <v>109</v>
      </c>
      <c r="J9" s="145" t="s">
        <v>109</v>
      </c>
      <c r="K9" s="144"/>
      <c r="L9" s="144"/>
      <c r="M9" s="145"/>
      <c r="N9"/>
      <c r="O9"/>
    </row>
    <row r="10" spans="1:15">
      <c r="A10" s="433" t="s">
        <v>13</v>
      </c>
      <c r="B10" s="482">
        <v>1156</v>
      </c>
      <c r="C10" s="482">
        <v>1216</v>
      </c>
      <c r="D10" s="479">
        <v>96559105.819999993</v>
      </c>
      <c r="E10" s="478">
        <v>339</v>
      </c>
      <c r="F10" s="478">
        <v>345</v>
      </c>
      <c r="G10" s="479">
        <v>38258791.280000001</v>
      </c>
      <c r="H10" s="478">
        <v>9</v>
      </c>
      <c r="I10" s="478">
        <v>9</v>
      </c>
      <c r="J10" s="479">
        <v>102000</v>
      </c>
      <c r="K10" s="489">
        <v>1504</v>
      </c>
      <c r="L10" s="489">
        <v>1570</v>
      </c>
      <c r="M10" s="487">
        <v>134919897.09999999</v>
      </c>
      <c r="N10"/>
      <c r="O10"/>
    </row>
    <row r="11" spans="1:15">
      <c r="A11" s="433" t="s">
        <v>15</v>
      </c>
      <c r="B11" s="478">
        <v>0</v>
      </c>
      <c r="C11" s="478">
        <v>0</v>
      </c>
      <c r="D11" s="478" t="s">
        <v>226</v>
      </c>
      <c r="E11" s="478">
        <v>0</v>
      </c>
      <c r="F11" s="478">
        <v>0</v>
      </c>
      <c r="G11" s="478" t="s">
        <v>227</v>
      </c>
      <c r="H11" s="478">
        <v>0</v>
      </c>
      <c r="I11" s="478">
        <v>0</v>
      </c>
      <c r="J11" s="478" t="s">
        <v>228</v>
      </c>
      <c r="K11" s="486">
        <v>0</v>
      </c>
      <c r="L11" s="486">
        <v>0</v>
      </c>
      <c r="M11" s="486" t="s">
        <v>229</v>
      </c>
      <c r="N11"/>
      <c r="O11"/>
    </row>
    <row r="12" spans="1:15" s="29" customFormat="1">
      <c r="A12" s="434" t="s">
        <v>16</v>
      </c>
      <c r="B12" s="478">
        <v>153</v>
      </c>
      <c r="C12" s="478">
        <v>154</v>
      </c>
      <c r="D12" s="479">
        <v>21578277.449999999</v>
      </c>
      <c r="E12" s="478">
        <v>0</v>
      </c>
      <c r="F12" s="478">
        <v>0</v>
      </c>
      <c r="G12" s="478" t="s">
        <v>227</v>
      </c>
      <c r="H12" s="478">
        <v>0</v>
      </c>
      <c r="I12" s="478">
        <v>0</v>
      </c>
      <c r="J12" s="478" t="s">
        <v>228</v>
      </c>
      <c r="K12" s="486">
        <v>153</v>
      </c>
      <c r="L12" s="486">
        <v>154</v>
      </c>
      <c r="M12" s="487">
        <v>21578277.449999999</v>
      </c>
      <c r="N12" s="117"/>
      <c r="O12" s="117"/>
    </row>
    <row r="13" spans="1:15">
      <c r="A13" s="330" t="s">
        <v>17</v>
      </c>
      <c r="B13" s="364">
        <f>SUM(B10:B12)</f>
        <v>1309</v>
      </c>
      <c r="C13" s="364">
        <f t="shared" ref="C13:I13" si="0">SUM(C10:C12)</f>
        <v>1370</v>
      </c>
      <c r="D13" s="359">
        <f t="shared" si="0"/>
        <v>118137383.27</v>
      </c>
      <c r="E13" s="358">
        <f t="shared" si="0"/>
        <v>339</v>
      </c>
      <c r="F13" s="358">
        <f t="shared" si="0"/>
        <v>345</v>
      </c>
      <c r="G13" s="359">
        <f t="shared" si="0"/>
        <v>38258791.280000001</v>
      </c>
      <c r="H13" s="364">
        <f t="shared" si="0"/>
        <v>9</v>
      </c>
      <c r="I13" s="364">
        <f t="shared" si="0"/>
        <v>9</v>
      </c>
      <c r="J13" s="359">
        <f>SUM(J10:J12)</f>
        <v>102000</v>
      </c>
      <c r="K13" s="364">
        <f>SUM(K10:K12)</f>
        <v>1657</v>
      </c>
      <c r="L13" s="364">
        <f>SUM(L10:L12)</f>
        <v>1724</v>
      </c>
      <c r="M13" s="530">
        <f>SUM(M10:M12)</f>
        <v>156498174.54999998</v>
      </c>
      <c r="N13"/>
      <c r="O13"/>
    </row>
    <row r="14" spans="1:15" hidden="1">
      <c r="A14" s="110" t="s">
        <v>18</v>
      </c>
      <c r="B14" s="120"/>
      <c r="C14" s="120"/>
      <c r="D14" s="126"/>
      <c r="E14" s="93"/>
      <c r="F14" s="93"/>
      <c r="G14" s="126"/>
      <c r="H14" s="33"/>
      <c r="I14" s="33"/>
      <c r="J14" s="33"/>
      <c r="K14"/>
      <c r="L14"/>
      <c r="M14"/>
      <c r="N14"/>
      <c r="O14"/>
    </row>
    <row r="15" spans="1:15" hidden="1">
      <c r="A15" s="110" t="s">
        <v>19</v>
      </c>
      <c r="B15" s="120"/>
      <c r="C15" s="120"/>
      <c r="D15" s="126"/>
      <c r="E15" s="93"/>
      <c r="F15" s="93"/>
      <c r="G15" s="126"/>
      <c r="H15" s="33"/>
      <c r="I15" s="33"/>
      <c r="J15" s="33"/>
      <c r="K15"/>
      <c r="L15"/>
      <c r="M15"/>
      <c r="N15"/>
      <c r="O15"/>
    </row>
    <row r="16" spans="1:15" hidden="1">
      <c r="A16" s="110" t="s">
        <v>20</v>
      </c>
      <c r="B16" s="120"/>
      <c r="C16" s="120"/>
      <c r="D16" s="93"/>
      <c r="E16" s="93"/>
      <c r="F16" s="93"/>
      <c r="G16" s="93"/>
      <c r="H16" s="33"/>
      <c r="I16" s="33"/>
      <c r="J16" s="33"/>
      <c r="K16"/>
      <c r="L16"/>
      <c r="M16"/>
      <c r="N16"/>
      <c r="O16"/>
    </row>
    <row r="17" spans="1:15" hidden="1">
      <c r="A17" s="40" t="s">
        <v>21</v>
      </c>
      <c r="B17" s="35">
        <f t="shared" ref="B17:J17" si="1">SUM(B14:B16)</f>
        <v>0</v>
      </c>
      <c r="C17" s="35">
        <f t="shared" si="1"/>
        <v>0</v>
      </c>
      <c r="D17" s="35">
        <f t="shared" si="1"/>
        <v>0</v>
      </c>
      <c r="E17" s="146">
        <f t="shared" si="1"/>
        <v>0</v>
      </c>
      <c r="F17" s="146">
        <f t="shared" si="1"/>
        <v>0</v>
      </c>
      <c r="G17" s="35">
        <f t="shared" si="1"/>
        <v>0</v>
      </c>
      <c r="H17" s="35">
        <f>SUM(H14:H16)</f>
        <v>0</v>
      </c>
      <c r="I17" s="35">
        <f>SUM(I14:I16)</f>
        <v>0</v>
      </c>
      <c r="J17" s="35">
        <f t="shared" si="1"/>
        <v>0</v>
      </c>
      <c r="K17"/>
      <c r="L17"/>
      <c r="M17"/>
      <c r="N17"/>
      <c r="O17"/>
    </row>
    <row r="18" spans="1:15" hidden="1">
      <c r="A18" s="38" t="s">
        <v>22</v>
      </c>
      <c r="B18" s="93"/>
      <c r="C18" s="93"/>
      <c r="D18" s="126"/>
      <c r="E18" s="93"/>
      <c r="F18" s="93"/>
      <c r="G18" s="126"/>
      <c r="H18" s="32"/>
      <c r="I18" s="32"/>
      <c r="J18" s="55"/>
      <c r="K18"/>
      <c r="L18"/>
      <c r="M18"/>
      <c r="N18"/>
      <c r="O18"/>
    </row>
    <row r="19" spans="1:15" hidden="1">
      <c r="A19" s="38" t="s">
        <v>23</v>
      </c>
      <c r="B19" s="93"/>
      <c r="C19" s="93"/>
      <c r="D19" s="126"/>
      <c r="E19" s="93"/>
      <c r="F19" s="93"/>
      <c r="G19" s="126"/>
      <c r="H19" s="32"/>
      <c r="I19" s="32"/>
      <c r="J19" s="55"/>
      <c r="K19"/>
      <c r="L19"/>
      <c r="M19"/>
      <c r="N19"/>
      <c r="O19"/>
    </row>
    <row r="20" spans="1:15" hidden="1">
      <c r="A20" s="38" t="s">
        <v>24</v>
      </c>
      <c r="B20" s="93"/>
      <c r="C20" s="93"/>
      <c r="D20" s="126"/>
      <c r="E20" s="93"/>
      <c r="F20" s="93"/>
      <c r="G20" s="126"/>
      <c r="H20" s="32"/>
      <c r="I20" s="32"/>
      <c r="J20" s="55"/>
      <c r="K20"/>
      <c r="L20"/>
      <c r="M20"/>
      <c r="N20"/>
      <c r="O20"/>
    </row>
    <row r="21" spans="1:15" hidden="1">
      <c r="A21" s="24" t="s">
        <v>25</v>
      </c>
      <c r="B21" s="34">
        <f t="shared" ref="B21:J21" si="2">SUM(B18:B20)</f>
        <v>0</v>
      </c>
      <c r="C21" s="34">
        <f t="shared" si="2"/>
        <v>0</v>
      </c>
      <c r="D21" s="34">
        <f t="shared" si="2"/>
        <v>0</v>
      </c>
      <c r="E21" s="34">
        <f>SUM(E18:E20)</f>
        <v>0</v>
      </c>
      <c r="F21" s="34">
        <f>SUM(F18:F20)</f>
        <v>0</v>
      </c>
      <c r="G21" s="34">
        <f>SUM(G18:G20)</f>
        <v>0</v>
      </c>
      <c r="H21" s="34">
        <f t="shared" si="2"/>
        <v>0</v>
      </c>
      <c r="I21" s="34">
        <f t="shared" si="2"/>
        <v>0</v>
      </c>
      <c r="J21" s="34">
        <f t="shared" si="2"/>
        <v>0</v>
      </c>
      <c r="K21"/>
      <c r="L21"/>
      <c r="M21"/>
      <c r="N21"/>
      <c r="O21"/>
    </row>
    <row r="22" spans="1:15" hidden="1">
      <c r="A22" s="38" t="s">
        <v>43</v>
      </c>
      <c r="B22" s="93"/>
      <c r="C22" s="93"/>
      <c r="D22" s="126"/>
      <c r="E22" s="93"/>
      <c r="F22" s="93"/>
      <c r="G22" s="126"/>
      <c r="H22" s="32"/>
      <c r="I22" s="32"/>
      <c r="J22" s="55"/>
      <c r="K22"/>
      <c r="L22"/>
      <c r="M22"/>
      <c r="N22"/>
      <c r="O22"/>
    </row>
    <row r="23" spans="1:15" hidden="1">
      <c r="A23" s="38" t="s">
        <v>27</v>
      </c>
      <c r="B23" s="93"/>
      <c r="C23" s="93"/>
      <c r="D23" s="126"/>
      <c r="E23" s="93"/>
      <c r="F23" s="93"/>
      <c r="G23" s="126"/>
      <c r="H23" s="32"/>
      <c r="I23" s="32"/>
      <c r="J23" s="55"/>
      <c r="K23"/>
      <c r="L23"/>
      <c r="M23"/>
      <c r="N23"/>
      <c r="O23"/>
    </row>
    <row r="24" spans="1:15" hidden="1">
      <c r="A24" s="38" t="s">
        <v>28</v>
      </c>
      <c r="B24" s="93"/>
      <c r="C24" s="93"/>
      <c r="D24" s="126"/>
      <c r="E24" s="93"/>
      <c r="F24" s="93"/>
      <c r="G24" s="126"/>
      <c r="H24" s="32"/>
      <c r="I24" s="32"/>
      <c r="J24" s="55"/>
      <c r="K24"/>
      <c r="L24"/>
      <c r="M24"/>
      <c r="N24"/>
      <c r="O24"/>
    </row>
    <row r="25" spans="1:15" hidden="1">
      <c r="A25" s="24" t="s">
        <v>29</v>
      </c>
      <c r="B25" s="34">
        <f t="shared" ref="B25:J25" si="3">SUM(B22:B24)</f>
        <v>0</v>
      </c>
      <c r="C25" s="34">
        <f t="shared" si="3"/>
        <v>0</v>
      </c>
      <c r="D25" s="34">
        <f t="shared" si="3"/>
        <v>0</v>
      </c>
      <c r="E25" s="34">
        <f t="shared" si="3"/>
        <v>0</v>
      </c>
      <c r="F25" s="34">
        <f t="shared" si="3"/>
        <v>0</v>
      </c>
      <c r="G25" s="34">
        <f t="shared" si="3"/>
        <v>0</v>
      </c>
      <c r="H25" s="34">
        <f t="shared" si="3"/>
        <v>0</v>
      </c>
      <c r="I25" s="34">
        <f t="shared" si="3"/>
        <v>0</v>
      </c>
      <c r="J25" s="34">
        <f t="shared" si="3"/>
        <v>0</v>
      </c>
      <c r="K25"/>
      <c r="L25"/>
      <c r="M25"/>
      <c r="N25"/>
      <c r="O25"/>
    </row>
    <row r="26" spans="1:15" hidden="1">
      <c r="A26" s="38" t="s">
        <v>16</v>
      </c>
      <c r="B26" s="93"/>
      <c r="C26" s="93"/>
      <c r="D26" s="126"/>
      <c r="E26" s="93"/>
      <c r="F26" s="93"/>
      <c r="G26" s="126"/>
      <c r="H26" s="32"/>
      <c r="I26" s="32"/>
      <c r="J26" s="55"/>
      <c r="K26"/>
      <c r="L26"/>
      <c r="M26"/>
      <c r="N26"/>
      <c r="O26"/>
    </row>
    <row r="27" spans="1:15" hidden="1">
      <c r="A27" s="38" t="s">
        <v>15</v>
      </c>
      <c r="B27" s="93"/>
      <c r="C27" s="93"/>
      <c r="D27" s="126"/>
      <c r="E27" s="93"/>
      <c r="F27" s="93"/>
      <c r="G27" s="126"/>
      <c r="H27" s="32"/>
      <c r="I27" s="32"/>
      <c r="J27" s="55"/>
      <c r="K27"/>
      <c r="L27"/>
      <c r="M27"/>
      <c r="N27"/>
      <c r="O27"/>
    </row>
    <row r="28" spans="1:15" hidden="1">
      <c r="A28" s="38" t="s">
        <v>230</v>
      </c>
      <c r="B28" s="93"/>
      <c r="C28" s="93"/>
      <c r="D28" s="126"/>
      <c r="E28" s="93"/>
      <c r="F28" s="93"/>
      <c r="G28" s="126"/>
      <c r="H28" s="32"/>
      <c r="I28" s="32"/>
      <c r="J28" s="55"/>
      <c r="K28"/>
      <c r="L28"/>
      <c r="M28"/>
      <c r="N28"/>
      <c r="O28"/>
    </row>
    <row r="29" spans="1:15" hidden="1">
      <c r="A29" s="24" t="s">
        <v>17</v>
      </c>
      <c r="B29" s="34">
        <f t="shared" ref="B29:J29" si="4">SUM(B26:B28)</f>
        <v>0</v>
      </c>
      <c r="C29" s="34">
        <f t="shared" si="4"/>
        <v>0</v>
      </c>
      <c r="D29" s="34">
        <f t="shared" si="4"/>
        <v>0</v>
      </c>
      <c r="E29" s="34">
        <f>SUM(E26:E28)</f>
        <v>0</v>
      </c>
      <c r="F29" s="34">
        <f>SUM(F26:F28)</f>
        <v>0</v>
      </c>
      <c r="G29" s="34">
        <f>SUM(G26:G28)</f>
        <v>0</v>
      </c>
      <c r="H29" s="34">
        <f t="shared" si="4"/>
        <v>0</v>
      </c>
      <c r="I29" s="34">
        <f t="shared" si="4"/>
        <v>0</v>
      </c>
      <c r="J29" s="34">
        <f t="shared" si="4"/>
        <v>0</v>
      </c>
      <c r="K29"/>
      <c r="L29"/>
      <c r="M29"/>
      <c r="N29"/>
      <c r="O29"/>
    </row>
    <row r="30" spans="1:15" hidden="1">
      <c r="A30" s="61" t="s">
        <v>30</v>
      </c>
      <c r="B30" s="36">
        <f t="shared" ref="B30:H30" si="5">+B17+B21+B25+B29</f>
        <v>0</v>
      </c>
      <c r="C30" s="36">
        <f t="shared" si="5"/>
        <v>0</v>
      </c>
      <c r="D30" s="36">
        <f t="shared" si="5"/>
        <v>0</v>
      </c>
      <c r="E30" s="36">
        <f t="shared" si="5"/>
        <v>0</v>
      </c>
      <c r="F30" s="36">
        <f t="shared" si="5"/>
        <v>0</v>
      </c>
      <c r="G30" s="36">
        <f t="shared" si="5"/>
        <v>0</v>
      </c>
      <c r="H30" s="36">
        <f t="shared" si="5"/>
        <v>0</v>
      </c>
      <c r="I30" s="36">
        <f>+I17+I21+I25+I29</f>
        <v>0</v>
      </c>
      <c r="J30" s="36">
        <f>+J17+J21+J25+J29</f>
        <v>0</v>
      </c>
      <c r="K30"/>
      <c r="L30"/>
      <c r="M30"/>
      <c r="N30"/>
      <c r="O30"/>
    </row>
    <row r="31" spans="1:15">
      <c r="A31" s="155" t="s">
        <v>231</v>
      </c>
      <c r="B31"/>
      <c r="C31"/>
      <c r="D31"/>
      <c r="E31"/>
      <c r="F31"/>
      <c r="G31"/>
      <c r="H31"/>
      <c r="I31"/>
      <c r="J31"/>
      <c r="K31"/>
      <c r="L31"/>
      <c r="M31"/>
      <c r="N31"/>
      <c r="O31"/>
    </row>
    <row r="32" spans="1:15">
      <c r="A32"/>
      <c r="B32"/>
      <c r="C32"/>
      <c r="D32"/>
      <c r="E32"/>
      <c r="F32"/>
      <c r="G32"/>
      <c r="H32"/>
      <c r="I32"/>
      <c r="J32"/>
      <c r="K32"/>
      <c r="L32" s="529"/>
      <c r="M32"/>
      <c r="N32" t="s">
        <v>112</v>
      </c>
      <c r="O32"/>
    </row>
    <row r="33" spans="1:17">
      <c r="A33"/>
      <c r="B33"/>
      <c r="C33"/>
      <c r="D33"/>
      <c r="E33"/>
      <c r="F33"/>
      <c r="G33"/>
      <c r="H33"/>
      <c r="I33"/>
      <c r="J33"/>
      <c r="K33" s="125"/>
      <c r="L33"/>
      <c r="M33"/>
      <c r="N33"/>
      <c r="O33"/>
    </row>
    <row r="34" spans="1:17">
      <c r="A34"/>
      <c r="B34"/>
      <c r="C34"/>
      <c r="D34"/>
      <c r="E34"/>
      <c r="F34"/>
      <c r="G34"/>
      <c r="H34"/>
      <c r="I34"/>
      <c r="J34"/>
      <c r="K34" s="125"/>
      <c r="L34"/>
      <c r="M34"/>
      <c r="N34"/>
      <c r="O34"/>
    </row>
    <row r="35" spans="1:17">
      <c r="A35" s="38"/>
      <c r="B35" s="121"/>
      <c r="C35" s="121"/>
      <c r="D35" s="93"/>
      <c r="E35" s="127"/>
      <c r="F35" s="128"/>
      <c r="G35" s="93"/>
      <c r="H35" s="33"/>
      <c r="I35" s="33"/>
      <c r="J35" s="33"/>
    </row>
    <row r="36" spans="1:17">
      <c r="K36" s="31"/>
      <c r="N36" s="45"/>
      <c r="O36" s="53"/>
      <c r="P36" s="46"/>
      <c r="Q36" s="54"/>
    </row>
    <row r="37" spans="1:17">
      <c r="A37" s="38"/>
      <c r="B37" s="121"/>
      <c r="C37" s="121"/>
      <c r="D37" s="93"/>
      <c r="E37" s="127"/>
      <c r="F37" s="128"/>
      <c r="G37" s="93"/>
      <c r="H37" s="33"/>
      <c r="I37" s="33"/>
      <c r="J37" s="33"/>
      <c r="N37" s="45"/>
      <c r="O37" s="53"/>
      <c r="P37" s="46"/>
      <c r="Q37" s="54"/>
    </row>
    <row r="38" spans="1:17">
      <c r="N38" s="45"/>
      <c r="O38" s="53"/>
      <c r="P38" s="46"/>
      <c r="Q38" s="54"/>
    </row>
    <row r="39" spans="1:17">
      <c r="N39" s="45"/>
      <c r="O39" s="53"/>
      <c r="P39" s="46"/>
      <c r="Q39" s="54"/>
    </row>
    <row r="40" spans="1:17">
      <c r="N40" s="45"/>
      <c r="O40" s="53"/>
      <c r="P40" s="46"/>
      <c r="Q40" s="54"/>
    </row>
    <row r="41" spans="1:17">
      <c r="N41" s="45"/>
      <c r="O41" s="53"/>
      <c r="P41" s="46"/>
      <c r="Q41" s="54"/>
    </row>
    <row r="42" spans="1:17">
      <c r="N42" s="45"/>
      <c r="O42" s="53"/>
      <c r="P42" s="46"/>
      <c r="Q42" s="54"/>
    </row>
    <row r="43" spans="1:17">
      <c r="N43" s="45"/>
      <c r="O43" s="53"/>
      <c r="P43" s="46"/>
      <c r="Q43" s="54"/>
    </row>
  </sheetData>
  <mergeCells count="9">
    <mergeCell ref="K7:M7"/>
    <mergeCell ref="A5:J5"/>
    <mergeCell ref="H7:J7"/>
    <mergeCell ref="A2:J2"/>
    <mergeCell ref="A3:J3"/>
    <mergeCell ref="A4:J4"/>
    <mergeCell ref="A6:J6"/>
    <mergeCell ref="B7:D7"/>
    <mergeCell ref="E7:G7"/>
  </mergeCells>
  <pageMargins left="0.7" right="0.7" top="0.75" bottom="0.75" header="0.3" footer="0.3"/>
  <pageSetup paperSize="9" scale="60" orientation="portrait" r:id="rId1"/>
  <rowBreaks count="1" manualBreakCount="1">
    <brk id="49" max="9" man="1"/>
  </rowBreaks>
  <ignoredErrors>
    <ignoredError sqref="B13:I13 J13:M13"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P39"/>
  <sheetViews>
    <sheetView showGridLines="0" workbookViewId="0">
      <selection activeCell="F8" sqref="F8:G10"/>
    </sheetView>
  </sheetViews>
  <sheetFormatPr defaultColWidth="11.42578125" defaultRowHeight="15"/>
  <cols>
    <col min="1" max="1" width="11.42578125" style="1"/>
    <col min="2" max="2" width="11" style="1" customWidth="1"/>
    <col min="3" max="3" width="14.140625" style="1" customWidth="1"/>
    <col min="4" max="4" width="12.42578125" style="1" customWidth="1"/>
    <col min="5" max="5" width="17.7109375" style="1" bestFit="1" customWidth="1"/>
    <col min="6" max="6" width="12.42578125" style="1" customWidth="1"/>
    <col min="7" max="7" width="16.140625" style="1" bestFit="1" customWidth="1"/>
    <col min="8" max="8" width="10.7109375" style="1" customWidth="1"/>
    <col min="9" max="9" width="15.28515625" style="1" bestFit="1" customWidth="1"/>
    <col min="10" max="10" width="11.42578125" style="1" customWidth="1"/>
    <col min="11" max="12" width="11.42578125" style="1"/>
    <col min="13" max="14" width="11.7109375" style="1" bestFit="1" customWidth="1"/>
    <col min="15" max="15" width="16" style="1" bestFit="1" customWidth="1"/>
    <col min="16" max="16" width="11.7109375" style="1" bestFit="1" customWidth="1"/>
    <col min="17" max="16384" width="11.42578125" style="1"/>
  </cols>
  <sheetData>
    <row r="1" spans="1:9">
      <c r="A1" s="562" t="s">
        <v>232</v>
      </c>
      <c r="B1" s="562"/>
      <c r="C1" s="562"/>
      <c r="D1" s="562"/>
      <c r="E1" s="562"/>
      <c r="F1" s="562"/>
      <c r="G1" s="562"/>
      <c r="H1" s="562"/>
      <c r="I1" s="562"/>
    </row>
    <row r="2" spans="1:9">
      <c r="A2" s="562" t="s">
        <v>74</v>
      </c>
      <c r="B2" s="562"/>
      <c r="C2" s="562"/>
      <c r="D2" s="562"/>
      <c r="E2" s="562"/>
      <c r="F2" s="562"/>
      <c r="G2" s="562"/>
      <c r="H2" s="562"/>
      <c r="I2" s="562"/>
    </row>
    <row r="3" spans="1:9">
      <c r="A3" s="562" t="s">
        <v>233</v>
      </c>
      <c r="B3" s="562"/>
      <c r="C3" s="562"/>
      <c r="D3" s="562"/>
      <c r="E3" s="562"/>
      <c r="F3" s="562"/>
      <c r="G3" s="562"/>
      <c r="H3" s="562"/>
      <c r="I3" s="562"/>
    </row>
    <row r="4" spans="1:9">
      <c r="A4" s="562" t="s">
        <v>234</v>
      </c>
      <c r="B4" s="562"/>
      <c r="C4" s="562"/>
      <c r="D4" s="562"/>
      <c r="E4" s="562"/>
      <c r="F4" s="562"/>
      <c r="G4" s="562"/>
      <c r="H4" s="562"/>
      <c r="I4" s="562"/>
    </row>
    <row r="5" spans="1:9">
      <c r="A5" s="562" t="s">
        <v>235</v>
      </c>
      <c r="B5" s="562"/>
      <c r="C5" s="562"/>
      <c r="D5" s="562"/>
      <c r="E5" s="562"/>
      <c r="F5" s="562"/>
      <c r="G5" s="562"/>
      <c r="H5" s="562"/>
      <c r="I5" s="562"/>
    </row>
    <row r="6" spans="1:9">
      <c r="A6" s="74"/>
      <c r="B6" s="572" t="s">
        <v>236</v>
      </c>
      <c r="C6" s="572"/>
      <c r="D6" s="573" t="s">
        <v>89</v>
      </c>
      <c r="E6" s="573"/>
      <c r="F6" s="575" t="s">
        <v>88</v>
      </c>
      <c r="G6" s="575"/>
      <c r="H6" s="574" t="s">
        <v>90</v>
      </c>
      <c r="I6" s="574"/>
    </row>
    <row r="7" spans="1:9" ht="34.5" customHeight="1">
      <c r="A7" s="75" t="s">
        <v>5</v>
      </c>
      <c r="B7" s="39" t="s">
        <v>237</v>
      </c>
      <c r="C7" s="39" t="s">
        <v>9</v>
      </c>
      <c r="D7" s="39" t="s">
        <v>237</v>
      </c>
      <c r="E7" s="39" t="s">
        <v>9</v>
      </c>
      <c r="F7" s="39" t="s">
        <v>237</v>
      </c>
      <c r="G7" s="39" t="s">
        <v>9</v>
      </c>
      <c r="H7" s="39" t="s">
        <v>237</v>
      </c>
      <c r="I7" s="39" t="s">
        <v>9</v>
      </c>
    </row>
    <row r="8" spans="1:9">
      <c r="A8" s="38" t="s">
        <v>22</v>
      </c>
      <c r="B8" s="27">
        <v>0</v>
      </c>
      <c r="C8" s="50">
        <v>0</v>
      </c>
      <c r="D8" s="27">
        <v>0</v>
      </c>
      <c r="E8" s="50">
        <v>0</v>
      </c>
      <c r="F8" s="27">
        <v>0</v>
      </c>
      <c r="G8" s="50">
        <v>0</v>
      </c>
      <c r="H8" s="32">
        <f t="shared" ref="H8:I10" si="0">+B8+D8+F8</f>
        <v>0</v>
      </c>
      <c r="I8" s="55">
        <f t="shared" si="0"/>
        <v>0</v>
      </c>
    </row>
    <row r="9" spans="1:9">
      <c r="A9" s="38" t="s">
        <v>23</v>
      </c>
      <c r="B9" s="27">
        <f>4+28+31</f>
        <v>63</v>
      </c>
      <c r="C9" s="50">
        <f>30992+216880.44+240467.76</f>
        <v>488340.2</v>
      </c>
      <c r="D9" s="27">
        <v>3</v>
      </c>
      <c r="E9" s="50">
        <v>224872.69</v>
      </c>
      <c r="F9" s="27">
        <f>2+12</f>
        <v>14</v>
      </c>
      <c r="G9" s="50">
        <f>12000+72000</f>
        <v>84000</v>
      </c>
      <c r="H9" s="32">
        <f t="shared" si="0"/>
        <v>80</v>
      </c>
      <c r="I9" s="55">
        <f t="shared" si="0"/>
        <v>797212.89</v>
      </c>
    </row>
    <row r="10" spans="1:9">
      <c r="A10" s="38" t="s">
        <v>24</v>
      </c>
      <c r="B10" s="27">
        <v>1413</v>
      </c>
      <c r="C10" s="50">
        <v>11172621.32</v>
      </c>
      <c r="D10" s="27">
        <v>34</v>
      </c>
      <c r="E10" s="50">
        <v>278309.3</v>
      </c>
      <c r="F10" s="27">
        <v>1549</v>
      </c>
      <c r="G10" s="50">
        <v>9294000</v>
      </c>
      <c r="H10" s="32">
        <f t="shared" si="0"/>
        <v>2996</v>
      </c>
      <c r="I10" s="32">
        <f t="shared" si="0"/>
        <v>20744930.620000001</v>
      </c>
    </row>
    <row r="11" spans="1:9">
      <c r="A11" s="24" t="s">
        <v>25</v>
      </c>
      <c r="B11" s="34">
        <f t="shared" ref="B11:I11" si="1">SUM(B8:B10)</f>
        <v>1476</v>
      </c>
      <c r="C11" s="34">
        <f t="shared" si="1"/>
        <v>11660961.52</v>
      </c>
      <c r="D11" s="34">
        <f t="shared" si="1"/>
        <v>37</v>
      </c>
      <c r="E11" s="34">
        <f t="shared" si="1"/>
        <v>503181.99</v>
      </c>
      <c r="F11" s="34">
        <f>SUM(F8:F10)</f>
        <v>1563</v>
      </c>
      <c r="G11" s="34">
        <f>SUM(G8:G10)</f>
        <v>9378000</v>
      </c>
      <c r="H11" s="34">
        <f>SUM(H8:H10)</f>
        <v>3076</v>
      </c>
      <c r="I11" s="34">
        <f t="shared" si="1"/>
        <v>21542143.510000002</v>
      </c>
    </row>
    <row r="12" spans="1:9" hidden="1">
      <c r="A12" s="38" t="s">
        <v>22</v>
      </c>
      <c r="B12" s="27"/>
      <c r="C12" s="50"/>
      <c r="D12" s="27"/>
      <c r="E12" s="50"/>
      <c r="F12" s="27"/>
      <c r="G12" s="50"/>
      <c r="H12" s="32">
        <f t="shared" ref="H12:I14" si="2">+B12+D12+F12</f>
        <v>0</v>
      </c>
      <c r="I12" s="55">
        <f t="shared" si="2"/>
        <v>0</v>
      </c>
    </row>
    <row r="13" spans="1:9" hidden="1">
      <c r="A13" s="38" t="s">
        <v>23</v>
      </c>
      <c r="B13" s="27"/>
      <c r="C13" s="50"/>
      <c r="D13" s="27"/>
      <c r="E13" s="50"/>
      <c r="F13" s="27"/>
      <c r="G13" s="50"/>
      <c r="H13" s="32">
        <f t="shared" si="2"/>
        <v>0</v>
      </c>
      <c r="I13" s="55">
        <f t="shared" si="2"/>
        <v>0</v>
      </c>
    </row>
    <row r="14" spans="1:9" hidden="1">
      <c r="A14" s="38" t="s">
        <v>24</v>
      </c>
      <c r="B14" s="27"/>
      <c r="C14" s="50"/>
      <c r="D14" s="27"/>
      <c r="E14" s="50"/>
      <c r="F14" s="27"/>
      <c r="G14" s="50"/>
      <c r="H14" s="32">
        <f t="shared" si="2"/>
        <v>0</v>
      </c>
      <c r="I14" s="55">
        <f t="shared" si="2"/>
        <v>0</v>
      </c>
    </row>
    <row r="15" spans="1:9" hidden="1">
      <c r="A15" s="24" t="s">
        <v>25</v>
      </c>
      <c r="B15" s="34">
        <f t="shared" ref="B15:I15" si="3">SUM(B12:B14)</f>
        <v>0</v>
      </c>
      <c r="C15" s="34">
        <f t="shared" si="3"/>
        <v>0</v>
      </c>
      <c r="D15" s="34">
        <f t="shared" si="3"/>
        <v>0</v>
      </c>
      <c r="E15" s="34">
        <f t="shared" si="3"/>
        <v>0</v>
      </c>
      <c r="F15" s="34">
        <f>SUM(F12:F14)</f>
        <v>0</v>
      </c>
      <c r="G15" s="34">
        <f>SUM(G12:G14)</f>
        <v>0</v>
      </c>
      <c r="H15" s="34">
        <f t="shared" si="3"/>
        <v>0</v>
      </c>
      <c r="I15" s="34">
        <f t="shared" si="3"/>
        <v>0</v>
      </c>
    </row>
    <row r="16" spans="1:9" hidden="1">
      <c r="A16" s="38" t="s">
        <v>43</v>
      </c>
      <c r="B16" s="27"/>
      <c r="C16" s="50"/>
      <c r="D16" s="27"/>
      <c r="E16" s="50"/>
      <c r="F16" s="27"/>
      <c r="G16" s="50"/>
      <c r="H16" s="32">
        <f t="shared" ref="H16:I18" si="4">+B16+D16+F16</f>
        <v>0</v>
      </c>
      <c r="I16" s="55">
        <f t="shared" si="4"/>
        <v>0</v>
      </c>
    </row>
    <row r="17" spans="1:16" hidden="1">
      <c r="A17" s="38" t="s">
        <v>27</v>
      </c>
      <c r="B17" s="27"/>
      <c r="C17" s="50"/>
      <c r="D17" s="27"/>
      <c r="E17" s="50"/>
      <c r="F17" s="27"/>
      <c r="G17" s="50"/>
      <c r="H17" s="32">
        <f t="shared" si="4"/>
        <v>0</v>
      </c>
      <c r="I17" s="55">
        <f t="shared" si="4"/>
        <v>0</v>
      </c>
    </row>
    <row r="18" spans="1:16" hidden="1">
      <c r="A18" s="38" t="s">
        <v>28</v>
      </c>
      <c r="B18" s="27"/>
      <c r="C18" s="50"/>
      <c r="D18" s="27"/>
      <c r="E18" s="50"/>
      <c r="F18" s="27"/>
      <c r="G18" s="50"/>
      <c r="H18" s="32">
        <f t="shared" si="4"/>
        <v>0</v>
      </c>
      <c r="I18" s="55">
        <f t="shared" si="4"/>
        <v>0</v>
      </c>
    </row>
    <row r="19" spans="1:16" hidden="1">
      <c r="A19" s="24" t="s">
        <v>29</v>
      </c>
      <c r="B19" s="34">
        <f t="shared" ref="B19:I19" si="5">SUM(B16:B18)</f>
        <v>0</v>
      </c>
      <c r="C19" s="34">
        <f t="shared" si="5"/>
        <v>0</v>
      </c>
      <c r="D19" s="34">
        <f t="shared" si="5"/>
        <v>0</v>
      </c>
      <c r="E19" s="34">
        <f t="shared" si="5"/>
        <v>0</v>
      </c>
      <c r="F19" s="34">
        <f t="shared" si="5"/>
        <v>0</v>
      </c>
      <c r="G19" s="34">
        <f t="shared" si="5"/>
        <v>0</v>
      </c>
      <c r="H19" s="34">
        <f t="shared" si="5"/>
        <v>0</v>
      </c>
      <c r="I19" s="34">
        <f t="shared" si="5"/>
        <v>0</v>
      </c>
    </row>
    <row r="20" spans="1:16" hidden="1">
      <c r="A20" s="26" t="s">
        <v>16</v>
      </c>
      <c r="B20" s="27"/>
      <c r="C20" s="50"/>
      <c r="D20" s="27"/>
      <c r="E20" s="50"/>
      <c r="F20" s="27"/>
      <c r="G20" s="50"/>
      <c r="H20" s="32">
        <f t="shared" ref="H20:I22" si="6">+B20+D20+F20</f>
        <v>0</v>
      </c>
      <c r="I20" s="55">
        <f t="shared" si="6"/>
        <v>0</v>
      </c>
    </row>
    <row r="21" spans="1:16" hidden="1">
      <c r="A21" s="26" t="s">
        <v>15</v>
      </c>
      <c r="B21" s="27"/>
      <c r="C21" s="50"/>
      <c r="D21" s="27"/>
      <c r="E21" s="50"/>
      <c r="F21" s="27"/>
      <c r="G21" s="50"/>
      <c r="H21" s="32">
        <f t="shared" si="6"/>
        <v>0</v>
      </c>
      <c r="I21" s="55">
        <f t="shared" si="6"/>
        <v>0</v>
      </c>
    </row>
    <row r="22" spans="1:16" hidden="1">
      <c r="A22" s="26" t="s">
        <v>13</v>
      </c>
      <c r="B22" s="27"/>
      <c r="C22" s="50"/>
      <c r="D22" s="27"/>
      <c r="E22" s="50"/>
      <c r="F22" s="27"/>
      <c r="G22" s="50"/>
      <c r="H22" s="32">
        <f t="shared" si="6"/>
        <v>0</v>
      </c>
      <c r="I22" s="55">
        <f t="shared" si="6"/>
        <v>0</v>
      </c>
    </row>
    <row r="23" spans="1:16" hidden="1">
      <c r="A23" s="12" t="s">
        <v>17</v>
      </c>
      <c r="B23" s="34">
        <f t="shared" ref="B23:I23" si="7">SUM(B20:B22)</f>
        <v>0</v>
      </c>
      <c r="C23" s="34">
        <f t="shared" si="7"/>
        <v>0</v>
      </c>
      <c r="D23" s="34">
        <f t="shared" si="7"/>
        <v>0</v>
      </c>
      <c r="E23" s="34">
        <f t="shared" si="7"/>
        <v>0</v>
      </c>
      <c r="F23" s="34">
        <f>SUM(F20:F22)</f>
        <v>0</v>
      </c>
      <c r="G23" s="34">
        <f>SUM(G20:G22)</f>
        <v>0</v>
      </c>
      <c r="H23" s="34">
        <f t="shared" si="7"/>
        <v>0</v>
      </c>
      <c r="I23" s="34">
        <f t="shared" si="7"/>
        <v>0</v>
      </c>
    </row>
    <row r="24" spans="1:16" hidden="1">
      <c r="A24" s="51" t="s">
        <v>30</v>
      </c>
      <c r="B24" s="36">
        <f>+B11+B15+B19+B23</f>
        <v>1476</v>
      </c>
      <c r="C24" s="36">
        <f>+C11+C15+C19+C23</f>
        <v>11660961.52</v>
      </c>
      <c r="D24" s="36">
        <f t="shared" ref="D24:I24" si="8">+D11+D15+D19+D23</f>
        <v>37</v>
      </c>
      <c r="E24" s="36">
        <f t="shared" si="8"/>
        <v>503181.99</v>
      </c>
      <c r="F24" s="36">
        <f t="shared" si="8"/>
        <v>1563</v>
      </c>
      <c r="G24" s="36">
        <f t="shared" si="8"/>
        <v>9378000</v>
      </c>
      <c r="H24" s="36">
        <f>+H11+H15+H19+H23</f>
        <v>3076</v>
      </c>
      <c r="I24" s="36">
        <f t="shared" si="8"/>
        <v>21542143.510000002</v>
      </c>
    </row>
    <row r="25" spans="1:16" hidden="1">
      <c r="A25" s="52" t="s">
        <v>238</v>
      </c>
    </row>
    <row r="26" spans="1:16">
      <c r="A26" s="15" t="s">
        <v>239</v>
      </c>
      <c r="E26" s="31"/>
      <c r="G26" s="31"/>
    </row>
    <row r="32" spans="1:16">
      <c r="M32" s="45">
        <v>32154</v>
      </c>
      <c r="N32" s="53" t="e">
        <f t="shared" ref="N32:N39" si="9">M32/$B$29*100</f>
        <v>#DIV/0!</v>
      </c>
      <c r="O32" s="46">
        <v>386810064.19999999</v>
      </c>
      <c r="P32" s="54" t="e">
        <f>O32/O40*100</f>
        <v>#DIV/0!</v>
      </c>
    </row>
    <row r="33" spans="13:16">
      <c r="M33" s="45">
        <v>56199</v>
      </c>
      <c r="N33" s="53" t="e">
        <f t="shared" si="9"/>
        <v>#DIV/0!</v>
      </c>
      <c r="O33" s="46">
        <v>471111842.94</v>
      </c>
      <c r="P33" s="54" t="e">
        <f>O33/O40*100</f>
        <v>#DIV/0!</v>
      </c>
    </row>
    <row r="34" spans="13:16">
      <c r="M34" s="45">
        <v>297</v>
      </c>
      <c r="N34" s="53" t="e">
        <f t="shared" si="9"/>
        <v>#DIV/0!</v>
      </c>
      <c r="O34" s="46">
        <v>5010228</v>
      </c>
      <c r="P34" s="54" t="e">
        <f>O34/O40*100</f>
        <v>#DIV/0!</v>
      </c>
    </row>
    <row r="35" spans="13:16">
      <c r="M35" s="45">
        <v>163</v>
      </c>
      <c r="N35" s="53" t="e">
        <f t="shared" si="9"/>
        <v>#DIV/0!</v>
      </c>
      <c r="O35" s="46">
        <v>4392328.91</v>
      </c>
      <c r="P35" s="54" t="e">
        <f>O35/O40*100</f>
        <v>#DIV/0!</v>
      </c>
    </row>
    <row r="36" spans="13:16">
      <c r="M36" s="45">
        <v>366</v>
      </c>
      <c r="N36" s="53" t="e">
        <f t="shared" si="9"/>
        <v>#DIV/0!</v>
      </c>
      <c r="O36" s="46">
        <v>9034522.6500000004</v>
      </c>
      <c r="P36" s="54" t="e">
        <f>O36/O40*100</f>
        <v>#DIV/0!</v>
      </c>
    </row>
    <row r="37" spans="13:16">
      <c r="M37" s="45">
        <v>17249</v>
      </c>
      <c r="N37" s="53" t="e">
        <f t="shared" si="9"/>
        <v>#DIV/0!</v>
      </c>
      <c r="O37" s="46">
        <v>405400068.69</v>
      </c>
      <c r="P37" s="54" t="e">
        <f>O37/O40*100</f>
        <v>#DIV/0!</v>
      </c>
    </row>
    <row r="38" spans="13:16">
      <c r="M38" s="45">
        <v>18745</v>
      </c>
      <c r="N38" s="53" t="e">
        <f t="shared" si="9"/>
        <v>#DIV/0!</v>
      </c>
      <c r="O38" s="46">
        <v>369724631.60000002</v>
      </c>
      <c r="P38" s="54" t="e">
        <f>O38/O40*100</f>
        <v>#DIV/0!</v>
      </c>
    </row>
    <row r="39" spans="13:16">
      <c r="M39" s="45">
        <v>15130</v>
      </c>
      <c r="N39" s="53" t="e">
        <f t="shared" si="9"/>
        <v>#DIV/0!</v>
      </c>
      <c r="O39" s="46">
        <v>151015428.50999999</v>
      </c>
      <c r="P39" s="54" t="e">
        <f>O39/O40*100</f>
        <v>#DIV/0!</v>
      </c>
    </row>
  </sheetData>
  <mergeCells count="9">
    <mergeCell ref="B6:C6"/>
    <mergeCell ref="D6:E6"/>
    <mergeCell ref="F6:G6"/>
    <mergeCell ref="H6:I6"/>
    <mergeCell ref="A1:I1"/>
    <mergeCell ref="A2:I2"/>
    <mergeCell ref="A3:I3"/>
    <mergeCell ref="A4:I4"/>
    <mergeCell ref="A5:I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P39"/>
  <sheetViews>
    <sheetView showGridLines="0" workbookViewId="0">
      <selection activeCell="B27" sqref="B27"/>
    </sheetView>
  </sheetViews>
  <sheetFormatPr defaultColWidth="11.42578125" defaultRowHeight="15"/>
  <cols>
    <col min="1" max="1" width="11.42578125" style="1"/>
    <col min="2" max="2" width="11" style="1" customWidth="1"/>
    <col min="3" max="3" width="14.140625" style="1" customWidth="1"/>
    <col min="4" max="4" width="12.42578125" style="1" customWidth="1"/>
    <col min="5" max="5" width="17.7109375" style="1" bestFit="1" customWidth="1"/>
    <col min="6" max="6" width="12.42578125" style="1" customWidth="1"/>
    <col min="7" max="7" width="16.140625" style="1" bestFit="1" customWidth="1"/>
    <col min="8" max="8" width="10.7109375" style="1" customWidth="1"/>
    <col min="9" max="9" width="15.28515625" style="1" bestFit="1" customWidth="1"/>
    <col min="10" max="10" width="11.42578125" style="1" customWidth="1"/>
    <col min="11" max="12" width="11.42578125" style="1"/>
    <col min="13" max="14" width="11.7109375" style="1" bestFit="1" customWidth="1"/>
    <col min="15" max="15" width="16" style="1" bestFit="1" customWidth="1"/>
    <col min="16" max="16" width="11.7109375" style="1" bestFit="1" customWidth="1"/>
    <col min="17" max="16384" width="11.42578125" style="1"/>
  </cols>
  <sheetData>
    <row r="1" spans="1:9">
      <c r="A1" s="562" t="s">
        <v>232</v>
      </c>
      <c r="B1" s="562"/>
      <c r="C1" s="562"/>
      <c r="D1" s="562"/>
      <c r="E1" s="562"/>
      <c r="F1" s="562"/>
      <c r="G1" s="562"/>
      <c r="H1" s="562"/>
      <c r="I1" s="562"/>
    </row>
    <row r="2" spans="1:9">
      <c r="A2" s="562" t="s">
        <v>74</v>
      </c>
      <c r="B2" s="562"/>
      <c r="C2" s="562"/>
      <c r="D2" s="562"/>
      <c r="E2" s="562"/>
      <c r="F2" s="562"/>
      <c r="G2" s="562"/>
      <c r="H2" s="562"/>
      <c r="I2" s="562"/>
    </row>
    <row r="3" spans="1:9">
      <c r="A3" s="562" t="s">
        <v>240</v>
      </c>
      <c r="B3" s="562"/>
      <c r="C3" s="562"/>
      <c r="D3" s="562"/>
      <c r="E3" s="562"/>
      <c r="F3" s="562"/>
      <c r="G3" s="562"/>
      <c r="H3" s="562"/>
      <c r="I3" s="562"/>
    </row>
    <row r="4" spans="1:9">
      <c r="A4" s="562" t="s">
        <v>241</v>
      </c>
      <c r="B4" s="562"/>
      <c r="C4" s="562"/>
      <c r="D4" s="562"/>
      <c r="E4" s="562"/>
      <c r="F4" s="562"/>
      <c r="G4" s="562"/>
      <c r="H4" s="562"/>
      <c r="I4" s="562"/>
    </row>
    <row r="5" spans="1:9">
      <c r="A5" s="562" t="s">
        <v>235</v>
      </c>
      <c r="B5" s="562"/>
      <c r="C5" s="562"/>
      <c r="D5" s="562"/>
      <c r="E5" s="562"/>
      <c r="F5" s="562"/>
      <c r="G5" s="562"/>
      <c r="H5" s="562"/>
      <c r="I5" s="562"/>
    </row>
    <row r="6" spans="1:9">
      <c r="A6" s="74"/>
      <c r="B6" s="572" t="s">
        <v>236</v>
      </c>
      <c r="C6" s="572"/>
      <c r="D6" s="573" t="s">
        <v>89</v>
      </c>
      <c r="E6" s="573"/>
      <c r="F6" s="575" t="s">
        <v>88</v>
      </c>
      <c r="G6" s="575"/>
      <c r="H6" s="574" t="s">
        <v>90</v>
      </c>
      <c r="I6" s="574"/>
    </row>
    <row r="7" spans="1:9" ht="34.5" customHeight="1">
      <c r="A7" s="75" t="s">
        <v>5</v>
      </c>
      <c r="B7" s="39" t="s">
        <v>242</v>
      </c>
      <c r="C7" s="39" t="s">
        <v>9</v>
      </c>
      <c r="D7" s="39" t="s">
        <v>242</v>
      </c>
      <c r="E7" s="39" t="s">
        <v>9</v>
      </c>
      <c r="F7" s="39" t="s">
        <v>242</v>
      </c>
      <c r="G7" s="39" t="s">
        <v>9</v>
      </c>
      <c r="H7" s="39" t="s">
        <v>242</v>
      </c>
      <c r="I7" s="39" t="s">
        <v>9</v>
      </c>
    </row>
    <row r="8" spans="1:9">
      <c r="A8" s="38" t="s">
        <v>22</v>
      </c>
      <c r="B8" s="27">
        <v>0</v>
      </c>
      <c r="C8" s="50">
        <v>0</v>
      </c>
      <c r="D8" s="27">
        <v>0</v>
      </c>
      <c r="E8" s="50">
        <v>0</v>
      </c>
      <c r="F8" s="27">
        <v>0</v>
      </c>
      <c r="G8" s="50">
        <v>0</v>
      </c>
      <c r="H8" s="32">
        <f t="shared" ref="H8:I10" si="0">+B8+D8+F8</f>
        <v>0</v>
      </c>
      <c r="I8" s="55">
        <f t="shared" si="0"/>
        <v>0</v>
      </c>
    </row>
    <row r="9" spans="1:9">
      <c r="A9" s="38" t="s">
        <v>23</v>
      </c>
      <c r="B9" s="27">
        <v>36</v>
      </c>
      <c r="C9" s="50">
        <v>386001.61</v>
      </c>
      <c r="D9" s="27">
        <v>2</v>
      </c>
      <c r="E9" s="50">
        <v>16030.61</v>
      </c>
      <c r="F9" s="27">
        <v>2</v>
      </c>
      <c r="G9" s="50">
        <v>12000</v>
      </c>
      <c r="H9" s="32">
        <f t="shared" si="0"/>
        <v>40</v>
      </c>
      <c r="I9" s="55">
        <f t="shared" si="0"/>
        <v>414032.22</v>
      </c>
    </row>
    <row r="10" spans="1:9">
      <c r="A10" s="38" t="s">
        <v>24</v>
      </c>
      <c r="B10" s="27">
        <v>131</v>
      </c>
      <c r="C10" s="50">
        <v>1444844.33</v>
      </c>
      <c r="D10" s="27">
        <v>5</v>
      </c>
      <c r="E10" s="50">
        <v>110598.45</v>
      </c>
      <c r="F10" s="27">
        <v>6</v>
      </c>
      <c r="G10" s="50">
        <v>36000</v>
      </c>
      <c r="H10" s="32">
        <f t="shared" si="0"/>
        <v>142</v>
      </c>
      <c r="I10" s="32">
        <f t="shared" si="0"/>
        <v>1591442.78</v>
      </c>
    </row>
    <row r="11" spans="1:9">
      <c r="A11" s="24" t="s">
        <v>25</v>
      </c>
      <c r="B11" s="34">
        <f t="shared" ref="B11:I11" si="1">SUM(B8:B10)</f>
        <v>167</v>
      </c>
      <c r="C11" s="34">
        <f t="shared" si="1"/>
        <v>1830845.94</v>
      </c>
      <c r="D11" s="34">
        <f t="shared" si="1"/>
        <v>7</v>
      </c>
      <c r="E11" s="34">
        <f t="shared" si="1"/>
        <v>126629.06</v>
      </c>
      <c r="F11" s="34">
        <f>SUM(F8:F10)</f>
        <v>8</v>
      </c>
      <c r="G11" s="34">
        <f>SUM(G8:G10)</f>
        <v>48000</v>
      </c>
      <c r="H11" s="34">
        <f t="shared" si="1"/>
        <v>182</v>
      </c>
      <c r="I11" s="34">
        <f t="shared" si="1"/>
        <v>2005475</v>
      </c>
    </row>
    <row r="12" spans="1:9" hidden="1">
      <c r="A12" s="38" t="s">
        <v>22</v>
      </c>
      <c r="B12" s="27">
        <v>52</v>
      </c>
      <c r="C12" s="50">
        <v>621254.41</v>
      </c>
      <c r="D12" s="27">
        <v>2</v>
      </c>
      <c r="E12" s="50">
        <v>15128.119999999999</v>
      </c>
      <c r="F12" s="27"/>
      <c r="G12" s="50"/>
      <c r="H12" s="32">
        <f t="shared" ref="H12:I14" si="2">+B12+D12+F12</f>
        <v>54</v>
      </c>
      <c r="I12" s="55">
        <f t="shared" si="2"/>
        <v>636382.53</v>
      </c>
    </row>
    <row r="13" spans="1:9" hidden="1">
      <c r="A13" s="38" t="s">
        <v>23</v>
      </c>
      <c r="B13" s="27"/>
      <c r="C13" s="50"/>
      <c r="D13" s="27"/>
      <c r="E13" s="50"/>
      <c r="F13" s="27"/>
      <c r="G13" s="50"/>
      <c r="H13" s="32">
        <f t="shared" si="2"/>
        <v>0</v>
      </c>
      <c r="I13" s="55">
        <f t="shared" si="2"/>
        <v>0</v>
      </c>
    </row>
    <row r="14" spans="1:9" hidden="1">
      <c r="A14" s="38" t="s">
        <v>24</v>
      </c>
      <c r="B14" s="27"/>
      <c r="C14" s="50"/>
      <c r="D14" s="27"/>
      <c r="E14" s="50"/>
      <c r="F14" s="27"/>
      <c r="G14" s="50"/>
      <c r="H14" s="32">
        <f t="shared" si="2"/>
        <v>0</v>
      </c>
      <c r="I14" s="55">
        <f t="shared" si="2"/>
        <v>0</v>
      </c>
    </row>
    <row r="15" spans="1:9" hidden="1">
      <c r="A15" s="24" t="s">
        <v>25</v>
      </c>
      <c r="B15" s="34">
        <f t="shared" ref="B15:I15" si="3">SUM(B12:B14)</f>
        <v>52</v>
      </c>
      <c r="C15" s="34">
        <f t="shared" si="3"/>
        <v>621254.41</v>
      </c>
      <c r="D15" s="34">
        <f t="shared" si="3"/>
        <v>2</v>
      </c>
      <c r="E15" s="34">
        <f t="shared" si="3"/>
        <v>15128.119999999999</v>
      </c>
      <c r="F15" s="34">
        <f>SUM(F12:F14)</f>
        <v>0</v>
      </c>
      <c r="G15" s="34">
        <f>SUM(G12:G14)</f>
        <v>0</v>
      </c>
      <c r="H15" s="34">
        <f t="shared" si="3"/>
        <v>54</v>
      </c>
      <c r="I15" s="34">
        <f t="shared" si="3"/>
        <v>636382.53</v>
      </c>
    </row>
    <row r="16" spans="1:9" hidden="1">
      <c r="A16" s="38" t="s">
        <v>43</v>
      </c>
      <c r="B16" s="27"/>
      <c r="C16" s="50"/>
      <c r="D16" s="27"/>
      <c r="E16" s="50"/>
      <c r="F16" s="27"/>
      <c r="G16" s="50"/>
      <c r="H16" s="32">
        <f t="shared" ref="H16:I18" si="4">+B16+D16+F16</f>
        <v>0</v>
      </c>
      <c r="I16" s="55">
        <f t="shared" si="4"/>
        <v>0</v>
      </c>
    </row>
    <row r="17" spans="1:16" hidden="1">
      <c r="A17" s="38" t="s">
        <v>27</v>
      </c>
      <c r="B17" s="27"/>
      <c r="C17" s="50"/>
      <c r="D17" s="27"/>
      <c r="E17" s="50"/>
      <c r="F17" s="27"/>
      <c r="G17" s="50"/>
      <c r="H17" s="32">
        <f t="shared" si="4"/>
        <v>0</v>
      </c>
      <c r="I17" s="55">
        <f t="shared" si="4"/>
        <v>0</v>
      </c>
    </row>
    <row r="18" spans="1:16" hidden="1">
      <c r="A18" s="38" t="s">
        <v>28</v>
      </c>
      <c r="B18" s="27"/>
      <c r="C18" s="50"/>
      <c r="D18" s="27"/>
      <c r="E18" s="50"/>
      <c r="F18" s="27"/>
      <c r="G18" s="50"/>
      <c r="H18" s="32">
        <f t="shared" si="4"/>
        <v>0</v>
      </c>
      <c r="I18" s="55">
        <f t="shared" si="4"/>
        <v>0</v>
      </c>
    </row>
    <row r="19" spans="1:16" hidden="1">
      <c r="A19" s="24" t="s">
        <v>29</v>
      </c>
      <c r="B19" s="34">
        <f t="shared" ref="B19:I19" si="5">SUM(B16:B18)</f>
        <v>0</v>
      </c>
      <c r="C19" s="34">
        <f t="shared" si="5"/>
        <v>0</v>
      </c>
      <c r="D19" s="34">
        <f t="shared" si="5"/>
        <v>0</v>
      </c>
      <c r="E19" s="34">
        <f t="shared" si="5"/>
        <v>0</v>
      </c>
      <c r="F19" s="34">
        <f t="shared" si="5"/>
        <v>0</v>
      </c>
      <c r="G19" s="34">
        <f t="shared" si="5"/>
        <v>0</v>
      </c>
      <c r="H19" s="34">
        <f t="shared" si="5"/>
        <v>0</v>
      </c>
      <c r="I19" s="34">
        <f t="shared" si="5"/>
        <v>0</v>
      </c>
    </row>
    <row r="20" spans="1:16" hidden="1">
      <c r="A20" s="26" t="s">
        <v>16</v>
      </c>
      <c r="B20" s="27"/>
      <c r="C20" s="50"/>
      <c r="D20" s="27"/>
      <c r="E20" s="50"/>
      <c r="F20" s="27"/>
      <c r="G20" s="50"/>
      <c r="H20" s="32">
        <f t="shared" ref="H20:I22" si="6">+B20+D20+F20</f>
        <v>0</v>
      </c>
      <c r="I20" s="55">
        <f t="shared" si="6"/>
        <v>0</v>
      </c>
    </row>
    <row r="21" spans="1:16" hidden="1">
      <c r="A21" s="26" t="s">
        <v>15</v>
      </c>
      <c r="B21" s="27"/>
      <c r="C21" s="50"/>
      <c r="D21" s="27"/>
      <c r="E21" s="50"/>
      <c r="F21" s="27"/>
      <c r="G21" s="50"/>
      <c r="H21" s="32">
        <f t="shared" si="6"/>
        <v>0</v>
      </c>
      <c r="I21" s="55">
        <f t="shared" si="6"/>
        <v>0</v>
      </c>
    </row>
    <row r="22" spans="1:16" hidden="1">
      <c r="A22" s="26" t="s">
        <v>13</v>
      </c>
      <c r="B22" s="27"/>
      <c r="C22" s="50"/>
      <c r="D22" s="27"/>
      <c r="E22" s="50"/>
      <c r="F22" s="27"/>
      <c r="G22" s="50"/>
      <c r="H22" s="32">
        <f t="shared" si="6"/>
        <v>0</v>
      </c>
      <c r="I22" s="55">
        <f t="shared" si="6"/>
        <v>0</v>
      </c>
    </row>
    <row r="23" spans="1:16" hidden="1">
      <c r="A23" s="12" t="s">
        <v>17</v>
      </c>
      <c r="B23" s="34">
        <f t="shared" ref="B23:I23" si="7">SUM(B20:B22)</f>
        <v>0</v>
      </c>
      <c r="C23" s="34">
        <f t="shared" si="7"/>
        <v>0</v>
      </c>
      <c r="D23" s="34">
        <f t="shared" si="7"/>
        <v>0</v>
      </c>
      <c r="E23" s="34">
        <f t="shared" si="7"/>
        <v>0</v>
      </c>
      <c r="F23" s="34">
        <f>SUM(F20:F22)</f>
        <v>0</v>
      </c>
      <c r="G23" s="34">
        <f>SUM(G20:G22)</f>
        <v>0</v>
      </c>
      <c r="H23" s="34">
        <f t="shared" si="7"/>
        <v>0</v>
      </c>
      <c r="I23" s="34">
        <f t="shared" si="7"/>
        <v>0</v>
      </c>
    </row>
    <row r="24" spans="1:16" hidden="1">
      <c r="A24" s="51" t="s">
        <v>30</v>
      </c>
      <c r="B24" s="36">
        <f>+B11+B15+B19+B23</f>
        <v>219</v>
      </c>
      <c r="C24" s="36">
        <f>+C11+C15+C19+C23</f>
        <v>2452100.35</v>
      </c>
      <c r="D24" s="36">
        <f t="shared" ref="D24:I24" si="8">+D11+D15+D19+D23</f>
        <v>9</v>
      </c>
      <c r="E24" s="36">
        <f t="shared" si="8"/>
        <v>141757.18</v>
      </c>
      <c r="F24" s="36">
        <f t="shared" si="8"/>
        <v>8</v>
      </c>
      <c r="G24" s="36">
        <f t="shared" si="8"/>
        <v>48000</v>
      </c>
      <c r="H24" s="36">
        <f>+H11+H15+H19+H23</f>
        <v>236</v>
      </c>
      <c r="I24" s="36">
        <f t="shared" si="8"/>
        <v>2641857.5300000003</v>
      </c>
    </row>
    <row r="25" spans="1:16">
      <c r="A25" s="15" t="s">
        <v>239</v>
      </c>
    </row>
    <row r="26" spans="1:16">
      <c r="E26" s="31"/>
      <c r="G26" s="31"/>
    </row>
    <row r="32" spans="1:16">
      <c r="M32" s="45">
        <v>32154</v>
      </c>
      <c r="N32" s="53" t="e">
        <f t="shared" ref="N32:N39" si="9">M32/$B$29*100</f>
        <v>#DIV/0!</v>
      </c>
      <c r="O32" s="46">
        <v>386810064.19999999</v>
      </c>
      <c r="P32" s="54" t="e">
        <f>O32/O40*100</f>
        <v>#DIV/0!</v>
      </c>
    </row>
    <row r="33" spans="13:16">
      <c r="M33" s="45">
        <v>56199</v>
      </c>
      <c r="N33" s="53" t="e">
        <f t="shared" si="9"/>
        <v>#DIV/0!</v>
      </c>
      <c r="O33" s="46">
        <v>471111842.94</v>
      </c>
      <c r="P33" s="54" t="e">
        <f>O33/O40*100</f>
        <v>#DIV/0!</v>
      </c>
    </row>
    <row r="34" spans="13:16">
      <c r="M34" s="45">
        <v>297</v>
      </c>
      <c r="N34" s="53" t="e">
        <f t="shared" si="9"/>
        <v>#DIV/0!</v>
      </c>
      <c r="O34" s="46">
        <v>5010228</v>
      </c>
      <c r="P34" s="54" t="e">
        <f>O34/O40*100</f>
        <v>#DIV/0!</v>
      </c>
    </row>
    <row r="35" spans="13:16">
      <c r="M35" s="45">
        <v>163</v>
      </c>
      <c r="N35" s="53" t="e">
        <f t="shared" si="9"/>
        <v>#DIV/0!</v>
      </c>
      <c r="O35" s="46">
        <v>4392328.91</v>
      </c>
      <c r="P35" s="54" t="e">
        <f>O35/O40*100</f>
        <v>#DIV/0!</v>
      </c>
    </row>
    <row r="36" spans="13:16">
      <c r="M36" s="45">
        <v>366</v>
      </c>
      <c r="N36" s="53" t="e">
        <f t="shared" si="9"/>
        <v>#DIV/0!</v>
      </c>
      <c r="O36" s="46">
        <v>9034522.6500000004</v>
      </c>
      <c r="P36" s="54" t="e">
        <f>O36/O40*100</f>
        <v>#DIV/0!</v>
      </c>
    </row>
    <row r="37" spans="13:16">
      <c r="M37" s="45">
        <v>17249</v>
      </c>
      <c r="N37" s="53" t="e">
        <f t="shared" si="9"/>
        <v>#DIV/0!</v>
      </c>
      <c r="O37" s="46">
        <v>405400068.69</v>
      </c>
      <c r="P37" s="54" t="e">
        <f>O37/O40*100</f>
        <v>#DIV/0!</v>
      </c>
    </row>
    <row r="38" spans="13:16">
      <c r="M38" s="45">
        <v>18745</v>
      </c>
      <c r="N38" s="53" t="e">
        <f t="shared" si="9"/>
        <v>#DIV/0!</v>
      </c>
      <c r="O38" s="46">
        <v>369724631.60000002</v>
      </c>
      <c r="P38" s="54" t="e">
        <f>O38/O40*100</f>
        <v>#DIV/0!</v>
      </c>
    </row>
    <row r="39" spans="13:16">
      <c r="M39" s="45">
        <v>15130</v>
      </c>
      <c r="N39" s="53" t="e">
        <f t="shared" si="9"/>
        <v>#DIV/0!</v>
      </c>
      <c r="O39" s="46">
        <v>151015428.50999999</v>
      </c>
      <c r="P39" s="54" t="e">
        <f>O39/O40*100</f>
        <v>#DIV/0!</v>
      </c>
    </row>
  </sheetData>
  <mergeCells count="9">
    <mergeCell ref="B6:C6"/>
    <mergeCell ref="D6:E6"/>
    <mergeCell ref="F6:G6"/>
    <mergeCell ref="H6:I6"/>
    <mergeCell ref="A1:I1"/>
    <mergeCell ref="A2:I2"/>
    <mergeCell ref="A3:I3"/>
    <mergeCell ref="A4:I4"/>
    <mergeCell ref="A5:I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07F1-DCB4-4C46-A20F-F4071FBE8E1A}">
  <sheetPr>
    <tabColor theme="8"/>
    <pageSetUpPr fitToPage="1"/>
  </sheetPr>
  <dimension ref="A2:U37"/>
  <sheetViews>
    <sheetView showGridLines="0" topLeftCell="B1" workbookViewId="0">
      <selection activeCell="B4" sqref="B4:K13"/>
    </sheetView>
  </sheetViews>
  <sheetFormatPr defaultColWidth="9.140625" defaultRowHeight="15"/>
  <cols>
    <col min="1" max="1" width="9.140625" hidden="1" customWidth="1"/>
    <col min="2" max="2" width="15.85546875" customWidth="1"/>
    <col min="3" max="3" width="13.140625" customWidth="1"/>
    <col min="5" max="5" width="17.85546875" customWidth="1"/>
    <col min="6" max="6" width="12.85546875" customWidth="1"/>
    <col min="8" max="8" width="14.7109375" customWidth="1"/>
    <col min="9" max="9" width="12" customWidth="1"/>
    <col min="10" max="10" width="10.42578125" customWidth="1"/>
    <col min="11" max="11" width="15.28515625" customWidth="1"/>
  </cols>
  <sheetData>
    <row r="2" spans="2:18">
      <c r="B2" s="562" t="s">
        <v>0</v>
      </c>
      <c r="C2" s="562"/>
      <c r="D2" s="562"/>
      <c r="E2" s="562"/>
      <c r="F2" s="562"/>
      <c r="G2" s="562"/>
      <c r="H2" s="562"/>
      <c r="I2" s="562"/>
      <c r="J2" s="562"/>
      <c r="K2" s="562"/>
    </row>
    <row r="3" spans="2:18">
      <c r="B3" s="562" t="s">
        <v>74</v>
      </c>
      <c r="C3" s="562"/>
      <c r="D3" s="562"/>
      <c r="E3" s="562"/>
      <c r="F3" s="562"/>
      <c r="G3" s="562"/>
      <c r="H3" s="562"/>
      <c r="I3" s="562"/>
      <c r="J3" s="562"/>
      <c r="K3" s="562"/>
    </row>
    <row r="4" spans="2:18">
      <c r="B4" s="562" t="s">
        <v>243</v>
      </c>
      <c r="C4" s="562"/>
      <c r="D4" s="562"/>
      <c r="E4" s="562"/>
      <c r="F4" s="562"/>
      <c r="G4" s="562"/>
      <c r="H4" s="562"/>
      <c r="I4" s="562"/>
      <c r="J4" s="562"/>
      <c r="K4" s="562"/>
    </row>
    <row r="5" spans="2:18">
      <c r="B5" s="562" t="s">
        <v>3</v>
      </c>
      <c r="C5" s="562"/>
      <c r="D5" s="562"/>
      <c r="E5" s="562"/>
      <c r="F5" s="562"/>
      <c r="G5" s="562"/>
      <c r="H5" s="562"/>
      <c r="I5" s="562"/>
      <c r="J5" s="562"/>
      <c r="K5" s="562"/>
    </row>
    <row r="6" spans="2:18">
      <c r="B6" s="562" t="s">
        <v>4</v>
      </c>
      <c r="C6" s="562"/>
      <c r="D6" s="562"/>
      <c r="E6" s="562"/>
      <c r="F6" s="562"/>
      <c r="G6" s="562"/>
      <c r="H6" s="562"/>
      <c r="I6" s="562"/>
      <c r="J6" s="562"/>
      <c r="K6" s="562"/>
    </row>
    <row r="7" spans="2:18">
      <c r="B7" s="110"/>
      <c r="C7" s="614" t="s">
        <v>87</v>
      </c>
      <c r="D7" s="614"/>
      <c r="E7" s="614"/>
      <c r="F7" s="615" t="s">
        <v>89</v>
      </c>
      <c r="G7" s="615"/>
      <c r="H7" s="615"/>
      <c r="I7" s="616" t="s">
        <v>90</v>
      </c>
      <c r="J7" s="616"/>
      <c r="K7" s="616"/>
    </row>
    <row r="8" spans="2:18" ht="23.25" customHeight="1">
      <c r="B8" s="75" t="s">
        <v>5</v>
      </c>
      <c r="C8" s="39" t="s">
        <v>224</v>
      </c>
      <c r="D8" s="39" t="s">
        <v>225</v>
      </c>
      <c r="E8" s="39" t="s">
        <v>108</v>
      </c>
      <c r="F8" s="39" t="s">
        <v>224</v>
      </c>
      <c r="G8" s="39" t="s">
        <v>225</v>
      </c>
      <c r="H8" s="39" t="s">
        <v>9</v>
      </c>
      <c r="I8" s="39" t="s">
        <v>91</v>
      </c>
      <c r="J8" s="39" t="s">
        <v>92</v>
      </c>
      <c r="K8" s="39" t="s">
        <v>108</v>
      </c>
    </row>
    <row r="9" spans="2:18" hidden="1">
      <c r="B9" s="26" t="s">
        <v>12</v>
      </c>
      <c r="C9" s="324">
        <v>0</v>
      </c>
      <c r="D9" s="324">
        <v>0</v>
      </c>
      <c r="E9" s="325">
        <v>0</v>
      </c>
      <c r="F9" s="324">
        <v>0</v>
      </c>
      <c r="G9" s="324">
        <v>0</v>
      </c>
      <c r="H9" s="324"/>
      <c r="I9" s="326">
        <f>SUM(C9,F9)</f>
        <v>0</v>
      </c>
      <c r="J9" s="326">
        <f>SUM(D9,G9)</f>
        <v>0</v>
      </c>
      <c r="K9" s="326">
        <f>SUM(E9,H9)</f>
        <v>0</v>
      </c>
    </row>
    <row r="10" spans="2:18" s="117" customFormat="1">
      <c r="B10" s="433" t="s">
        <v>13</v>
      </c>
      <c r="C10" s="485">
        <v>117</v>
      </c>
      <c r="D10" s="485">
        <v>117</v>
      </c>
      <c r="E10" s="484">
        <v>12745651.890000001</v>
      </c>
      <c r="F10" s="485">
        <v>2</v>
      </c>
      <c r="G10" s="485">
        <v>2</v>
      </c>
      <c r="H10" s="484">
        <v>416524.74</v>
      </c>
      <c r="I10" s="486">
        <v>119</v>
      </c>
      <c r="J10" s="486">
        <v>119</v>
      </c>
      <c r="K10" s="487">
        <v>13162176.630000001</v>
      </c>
    </row>
    <row r="11" spans="2:18">
      <c r="B11" s="433" t="s">
        <v>15</v>
      </c>
      <c r="C11" s="328"/>
      <c r="D11" s="328"/>
      <c r="E11" s="337"/>
      <c r="F11" s="350"/>
      <c r="G11" s="350"/>
      <c r="H11" s="347"/>
      <c r="I11" s="327">
        <f t="shared" ref="I11:K11" si="0">SUM(C11,F11)</f>
        <v>0</v>
      </c>
      <c r="J11" s="327">
        <f t="shared" si="0"/>
        <v>0</v>
      </c>
      <c r="K11" s="326">
        <f t="shared" si="0"/>
        <v>0</v>
      </c>
    </row>
    <row r="12" spans="2:18">
      <c r="B12" s="434" t="s">
        <v>16</v>
      </c>
      <c r="C12" s="328"/>
      <c r="D12" s="328"/>
      <c r="E12" s="337"/>
      <c r="F12" s="350"/>
      <c r="G12" s="350"/>
      <c r="H12" s="347"/>
      <c r="I12" s="327"/>
      <c r="J12" s="327"/>
      <c r="K12" s="327"/>
    </row>
    <row r="13" spans="2:18">
      <c r="B13" s="51" t="s">
        <v>17</v>
      </c>
      <c r="C13" s="351">
        <f>SUM(C9:C12)</f>
        <v>117</v>
      </c>
      <c r="D13" s="351">
        <f t="shared" ref="D13:K13" si="1">SUM(D9:D12)</f>
        <v>117</v>
      </c>
      <c r="E13" s="490">
        <f>SUM(E9:E12)</f>
        <v>12745651.890000001</v>
      </c>
      <c r="F13" s="351">
        <f t="shared" si="1"/>
        <v>2</v>
      </c>
      <c r="G13" s="351">
        <f t="shared" si="1"/>
        <v>2</v>
      </c>
      <c r="H13" s="491">
        <f t="shared" si="1"/>
        <v>416524.74</v>
      </c>
      <c r="I13" s="351">
        <f t="shared" si="1"/>
        <v>119</v>
      </c>
      <c r="J13" s="351">
        <f t="shared" si="1"/>
        <v>119</v>
      </c>
      <c r="K13" s="491">
        <f t="shared" si="1"/>
        <v>13162176.630000001</v>
      </c>
      <c r="R13" t="s">
        <v>112</v>
      </c>
    </row>
    <row r="14" spans="2:18">
      <c r="B14" s="155" t="s">
        <v>244</v>
      </c>
    </row>
    <row r="37" spans="21:21">
      <c r="U37" s="1"/>
    </row>
  </sheetData>
  <mergeCells count="8">
    <mergeCell ref="C7:E7"/>
    <mergeCell ref="F7:H7"/>
    <mergeCell ref="I7:K7"/>
    <mergeCell ref="B2:K2"/>
    <mergeCell ref="B3:K3"/>
    <mergeCell ref="B4:K4"/>
    <mergeCell ref="B5:K5"/>
    <mergeCell ref="B6:K6"/>
  </mergeCells>
  <pageMargins left="0.70866141732283472" right="0.70866141732283472" top="0.74803149606299213" bottom="0.74803149606299213" header="0.31496062992125984" footer="0.31496062992125984"/>
  <pageSetup scale="93" orientation="landscape" r:id="rId1"/>
  <ignoredErrors>
    <ignoredError sqref="C13:K13"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2:Q83"/>
  <sheetViews>
    <sheetView showGridLines="0" zoomScaleNormal="100" workbookViewId="0">
      <selection activeCell="B4" sqref="B4:H11"/>
    </sheetView>
  </sheetViews>
  <sheetFormatPr defaultColWidth="9.140625" defaultRowHeight="15"/>
  <cols>
    <col min="1" max="1" width="0.42578125" style="1" customWidth="1"/>
    <col min="2" max="3" width="13.140625" style="1" customWidth="1"/>
    <col min="4" max="4" width="14.85546875" style="1" customWidth="1"/>
    <col min="5" max="5" width="16.140625" style="1" customWidth="1"/>
    <col min="6" max="8" width="13.140625" style="1" customWidth="1"/>
    <col min="9" max="9" width="19.140625" style="1" customWidth="1"/>
    <col min="10" max="10" width="10.5703125" style="1" customWidth="1"/>
    <col min="11" max="12" width="9.140625" style="1"/>
    <col min="13" max="13" width="11.7109375" style="1" customWidth="1"/>
    <col min="14" max="15" width="9.140625" style="1"/>
    <col min="16" max="16" width="17.5703125" style="1" customWidth="1"/>
    <col min="17" max="16384" width="9.140625" style="1"/>
  </cols>
  <sheetData>
    <row r="2" spans="2:11">
      <c r="B2" s="562" t="s">
        <v>0</v>
      </c>
      <c r="C2" s="562"/>
      <c r="D2" s="562"/>
      <c r="E2" s="562"/>
      <c r="F2" s="562"/>
      <c r="G2" s="562"/>
      <c r="H2" s="562"/>
      <c r="I2" s="22"/>
      <c r="J2" s="22"/>
      <c r="K2" s="22"/>
    </row>
    <row r="3" spans="2:11">
      <c r="B3" s="562" t="s">
        <v>74</v>
      </c>
      <c r="C3" s="562"/>
      <c r="D3" s="562"/>
      <c r="E3" s="562"/>
      <c r="F3" s="562"/>
      <c r="G3" s="562"/>
      <c r="H3" s="562"/>
      <c r="I3" s="22"/>
      <c r="J3" s="22"/>
      <c r="K3" s="22"/>
    </row>
    <row r="4" spans="2:11">
      <c r="B4" s="562" t="s">
        <v>245</v>
      </c>
      <c r="C4" s="562"/>
      <c r="D4" s="562"/>
      <c r="E4" s="562"/>
      <c r="F4" s="562"/>
      <c r="G4" s="562"/>
      <c r="H4" s="562"/>
      <c r="I4" s="22"/>
      <c r="J4" s="22"/>
      <c r="K4" s="22"/>
    </row>
    <row r="5" spans="2:11">
      <c r="B5" s="562" t="s">
        <v>3</v>
      </c>
      <c r="C5" s="562"/>
      <c r="D5" s="562"/>
      <c r="E5" s="562"/>
      <c r="F5" s="562"/>
      <c r="G5" s="562"/>
      <c r="H5" s="562"/>
      <c r="I5" s="22"/>
      <c r="J5" s="22"/>
      <c r="K5" s="22"/>
    </row>
    <row r="6" spans="2:11">
      <c r="B6" s="562" t="s">
        <v>4</v>
      </c>
      <c r="C6" s="562"/>
      <c r="D6" s="562"/>
      <c r="E6" s="562"/>
      <c r="F6" s="562"/>
      <c r="G6" s="562"/>
      <c r="H6" s="562"/>
      <c r="I6" s="22"/>
      <c r="J6" s="22"/>
      <c r="K6" s="22"/>
    </row>
    <row r="7" spans="2:11" ht="74.25" customHeight="1">
      <c r="B7" s="75" t="s">
        <v>5</v>
      </c>
      <c r="C7" s="39" t="s">
        <v>246</v>
      </c>
      <c r="D7" s="39" t="s">
        <v>247</v>
      </c>
      <c r="E7" s="39" t="s">
        <v>248</v>
      </c>
      <c r="F7" s="39" t="s">
        <v>249</v>
      </c>
      <c r="G7" s="39" t="s">
        <v>250</v>
      </c>
      <c r="H7" s="366" t="s">
        <v>251</v>
      </c>
      <c r="I7" s="338"/>
    </row>
    <row r="8" spans="2:11">
      <c r="B8" s="433" t="s">
        <v>13</v>
      </c>
      <c r="C8" s="478">
        <v>59</v>
      </c>
      <c r="D8" s="479">
        <v>1272638.93</v>
      </c>
      <c r="E8" s="479">
        <v>0</v>
      </c>
      <c r="F8" s="479">
        <v>0</v>
      </c>
      <c r="G8" s="475">
        <f>+E8+F8</f>
        <v>0</v>
      </c>
      <c r="H8" s="542">
        <f>+G8/D8</f>
        <v>0</v>
      </c>
      <c r="I8"/>
    </row>
    <row r="9" spans="2:11">
      <c r="B9" s="433" t="s">
        <v>15</v>
      </c>
      <c r="C9" s="478">
        <v>95</v>
      </c>
      <c r="D9" s="479">
        <v>2603374.4500000002</v>
      </c>
      <c r="E9" s="479">
        <v>473648.30000000005</v>
      </c>
      <c r="F9" s="479">
        <v>555555.81999999995</v>
      </c>
      <c r="G9" s="475">
        <f t="shared" ref="G9:G10" si="0">+E9+F9</f>
        <v>1029204.12</v>
      </c>
      <c r="H9" s="542">
        <f t="shared" ref="H9:H10" si="1">+G9/D9</f>
        <v>0.39533464730745893</v>
      </c>
      <c r="I9"/>
    </row>
    <row r="10" spans="2:11">
      <c r="B10" s="434" t="s">
        <v>16</v>
      </c>
      <c r="C10" s="478">
        <v>173</v>
      </c>
      <c r="D10" s="479">
        <v>3979629.99</v>
      </c>
      <c r="E10" s="479">
        <v>1022800.15</v>
      </c>
      <c r="F10" s="479">
        <v>1135158.5200000003</v>
      </c>
      <c r="G10" s="475">
        <f t="shared" si="0"/>
        <v>2157958.6700000004</v>
      </c>
      <c r="H10" s="542">
        <f t="shared" si="1"/>
        <v>0.54225108249322451</v>
      </c>
      <c r="I10"/>
    </row>
    <row r="11" spans="2:11">
      <c r="B11" s="197" t="s">
        <v>17</v>
      </c>
      <c r="C11" s="330">
        <f>SUM(C8:C10)</f>
        <v>327</v>
      </c>
      <c r="D11" s="374">
        <f>SUM(D8:D10)</f>
        <v>7855643.3700000001</v>
      </c>
      <c r="E11" s="374">
        <f>SUM(E8:E10)</f>
        <v>1496448.4500000002</v>
      </c>
      <c r="F11" s="374">
        <f>SUM(F8:F10)</f>
        <v>1690714.3400000003</v>
      </c>
      <c r="G11" s="374">
        <f>SUM(G8:G10)</f>
        <v>3187162.7900000005</v>
      </c>
      <c r="H11" s="406">
        <f>G11/D11</f>
        <v>0.40571632899877946</v>
      </c>
      <c r="I11" s="291"/>
    </row>
    <row r="12" spans="2:11" ht="2.25" hidden="1" customHeight="1">
      <c r="B12" s="60" t="s">
        <v>18</v>
      </c>
      <c r="C12" s="130">
        <v>83</v>
      </c>
      <c r="D12" s="156">
        <v>5510195.6499999985</v>
      </c>
      <c r="E12" s="156">
        <v>3527223.9</v>
      </c>
      <c r="F12" s="156">
        <v>0</v>
      </c>
      <c r="G12" s="141">
        <f>F12+E12</f>
        <v>3527223.9</v>
      </c>
      <c r="H12" s="57">
        <f>G12/D12</f>
        <v>0.64012679840143261</v>
      </c>
      <c r="I12"/>
    </row>
    <row r="13" spans="2:11" hidden="1">
      <c r="B13" s="60" t="s">
        <v>19</v>
      </c>
      <c r="C13" s="130">
        <v>192</v>
      </c>
      <c r="D13" s="156">
        <v>12205214.080000004</v>
      </c>
      <c r="E13" s="156">
        <v>0</v>
      </c>
      <c r="F13" s="156">
        <v>0</v>
      </c>
      <c r="G13" s="141">
        <f>F13+E13</f>
        <v>0</v>
      </c>
      <c r="H13" s="57">
        <f>G13/D13</f>
        <v>0</v>
      </c>
      <c r="I13"/>
    </row>
    <row r="14" spans="2:11" hidden="1">
      <c r="B14" s="60" t="s">
        <v>20</v>
      </c>
      <c r="C14" s="130">
        <v>24</v>
      </c>
      <c r="D14" s="156">
        <v>1715347.62</v>
      </c>
      <c r="E14" s="156">
        <v>0</v>
      </c>
      <c r="F14" s="153">
        <v>0</v>
      </c>
      <c r="G14" s="141">
        <f>F14+E14</f>
        <v>0</v>
      </c>
      <c r="H14" s="57">
        <f>G14/D14</f>
        <v>0</v>
      </c>
      <c r="I14"/>
    </row>
    <row r="15" spans="2:11" hidden="1">
      <c r="B15" s="24" t="s">
        <v>21</v>
      </c>
      <c r="C15" s="8">
        <f>SUM(C12:C14)</f>
        <v>299</v>
      </c>
      <c r="D15" s="157">
        <f>SUM(D12:D14)</f>
        <v>19430757.350000005</v>
      </c>
      <c r="E15" s="59">
        <f>SUM(E12:E14)</f>
        <v>3527223.9</v>
      </c>
      <c r="F15" s="59">
        <f>SUM(F12:F14)</f>
        <v>0</v>
      </c>
      <c r="G15" s="142">
        <f>SUM(G12:G14)</f>
        <v>3527223.9</v>
      </c>
      <c r="H15" s="16">
        <f t="shared" ref="H15:H28" si="2">G15/D15</f>
        <v>0.18152786515035138</v>
      </c>
      <c r="I15"/>
    </row>
    <row r="16" spans="2:11" hidden="1">
      <c r="B16" s="60" t="s">
        <v>22</v>
      </c>
      <c r="C16" s="130"/>
      <c r="D16" s="131"/>
      <c r="E16" s="131"/>
      <c r="F16" s="131"/>
      <c r="G16" s="56">
        <f>F16+E16</f>
        <v>0</v>
      </c>
      <c r="H16" s="57" t="e">
        <f t="shared" si="2"/>
        <v>#DIV/0!</v>
      </c>
      <c r="I16"/>
    </row>
    <row r="17" spans="2:9" hidden="1">
      <c r="B17" s="60" t="s">
        <v>23</v>
      </c>
      <c r="C17" s="130"/>
      <c r="D17" s="131"/>
      <c r="E17" s="131"/>
      <c r="F17" s="131"/>
      <c r="G17" s="56">
        <f>F17+E17</f>
        <v>0</v>
      </c>
      <c r="H17" s="57" t="e">
        <f t="shared" si="2"/>
        <v>#DIV/0!</v>
      </c>
      <c r="I17"/>
    </row>
    <row r="18" spans="2:9" hidden="1">
      <c r="B18" s="60" t="s">
        <v>24</v>
      </c>
      <c r="C18" s="130"/>
      <c r="D18" s="131"/>
      <c r="E18" s="120"/>
      <c r="F18" s="120"/>
      <c r="G18" s="58">
        <f>F18+E18</f>
        <v>0</v>
      </c>
      <c r="H18" s="57" t="e">
        <f t="shared" si="2"/>
        <v>#DIV/0!</v>
      </c>
      <c r="I18"/>
    </row>
    <row r="19" spans="2:9" hidden="1">
      <c r="B19" s="24" t="s">
        <v>25</v>
      </c>
      <c r="C19" s="8">
        <f>SUM(C16:C18)</f>
        <v>0</v>
      </c>
      <c r="D19" s="59">
        <f>SUM(D16:D18)</f>
        <v>0</v>
      </c>
      <c r="E19" s="59">
        <f>SUM(E16:E18)</f>
        <v>0</v>
      </c>
      <c r="F19" s="59">
        <f>SUM(F16:F18)</f>
        <v>0</v>
      </c>
      <c r="G19" s="59">
        <f>SUM(G16:G18)</f>
        <v>0</v>
      </c>
      <c r="H19" s="16" t="e">
        <f t="shared" si="2"/>
        <v>#DIV/0!</v>
      </c>
      <c r="I19"/>
    </row>
    <row r="20" spans="2:9" hidden="1">
      <c r="B20" s="60" t="s">
        <v>43</v>
      </c>
      <c r="C20" s="130"/>
      <c r="D20" s="131"/>
      <c r="E20" s="131"/>
      <c r="F20" s="131"/>
      <c r="G20" s="56">
        <f>F20+E20</f>
        <v>0</v>
      </c>
      <c r="H20" s="57" t="e">
        <f t="shared" si="2"/>
        <v>#DIV/0!</v>
      </c>
      <c r="I20"/>
    </row>
    <row r="21" spans="2:9" hidden="1">
      <c r="B21" s="60" t="s">
        <v>27</v>
      </c>
      <c r="C21" s="130"/>
      <c r="D21" s="131"/>
      <c r="E21" s="131"/>
      <c r="F21" s="131"/>
      <c r="G21" s="56">
        <f>F21+E21</f>
        <v>0</v>
      </c>
      <c r="H21" s="57" t="e">
        <f t="shared" si="2"/>
        <v>#DIV/0!</v>
      </c>
      <c r="I21"/>
    </row>
    <row r="22" spans="2:9" hidden="1">
      <c r="B22" s="60" t="s">
        <v>28</v>
      </c>
      <c r="C22" s="130"/>
      <c r="D22" s="131"/>
      <c r="E22" s="120"/>
      <c r="F22" s="120"/>
      <c r="G22" s="58">
        <f>F22+E22</f>
        <v>0</v>
      </c>
      <c r="H22" s="57" t="e">
        <f t="shared" si="2"/>
        <v>#DIV/0!</v>
      </c>
      <c r="I22"/>
    </row>
    <row r="23" spans="2:9" hidden="1">
      <c r="B23" s="24" t="s">
        <v>29</v>
      </c>
      <c r="C23" s="8">
        <f>SUM(C20:C22)</f>
        <v>0</v>
      </c>
      <c r="D23" s="59">
        <f>SUM(D20:D22)</f>
        <v>0</v>
      </c>
      <c r="E23" s="59">
        <f>SUM(E20:E22)</f>
        <v>0</v>
      </c>
      <c r="F23" s="59">
        <f>SUM(F20:F22)</f>
        <v>0</v>
      </c>
      <c r="G23" s="59">
        <f>SUM(G20:G22)</f>
        <v>0</v>
      </c>
      <c r="H23" s="16" t="e">
        <f t="shared" si="2"/>
        <v>#DIV/0!</v>
      </c>
      <c r="I23"/>
    </row>
    <row r="24" spans="2:9" hidden="1">
      <c r="B24" s="60" t="s">
        <v>16</v>
      </c>
      <c r="C24" s="130"/>
      <c r="D24" s="131"/>
      <c r="E24" s="131"/>
      <c r="F24" s="131"/>
      <c r="G24" s="56">
        <f>F24+E24</f>
        <v>0</v>
      </c>
      <c r="H24" s="57" t="e">
        <f t="shared" si="2"/>
        <v>#DIV/0!</v>
      </c>
      <c r="I24"/>
    </row>
    <row r="25" spans="2:9" hidden="1">
      <c r="B25" s="60" t="s">
        <v>15</v>
      </c>
      <c r="C25" s="130"/>
      <c r="D25" s="131"/>
      <c r="E25" s="131"/>
      <c r="F25" s="131"/>
      <c r="G25" s="56">
        <f>F25+E25</f>
        <v>0</v>
      </c>
      <c r="H25" s="57" t="e">
        <f t="shared" si="2"/>
        <v>#DIV/0!</v>
      </c>
      <c r="I25"/>
    </row>
    <row r="26" spans="2:9" hidden="1">
      <c r="B26" s="60" t="s">
        <v>13</v>
      </c>
      <c r="C26" s="130"/>
      <c r="D26" s="131"/>
      <c r="E26" s="120"/>
      <c r="F26" s="120"/>
      <c r="G26" s="58">
        <f>F26+E26</f>
        <v>0</v>
      </c>
      <c r="H26" s="57" t="e">
        <f t="shared" si="2"/>
        <v>#DIV/0!</v>
      </c>
      <c r="I26"/>
    </row>
    <row r="27" spans="2:9" hidden="1">
      <c r="B27" s="24" t="s">
        <v>17</v>
      </c>
      <c r="C27" s="8">
        <f>SUM(C24:C26)</f>
        <v>0</v>
      </c>
      <c r="D27" s="59">
        <f>SUM(D24:D26)</f>
        <v>0</v>
      </c>
      <c r="E27" s="59">
        <f>SUM(E24:E26)</f>
        <v>0</v>
      </c>
      <c r="F27" s="59">
        <f>SUM(F24:F26)</f>
        <v>0</v>
      </c>
      <c r="G27" s="59">
        <f>SUM(G24:G26)</f>
        <v>0</v>
      </c>
      <c r="H27" s="16" t="e">
        <f t="shared" si="2"/>
        <v>#DIV/0!</v>
      </c>
      <c r="I27"/>
    </row>
    <row r="28" spans="2:9" hidden="1">
      <c r="B28" s="61" t="s">
        <v>30</v>
      </c>
      <c r="C28" s="10">
        <f>+C15+C19+C23+C27</f>
        <v>299</v>
      </c>
      <c r="D28" s="10">
        <f>+D15+D19+D23+D27</f>
        <v>19430757.350000005</v>
      </c>
      <c r="E28" s="10">
        <f>+E15+E19+E23+E27</f>
        <v>3527223.9</v>
      </c>
      <c r="F28" s="10">
        <f>+F15+F19+F23+F27</f>
        <v>0</v>
      </c>
      <c r="G28" s="10">
        <f>+G15+G19+G23+G27</f>
        <v>3527223.9</v>
      </c>
      <c r="H28" s="10">
        <f t="shared" si="2"/>
        <v>0.18152786515035138</v>
      </c>
      <c r="I28"/>
    </row>
    <row r="29" spans="2:9" hidden="1">
      <c r="B29"/>
      <c r="C29"/>
      <c r="D29"/>
      <c r="E29"/>
      <c r="F29"/>
      <c r="G29"/>
      <c r="H29"/>
      <c r="I29"/>
    </row>
    <row r="30" spans="2:9" hidden="1">
      <c r="B30"/>
      <c r="C30"/>
      <c r="D30"/>
      <c r="E30"/>
      <c r="F30"/>
      <c r="G30"/>
      <c r="H30"/>
      <c r="I30"/>
    </row>
    <row r="31" spans="2:9" hidden="1">
      <c r="B31"/>
      <c r="C31"/>
      <c r="D31"/>
      <c r="E31"/>
      <c r="F31"/>
      <c r="G31"/>
      <c r="H31"/>
      <c r="I31"/>
    </row>
    <row r="32" spans="2:9" hidden="1">
      <c r="B32"/>
      <c r="C32"/>
      <c r="D32"/>
      <c r="E32"/>
      <c r="F32"/>
      <c r="G32"/>
      <c r="H32"/>
      <c r="I32"/>
    </row>
    <row r="33" spans="2:9" hidden="1">
      <c r="B33"/>
      <c r="C33"/>
      <c r="D33"/>
      <c r="E33"/>
      <c r="F33"/>
      <c r="G33"/>
      <c r="H33"/>
      <c r="I33"/>
    </row>
    <row r="34" spans="2:9" hidden="1">
      <c r="B34"/>
      <c r="C34"/>
      <c r="D34"/>
      <c r="E34"/>
      <c r="F34"/>
      <c r="G34"/>
      <c r="H34"/>
      <c r="I34"/>
    </row>
    <row r="35" spans="2:9" hidden="1">
      <c r="B35"/>
      <c r="C35"/>
      <c r="D35"/>
      <c r="E35"/>
      <c r="F35"/>
      <c r="G35"/>
      <c r="H35"/>
      <c r="I35"/>
    </row>
    <row r="36" spans="2:9" hidden="1">
      <c r="B36"/>
      <c r="C36"/>
      <c r="D36"/>
      <c r="E36"/>
      <c r="F36"/>
      <c r="G36"/>
      <c r="H36"/>
      <c r="I36"/>
    </row>
    <row r="37" spans="2:9" hidden="1">
      <c r="B37"/>
      <c r="C37"/>
      <c r="D37"/>
      <c r="E37"/>
      <c r="F37"/>
      <c r="G37"/>
      <c r="H37"/>
      <c r="I37"/>
    </row>
    <row r="38" spans="2:9" hidden="1">
      <c r="B38"/>
      <c r="C38"/>
      <c r="D38"/>
      <c r="E38"/>
      <c r="F38"/>
      <c r="G38"/>
      <c r="H38"/>
      <c r="I38"/>
    </row>
    <row r="39" spans="2:9" ht="13.5" customHeight="1">
      <c r="B39" s="155" t="s">
        <v>252</v>
      </c>
      <c r="C39"/>
      <c r="D39"/>
      <c r="E39"/>
      <c r="F39"/>
      <c r="G39"/>
      <c r="H39"/>
      <c r="I39"/>
    </row>
    <row r="40" spans="2:9" ht="13.5" customHeight="1">
      <c r="B40" s="155"/>
      <c r="C40"/>
      <c r="D40"/>
      <c r="E40"/>
      <c r="F40"/>
      <c r="G40"/>
      <c r="H40"/>
      <c r="I40"/>
    </row>
    <row r="41" spans="2:9">
      <c r="B41" s="105"/>
      <c r="C41"/>
      <c r="D41"/>
      <c r="E41"/>
      <c r="F41"/>
      <c r="G41"/>
      <c r="H41"/>
      <c r="I41"/>
    </row>
    <row r="42" spans="2:9">
      <c r="B42"/>
      <c r="C42"/>
      <c r="D42"/>
      <c r="E42"/>
      <c r="F42"/>
      <c r="G42"/>
      <c r="H42"/>
      <c r="I42"/>
    </row>
    <row r="43" spans="2:9">
      <c r="B43"/>
      <c r="C43"/>
      <c r="D43"/>
      <c r="E43"/>
      <c r="F43"/>
      <c r="G43"/>
      <c r="H43"/>
      <c r="I43"/>
    </row>
    <row r="44" spans="2:9">
      <c r="B44"/>
      <c r="C44"/>
      <c r="D44"/>
      <c r="E44"/>
      <c r="F44"/>
      <c r="G44"/>
      <c r="H44"/>
      <c r="I44"/>
    </row>
    <row r="45" spans="2:9">
      <c r="B45"/>
      <c r="C45"/>
      <c r="D45"/>
      <c r="E45"/>
      <c r="F45"/>
      <c r="G45"/>
      <c r="H45"/>
      <c r="I45"/>
    </row>
    <row r="46" spans="2:9">
      <c r="B46"/>
      <c r="C46"/>
      <c r="D46"/>
      <c r="E46"/>
      <c r="F46"/>
      <c r="G46"/>
      <c r="H46"/>
      <c r="I46"/>
    </row>
    <row r="47" spans="2:9">
      <c r="B47"/>
      <c r="C47"/>
      <c r="D47"/>
      <c r="E47"/>
      <c r="F47"/>
      <c r="G47"/>
      <c r="H47"/>
      <c r="I47"/>
    </row>
    <row r="48" spans="2:9">
      <c r="B48"/>
      <c r="C48"/>
      <c r="D48"/>
      <c r="E48"/>
      <c r="F48"/>
      <c r="G48"/>
      <c r="H48"/>
      <c r="I48"/>
    </row>
    <row r="49" spans="2:11">
      <c r="B49"/>
      <c r="C49"/>
      <c r="D49"/>
      <c r="E49"/>
      <c r="F49"/>
      <c r="G49"/>
      <c r="H49"/>
      <c r="I49"/>
    </row>
    <row r="50" spans="2:11">
      <c r="B50"/>
      <c r="C50"/>
      <c r="D50"/>
      <c r="E50"/>
      <c r="F50"/>
      <c r="G50"/>
      <c r="H50"/>
      <c r="I50"/>
    </row>
    <row r="51" spans="2:11">
      <c r="B51"/>
      <c r="C51"/>
      <c r="D51"/>
      <c r="E51"/>
      <c r="F51"/>
      <c r="G51"/>
      <c r="H51"/>
      <c r="I51"/>
    </row>
    <row r="52" spans="2:11">
      <c r="B52"/>
      <c r="C52"/>
      <c r="D52"/>
      <c r="E52"/>
      <c r="F52"/>
      <c r="G52"/>
      <c r="H52"/>
      <c r="I52"/>
    </row>
    <row r="53" spans="2:11">
      <c r="B53"/>
      <c r="C53"/>
      <c r="D53"/>
      <c r="E53"/>
      <c r="F53"/>
      <c r="G53"/>
      <c r="H53"/>
      <c r="I53"/>
    </row>
    <row r="54" spans="2:11">
      <c r="B54"/>
      <c r="C54"/>
      <c r="D54"/>
      <c r="E54"/>
      <c r="F54"/>
      <c r="G54"/>
      <c r="H54"/>
      <c r="I54"/>
    </row>
    <row r="55" spans="2:11">
      <c r="B55"/>
      <c r="C55"/>
      <c r="D55"/>
      <c r="E55"/>
      <c r="F55"/>
      <c r="G55"/>
      <c r="H55"/>
      <c r="I55"/>
    </row>
    <row r="56" spans="2:11">
      <c r="B56"/>
      <c r="C56"/>
      <c r="D56"/>
      <c r="E56"/>
      <c r="F56"/>
      <c r="G56"/>
      <c r="H56"/>
      <c r="I56"/>
    </row>
    <row r="57" spans="2:11">
      <c r="B57"/>
      <c r="C57"/>
      <c r="D57"/>
      <c r="E57"/>
      <c r="F57"/>
      <c r="G57"/>
      <c r="H57"/>
      <c r="I57"/>
    </row>
    <row r="58" spans="2:11">
      <c r="B58"/>
      <c r="C58"/>
      <c r="D58"/>
      <c r="E58"/>
      <c r="F58"/>
      <c r="G58"/>
      <c r="H58"/>
      <c r="I58"/>
    </row>
    <row r="59" spans="2:11">
      <c r="B59"/>
      <c r="C59"/>
      <c r="D59"/>
      <c r="E59"/>
      <c r="F59"/>
      <c r="G59"/>
      <c r="H59"/>
      <c r="I59"/>
    </row>
    <row r="60" spans="2:11">
      <c r="B60"/>
      <c r="C60"/>
      <c r="D60"/>
      <c r="E60"/>
      <c r="F60"/>
      <c r="G60"/>
      <c r="H60"/>
      <c r="I60"/>
    </row>
    <row r="61" spans="2:11">
      <c r="B61"/>
      <c r="C61"/>
      <c r="D61"/>
      <c r="E61"/>
      <c r="F61"/>
      <c r="G61"/>
      <c r="H61"/>
      <c r="I61"/>
    </row>
    <row r="62" spans="2:11">
      <c r="B62"/>
      <c r="C62"/>
      <c r="D62"/>
      <c r="E62"/>
      <c r="F62"/>
      <c r="G62"/>
      <c r="H62"/>
      <c r="I62"/>
    </row>
    <row r="63" spans="2:11">
      <c r="B63"/>
      <c r="C63"/>
      <c r="D63"/>
      <c r="E63"/>
      <c r="F63"/>
      <c r="G63"/>
      <c r="H63"/>
      <c r="I63"/>
    </row>
    <row r="64" spans="2:11">
      <c r="K64"/>
    </row>
    <row r="65" spans="2:17">
      <c r="B65"/>
      <c r="C65"/>
      <c r="D65"/>
      <c r="E65"/>
      <c r="F65"/>
      <c r="G65"/>
      <c r="H65"/>
      <c r="I65"/>
      <c r="J65"/>
      <c r="K65"/>
      <c r="L65"/>
      <c r="M65"/>
      <c r="N65"/>
      <c r="O65"/>
      <c r="P65"/>
      <c r="Q65"/>
    </row>
    <row r="66" spans="2:17">
      <c r="B66"/>
      <c r="C66"/>
      <c r="D66"/>
      <c r="E66"/>
      <c r="F66"/>
      <c r="G66"/>
      <c r="H66"/>
      <c r="I66"/>
      <c r="J66"/>
      <c r="K66"/>
      <c r="L66"/>
      <c r="M66"/>
      <c r="N66"/>
      <c r="O66"/>
      <c r="P66"/>
      <c r="Q66"/>
    </row>
    <row r="67" spans="2:17" ht="6" customHeight="1">
      <c r="B67"/>
      <c r="C67"/>
      <c r="D67"/>
      <c r="E67"/>
      <c r="F67"/>
      <c r="G67"/>
      <c r="H67"/>
      <c r="I67"/>
      <c r="J67"/>
      <c r="K67"/>
      <c r="L67"/>
      <c r="M67"/>
      <c r="N67"/>
      <c r="O67"/>
      <c r="P67"/>
      <c r="Q67"/>
    </row>
    <row r="68" spans="2:17" hidden="1">
      <c r="B68"/>
      <c r="C68"/>
      <c r="D68"/>
      <c r="E68"/>
      <c r="F68"/>
      <c r="G68"/>
      <c r="H68"/>
      <c r="I68"/>
      <c r="J68"/>
      <c r="K68"/>
      <c r="L68"/>
      <c r="M68"/>
      <c r="N68"/>
      <c r="O68"/>
      <c r="P68"/>
      <c r="Q68"/>
    </row>
    <row r="69" spans="2:17" hidden="1">
      <c r="B69"/>
      <c r="C69"/>
      <c r="D69"/>
      <c r="E69"/>
      <c r="F69"/>
      <c r="G69"/>
      <c r="H69"/>
      <c r="I69"/>
      <c r="J69"/>
      <c r="K69"/>
      <c r="L69"/>
      <c r="M69"/>
      <c r="N69"/>
      <c r="O69"/>
      <c r="P69"/>
      <c r="Q69"/>
    </row>
    <row r="70" spans="2:17" hidden="1">
      <c r="B70"/>
      <c r="C70"/>
      <c r="D70"/>
      <c r="E70"/>
      <c r="F70"/>
      <c r="G70"/>
      <c r="H70"/>
      <c r="I70"/>
      <c r="J70"/>
      <c r="K70"/>
      <c r="L70"/>
      <c r="M70"/>
      <c r="N70"/>
      <c r="O70"/>
      <c r="P70"/>
      <c r="Q70"/>
    </row>
    <row r="71" spans="2:17">
      <c r="B71"/>
      <c r="C71"/>
      <c r="D71"/>
      <c r="E71"/>
      <c r="F71"/>
      <c r="G71"/>
      <c r="H71"/>
      <c r="I71"/>
      <c r="J71"/>
      <c r="K71"/>
      <c r="L71"/>
      <c r="M71"/>
      <c r="N71"/>
      <c r="O71"/>
      <c r="P71"/>
      <c r="Q71"/>
    </row>
    <row r="72" spans="2:17">
      <c r="B72"/>
      <c r="C72"/>
      <c r="D72"/>
      <c r="E72"/>
      <c r="F72"/>
      <c r="G72"/>
      <c r="H72"/>
      <c r="I72"/>
      <c r="J72"/>
      <c r="K72"/>
      <c r="L72"/>
      <c r="M72"/>
      <c r="N72"/>
      <c r="O72"/>
      <c r="P72"/>
      <c r="Q72"/>
    </row>
    <row r="73" spans="2:17">
      <c r="B73"/>
      <c r="C73"/>
      <c r="D73"/>
      <c r="E73"/>
      <c r="F73"/>
      <c r="G73"/>
      <c r="H73"/>
      <c r="I73"/>
      <c r="J73"/>
      <c r="K73"/>
      <c r="L73"/>
      <c r="M73"/>
      <c r="N73"/>
      <c r="O73"/>
      <c r="P73"/>
      <c r="Q73"/>
    </row>
    <row r="74" spans="2:17">
      <c r="B74"/>
      <c r="C74"/>
      <c r="D74"/>
      <c r="E74"/>
      <c r="F74"/>
      <c r="G74"/>
      <c r="H74"/>
      <c r="I74"/>
      <c r="J74"/>
      <c r="K74"/>
      <c r="L74"/>
      <c r="M74"/>
      <c r="N74"/>
      <c r="O74"/>
      <c r="P74"/>
      <c r="Q74"/>
    </row>
    <row r="75" spans="2:17">
      <c r="B75"/>
      <c r="C75"/>
      <c r="D75"/>
      <c r="E75"/>
      <c r="F75"/>
      <c r="G75"/>
      <c r="H75"/>
      <c r="I75"/>
      <c r="J75"/>
      <c r="K75"/>
      <c r="L75"/>
      <c r="M75"/>
      <c r="N75"/>
      <c r="O75"/>
      <c r="P75"/>
      <c r="Q75"/>
    </row>
    <row r="76" spans="2:17">
      <c r="B76"/>
      <c r="C76"/>
      <c r="D76"/>
      <c r="E76"/>
      <c r="F76"/>
      <c r="G76"/>
      <c r="H76"/>
      <c r="I76"/>
      <c r="J76"/>
      <c r="K76"/>
      <c r="L76"/>
      <c r="M76"/>
      <c r="N76"/>
      <c r="O76"/>
      <c r="P76"/>
      <c r="Q76"/>
    </row>
    <row r="77" spans="2:17">
      <c r="B77"/>
      <c r="C77"/>
      <c r="D77"/>
      <c r="E77"/>
      <c r="F77"/>
      <c r="G77"/>
      <c r="H77"/>
      <c r="I77"/>
      <c r="J77"/>
      <c r="K77"/>
      <c r="L77"/>
      <c r="M77"/>
      <c r="N77"/>
      <c r="O77"/>
      <c r="P77"/>
      <c r="Q77"/>
    </row>
    <row r="78" spans="2:17">
      <c r="B78"/>
      <c r="C78"/>
      <c r="D78"/>
      <c r="E78"/>
      <c r="F78"/>
      <c r="G78"/>
      <c r="H78"/>
      <c r="I78"/>
      <c r="J78"/>
      <c r="K78"/>
      <c r="L78"/>
      <c r="M78"/>
      <c r="N78"/>
      <c r="O78"/>
      <c r="P78"/>
      <c r="Q78"/>
    </row>
    <row r="79" spans="2:17">
      <c r="B79"/>
      <c r="C79"/>
      <c r="D79"/>
      <c r="E79"/>
      <c r="F79"/>
      <c r="G79"/>
      <c r="H79"/>
      <c r="I79"/>
      <c r="J79"/>
      <c r="K79"/>
      <c r="L79"/>
      <c r="M79"/>
      <c r="N79"/>
      <c r="O79"/>
      <c r="P79"/>
      <c r="Q79"/>
    </row>
    <row r="80" spans="2:17">
      <c r="B80"/>
      <c r="C80"/>
      <c r="D80"/>
      <c r="E80"/>
      <c r="F80"/>
      <c r="G80"/>
      <c r="H80"/>
      <c r="I80"/>
      <c r="J80"/>
      <c r="K80"/>
      <c r="L80"/>
      <c r="M80"/>
      <c r="N80"/>
      <c r="O80"/>
      <c r="P80"/>
      <c r="Q80"/>
    </row>
    <row r="81" spans="2:17">
      <c r="B81"/>
      <c r="C81"/>
      <c r="D81"/>
      <c r="E81"/>
      <c r="F81"/>
      <c r="G81"/>
      <c r="H81"/>
      <c r="I81"/>
      <c r="J81"/>
      <c r="K81"/>
      <c r="L81"/>
      <c r="M81"/>
      <c r="N81"/>
      <c r="O81"/>
      <c r="P81"/>
      <c r="Q81"/>
    </row>
    <row r="82" spans="2:17">
      <c r="B82"/>
      <c r="C82"/>
      <c r="D82"/>
      <c r="E82"/>
      <c r="F82"/>
      <c r="G82"/>
      <c r="H82"/>
      <c r="I82"/>
      <c r="J82"/>
      <c r="K82"/>
      <c r="L82"/>
      <c r="M82"/>
      <c r="N82"/>
      <c r="O82"/>
      <c r="P82"/>
      <c r="Q82"/>
    </row>
    <row r="83" spans="2:17">
      <c r="B83"/>
      <c r="C83"/>
      <c r="D83"/>
      <c r="E83"/>
      <c r="F83"/>
      <c r="G83"/>
      <c r="H83"/>
      <c r="I83"/>
      <c r="J83"/>
      <c r="K83"/>
      <c r="L83"/>
      <c r="M83"/>
      <c r="N83"/>
      <c r="O83"/>
      <c r="P83"/>
      <c r="Q83"/>
    </row>
  </sheetData>
  <mergeCells count="5">
    <mergeCell ref="B2:H2"/>
    <mergeCell ref="B3:H3"/>
    <mergeCell ref="B4:H4"/>
    <mergeCell ref="B6:H6"/>
    <mergeCell ref="B5:H5"/>
  </mergeCells>
  <pageMargins left="0.7" right="0.7" top="0.75" bottom="0.75" header="0.3" footer="0.3"/>
  <pageSetup paperSize="9" scale="54" orientation="portrait" r:id="rId1"/>
  <ignoredErrors>
    <ignoredError sqref="G15"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2:AA79"/>
  <sheetViews>
    <sheetView showGridLines="0" topLeftCell="A40" zoomScaleNormal="100" workbookViewId="0">
      <selection activeCell="M68" sqref="M68"/>
    </sheetView>
  </sheetViews>
  <sheetFormatPr defaultColWidth="11.42578125" defaultRowHeight="15" outlineLevelCol="1"/>
  <cols>
    <col min="1" max="1" width="6.28515625" style="1" customWidth="1"/>
    <col min="2" max="2" width="0.140625" style="1" customWidth="1"/>
    <col min="3" max="3" width="45.7109375" style="1" bestFit="1" customWidth="1"/>
    <col min="4" max="4" width="9.42578125" style="1" customWidth="1" outlineLevel="1"/>
    <col min="5" max="5" width="10.85546875" style="1" customWidth="1" outlineLevel="1"/>
    <col min="6" max="6" width="11.42578125" style="1" customWidth="1" outlineLevel="1"/>
    <col min="7" max="7" width="9.42578125" style="1" customWidth="1" outlineLevel="1"/>
    <col min="8" max="8" width="10.85546875" style="1" customWidth="1" outlineLevel="1"/>
    <col min="9" max="9" width="11.42578125" style="1" customWidth="1" outlineLevel="1"/>
    <col min="10" max="10" width="9.5703125" style="1" customWidth="1" outlineLevel="1"/>
    <col min="11" max="11" width="10.85546875" style="1" customWidth="1" outlineLevel="1"/>
    <col min="12" max="12" width="11.42578125" style="1" customWidth="1" outlineLevel="1"/>
    <col min="13" max="13" width="9.42578125" style="1" bestFit="1" customWidth="1"/>
    <col min="14" max="14" width="15.28515625" style="1" customWidth="1"/>
    <col min="15" max="15" width="11.42578125" style="1" customWidth="1"/>
    <col min="16" max="16384" width="11.42578125" style="1"/>
  </cols>
  <sheetData>
    <row r="2" spans="1:27">
      <c r="A2" s="22"/>
      <c r="B2" s="22"/>
      <c r="C2" s="562" t="s">
        <v>232</v>
      </c>
      <c r="D2" s="562"/>
      <c r="E2" s="562"/>
      <c r="F2" s="562"/>
      <c r="G2" s="562"/>
      <c r="H2" s="562"/>
      <c r="I2" s="562"/>
      <c r="J2" s="562"/>
      <c r="K2" s="562"/>
      <c r="L2" s="562"/>
      <c r="M2" s="562"/>
      <c r="N2" s="562"/>
      <c r="O2" s="562"/>
    </row>
    <row r="3" spans="1:27">
      <c r="A3" s="22"/>
      <c r="B3" s="22"/>
      <c r="C3" s="562" t="s">
        <v>253</v>
      </c>
      <c r="D3" s="562"/>
      <c r="E3" s="562"/>
      <c r="F3" s="562"/>
      <c r="G3" s="562"/>
      <c r="H3" s="562"/>
      <c r="I3" s="562"/>
      <c r="J3" s="562"/>
      <c r="K3" s="562"/>
      <c r="L3" s="562"/>
      <c r="M3" s="562"/>
      <c r="N3" s="562"/>
      <c r="O3" s="562"/>
    </row>
    <row r="4" spans="1:27">
      <c r="A4" s="22"/>
      <c r="B4" s="22"/>
      <c r="C4" s="562" t="s">
        <v>254</v>
      </c>
      <c r="D4" s="562"/>
      <c r="E4" s="562"/>
      <c r="F4" s="562"/>
      <c r="G4" s="562"/>
      <c r="H4" s="562"/>
      <c r="I4" s="562"/>
      <c r="J4" s="562"/>
      <c r="K4" s="562"/>
      <c r="L4" s="562"/>
      <c r="M4" s="562"/>
      <c r="N4" s="562"/>
      <c r="O4" s="562"/>
    </row>
    <row r="5" spans="1:27">
      <c r="A5" s="22"/>
      <c r="B5" s="22"/>
      <c r="C5" s="562" t="s">
        <v>3</v>
      </c>
      <c r="D5" s="562"/>
      <c r="E5" s="562"/>
      <c r="F5" s="562"/>
      <c r="G5" s="562"/>
      <c r="H5" s="562"/>
      <c r="I5" s="562"/>
      <c r="J5" s="562"/>
      <c r="K5" s="562"/>
      <c r="L5" s="562"/>
      <c r="M5" s="562"/>
      <c r="N5" s="562"/>
      <c r="O5" s="562"/>
      <c r="Z5" s="1" t="s">
        <v>112</v>
      </c>
    </row>
    <row r="6" spans="1:27">
      <c r="A6" s="22"/>
      <c r="B6" s="22"/>
      <c r="C6" s="562" t="s">
        <v>4</v>
      </c>
      <c r="D6" s="562"/>
      <c r="E6" s="562"/>
      <c r="F6" s="562"/>
      <c r="G6" s="562"/>
      <c r="H6" s="562"/>
      <c r="I6" s="562"/>
      <c r="J6" s="562"/>
      <c r="K6" s="562"/>
      <c r="L6" s="562"/>
      <c r="M6" s="562"/>
      <c r="N6" s="562"/>
      <c r="O6" s="562"/>
    </row>
    <row r="9" spans="1:27" ht="15.75">
      <c r="C9" s="620" t="s">
        <v>255</v>
      </c>
      <c r="D9" s="620"/>
      <c r="E9" s="620"/>
      <c r="F9" s="620"/>
      <c r="G9" s="620"/>
      <c r="H9" s="620"/>
      <c r="I9" s="620"/>
      <c r="J9" s="620"/>
      <c r="K9" s="620"/>
      <c r="L9" s="620"/>
      <c r="M9" s="620"/>
      <c r="N9" s="620"/>
      <c r="O9" s="620"/>
      <c r="AA9" s="18"/>
    </row>
    <row r="10" spans="1:27">
      <c r="C10" s="132"/>
      <c r="D10" s="591" t="s">
        <v>43</v>
      </c>
      <c r="E10" s="591"/>
      <c r="F10" s="591"/>
      <c r="G10" s="591" t="s">
        <v>27</v>
      </c>
      <c r="H10" s="591"/>
      <c r="I10" s="591"/>
      <c r="J10" s="591" t="s">
        <v>256</v>
      </c>
      <c r="K10" s="591"/>
      <c r="L10" s="591"/>
      <c r="M10" s="591" t="s">
        <v>17</v>
      </c>
      <c r="N10" s="591"/>
      <c r="O10" s="591"/>
      <c r="P10"/>
      <c r="Q10"/>
      <c r="R10"/>
      <c r="S10"/>
      <c r="T10"/>
      <c r="U10"/>
      <c r="V10"/>
      <c r="W10"/>
    </row>
    <row r="11" spans="1:27">
      <c r="C11" s="48" t="s">
        <v>257</v>
      </c>
      <c r="D11" s="48" t="s">
        <v>258</v>
      </c>
      <c r="E11" s="48" t="s">
        <v>259</v>
      </c>
      <c r="F11" s="48" t="s">
        <v>260</v>
      </c>
      <c r="G11" s="48" t="s">
        <v>258</v>
      </c>
      <c r="H11" s="48" t="s">
        <v>259</v>
      </c>
      <c r="I11" s="48" t="s">
        <v>260</v>
      </c>
      <c r="J11" s="48" t="s">
        <v>258</v>
      </c>
      <c r="K11" s="48" t="s">
        <v>259</v>
      </c>
      <c r="L11" s="48" t="s">
        <v>260</v>
      </c>
      <c r="M11" s="48" t="s">
        <v>258</v>
      </c>
      <c r="N11" s="48" t="s">
        <v>259</v>
      </c>
      <c r="O11" s="48" t="s">
        <v>260</v>
      </c>
      <c r="P11"/>
      <c r="Q11"/>
      <c r="R11"/>
      <c r="S11"/>
      <c r="T11"/>
      <c r="U11"/>
      <c r="V11"/>
      <c r="W11"/>
    </row>
    <row r="12" spans="1:27">
      <c r="A12" s="1">
        <v>1</v>
      </c>
      <c r="C12" s="435" t="s">
        <v>261</v>
      </c>
      <c r="D12" s="506"/>
      <c r="E12" s="506"/>
      <c r="F12" s="507" t="e">
        <f>E12/D12</f>
        <v>#DIV/0!</v>
      </c>
      <c r="G12" s="506"/>
      <c r="H12" s="506"/>
      <c r="I12" s="507" t="e">
        <f>H12/G12</f>
        <v>#DIV/0!</v>
      </c>
      <c r="J12" s="506"/>
      <c r="K12" s="506"/>
      <c r="L12" s="507" t="e">
        <f>K12/J12</f>
        <v>#DIV/0!</v>
      </c>
      <c r="M12" s="508">
        <v>15</v>
      </c>
      <c r="N12" s="508">
        <v>15</v>
      </c>
      <c r="O12" s="543">
        <f>+N12/M12</f>
        <v>1</v>
      </c>
      <c r="P12">
        <v>1</v>
      </c>
      <c r="Q12">
        <v>1</v>
      </c>
      <c r="R12">
        <v>1</v>
      </c>
      <c r="S12">
        <v>8</v>
      </c>
      <c r="T12">
        <v>8</v>
      </c>
      <c r="U12">
        <v>1</v>
      </c>
      <c r="V12">
        <v>9</v>
      </c>
      <c r="W12"/>
    </row>
    <row r="13" spans="1:27">
      <c r="A13" s="1">
        <v>2</v>
      </c>
      <c r="C13" s="435" t="s">
        <v>262</v>
      </c>
      <c r="D13" s="506"/>
      <c r="E13" s="506"/>
      <c r="F13" s="507" t="e">
        <f t="shared" ref="F13:F24" si="0">E13/D13</f>
        <v>#DIV/0!</v>
      </c>
      <c r="G13" s="506"/>
      <c r="H13" s="506"/>
      <c r="I13" s="507" t="e">
        <f t="shared" ref="I13:I21" si="1">H13/G13</f>
        <v>#DIV/0!</v>
      </c>
      <c r="J13" s="506"/>
      <c r="K13" s="506"/>
      <c r="L13" s="507" t="e">
        <f t="shared" ref="L13:L24" si="2">K13/J13</f>
        <v>#DIV/0!</v>
      </c>
      <c r="M13" s="508">
        <v>420</v>
      </c>
      <c r="N13" s="508">
        <v>406</v>
      </c>
      <c r="O13" s="543">
        <f t="shared" ref="O13:O24" si="3">+N13/M13</f>
        <v>0.96666666666666667</v>
      </c>
      <c r="P13"/>
      <c r="Q13">
        <v>147</v>
      </c>
      <c r="R13">
        <v>0.9932432432432432</v>
      </c>
      <c r="S13">
        <v>178</v>
      </c>
      <c r="T13">
        <v>176</v>
      </c>
      <c r="U13">
        <v>0.9887640449438202</v>
      </c>
      <c r="V13">
        <v>154</v>
      </c>
      <c r="W13"/>
    </row>
    <row r="14" spans="1:27">
      <c r="A14" s="1">
        <v>3</v>
      </c>
      <c r="C14" s="435" t="s">
        <v>263</v>
      </c>
      <c r="D14" s="506"/>
      <c r="E14" s="506"/>
      <c r="F14" s="507" t="e">
        <f t="shared" si="0"/>
        <v>#DIV/0!</v>
      </c>
      <c r="G14" s="506"/>
      <c r="H14" s="506"/>
      <c r="I14" s="507" t="e">
        <f t="shared" si="1"/>
        <v>#DIV/0!</v>
      </c>
      <c r="J14" s="506"/>
      <c r="K14" s="506"/>
      <c r="L14" s="507" t="e">
        <f t="shared" si="2"/>
        <v>#DIV/0!</v>
      </c>
      <c r="M14" s="508">
        <v>132</v>
      </c>
      <c r="N14" s="508">
        <v>88</v>
      </c>
      <c r="O14" s="543">
        <f t="shared" si="3"/>
        <v>0.66666666666666663</v>
      </c>
      <c r="P14" s="64"/>
      <c r="Q14">
        <v>239</v>
      </c>
      <c r="R14">
        <v>0.99583333333333335</v>
      </c>
      <c r="S14">
        <v>159</v>
      </c>
      <c r="T14">
        <v>159</v>
      </c>
      <c r="U14">
        <v>1</v>
      </c>
      <c r="V14">
        <v>44</v>
      </c>
      <c r="W14"/>
    </row>
    <row r="15" spans="1:27">
      <c r="A15" s="1">
        <v>4</v>
      </c>
      <c r="C15" s="435" t="s">
        <v>264</v>
      </c>
      <c r="D15" s="506"/>
      <c r="E15" s="506"/>
      <c r="F15" s="507" t="e">
        <f t="shared" si="0"/>
        <v>#DIV/0!</v>
      </c>
      <c r="G15" s="506"/>
      <c r="H15" s="506"/>
      <c r="I15" s="507" t="e">
        <f t="shared" si="1"/>
        <v>#DIV/0!</v>
      </c>
      <c r="J15" s="506"/>
      <c r="K15" s="506"/>
      <c r="L15" s="507" t="e">
        <f t="shared" si="2"/>
        <v>#DIV/0!</v>
      </c>
      <c r="M15" s="508">
        <v>657</v>
      </c>
      <c r="N15" s="508">
        <v>653</v>
      </c>
      <c r="O15" s="543">
        <f t="shared" si="3"/>
        <v>0.9939117199391172</v>
      </c>
      <c r="P15"/>
      <c r="Q15">
        <v>36</v>
      </c>
      <c r="R15">
        <v>0.92307692307692313</v>
      </c>
      <c r="S15">
        <v>30</v>
      </c>
      <c r="T15">
        <v>26</v>
      </c>
      <c r="U15">
        <v>0.8666666666666667</v>
      </c>
      <c r="V15">
        <v>138</v>
      </c>
      <c r="W15"/>
    </row>
    <row r="16" spans="1:27">
      <c r="A16" s="1">
        <v>5</v>
      </c>
      <c r="C16" s="435" t="s">
        <v>265</v>
      </c>
      <c r="D16" s="506"/>
      <c r="E16" s="506"/>
      <c r="F16" s="507" t="e">
        <f t="shared" si="0"/>
        <v>#DIV/0!</v>
      </c>
      <c r="G16" s="506"/>
      <c r="H16" s="506"/>
      <c r="I16" s="507" t="e">
        <f t="shared" si="1"/>
        <v>#DIV/0!</v>
      </c>
      <c r="J16" s="506"/>
      <c r="K16" s="506"/>
      <c r="L16" s="507" t="e">
        <f t="shared" si="2"/>
        <v>#DIV/0!</v>
      </c>
      <c r="M16" s="508">
        <v>115</v>
      </c>
      <c r="N16" s="508">
        <v>111</v>
      </c>
      <c r="O16" s="543">
        <f t="shared" si="3"/>
        <v>0.9652173913043478</v>
      </c>
      <c r="P16"/>
      <c r="Q16">
        <v>4</v>
      </c>
      <c r="R16">
        <v>1</v>
      </c>
      <c r="S16">
        <v>12</v>
      </c>
      <c r="T16">
        <v>12</v>
      </c>
      <c r="U16">
        <v>1</v>
      </c>
      <c r="V16">
        <v>8</v>
      </c>
      <c r="W16"/>
    </row>
    <row r="17" spans="1:23">
      <c r="A17" s="1">
        <v>6</v>
      </c>
      <c r="C17" s="435" t="s">
        <v>266</v>
      </c>
      <c r="D17" s="506"/>
      <c r="E17" s="506"/>
      <c r="F17" s="507" t="e">
        <f t="shared" si="0"/>
        <v>#DIV/0!</v>
      </c>
      <c r="G17" s="506"/>
      <c r="H17" s="506"/>
      <c r="I17" s="507" t="e">
        <f t="shared" si="1"/>
        <v>#DIV/0!</v>
      </c>
      <c r="J17" s="506"/>
      <c r="K17" s="506"/>
      <c r="L17" s="507" t="e">
        <f t="shared" si="2"/>
        <v>#DIV/0!</v>
      </c>
      <c r="M17" s="508">
        <v>1155</v>
      </c>
      <c r="N17" s="508">
        <v>1134</v>
      </c>
      <c r="O17" s="543">
        <f t="shared" si="3"/>
        <v>0.98181818181818181</v>
      </c>
      <c r="P17"/>
      <c r="Q17">
        <v>237</v>
      </c>
      <c r="R17">
        <v>0.99579831932773111</v>
      </c>
      <c r="S17">
        <v>230</v>
      </c>
      <c r="T17">
        <v>227</v>
      </c>
      <c r="U17">
        <v>0.9869565217391304</v>
      </c>
      <c r="V17">
        <v>277</v>
      </c>
      <c r="W17"/>
    </row>
    <row r="18" spans="1:23">
      <c r="A18" s="1">
        <v>7</v>
      </c>
      <c r="C18" s="435" t="s">
        <v>267</v>
      </c>
      <c r="D18" s="506"/>
      <c r="E18" s="506"/>
      <c r="F18" s="507" t="e">
        <f t="shared" si="0"/>
        <v>#DIV/0!</v>
      </c>
      <c r="G18" s="506"/>
      <c r="H18" s="506"/>
      <c r="I18" s="507" t="e">
        <f t="shared" si="1"/>
        <v>#DIV/0!</v>
      </c>
      <c r="J18" s="506"/>
      <c r="K18" s="506"/>
      <c r="L18" s="507" t="e">
        <f t="shared" si="2"/>
        <v>#DIV/0!</v>
      </c>
      <c r="M18" s="508">
        <v>259</v>
      </c>
      <c r="N18" s="508">
        <v>252</v>
      </c>
      <c r="O18" s="543">
        <f t="shared" si="3"/>
        <v>0.97297297297297303</v>
      </c>
      <c r="P18"/>
      <c r="Q18">
        <v>7</v>
      </c>
      <c r="R18">
        <v>0.77777777777777779</v>
      </c>
      <c r="S18">
        <v>45</v>
      </c>
      <c r="T18">
        <v>43</v>
      </c>
      <c r="U18">
        <v>0.9555555555555556</v>
      </c>
      <c r="V18">
        <v>30</v>
      </c>
      <c r="W18"/>
    </row>
    <row r="19" spans="1:23">
      <c r="A19" s="1">
        <v>8</v>
      </c>
      <c r="C19" s="435" t="s">
        <v>268</v>
      </c>
      <c r="D19" s="506"/>
      <c r="E19" s="506"/>
      <c r="F19" s="507" t="e">
        <f t="shared" si="0"/>
        <v>#DIV/0!</v>
      </c>
      <c r="G19" s="506"/>
      <c r="H19" s="506"/>
      <c r="I19" s="507" t="e">
        <f t="shared" si="1"/>
        <v>#DIV/0!</v>
      </c>
      <c r="J19" s="506"/>
      <c r="K19" s="506"/>
      <c r="L19" s="507" t="e">
        <f t="shared" si="2"/>
        <v>#DIV/0!</v>
      </c>
      <c r="M19" s="508">
        <v>21</v>
      </c>
      <c r="N19" s="508">
        <v>21</v>
      </c>
      <c r="O19" s="543">
        <f t="shared" si="3"/>
        <v>1</v>
      </c>
      <c r="P19"/>
      <c r="Q19">
        <v>5</v>
      </c>
      <c r="R19">
        <v>1</v>
      </c>
      <c r="S19">
        <v>9</v>
      </c>
      <c r="T19">
        <v>9</v>
      </c>
      <c r="U19">
        <v>1</v>
      </c>
      <c r="V19">
        <v>8</v>
      </c>
      <c r="W19"/>
    </row>
    <row r="20" spans="1:23">
      <c r="A20" s="1">
        <v>9</v>
      </c>
      <c r="C20" s="435" t="s">
        <v>269</v>
      </c>
      <c r="D20" s="506"/>
      <c r="E20" s="506"/>
      <c r="F20" s="507" t="e">
        <f t="shared" si="0"/>
        <v>#DIV/0!</v>
      </c>
      <c r="G20" s="506"/>
      <c r="H20" s="506"/>
      <c r="I20" s="507" t="e">
        <f t="shared" si="1"/>
        <v>#DIV/0!</v>
      </c>
      <c r="J20" s="506"/>
      <c r="K20" s="506"/>
      <c r="L20" s="507" t="e">
        <f t="shared" si="2"/>
        <v>#DIV/0!</v>
      </c>
      <c r="M20" s="508">
        <v>813</v>
      </c>
      <c r="N20" s="508">
        <v>800</v>
      </c>
      <c r="O20" s="543">
        <f t="shared" si="3"/>
        <v>0.98400984009840098</v>
      </c>
      <c r="P20"/>
      <c r="Q20">
        <v>373</v>
      </c>
      <c r="R20">
        <v>1</v>
      </c>
      <c r="S20">
        <v>549</v>
      </c>
      <c r="T20">
        <v>546</v>
      </c>
      <c r="U20">
        <v>0.99453551912568305</v>
      </c>
      <c r="V20">
        <v>666</v>
      </c>
      <c r="W20"/>
    </row>
    <row r="21" spans="1:23">
      <c r="A21" s="1">
        <v>10</v>
      </c>
      <c r="C21" s="435" t="s">
        <v>270</v>
      </c>
      <c r="D21" s="506"/>
      <c r="E21" s="506"/>
      <c r="F21" s="507" t="e">
        <f t="shared" si="0"/>
        <v>#DIV/0!</v>
      </c>
      <c r="G21" s="506"/>
      <c r="H21" s="506"/>
      <c r="I21" s="507" t="e">
        <f t="shared" si="1"/>
        <v>#DIV/0!</v>
      </c>
      <c r="J21" s="506"/>
      <c r="K21" s="506"/>
      <c r="L21" s="507" t="e">
        <f t="shared" si="2"/>
        <v>#DIV/0!</v>
      </c>
      <c r="M21" s="508">
        <v>8656</v>
      </c>
      <c r="N21" s="508">
        <v>8581</v>
      </c>
      <c r="O21" s="543">
        <f t="shared" si="3"/>
        <v>0.99133548983364139</v>
      </c>
      <c r="P21"/>
      <c r="Q21">
        <v>2356</v>
      </c>
      <c r="R21">
        <v>0.99703766398645788</v>
      </c>
      <c r="S21">
        <v>3917</v>
      </c>
      <c r="T21">
        <v>3910</v>
      </c>
      <c r="U21">
        <v>0.99821291804952772</v>
      </c>
      <c r="V21">
        <v>2517</v>
      </c>
      <c r="W21"/>
    </row>
    <row r="22" spans="1:23">
      <c r="A22" s="1">
        <v>11</v>
      </c>
      <c r="C22" s="435" t="s">
        <v>271</v>
      </c>
      <c r="D22" s="506"/>
      <c r="E22" s="506"/>
      <c r="F22" s="507" t="e">
        <f t="shared" si="0"/>
        <v>#DIV/0!</v>
      </c>
      <c r="G22" s="506"/>
      <c r="H22" s="506"/>
      <c r="I22" s="507" t="e">
        <f>H22/G22</f>
        <v>#DIV/0!</v>
      </c>
      <c r="J22" s="506"/>
      <c r="K22" s="506"/>
      <c r="L22" s="507" t="e">
        <f t="shared" si="2"/>
        <v>#DIV/0!</v>
      </c>
      <c r="M22" s="508">
        <v>33</v>
      </c>
      <c r="N22" s="508">
        <v>33</v>
      </c>
      <c r="O22" s="543">
        <f t="shared" si="3"/>
        <v>1</v>
      </c>
      <c r="P22"/>
      <c r="Q22">
        <v>1</v>
      </c>
      <c r="R22">
        <v>0.5</v>
      </c>
      <c r="S22">
        <v>6</v>
      </c>
      <c r="T22">
        <v>6</v>
      </c>
      <c r="U22">
        <v>1</v>
      </c>
      <c r="V22">
        <v>10</v>
      </c>
      <c r="W22"/>
    </row>
    <row r="23" spans="1:23">
      <c r="A23" s="1">
        <v>12</v>
      </c>
      <c r="C23" s="435" t="s">
        <v>272</v>
      </c>
      <c r="D23" s="506"/>
      <c r="E23" s="506"/>
      <c r="F23" s="507" t="e">
        <f t="shared" si="0"/>
        <v>#DIV/0!</v>
      </c>
      <c r="G23" s="506"/>
      <c r="H23" s="506"/>
      <c r="I23" s="507" t="e">
        <f>H23/G23</f>
        <v>#DIV/0!</v>
      </c>
      <c r="J23" s="506"/>
      <c r="K23" s="506"/>
      <c r="L23" s="507" t="e">
        <f t="shared" si="2"/>
        <v>#DIV/0!</v>
      </c>
      <c r="M23" s="508">
        <v>302</v>
      </c>
      <c r="N23" s="508">
        <v>297</v>
      </c>
      <c r="O23" s="543">
        <f t="shared" si="3"/>
        <v>0.98344370860927155</v>
      </c>
      <c r="P23"/>
      <c r="Q23">
        <v>46</v>
      </c>
      <c r="R23">
        <v>1</v>
      </c>
      <c r="S23">
        <v>63</v>
      </c>
      <c r="T23">
        <v>63</v>
      </c>
      <c r="U23">
        <v>1</v>
      </c>
      <c r="V23">
        <v>32</v>
      </c>
      <c r="W23"/>
    </row>
    <row r="24" spans="1:23">
      <c r="A24" s="1">
        <v>13</v>
      </c>
      <c r="C24" s="435" t="s">
        <v>273</v>
      </c>
      <c r="D24" s="506"/>
      <c r="E24" s="506"/>
      <c r="F24" s="507" t="e">
        <f t="shared" si="0"/>
        <v>#DIV/0!</v>
      </c>
      <c r="G24" s="506"/>
      <c r="H24" s="506"/>
      <c r="I24" s="507" t="e">
        <f>H24/G24</f>
        <v>#DIV/0!</v>
      </c>
      <c r="J24" s="506"/>
      <c r="K24" s="506"/>
      <c r="L24" s="507" t="e">
        <f t="shared" si="2"/>
        <v>#DIV/0!</v>
      </c>
      <c r="M24" s="508">
        <v>17693</v>
      </c>
      <c r="N24" s="508">
        <v>17598</v>
      </c>
      <c r="O24" s="543">
        <f t="shared" si="3"/>
        <v>0.99463064488780872</v>
      </c>
      <c r="P24"/>
      <c r="Q24">
        <v>3599</v>
      </c>
      <c r="R24">
        <v>0.99972222222222218</v>
      </c>
      <c r="S24">
        <v>5303</v>
      </c>
      <c r="T24">
        <v>5184</v>
      </c>
      <c r="U24">
        <v>0.97755987177069581</v>
      </c>
      <c r="V24">
        <v>3570</v>
      </c>
      <c r="W24"/>
    </row>
    <row r="25" spans="1:23">
      <c r="C25" s="245" t="s">
        <v>274</v>
      </c>
      <c r="D25" s="198">
        <f>SUM(D12:D24)</f>
        <v>0</v>
      </c>
      <c r="E25" s="198">
        <f>SUM(E12:E24)</f>
        <v>0</v>
      </c>
      <c r="F25" s="198" t="str">
        <f>IFERROR(E25/D25,"-")</f>
        <v>-</v>
      </c>
      <c r="G25" s="198">
        <f>SUM(G12:G24)</f>
        <v>0</v>
      </c>
      <c r="H25" s="198">
        <f>SUM(H12:H24)</f>
        <v>0</v>
      </c>
      <c r="I25" s="198" t="str">
        <f>IFERROR(H25/G25,"-")</f>
        <v>-</v>
      </c>
      <c r="J25" s="198">
        <f>SUM(J12:J24)</f>
        <v>0</v>
      </c>
      <c r="K25" s="198">
        <f>SUM(K12:K24)</f>
        <v>0</v>
      </c>
      <c r="L25" s="198" t="str">
        <f>IFERROR(K25/J25,"-")</f>
        <v>-</v>
      </c>
      <c r="M25" s="193">
        <f>SUM(M12:M24)</f>
        <v>30271</v>
      </c>
      <c r="N25" s="193">
        <f>SUM(N12:N24)</f>
        <v>29989</v>
      </c>
      <c r="O25" s="544">
        <f>+N25/M25</f>
        <v>0.99068415314987945</v>
      </c>
      <c r="P25"/>
      <c r="Q25"/>
      <c r="R25"/>
      <c r="S25"/>
      <c r="T25"/>
      <c r="U25"/>
      <c r="V25"/>
      <c r="W25"/>
    </row>
    <row r="26" spans="1:23">
      <c r="C26" s="109" t="s">
        <v>275</v>
      </c>
      <c r="D26"/>
      <c r="E26"/>
      <c r="F26"/>
      <c r="G26"/>
      <c r="H26"/>
      <c r="I26"/>
      <c r="J26"/>
      <c r="K26"/>
      <c r="L26"/>
      <c r="M26"/>
      <c r="N26"/>
      <c r="O26"/>
      <c r="P26"/>
      <c r="Q26"/>
      <c r="R26"/>
      <c r="S26"/>
      <c r="T26"/>
      <c r="U26"/>
      <c r="V26"/>
      <c r="W26"/>
    </row>
    <row r="27" spans="1:23">
      <c r="C27"/>
      <c r="D27"/>
      <c r="E27"/>
      <c r="F27"/>
      <c r="G27"/>
      <c r="H27"/>
      <c r="I27"/>
      <c r="J27"/>
      <c r="K27"/>
      <c r="L27"/>
      <c r="M27"/>
      <c r="N27"/>
      <c r="O27"/>
      <c r="P27"/>
      <c r="Q27"/>
      <c r="R27"/>
      <c r="S27"/>
      <c r="T27"/>
      <c r="U27"/>
      <c r="V27"/>
      <c r="W27"/>
    </row>
    <row r="28" spans="1:23">
      <c r="C28"/>
      <c r="D28"/>
      <c r="E28"/>
      <c r="F28"/>
      <c r="G28"/>
      <c r="H28"/>
      <c r="I28"/>
      <c r="J28"/>
      <c r="K28"/>
      <c r="L28"/>
      <c r="M28"/>
      <c r="N28"/>
      <c r="O28"/>
      <c r="P28"/>
      <c r="Q28"/>
      <c r="R28"/>
      <c r="S28"/>
      <c r="T28"/>
      <c r="U28"/>
      <c r="V28"/>
      <c r="W28"/>
    </row>
    <row r="29" spans="1:23">
      <c r="C29"/>
      <c r="D29"/>
      <c r="E29"/>
      <c r="F29"/>
      <c r="G29"/>
      <c r="H29"/>
      <c r="I29"/>
      <c r="J29"/>
      <c r="K29"/>
      <c r="L29"/>
      <c r="M29"/>
      <c r="N29"/>
      <c r="O29"/>
      <c r="P29"/>
      <c r="Q29"/>
      <c r="R29"/>
      <c r="S29"/>
      <c r="T29"/>
      <c r="U29"/>
      <c r="V29"/>
      <c r="W29"/>
    </row>
    <row r="30" spans="1:23">
      <c r="C30"/>
      <c r="D30"/>
      <c r="E30"/>
      <c r="F30"/>
      <c r="G30"/>
      <c r="H30"/>
      <c r="I30"/>
      <c r="J30"/>
      <c r="K30"/>
      <c r="L30"/>
      <c r="M30"/>
      <c r="N30"/>
      <c r="O30"/>
      <c r="P30"/>
      <c r="Q30"/>
      <c r="R30"/>
      <c r="S30"/>
      <c r="T30"/>
      <c r="U30"/>
      <c r="V30"/>
      <c r="W30"/>
    </row>
    <row r="31" spans="1:23" ht="15.75">
      <c r="C31" s="619" t="s">
        <v>276</v>
      </c>
      <c r="D31" s="619"/>
      <c r="E31" s="619"/>
      <c r="F31" s="619"/>
      <c r="G31" s="619"/>
      <c r="H31" s="619"/>
      <c r="I31" s="619"/>
      <c r="J31" s="619"/>
      <c r="K31" s="619"/>
      <c r="L31" s="619"/>
      <c r="M31" s="619"/>
      <c r="N31" s="619"/>
      <c r="O31" s="619"/>
      <c r="P31"/>
      <c r="Q31"/>
      <c r="R31"/>
      <c r="S31"/>
      <c r="T31"/>
      <c r="U31"/>
      <c r="V31"/>
      <c r="W31"/>
    </row>
    <row r="32" spans="1:23">
      <c r="C32" s="318"/>
      <c r="D32" s="317" t="s">
        <v>43</v>
      </c>
      <c r="E32" s="316"/>
      <c r="F32" s="316"/>
      <c r="G32" s="316" t="s">
        <v>27</v>
      </c>
      <c r="H32" s="316"/>
      <c r="I32" s="316"/>
      <c r="J32" s="316" t="s">
        <v>256</v>
      </c>
      <c r="K32" s="316"/>
      <c r="L32" s="319"/>
      <c r="M32" s="618" t="s">
        <v>17</v>
      </c>
      <c r="N32" s="618"/>
      <c r="O32" s="618"/>
      <c r="P32"/>
      <c r="Q32"/>
      <c r="R32"/>
      <c r="S32"/>
      <c r="T32"/>
      <c r="U32"/>
      <c r="V32"/>
      <c r="W32"/>
    </row>
    <row r="33" spans="1:23">
      <c r="C33" s="48" t="s">
        <v>257</v>
      </c>
      <c r="D33" s="48" t="s">
        <v>258</v>
      </c>
      <c r="E33" s="48" t="s">
        <v>259</v>
      </c>
      <c r="F33" s="48" t="s">
        <v>61</v>
      </c>
      <c r="G33" s="48" t="s">
        <v>258</v>
      </c>
      <c r="H33" s="48" t="s">
        <v>259</v>
      </c>
      <c r="I33" s="48" t="s">
        <v>260</v>
      </c>
      <c r="J33" s="48" t="s">
        <v>258</v>
      </c>
      <c r="K33" s="48" t="s">
        <v>259</v>
      </c>
      <c r="L33" s="48" t="s">
        <v>260</v>
      </c>
      <c r="M33" s="48" t="s">
        <v>258</v>
      </c>
      <c r="N33" s="48" t="s">
        <v>259</v>
      </c>
      <c r="O33" s="48" t="s">
        <v>260</v>
      </c>
      <c r="P33"/>
      <c r="Q33"/>
      <c r="R33"/>
      <c r="S33"/>
      <c r="T33"/>
      <c r="U33"/>
      <c r="V33"/>
      <c r="W33"/>
    </row>
    <row r="34" spans="1:23">
      <c r="A34" s="1">
        <v>1</v>
      </c>
      <c r="C34" s="454" t="s">
        <v>277</v>
      </c>
      <c r="D34" s="300"/>
      <c r="E34" s="300"/>
      <c r="F34" s="314" t="str">
        <f>IFERROR(E34/D34,"-")</f>
        <v>-</v>
      </c>
      <c r="G34" s="300"/>
      <c r="H34" s="300"/>
      <c r="I34" s="314" t="str">
        <f t="shared" ref="I34:I52" si="4">IFERROR(H34/G34,"-")</f>
        <v>-</v>
      </c>
      <c r="J34" s="300"/>
      <c r="K34" s="300"/>
      <c r="L34" s="314" t="str">
        <f t="shared" ref="L34:L52" si="5">IFERROR(K34/J34,"-")</f>
        <v>-</v>
      </c>
      <c r="M34" s="112">
        <v>264</v>
      </c>
      <c r="N34" s="112">
        <v>264</v>
      </c>
      <c r="O34" s="352">
        <f t="shared" ref="O34:O51" si="6">IFERROR(N34/M34,"-")</f>
        <v>1</v>
      </c>
      <c r="P34"/>
      <c r="Q34"/>
      <c r="R34"/>
      <c r="S34"/>
      <c r="T34"/>
      <c r="U34"/>
      <c r="V34"/>
      <c r="W34"/>
    </row>
    <row r="35" spans="1:23">
      <c r="A35" s="1">
        <v>2</v>
      </c>
      <c r="C35" s="454" t="s">
        <v>278</v>
      </c>
      <c r="D35" s="300"/>
      <c r="E35" s="300"/>
      <c r="F35" s="314" t="str">
        <f t="shared" ref="F35:F51" si="7">IFERROR(E35/D35,"-")</f>
        <v>-</v>
      </c>
      <c r="G35" s="300"/>
      <c r="H35" s="300"/>
      <c r="I35" s="314" t="str">
        <f t="shared" si="4"/>
        <v>-</v>
      </c>
      <c r="J35" s="300"/>
      <c r="K35" s="300"/>
      <c r="L35" s="314" t="str">
        <f t="shared" si="5"/>
        <v>-</v>
      </c>
      <c r="M35" s="112">
        <v>81</v>
      </c>
      <c r="N35" s="112">
        <v>47</v>
      </c>
      <c r="O35" s="352">
        <f t="shared" si="6"/>
        <v>0.58024691358024694</v>
      </c>
      <c r="P35"/>
      <c r="Q35"/>
      <c r="R35"/>
      <c r="S35"/>
      <c r="T35"/>
      <c r="U35"/>
      <c r="V35"/>
      <c r="W35"/>
    </row>
    <row r="36" spans="1:23">
      <c r="A36" s="1">
        <v>3</v>
      </c>
      <c r="C36" s="454" t="s">
        <v>279</v>
      </c>
      <c r="D36" s="300"/>
      <c r="E36" s="300"/>
      <c r="F36" s="314" t="str">
        <f t="shared" si="7"/>
        <v>-</v>
      </c>
      <c r="G36" s="300"/>
      <c r="H36" s="300"/>
      <c r="I36" s="314" t="str">
        <f t="shared" si="4"/>
        <v>-</v>
      </c>
      <c r="J36" s="300"/>
      <c r="K36" s="300"/>
      <c r="L36" s="314" t="str">
        <f t="shared" si="5"/>
        <v>-</v>
      </c>
      <c r="M36" s="112">
        <v>16</v>
      </c>
      <c r="N36" s="112">
        <v>16</v>
      </c>
      <c r="O36" s="352">
        <f t="shared" si="6"/>
        <v>1</v>
      </c>
      <c r="P36"/>
      <c r="Q36"/>
      <c r="R36"/>
      <c r="S36"/>
      <c r="T36"/>
      <c r="U36"/>
      <c r="V36"/>
      <c r="W36"/>
    </row>
    <row r="37" spans="1:23">
      <c r="A37" s="1">
        <v>4</v>
      </c>
      <c r="C37" s="454" t="s">
        <v>280</v>
      </c>
      <c r="D37" s="300"/>
      <c r="E37" s="300"/>
      <c r="F37" s="314" t="str">
        <f t="shared" si="7"/>
        <v>-</v>
      </c>
      <c r="G37" s="300"/>
      <c r="H37" s="300"/>
      <c r="I37" s="314" t="str">
        <f t="shared" si="4"/>
        <v>-</v>
      </c>
      <c r="J37" s="300"/>
      <c r="K37" s="300"/>
      <c r="L37" s="314" t="str">
        <f t="shared" si="5"/>
        <v>-</v>
      </c>
      <c r="M37" s="112">
        <v>4</v>
      </c>
      <c r="N37" s="112">
        <v>4</v>
      </c>
      <c r="O37" s="352">
        <f t="shared" si="6"/>
        <v>1</v>
      </c>
      <c r="P37"/>
      <c r="Q37"/>
      <c r="R37"/>
      <c r="S37"/>
      <c r="T37"/>
      <c r="U37"/>
      <c r="V37"/>
      <c r="W37"/>
    </row>
    <row r="38" spans="1:23">
      <c r="A38" s="1">
        <v>5</v>
      </c>
      <c r="C38" s="454" t="s">
        <v>281</v>
      </c>
      <c r="D38" s="300"/>
      <c r="E38" s="300"/>
      <c r="F38" s="314" t="str">
        <f t="shared" si="7"/>
        <v>-</v>
      </c>
      <c r="G38" s="300"/>
      <c r="H38" s="300"/>
      <c r="I38" s="314" t="str">
        <f t="shared" si="4"/>
        <v>-</v>
      </c>
      <c r="J38" s="300"/>
      <c r="K38" s="300"/>
      <c r="L38" s="314" t="str">
        <f t="shared" si="5"/>
        <v>-</v>
      </c>
      <c r="M38" s="112">
        <v>8</v>
      </c>
      <c r="N38" s="112">
        <v>8</v>
      </c>
      <c r="O38" s="352">
        <f t="shared" si="6"/>
        <v>1</v>
      </c>
      <c r="P38"/>
      <c r="Q38"/>
      <c r="R38"/>
      <c r="S38"/>
      <c r="T38"/>
      <c r="U38"/>
      <c r="V38"/>
      <c r="W38"/>
    </row>
    <row r="39" spans="1:23">
      <c r="A39" s="1">
        <v>6</v>
      </c>
      <c r="C39" s="454" t="s">
        <v>282</v>
      </c>
      <c r="D39" s="300"/>
      <c r="E39" s="300"/>
      <c r="F39" s="314" t="str">
        <f t="shared" si="7"/>
        <v>-</v>
      </c>
      <c r="G39" s="300"/>
      <c r="H39" s="300"/>
      <c r="I39" s="314" t="str">
        <f t="shared" si="4"/>
        <v>-</v>
      </c>
      <c r="J39" s="300"/>
      <c r="K39" s="300"/>
      <c r="L39" s="314" t="str">
        <f t="shared" si="5"/>
        <v>-</v>
      </c>
      <c r="M39" s="112">
        <v>430</v>
      </c>
      <c r="N39" s="112">
        <v>430</v>
      </c>
      <c r="O39" s="352">
        <f t="shared" si="6"/>
        <v>1</v>
      </c>
      <c r="P39"/>
      <c r="Q39"/>
      <c r="R39"/>
      <c r="S39"/>
      <c r="T39"/>
      <c r="U39"/>
      <c r="V39"/>
      <c r="W39"/>
    </row>
    <row r="40" spans="1:23">
      <c r="A40" s="1">
        <v>7</v>
      </c>
      <c r="C40" s="454" t="s">
        <v>270</v>
      </c>
      <c r="D40" s="300"/>
      <c r="E40" s="300"/>
      <c r="F40" s="314" t="str">
        <f t="shared" si="7"/>
        <v>-</v>
      </c>
      <c r="G40" s="300"/>
      <c r="H40" s="300"/>
      <c r="I40" s="314" t="str">
        <f t="shared" si="4"/>
        <v>-</v>
      </c>
      <c r="J40" s="300"/>
      <c r="K40" s="300"/>
      <c r="L40" s="314" t="str">
        <f t="shared" si="5"/>
        <v>-</v>
      </c>
      <c r="M40" s="112">
        <v>9831</v>
      </c>
      <c r="N40" s="112">
        <v>7253</v>
      </c>
      <c r="O40" s="352">
        <f t="shared" si="6"/>
        <v>0.73776828399959316</v>
      </c>
      <c r="P40"/>
      <c r="Q40"/>
      <c r="R40"/>
      <c r="S40"/>
      <c r="T40"/>
      <c r="U40"/>
      <c r="V40"/>
      <c r="W40"/>
    </row>
    <row r="41" spans="1:23">
      <c r="A41" s="1">
        <v>8</v>
      </c>
      <c r="C41" s="454" t="s">
        <v>283</v>
      </c>
      <c r="D41" s="300"/>
      <c r="E41" s="300"/>
      <c r="F41" s="314" t="str">
        <f t="shared" si="7"/>
        <v>-</v>
      </c>
      <c r="G41" s="300"/>
      <c r="H41" s="300"/>
      <c r="I41" s="314" t="str">
        <f t="shared" si="4"/>
        <v>-</v>
      </c>
      <c r="J41" s="300"/>
      <c r="K41" s="300"/>
      <c r="L41" s="314" t="str">
        <f t="shared" si="5"/>
        <v>-</v>
      </c>
      <c r="M41" s="112">
        <v>179</v>
      </c>
      <c r="N41" s="112">
        <v>125</v>
      </c>
      <c r="O41" s="352">
        <f t="shared" si="6"/>
        <v>0.6983240223463687</v>
      </c>
      <c r="P41"/>
      <c r="Q41"/>
      <c r="R41"/>
      <c r="S41"/>
      <c r="T41"/>
      <c r="U41"/>
      <c r="V41"/>
      <c r="W41"/>
    </row>
    <row r="42" spans="1:23">
      <c r="A42" s="1">
        <v>9</v>
      </c>
      <c r="C42" s="454" t="s">
        <v>284</v>
      </c>
      <c r="D42" s="300"/>
      <c r="E42" s="300"/>
      <c r="F42" s="314" t="str">
        <f t="shared" si="7"/>
        <v>-</v>
      </c>
      <c r="G42" s="300"/>
      <c r="H42" s="300"/>
      <c r="I42" s="314" t="str">
        <f t="shared" si="4"/>
        <v>-</v>
      </c>
      <c r="J42" s="300"/>
      <c r="K42" s="300"/>
      <c r="L42" s="314" t="str">
        <f t="shared" si="5"/>
        <v>-</v>
      </c>
      <c r="M42" s="112">
        <v>123</v>
      </c>
      <c r="N42" s="112">
        <v>97</v>
      </c>
      <c r="O42" s="352">
        <f t="shared" si="6"/>
        <v>0.78861788617886175</v>
      </c>
      <c r="P42"/>
      <c r="Q42"/>
      <c r="R42"/>
      <c r="S42"/>
      <c r="T42"/>
      <c r="U42"/>
      <c r="V42"/>
      <c r="W42"/>
    </row>
    <row r="43" spans="1:23">
      <c r="A43" s="1">
        <v>10</v>
      </c>
      <c r="C43" s="454" t="s">
        <v>285</v>
      </c>
      <c r="D43" s="300"/>
      <c r="E43" s="300"/>
      <c r="F43" s="314" t="str">
        <f t="shared" si="7"/>
        <v>-</v>
      </c>
      <c r="G43" s="300"/>
      <c r="H43" s="300"/>
      <c r="I43" s="314" t="str">
        <f t="shared" si="4"/>
        <v>-</v>
      </c>
      <c r="J43" s="300"/>
      <c r="K43" s="300"/>
      <c r="L43" s="314" t="str">
        <f t="shared" si="5"/>
        <v>-</v>
      </c>
      <c r="M43" s="112">
        <v>83</v>
      </c>
      <c r="N43" s="112">
        <v>83</v>
      </c>
      <c r="O43" s="352">
        <f t="shared" si="6"/>
        <v>1</v>
      </c>
      <c r="P43"/>
      <c r="Q43"/>
      <c r="R43"/>
      <c r="S43"/>
      <c r="T43"/>
      <c r="U43"/>
      <c r="V43"/>
      <c r="W43"/>
    </row>
    <row r="44" spans="1:23">
      <c r="A44" s="1">
        <v>11</v>
      </c>
      <c r="C44" s="454" t="s">
        <v>286</v>
      </c>
      <c r="D44" s="300"/>
      <c r="E44" s="300"/>
      <c r="F44" s="314" t="str">
        <f t="shared" si="7"/>
        <v>-</v>
      </c>
      <c r="G44" s="300"/>
      <c r="H44" s="300"/>
      <c r="I44" s="314" t="str">
        <f t="shared" si="4"/>
        <v>-</v>
      </c>
      <c r="J44" s="300"/>
      <c r="K44" s="300"/>
      <c r="L44" s="314" t="str">
        <f t="shared" si="5"/>
        <v>-</v>
      </c>
      <c r="M44" s="112">
        <v>33</v>
      </c>
      <c r="N44" s="112">
        <v>33</v>
      </c>
      <c r="O44" s="352">
        <f t="shared" si="6"/>
        <v>1</v>
      </c>
      <c r="P44"/>
      <c r="Q44"/>
      <c r="R44"/>
      <c r="S44"/>
      <c r="T44"/>
      <c r="U44"/>
      <c r="V44"/>
      <c r="W44"/>
    </row>
    <row r="45" spans="1:23">
      <c r="A45" s="1">
        <v>12</v>
      </c>
      <c r="C45" s="454" t="s">
        <v>287</v>
      </c>
      <c r="D45" s="300"/>
      <c r="E45" s="300"/>
      <c r="F45" s="314" t="str">
        <f t="shared" si="7"/>
        <v>-</v>
      </c>
      <c r="G45" s="300"/>
      <c r="H45" s="300"/>
      <c r="I45" s="314" t="str">
        <f t="shared" si="4"/>
        <v>-</v>
      </c>
      <c r="J45" s="300"/>
      <c r="K45" s="300"/>
      <c r="L45" s="314" t="str">
        <f t="shared" si="5"/>
        <v>-</v>
      </c>
      <c r="M45" s="112">
        <v>32</v>
      </c>
      <c r="N45" s="112">
        <v>28</v>
      </c>
      <c r="O45" s="352">
        <f t="shared" si="6"/>
        <v>0.875</v>
      </c>
      <c r="P45"/>
      <c r="Q45"/>
      <c r="R45"/>
      <c r="S45"/>
      <c r="T45"/>
      <c r="U45"/>
      <c r="V45"/>
      <c r="W45"/>
    </row>
    <row r="46" spans="1:23">
      <c r="A46" s="1">
        <v>13</v>
      </c>
      <c r="C46" s="454" t="s">
        <v>288</v>
      </c>
      <c r="D46" s="300"/>
      <c r="E46" s="300"/>
      <c r="F46" s="314" t="str">
        <f t="shared" si="7"/>
        <v>-</v>
      </c>
      <c r="G46" s="300"/>
      <c r="H46" s="300"/>
      <c r="I46" s="314" t="str">
        <f t="shared" si="4"/>
        <v>-</v>
      </c>
      <c r="J46" s="300"/>
      <c r="K46" s="300"/>
      <c r="L46" s="314" t="str">
        <f t="shared" si="5"/>
        <v>-</v>
      </c>
      <c r="M46" s="112">
        <v>879</v>
      </c>
      <c r="N46" s="112">
        <v>825</v>
      </c>
      <c r="O46" s="352">
        <f t="shared" si="6"/>
        <v>0.93856655290102387</v>
      </c>
      <c r="P46"/>
      <c r="Q46"/>
      <c r="R46"/>
      <c r="S46"/>
      <c r="T46"/>
      <c r="U46"/>
      <c r="V46"/>
      <c r="W46"/>
    </row>
    <row r="47" spans="1:23" ht="13.5" customHeight="1">
      <c r="A47" s="1">
        <v>14</v>
      </c>
      <c r="C47" s="454" t="s">
        <v>289</v>
      </c>
      <c r="D47" s="300"/>
      <c r="E47" s="300"/>
      <c r="F47" s="314" t="str">
        <f t="shared" si="7"/>
        <v>-</v>
      </c>
      <c r="G47" s="300"/>
      <c r="H47" s="300"/>
      <c r="I47" s="314" t="str">
        <f t="shared" si="4"/>
        <v>-</v>
      </c>
      <c r="J47" s="300"/>
      <c r="K47" s="300"/>
      <c r="L47" s="314" t="str">
        <f t="shared" si="5"/>
        <v>-</v>
      </c>
      <c r="M47" s="112">
        <v>46</v>
      </c>
      <c r="N47" s="112">
        <v>26</v>
      </c>
      <c r="O47" s="352">
        <f t="shared" si="6"/>
        <v>0.56521739130434778</v>
      </c>
      <c r="P47"/>
      <c r="Q47"/>
      <c r="R47"/>
      <c r="S47"/>
      <c r="T47"/>
      <c r="U47"/>
      <c r="V47"/>
      <c r="W47"/>
    </row>
    <row r="48" spans="1:23" hidden="1">
      <c r="A48" s="1">
        <v>15</v>
      </c>
      <c r="C48" s="415" t="s">
        <v>290</v>
      </c>
      <c r="D48" s="300">
        <f>IFERROR(VLOOKUP(C48,'[3]Pv Abril'!$A$8:$C$21,2,FALSE),0)</f>
        <v>0</v>
      </c>
      <c r="E48" s="300">
        <f>IFERROR(VLOOKUP(C48,'[3]Pv Abril'!$A$8:$C$21,3,FALSE),0)</f>
        <v>0</v>
      </c>
      <c r="F48" s="314" t="str">
        <f t="shared" si="7"/>
        <v>-</v>
      </c>
      <c r="G48" s="300">
        <f>IFERROR(VLOOKUP(C48,'[3]Pv Mayo'!$A$7:$C$21,2,FALSE),0)</f>
        <v>0</v>
      </c>
      <c r="H48" s="300">
        <f>IFERROR(VLOOKUP(C48,'[3]Pv Mayo'!$A$7:$C$21,3,FALSE),0)</f>
        <v>0</v>
      </c>
      <c r="I48" s="314" t="str">
        <f t="shared" si="4"/>
        <v>-</v>
      </c>
      <c r="J48" s="300">
        <f>IFERROR(VLOOKUP(C48,'[3]pv Junio'!$A$7:$C$19,2,FALSE),0)</f>
        <v>0</v>
      </c>
      <c r="K48" s="300">
        <f>IFERROR(VLOOKUP(C48,'[3]pv Junio'!$A$7:$C$19,3,FALSE),0)</f>
        <v>0</v>
      </c>
      <c r="L48" s="314" t="str">
        <f t="shared" si="5"/>
        <v>-</v>
      </c>
      <c r="M48" s="300">
        <f t="shared" ref="M48:M51" si="8">D48+G48+J48</f>
        <v>0</v>
      </c>
      <c r="N48" s="414">
        <f t="shared" ref="N48:N51" si="9">E48+H48+K48</f>
        <v>0</v>
      </c>
      <c r="O48" s="352" t="str">
        <f t="shared" si="6"/>
        <v>-</v>
      </c>
      <c r="P48"/>
      <c r="Q48"/>
      <c r="R48"/>
      <c r="S48"/>
      <c r="T48"/>
      <c r="U48"/>
      <c r="V48"/>
      <c r="W48"/>
    </row>
    <row r="49" spans="1:23" hidden="1">
      <c r="A49" s="1">
        <v>16</v>
      </c>
      <c r="C49" s="415" t="s">
        <v>291</v>
      </c>
      <c r="D49" s="300">
        <f>IFERROR(VLOOKUP(C49,'[3]Pv Abril'!$A$8:$C$21,2,FALSE),0)</f>
        <v>0</v>
      </c>
      <c r="E49" s="300">
        <f>IFERROR(VLOOKUP(C49,'[3]Pv Abril'!$A$8:$C$21,3,FALSE),0)</f>
        <v>0</v>
      </c>
      <c r="F49" s="314" t="str">
        <f t="shared" si="7"/>
        <v>-</v>
      </c>
      <c r="G49" s="300">
        <f>IFERROR(VLOOKUP(C49,'[3]Pv Mayo'!$A$7:$C$21,2,FALSE),0)</f>
        <v>0</v>
      </c>
      <c r="H49" s="300">
        <f>IFERROR(VLOOKUP(C49,'[3]Pv Mayo'!$A$7:$C$21,3,FALSE),0)</f>
        <v>0</v>
      </c>
      <c r="I49" s="314" t="str">
        <f t="shared" si="4"/>
        <v>-</v>
      </c>
      <c r="J49" s="300">
        <f>IFERROR(VLOOKUP(C49,'[3]pv Junio'!$A$7:$C$19,2,FALSE),0)</f>
        <v>0</v>
      </c>
      <c r="K49" s="300">
        <f>IFERROR(VLOOKUP(C49,'[3]pv Junio'!$A$7:$C$19,3,FALSE),0)</f>
        <v>0</v>
      </c>
      <c r="L49" s="314" t="str">
        <f t="shared" si="5"/>
        <v>-</v>
      </c>
      <c r="M49" s="300">
        <f t="shared" si="8"/>
        <v>0</v>
      </c>
      <c r="N49" s="414">
        <f t="shared" si="9"/>
        <v>0</v>
      </c>
      <c r="O49" s="352" t="str">
        <f t="shared" si="6"/>
        <v>-</v>
      </c>
      <c r="P49"/>
      <c r="Q49"/>
      <c r="R49"/>
      <c r="S49"/>
      <c r="T49"/>
      <c r="U49"/>
      <c r="V49"/>
      <c r="W49"/>
    </row>
    <row r="50" spans="1:23" hidden="1">
      <c r="A50" s="1">
        <v>17</v>
      </c>
      <c r="C50" s="415" t="s">
        <v>292</v>
      </c>
      <c r="D50" s="300">
        <f>IFERROR(VLOOKUP(C50,'[3]Pv Abril'!$A$8:$C$21,2,FALSE),0)</f>
        <v>0</v>
      </c>
      <c r="E50" s="300">
        <f>IFERROR(VLOOKUP(C50,'[3]Pv Abril'!$A$8:$C$21,3,FALSE),0)</f>
        <v>0</v>
      </c>
      <c r="F50" s="314" t="str">
        <f t="shared" si="7"/>
        <v>-</v>
      </c>
      <c r="G50" s="300">
        <f>IFERROR(VLOOKUP(C50,'[3]Pv Mayo'!$A$7:$C$21,2,FALSE),0)</f>
        <v>0</v>
      </c>
      <c r="H50" s="300">
        <f>IFERROR(VLOOKUP(C50,'[3]Pv Mayo'!$A$7:$C$21,3,FALSE),0)</f>
        <v>0</v>
      </c>
      <c r="I50" s="314" t="str">
        <f t="shared" si="4"/>
        <v>-</v>
      </c>
      <c r="J50" s="300">
        <f>IFERROR(VLOOKUP(C50,'[3]pv Junio'!$A$7:$C$19,2,FALSE),0)</f>
        <v>0</v>
      </c>
      <c r="K50" s="300">
        <f>IFERROR(VLOOKUP(C50,'[3]pv Junio'!$A$7:$C$19,3,FALSE),0)</f>
        <v>0</v>
      </c>
      <c r="L50" s="314" t="str">
        <f t="shared" si="5"/>
        <v>-</v>
      </c>
      <c r="M50" s="300">
        <f t="shared" si="8"/>
        <v>0</v>
      </c>
      <c r="N50" s="414">
        <f t="shared" si="9"/>
        <v>0</v>
      </c>
      <c r="O50" s="352" t="str">
        <f t="shared" si="6"/>
        <v>-</v>
      </c>
      <c r="P50"/>
      <c r="Q50"/>
      <c r="R50"/>
      <c r="S50"/>
      <c r="T50"/>
      <c r="U50"/>
      <c r="V50"/>
      <c r="W50"/>
    </row>
    <row r="51" spans="1:23" hidden="1">
      <c r="A51" s="1">
        <v>18</v>
      </c>
      <c r="C51" s="415" t="s">
        <v>293</v>
      </c>
      <c r="D51" s="300">
        <f>IFERROR(VLOOKUP(C51,'[3]Pv Abril'!$A$8:$C$21,2,FALSE),0)</f>
        <v>0</v>
      </c>
      <c r="E51" s="300">
        <f>IFERROR(VLOOKUP(C51,'[3]Pv Abril'!$A$8:$C$21,3,FALSE),0)</f>
        <v>0</v>
      </c>
      <c r="F51" s="314" t="str">
        <f t="shared" si="7"/>
        <v>-</v>
      </c>
      <c r="G51" s="300">
        <f>IFERROR(VLOOKUP(C51,'[3]Pv Mayo'!$A$7:$C$21,2,FALSE),0)</f>
        <v>0</v>
      </c>
      <c r="H51" s="300">
        <f>IFERROR(VLOOKUP(C51,'[3]Pv Mayo'!$A$7:$C$21,3,FALSE),0)</f>
        <v>0</v>
      </c>
      <c r="I51" s="314" t="str">
        <f t="shared" si="4"/>
        <v>-</v>
      </c>
      <c r="J51" s="300">
        <f>IFERROR(VLOOKUP(C51,'[3]pv Junio'!$A$7:$C$19,2,FALSE),0)</f>
        <v>0</v>
      </c>
      <c r="K51" s="300">
        <f>IFERROR(VLOOKUP(C51,'[3]pv Junio'!$A$7:$C$19,3,FALSE),0)</f>
        <v>0</v>
      </c>
      <c r="L51" s="314" t="str">
        <f t="shared" si="5"/>
        <v>-</v>
      </c>
      <c r="M51" s="300">
        <f t="shared" si="8"/>
        <v>0</v>
      </c>
      <c r="N51" s="414">
        <f t="shared" si="9"/>
        <v>0</v>
      </c>
      <c r="O51" s="352" t="str">
        <f t="shared" si="6"/>
        <v>-</v>
      </c>
      <c r="P51"/>
      <c r="Q51"/>
      <c r="R51"/>
      <c r="S51"/>
      <c r="T51"/>
      <c r="U51"/>
      <c r="V51"/>
      <c r="W51"/>
    </row>
    <row r="52" spans="1:23">
      <c r="C52" s="453" t="s">
        <v>274</v>
      </c>
      <c r="D52" s="315">
        <f>SUM(D34:D51)</f>
        <v>0</v>
      </c>
      <c r="E52" s="315">
        <f>SUM(E34:E51)</f>
        <v>0</v>
      </c>
      <c r="F52" s="315" t="str">
        <f>IFERROR(E52/D52,"-")</f>
        <v>-</v>
      </c>
      <c r="G52" s="315">
        <f>SUM(G34:G51)</f>
        <v>0</v>
      </c>
      <c r="H52" s="315">
        <f>SUM(H34:H51)</f>
        <v>0</v>
      </c>
      <c r="I52" s="315" t="str">
        <f t="shared" si="4"/>
        <v>-</v>
      </c>
      <c r="J52" s="315">
        <f>SUM(J34:J51)</f>
        <v>0</v>
      </c>
      <c r="K52" s="315">
        <f>SUM(K34:K51)</f>
        <v>0</v>
      </c>
      <c r="L52" s="315" t="str">
        <f t="shared" si="5"/>
        <v>-</v>
      </c>
      <c r="M52" s="315">
        <f>SUM(M34:M51)</f>
        <v>12009</v>
      </c>
      <c r="N52" s="315">
        <f>SUM(N34:N51)</f>
        <v>9239</v>
      </c>
      <c r="O52" s="353">
        <f>+N52/M52</f>
        <v>0.76933966192022651</v>
      </c>
      <c r="P52"/>
      <c r="Q52"/>
      <c r="R52"/>
      <c r="S52"/>
      <c r="T52"/>
      <c r="U52"/>
      <c r="V52"/>
      <c r="W52"/>
    </row>
    <row r="53" spans="1:23">
      <c r="C53" s="109" t="s">
        <v>294</v>
      </c>
      <c r="D53"/>
      <c r="E53"/>
      <c r="F53"/>
      <c r="G53"/>
      <c r="H53"/>
      <c r="I53"/>
      <c r="J53"/>
      <c r="K53"/>
      <c r="L53"/>
      <c r="M53"/>
      <c r="N53"/>
      <c r="O53"/>
      <c r="P53"/>
      <c r="Q53"/>
      <c r="R53"/>
      <c r="S53"/>
      <c r="T53"/>
      <c r="U53"/>
      <c r="V53"/>
      <c r="W53"/>
    </row>
    <row r="54" spans="1:23">
      <c r="C54" s="182"/>
      <c r="D54"/>
      <c r="E54"/>
      <c r="F54"/>
      <c r="G54"/>
      <c r="H54"/>
      <c r="I54"/>
      <c r="J54"/>
      <c r="K54"/>
      <c r="L54"/>
      <c r="M54"/>
      <c r="N54"/>
      <c r="O54"/>
      <c r="P54"/>
      <c r="Q54"/>
      <c r="R54"/>
      <c r="S54"/>
      <c r="T54"/>
      <c r="U54"/>
      <c r="V54"/>
      <c r="W54"/>
    </row>
    <row r="55" spans="1:23">
      <c r="C55"/>
      <c r="D55"/>
      <c r="E55"/>
      <c r="F55"/>
      <c r="G55"/>
      <c r="H55"/>
      <c r="I55"/>
      <c r="J55"/>
      <c r="K55"/>
      <c r="L55"/>
      <c r="M55"/>
      <c r="N55"/>
      <c r="O55" s="83"/>
      <c r="P55"/>
      <c r="Q55"/>
      <c r="R55"/>
      <c r="S55"/>
      <c r="T55"/>
      <c r="U55"/>
      <c r="V55"/>
      <c r="W55"/>
    </row>
    <row r="58" spans="1:23" ht="15.75">
      <c r="C58" s="619" t="s">
        <v>295</v>
      </c>
      <c r="D58" s="619"/>
      <c r="E58" s="619"/>
      <c r="F58" s="619"/>
      <c r="G58" s="619"/>
      <c r="H58" s="619"/>
      <c r="I58" s="619"/>
      <c r="J58" s="619"/>
      <c r="K58" s="619"/>
      <c r="L58" s="619"/>
      <c r="M58" s="619"/>
      <c r="N58" s="619"/>
      <c r="O58" s="181"/>
    </row>
    <row r="59" spans="1:23">
      <c r="C59" s="213"/>
      <c r="D59" s="213" t="s">
        <v>16</v>
      </c>
      <c r="E59" s="213"/>
      <c r="F59" s="213"/>
      <c r="G59" s="213" t="s">
        <v>15</v>
      </c>
      <c r="H59" s="213"/>
      <c r="I59" s="213"/>
      <c r="J59" s="213"/>
      <c r="K59" s="213" t="s">
        <v>13</v>
      </c>
      <c r="L59" s="213"/>
      <c r="M59" s="591" t="s">
        <v>17</v>
      </c>
      <c r="N59" s="591"/>
    </row>
    <row r="60" spans="1:23">
      <c r="C60" s="48" t="s">
        <v>257</v>
      </c>
      <c r="D60" s="48" t="s">
        <v>258</v>
      </c>
      <c r="E60" s="48" t="s">
        <v>259</v>
      </c>
      <c r="F60" s="48" t="s">
        <v>61</v>
      </c>
      <c r="G60" s="48" t="s">
        <v>258</v>
      </c>
      <c r="H60" s="48" t="s">
        <v>259</v>
      </c>
      <c r="I60" s="48" t="s">
        <v>260</v>
      </c>
      <c r="J60" s="48" t="s">
        <v>258</v>
      </c>
      <c r="K60" s="48" t="s">
        <v>259</v>
      </c>
      <c r="L60" s="48" t="s">
        <v>260</v>
      </c>
      <c r="M60" s="48" t="s">
        <v>258</v>
      </c>
      <c r="N60" s="48" t="s">
        <v>296</v>
      </c>
    </row>
    <row r="61" spans="1:23">
      <c r="C61" s="435" t="s">
        <v>297</v>
      </c>
      <c r="D61" s="101">
        <v>5</v>
      </c>
      <c r="E61" s="101">
        <v>0</v>
      </c>
      <c r="F61" s="179">
        <f>IFERROR(E61/D61,"-")</f>
        <v>0</v>
      </c>
      <c r="G61" s="101">
        <v>2</v>
      </c>
      <c r="H61" s="101">
        <v>0</v>
      </c>
      <c r="I61" s="179">
        <f>IFERROR(H61/G61,"-")</f>
        <v>0</v>
      </c>
      <c r="J61" s="101">
        <v>4</v>
      </c>
      <c r="K61" s="101">
        <v>2</v>
      </c>
      <c r="L61" s="179">
        <f>IFERROR(K61/J61,"-")</f>
        <v>0.5</v>
      </c>
      <c r="M61" s="101">
        <f>D61+G61+J61</f>
        <v>11</v>
      </c>
      <c r="N61" s="101">
        <f>E61+H61+K61</f>
        <v>2</v>
      </c>
    </row>
    <row r="62" spans="1:23">
      <c r="C62" s="435" t="s">
        <v>298</v>
      </c>
      <c r="D62" s="101">
        <v>8</v>
      </c>
      <c r="E62" s="101">
        <v>0</v>
      </c>
      <c r="F62" s="179">
        <f>IFERROR(E62/D62,"-")</f>
        <v>0</v>
      </c>
      <c r="G62" s="101">
        <v>0</v>
      </c>
      <c r="H62" s="101">
        <v>0</v>
      </c>
      <c r="I62" s="179" t="str">
        <f>IFERROR(H62/G62,"-")</f>
        <v>-</v>
      </c>
      <c r="J62" s="101">
        <v>0</v>
      </c>
      <c r="K62" s="101">
        <v>0</v>
      </c>
      <c r="L62" s="179" t="str">
        <f>IFERROR(K62/J62,"-")</f>
        <v>-</v>
      </c>
      <c r="M62" s="101">
        <f>D62+G62+J62</f>
        <v>8</v>
      </c>
      <c r="N62" s="101">
        <f>E62+H62+K62</f>
        <v>0</v>
      </c>
    </row>
    <row r="63" spans="1:23">
      <c r="C63" s="435" t="s">
        <v>299</v>
      </c>
      <c r="D63" s="101">
        <v>1</v>
      </c>
      <c r="E63" s="101">
        <v>0</v>
      </c>
      <c r="F63" s="179">
        <f>IFERROR(E63/D63,"-")</f>
        <v>0</v>
      </c>
      <c r="G63" s="101">
        <v>3</v>
      </c>
      <c r="H63" s="101">
        <v>0</v>
      </c>
      <c r="I63" s="179">
        <f>IFERROR(H63/G63,"-")</f>
        <v>0</v>
      </c>
      <c r="J63" s="101">
        <v>5</v>
      </c>
      <c r="K63" s="101">
        <v>0</v>
      </c>
      <c r="L63" s="179">
        <f>IFERROR(K63/J63,"-")</f>
        <v>0</v>
      </c>
      <c r="M63" s="101">
        <f>D63+G63+J63</f>
        <v>9</v>
      </c>
      <c r="N63" s="101">
        <f>E63+H63+K63</f>
        <v>0</v>
      </c>
    </row>
    <row r="64" spans="1:23">
      <c r="C64" s="435" t="s">
        <v>300</v>
      </c>
      <c r="D64" s="101">
        <v>0</v>
      </c>
      <c r="E64" s="101">
        <v>0</v>
      </c>
      <c r="F64" s="179" t="str">
        <f>IFERROR(E64/D64,"-")</f>
        <v>-</v>
      </c>
      <c r="G64" s="101">
        <v>0</v>
      </c>
      <c r="H64" s="101">
        <v>0</v>
      </c>
      <c r="I64" s="179" t="str">
        <f>IFERROR(H64/G64,"-")</f>
        <v>-</v>
      </c>
      <c r="J64" s="101">
        <v>0</v>
      </c>
      <c r="K64" s="101">
        <v>0</v>
      </c>
      <c r="L64" s="179" t="str">
        <f>IFERROR(K64/J64,"-")</f>
        <v>-</v>
      </c>
      <c r="M64" s="101">
        <f>D64+G64+J64</f>
        <v>0</v>
      </c>
      <c r="N64" s="101">
        <f>E64+H64+K64</f>
        <v>0</v>
      </c>
    </row>
    <row r="65" spans="3:15">
      <c r="C65" s="40" t="s">
        <v>274</v>
      </c>
      <c r="D65" s="8">
        <f>SUM(D61:D64)</f>
        <v>14</v>
      </c>
      <c r="E65" s="8">
        <f>SUM(E61:E64)</f>
        <v>0</v>
      </c>
      <c r="F65" s="8">
        <f>IFERROR(E65/D65,"-")</f>
        <v>0</v>
      </c>
      <c r="G65" s="8">
        <f>SUM(G61:G64)</f>
        <v>5</v>
      </c>
      <c r="H65" s="8">
        <f>SUM(H61:H64)</f>
        <v>0</v>
      </c>
      <c r="I65" s="8">
        <f>IFERROR(H65/G65,"-")</f>
        <v>0</v>
      </c>
      <c r="J65" s="8">
        <f>SUM(J61:J64)</f>
        <v>9</v>
      </c>
      <c r="K65" s="8">
        <f>SUM(K61:K64)</f>
        <v>2</v>
      </c>
      <c r="L65" s="8">
        <f>IFERROR(K65/J65,"-")</f>
        <v>0.22222222222222221</v>
      </c>
      <c r="M65" s="193">
        <f>SUM(M61:M64)</f>
        <v>28</v>
      </c>
      <c r="N65" s="193">
        <f>SUM(N61:N64)</f>
        <v>2</v>
      </c>
      <c r="O65" s="18"/>
    </row>
    <row r="66" spans="3:15" ht="17.25" customHeight="1">
      <c r="C66" s="182" t="s">
        <v>301</v>
      </c>
      <c r="D66" s="182"/>
      <c r="E66" s="182"/>
      <c r="F66" s="182"/>
      <c r="G66" s="182"/>
      <c r="H66" s="182"/>
      <c r="I66" s="182"/>
      <c r="J66" s="182"/>
      <c r="K66" s="182"/>
      <c r="L66" s="182"/>
      <c r="M66" s="182"/>
      <c r="N66" s="182"/>
      <c r="O66" s="182"/>
    </row>
    <row r="67" spans="3:15" ht="50.25" customHeight="1">
      <c r="C67" s="617" t="s">
        <v>302</v>
      </c>
      <c r="D67" s="617"/>
      <c r="E67" s="617"/>
      <c r="F67" s="617"/>
      <c r="G67" s="617"/>
      <c r="H67" s="617"/>
      <c r="I67" s="617"/>
      <c r="J67" s="617"/>
      <c r="K67" s="617"/>
      <c r="L67" s="617"/>
      <c r="M67" s="617"/>
      <c r="N67" s="617"/>
    </row>
    <row r="68" spans="3:15">
      <c r="C68" s="452"/>
    </row>
    <row r="79" spans="3:15">
      <c r="M79" s="29"/>
      <c r="N79" s="29"/>
    </row>
  </sheetData>
  <mergeCells count="15">
    <mergeCell ref="C2:O2"/>
    <mergeCell ref="C3:O3"/>
    <mergeCell ref="C4:O4"/>
    <mergeCell ref="D10:F10"/>
    <mergeCell ref="C5:O5"/>
    <mergeCell ref="C9:O9"/>
    <mergeCell ref="G10:I10"/>
    <mergeCell ref="J10:L10"/>
    <mergeCell ref="M10:O10"/>
    <mergeCell ref="C67:N67"/>
    <mergeCell ref="M32:O32"/>
    <mergeCell ref="C58:N58"/>
    <mergeCell ref="C6:O6"/>
    <mergeCell ref="C31:O31"/>
    <mergeCell ref="M59:N59"/>
  </mergeCells>
  <pageMargins left="0.7" right="0.7" top="0.75" bottom="0.75" header="0.3" footer="0.3"/>
  <pageSetup paperSize="9" scale="47" orientation="portrait" r:id="rId1"/>
  <colBreaks count="1" manualBreakCount="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AC87"/>
  <sheetViews>
    <sheetView showGridLines="0" zoomScaleNormal="100" zoomScaleSheetLayoutView="100" workbookViewId="0">
      <selection activeCell="L7" sqref="L7"/>
    </sheetView>
  </sheetViews>
  <sheetFormatPr defaultColWidth="11.42578125" defaultRowHeight="15"/>
  <cols>
    <col min="1" max="1" width="12.140625" style="1" customWidth="1"/>
    <col min="2" max="2" width="9.85546875" style="1" customWidth="1"/>
    <col min="3" max="3" width="10.5703125" style="1" customWidth="1"/>
    <col min="4" max="4" width="12.140625" style="1" customWidth="1"/>
    <col min="5" max="5" width="14.5703125" style="1" customWidth="1"/>
    <col min="6" max="6" width="14.140625" style="1" customWidth="1"/>
    <col min="7" max="7" width="12" style="1" customWidth="1"/>
    <col min="8" max="16384" width="11.42578125" style="1"/>
  </cols>
  <sheetData>
    <row r="2" spans="1:16">
      <c r="A2" s="562" t="s">
        <v>0</v>
      </c>
      <c r="B2" s="562"/>
      <c r="C2" s="562"/>
      <c r="D2" s="562"/>
      <c r="E2" s="562"/>
      <c r="F2" s="562"/>
      <c r="G2" s="158"/>
    </row>
    <row r="3" spans="1:16">
      <c r="A3" s="562" t="s">
        <v>32</v>
      </c>
      <c r="B3" s="562"/>
      <c r="C3" s="562"/>
      <c r="D3" s="562"/>
      <c r="E3" s="562"/>
      <c r="F3" s="562"/>
      <c r="G3" s="158"/>
    </row>
    <row r="4" spans="1:16">
      <c r="A4" s="562" t="s">
        <v>33</v>
      </c>
      <c r="B4" s="562"/>
      <c r="C4" s="562"/>
      <c r="D4" s="562"/>
      <c r="E4" s="562"/>
      <c r="F4" s="562"/>
      <c r="G4" s="158"/>
    </row>
    <row r="5" spans="1:16">
      <c r="A5" s="562" t="s">
        <v>3</v>
      </c>
      <c r="B5" s="562"/>
      <c r="C5" s="562"/>
      <c r="D5" s="562"/>
      <c r="E5" s="562"/>
      <c r="F5" s="562"/>
      <c r="G5" s="158"/>
    </row>
    <row r="6" spans="1:16">
      <c r="A6" s="562" t="s">
        <v>4</v>
      </c>
      <c r="B6" s="562"/>
      <c r="C6" s="562"/>
      <c r="D6" s="562"/>
      <c r="E6" s="562"/>
      <c r="F6" s="562"/>
      <c r="G6" s="158"/>
      <c r="P6" s="18"/>
    </row>
    <row r="7" spans="1:16" ht="40.5" customHeight="1">
      <c r="A7" s="37" t="s">
        <v>5</v>
      </c>
      <c r="B7" s="39" t="s">
        <v>34</v>
      </c>
      <c r="C7" s="39" t="s">
        <v>35</v>
      </c>
      <c r="D7" s="39" t="s">
        <v>36</v>
      </c>
      <c r="E7" s="39" t="s">
        <v>37</v>
      </c>
      <c r="F7" s="39" t="s">
        <v>38</v>
      </c>
      <c r="G7" s="39" t="s">
        <v>39</v>
      </c>
      <c r="I7"/>
      <c r="J7"/>
      <c r="K7"/>
    </row>
    <row r="8" spans="1:16" ht="15" customHeight="1">
      <c r="A8" s="433" t="s">
        <v>13</v>
      </c>
      <c r="B8" s="464">
        <v>93468</v>
      </c>
      <c r="C8" s="464">
        <v>23896</v>
      </c>
      <c r="D8" s="368">
        <f>+C8/B8</f>
        <v>0.25565969101724656</v>
      </c>
      <c r="E8" s="464">
        <v>69572</v>
      </c>
      <c r="F8" s="368">
        <f>+E8/B8</f>
        <v>0.7443403089827535</v>
      </c>
      <c r="G8" s="464">
        <v>65016.455949993797</v>
      </c>
      <c r="H8"/>
      <c r="I8"/>
      <c r="J8"/>
      <c r="K8"/>
    </row>
    <row r="9" spans="1:16" ht="15" customHeight="1">
      <c r="A9" s="433" t="s">
        <v>15</v>
      </c>
      <c r="B9" s="464">
        <v>93076</v>
      </c>
      <c r="C9" s="464">
        <v>23045</v>
      </c>
      <c r="D9" s="368">
        <f>+C9/B9</f>
        <v>0.24759336456229317</v>
      </c>
      <c r="E9" s="464">
        <v>70031</v>
      </c>
      <c r="F9" s="368">
        <f>+E9/B9</f>
        <v>0.75240663543770681</v>
      </c>
      <c r="G9" s="464">
        <v>65010</v>
      </c>
      <c r="H9"/>
      <c r="I9"/>
      <c r="J9"/>
      <c r="K9"/>
    </row>
    <row r="10" spans="1:16" ht="17.25" customHeight="1">
      <c r="A10" s="434" t="s">
        <v>16</v>
      </c>
      <c r="B10" s="464">
        <v>92860</v>
      </c>
      <c r="C10" s="464">
        <v>23741</v>
      </c>
      <c r="D10" s="368">
        <f>+C10/B10</f>
        <v>0.25566444109412018</v>
      </c>
      <c r="E10" s="464">
        <v>69119</v>
      </c>
      <c r="F10" s="368">
        <f>+E10/B10</f>
        <v>0.74433555890587977</v>
      </c>
      <c r="G10" s="464">
        <v>64950</v>
      </c>
      <c r="H10"/>
      <c r="I10"/>
      <c r="J10"/>
      <c r="K10"/>
    </row>
    <row r="11" spans="1:16" ht="27.75" customHeight="1">
      <c r="A11" s="292" t="s">
        <v>40</v>
      </c>
      <c r="B11" s="369">
        <f>+AVERAGEA(B8:B10)</f>
        <v>93134.666666666672</v>
      </c>
      <c r="C11" s="369">
        <f t="shared" ref="C11:F11" si="0">+AVERAGEA(C8:C10)</f>
        <v>23560.666666666668</v>
      </c>
      <c r="D11" s="367">
        <f t="shared" si="0"/>
        <v>0.25297249889121992</v>
      </c>
      <c r="E11" s="436">
        <f t="shared" si="0"/>
        <v>69574</v>
      </c>
      <c r="F11" s="367">
        <f t="shared" si="0"/>
        <v>0.74702750110878002</v>
      </c>
      <c r="G11" s="369">
        <f>+AVERAGEA(G8:G10)</f>
        <v>64992.15198333127</v>
      </c>
      <c r="H11"/>
      <c r="I11"/>
      <c r="J11"/>
      <c r="K11"/>
    </row>
    <row r="12" spans="1:16" ht="18" hidden="1" customHeight="1">
      <c r="A12" s="162" t="s">
        <v>18</v>
      </c>
      <c r="B12" s="187">
        <v>93148</v>
      </c>
      <c r="C12" s="187">
        <v>29747</v>
      </c>
      <c r="D12" s="188">
        <f>+C12/B12</f>
        <v>0.31935199896938204</v>
      </c>
      <c r="E12" s="190">
        <v>63401</v>
      </c>
      <c r="F12" s="188">
        <f>+E12/B12</f>
        <v>0.68064800103061796</v>
      </c>
      <c r="G12" s="189">
        <v>54308</v>
      </c>
      <c r="H12"/>
      <c r="I12"/>
      <c r="J12"/>
      <c r="K12"/>
    </row>
    <row r="13" spans="1:16" ht="18" hidden="1" customHeight="1">
      <c r="A13" s="162" t="s">
        <v>19</v>
      </c>
      <c r="B13" s="187">
        <v>92991</v>
      </c>
      <c r="C13" s="187">
        <v>28719</v>
      </c>
      <c r="D13" s="188">
        <f t="shared" ref="D13:D28" si="1">+C13/B13</f>
        <v>0.30883633900054847</v>
      </c>
      <c r="E13" s="190">
        <v>64272</v>
      </c>
      <c r="F13" s="188">
        <f t="shared" ref="F13:F28" si="2">+E13/B13</f>
        <v>0.69116366099945159</v>
      </c>
      <c r="G13" s="187">
        <v>54187</v>
      </c>
      <c r="H13"/>
      <c r="I13"/>
      <c r="J13"/>
      <c r="K13"/>
      <c r="L13" s="64"/>
      <c r="M13"/>
      <c r="N13"/>
      <c r="O13"/>
    </row>
    <row r="14" spans="1:16" ht="18" hidden="1" customHeight="1">
      <c r="A14" s="160" t="s">
        <v>20</v>
      </c>
      <c r="B14" s="187">
        <v>92991</v>
      </c>
      <c r="C14" s="187">
        <v>28682</v>
      </c>
      <c r="D14" s="188">
        <f t="shared" si="1"/>
        <v>0.30843845103289563</v>
      </c>
      <c r="E14" s="190">
        <v>64309</v>
      </c>
      <c r="F14" s="188">
        <f t="shared" si="2"/>
        <v>0.69156154896710431</v>
      </c>
      <c r="G14" s="187">
        <v>54052</v>
      </c>
      <c r="H14"/>
      <c r="I14"/>
      <c r="J14"/>
      <c r="K14"/>
      <c r="L14"/>
      <c r="M14"/>
      <c r="N14"/>
      <c r="O14"/>
    </row>
    <row r="15" spans="1:16" ht="24" hidden="1" customHeight="1">
      <c r="A15" s="164" t="s">
        <v>41</v>
      </c>
      <c r="B15" s="191">
        <f>+AVERAGE(B12:B14)</f>
        <v>93043.333333333328</v>
      </c>
      <c r="C15" s="191">
        <f>+AVERAGE(C12:C14)</f>
        <v>29049.333333333332</v>
      </c>
      <c r="D15" s="192">
        <f t="shared" si="1"/>
        <v>0.31221294737219218</v>
      </c>
      <c r="E15" s="191">
        <f>+AVERAGE(E12:E14)</f>
        <v>63994</v>
      </c>
      <c r="F15" s="192">
        <f t="shared" si="2"/>
        <v>0.68778705262780782</v>
      </c>
      <c r="G15" s="59">
        <f>AVERAGE(G12:G14)</f>
        <v>54182.333333333336</v>
      </c>
      <c r="H15"/>
      <c r="I15"/>
      <c r="J15"/>
      <c r="K15"/>
      <c r="L15" s="161"/>
      <c r="M15"/>
      <c r="N15"/>
      <c r="O15"/>
    </row>
    <row r="16" spans="1:16" hidden="1">
      <c r="A16" s="160" t="s">
        <v>22</v>
      </c>
      <c r="B16" s="107"/>
      <c r="C16" s="107"/>
      <c r="D16" s="159" t="e">
        <f t="shared" si="1"/>
        <v>#DIV/0!</v>
      </c>
      <c r="E16" s="107"/>
      <c r="F16" s="159" t="e">
        <f t="shared" si="2"/>
        <v>#DIV/0!</v>
      </c>
      <c r="G16" s="159"/>
      <c r="H16"/>
      <c r="I16"/>
      <c r="J16"/>
      <c r="K16" s="64"/>
      <c r="L16" s="64"/>
      <c r="M16"/>
      <c r="N16"/>
      <c r="O16"/>
    </row>
    <row r="17" spans="1:15" hidden="1">
      <c r="A17" s="162" t="s">
        <v>23</v>
      </c>
      <c r="B17" s="107"/>
      <c r="C17" s="107"/>
      <c r="D17" s="159" t="e">
        <f t="shared" si="1"/>
        <v>#DIV/0!</v>
      </c>
      <c r="E17" s="107"/>
      <c r="F17" s="159" t="e">
        <f t="shared" si="2"/>
        <v>#DIV/0!</v>
      </c>
      <c r="G17" s="159"/>
      <c r="H17"/>
      <c r="I17"/>
      <c r="J17"/>
      <c r="K17"/>
      <c r="L17" s="64"/>
      <c r="M17"/>
      <c r="N17"/>
      <c r="O17"/>
    </row>
    <row r="18" spans="1:15" hidden="1">
      <c r="A18" s="162" t="s">
        <v>24</v>
      </c>
      <c r="B18" s="107"/>
      <c r="C18" s="107"/>
      <c r="D18" s="159" t="e">
        <f t="shared" si="1"/>
        <v>#DIV/0!</v>
      </c>
      <c r="E18" s="107"/>
      <c r="F18" s="159" t="e">
        <f t="shared" si="2"/>
        <v>#DIV/0!</v>
      </c>
      <c r="G18" s="159"/>
      <c r="H18"/>
      <c r="I18"/>
      <c r="J18"/>
      <c r="K18"/>
      <c r="L18"/>
      <c r="M18"/>
      <c r="N18"/>
      <c r="O18"/>
    </row>
    <row r="19" spans="1:15" ht="24" hidden="1" customHeight="1">
      <c r="A19" s="108" t="s">
        <v>42</v>
      </c>
      <c r="B19" s="8" t="e">
        <f>+AVERAGE(B16:B18)</f>
        <v>#DIV/0!</v>
      </c>
      <c r="C19" s="8" t="e">
        <f>+AVERAGE(C16:C18)</f>
        <v>#DIV/0!</v>
      </c>
      <c r="D19" s="16" t="e">
        <f t="shared" si="1"/>
        <v>#DIV/0!</v>
      </c>
      <c r="E19" s="8" t="e">
        <f>+AVERAGE(E16:E18)</f>
        <v>#DIV/0!</v>
      </c>
      <c r="F19" s="16" t="e">
        <f t="shared" si="2"/>
        <v>#DIV/0!</v>
      </c>
      <c r="G19" s="16"/>
      <c r="H19"/>
      <c r="I19"/>
      <c r="J19"/>
      <c r="K19"/>
      <c r="L19" s="161"/>
      <c r="M19"/>
      <c r="N19"/>
      <c r="O19"/>
    </row>
    <row r="20" spans="1:15" hidden="1">
      <c r="A20" s="160" t="s">
        <v>43</v>
      </c>
      <c r="B20" s="107"/>
      <c r="C20" s="107"/>
      <c r="D20" s="159" t="e">
        <f t="shared" si="1"/>
        <v>#DIV/0!</v>
      </c>
      <c r="E20" s="107"/>
      <c r="F20" s="159" t="e">
        <f t="shared" si="2"/>
        <v>#DIV/0!</v>
      </c>
      <c r="G20" s="159"/>
      <c r="H20"/>
      <c r="I20"/>
      <c r="J20"/>
      <c r="K20" s="64"/>
      <c r="L20" s="64"/>
      <c r="M20"/>
      <c r="N20"/>
      <c r="O20"/>
    </row>
    <row r="21" spans="1:15" hidden="1">
      <c r="A21" s="162" t="s">
        <v>27</v>
      </c>
      <c r="B21" s="107"/>
      <c r="C21" s="107"/>
      <c r="D21" s="159" t="e">
        <f t="shared" si="1"/>
        <v>#DIV/0!</v>
      </c>
      <c r="E21" s="107"/>
      <c r="F21" s="159" t="e">
        <f t="shared" si="2"/>
        <v>#DIV/0!</v>
      </c>
      <c r="G21" s="159"/>
      <c r="H21"/>
      <c r="I21"/>
      <c r="J21"/>
      <c r="K21"/>
      <c r="L21" s="64"/>
      <c r="M21"/>
      <c r="N21"/>
      <c r="O21"/>
    </row>
    <row r="22" spans="1:15" hidden="1">
      <c r="A22" s="162" t="s">
        <v>28</v>
      </c>
      <c r="B22" s="107"/>
      <c r="C22" s="107"/>
      <c r="D22" s="159" t="e">
        <f t="shared" si="1"/>
        <v>#DIV/0!</v>
      </c>
      <c r="E22" s="107"/>
      <c r="F22" s="159" t="e">
        <f t="shared" si="2"/>
        <v>#DIV/0!</v>
      </c>
      <c r="G22" s="159"/>
      <c r="H22"/>
      <c r="I22"/>
      <c r="J22"/>
      <c r="K22"/>
      <c r="L22"/>
      <c r="M22"/>
      <c r="N22"/>
      <c r="O22"/>
    </row>
    <row r="23" spans="1:15" ht="24" hidden="1" customHeight="1">
      <c r="A23" s="108" t="s">
        <v>44</v>
      </c>
      <c r="B23" s="8" t="e">
        <f>+AVERAGE(B20:B22)</f>
        <v>#DIV/0!</v>
      </c>
      <c r="C23" s="8" t="e">
        <f>+AVERAGE(C20:C22)</f>
        <v>#DIV/0!</v>
      </c>
      <c r="D23" s="16" t="e">
        <f t="shared" si="1"/>
        <v>#DIV/0!</v>
      </c>
      <c r="E23" s="8" t="e">
        <f>+AVERAGE(E20:E22)</f>
        <v>#DIV/0!</v>
      </c>
      <c r="F23" s="16" t="e">
        <f t="shared" si="2"/>
        <v>#DIV/0!</v>
      </c>
      <c r="G23" s="16"/>
      <c r="H23"/>
      <c r="I23"/>
      <c r="J23"/>
      <c r="K23"/>
      <c r="L23" s="161"/>
      <c r="M23"/>
      <c r="N23"/>
      <c r="O23"/>
    </row>
    <row r="24" spans="1:15" hidden="1">
      <c r="A24" s="160" t="s">
        <v>16</v>
      </c>
      <c r="B24" s="107"/>
      <c r="C24" s="107"/>
      <c r="D24" s="159" t="e">
        <f t="shared" si="1"/>
        <v>#DIV/0!</v>
      </c>
      <c r="E24" s="107"/>
      <c r="F24" s="159" t="e">
        <f t="shared" si="2"/>
        <v>#DIV/0!</v>
      </c>
      <c r="G24" s="159"/>
      <c r="H24"/>
      <c r="I24"/>
      <c r="J24"/>
      <c r="K24" s="64"/>
      <c r="L24" s="64"/>
      <c r="M24"/>
      <c r="N24"/>
      <c r="O24"/>
    </row>
    <row r="25" spans="1:15" hidden="1">
      <c r="A25" s="162" t="s">
        <v>15</v>
      </c>
      <c r="B25" s="107"/>
      <c r="C25" s="107"/>
      <c r="D25" s="159" t="e">
        <f t="shared" si="1"/>
        <v>#DIV/0!</v>
      </c>
      <c r="E25" s="107"/>
      <c r="F25" s="159" t="e">
        <f t="shared" si="2"/>
        <v>#DIV/0!</v>
      </c>
      <c r="G25" s="159"/>
      <c r="H25"/>
      <c r="I25"/>
      <c r="J25"/>
      <c r="K25"/>
      <c r="L25" s="64"/>
      <c r="M25"/>
      <c r="N25"/>
      <c r="O25"/>
    </row>
    <row r="26" spans="1:15" hidden="1">
      <c r="A26" s="162" t="s">
        <v>13</v>
      </c>
      <c r="B26" s="107"/>
      <c r="C26" s="107"/>
      <c r="D26" s="159" t="e">
        <f t="shared" si="1"/>
        <v>#DIV/0!</v>
      </c>
      <c r="E26" s="107"/>
      <c r="F26" s="159" t="e">
        <f t="shared" si="2"/>
        <v>#DIV/0!</v>
      </c>
      <c r="G26" s="159"/>
      <c r="H26"/>
      <c r="I26"/>
      <c r="J26"/>
      <c r="K26"/>
      <c r="L26"/>
      <c r="M26"/>
      <c r="N26"/>
      <c r="O26"/>
    </row>
    <row r="27" spans="1:15" ht="24" hidden="1" customHeight="1">
      <c r="A27" s="108" t="s">
        <v>40</v>
      </c>
      <c r="B27" s="8" t="e">
        <f>+AVERAGE(B24:B26)</f>
        <v>#DIV/0!</v>
      </c>
      <c r="C27" s="8" t="e">
        <f>+AVERAGE(C24:C26)</f>
        <v>#DIV/0!</v>
      </c>
      <c r="D27" s="16" t="e">
        <f t="shared" si="1"/>
        <v>#DIV/0!</v>
      </c>
      <c r="E27" s="8" t="e">
        <f>+AVERAGE(E24:E26)</f>
        <v>#DIV/0!</v>
      </c>
      <c r="F27" s="16" t="e">
        <f t="shared" si="2"/>
        <v>#DIV/0!</v>
      </c>
      <c r="G27" s="16"/>
      <c r="H27"/>
      <c r="I27"/>
      <c r="J27"/>
      <c r="K27"/>
      <c r="L27" s="161"/>
      <c r="M27"/>
      <c r="N27"/>
      <c r="O27"/>
    </row>
    <row r="28" spans="1:15" hidden="1">
      <c r="A28" s="25" t="s">
        <v>30</v>
      </c>
      <c r="B28" s="10" t="e">
        <f>+AVERAGE(B15,B19,B23,B27)</f>
        <v>#DIV/0!</v>
      </c>
      <c r="C28" s="10" t="e">
        <f>+AVERAGE(C15,C19,C23,C27)</f>
        <v>#DIV/0!</v>
      </c>
      <c r="D28" s="17" t="e">
        <f t="shared" si="1"/>
        <v>#DIV/0!</v>
      </c>
      <c r="E28" s="10" t="e">
        <f>+AVERAGE(E15,E19,E23,E27,)</f>
        <v>#DIV/0!</v>
      </c>
      <c r="F28" s="17" t="e">
        <f t="shared" si="2"/>
        <v>#DIV/0!</v>
      </c>
      <c r="G28" s="17"/>
      <c r="H28"/>
      <c r="I28"/>
      <c r="J28"/>
      <c r="K28"/>
      <c r="L28" s="161"/>
      <c r="M28"/>
      <c r="N28"/>
      <c r="O28"/>
    </row>
    <row r="29" spans="1:15" ht="11.25" customHeight="1">
      <c r="A29" s="253"/>
      <c r="B29" s="152"/>
      <c r="C29"/>
      <c r="D29" s="161"/>
      <c r="E29"/>
      <c r="F29" s="161"/>
      <c r="G29"/>
      <c r="H29"/>
      <c r="I29"/>
      <c r="J29"/>
      <c r="K29"/>
      <c r="L29" s="161"/>
      <c r="M29"/>
      <c r="N29"/>
      <c r="O29"/>
    </row>
    <row r="30" spans="1:15">
      <c r="A30" s="249" t="s">
        <v>45</v>
      </c>
      <c r="B30" s="107"/>
      <c r="C30" s="107"/>
      <c r="D30" s="159"/>
      <c r="E30" s="107"/>
      <c r="F30" s="159"/>
      <c r="G30" s="159"/>
      <c r="H30"/>
      <c r="I30"/>
      <c r="J30"/>
      <c r="K30"/>
      <c r="L30" s="161"/>
      <c r="M30"/>
      <c r="N30"/>
      <c r="O30"/>
    </row>
    <row r="31" spans="1:15">
      <c r="A31" s="160"/>
      <c r="B31" s="107"/>
      <c r="C31" s="107"/>
      <c r="D31" s="159"/>
      <c r="E31" s="107"/>
      <c r="F31" s="159"/>
      <c r="G31" s="159"/>
      <c r="H31"/>
      <c r="I31"/>
      <c r="J31"/>
      <c r="K31"/>
      <c r="L31"/>
      <c r="M31"/>
      <c r="N31"/>
      <c r="O31"/>
    </row>
    <row r="32" spans="1:15">
      <c r="A32"/>
      <c r="B32"/>
      <c r="C32"/>
      <c r="D32"/>
      <c r="E32"/>
      <c r="F32"/>
      <c r="G32"/>
      <c r="H32"/>
      <c r="I32"/>
      <c r="J32"/>
      <c r="K32"/>
      <c r="L32"/>
      <c r="M32"/>
      <c r="N32"/>
      <c r="O32"/>
    </row>
    <row r="33" spans="1:15">
      <c r="A33"/>
      <c r="B33"/>
      <c r="C33"/>
      <c r="D33"/>
      <c r="E33"/>
      <c r="F33"/>
      <c r="G33"/>
      <c r="H33"/>
      <c r="I33"/>
      <c r="J33"/>
      <c r="K33"/>
      <c r="L33"/>
      <c r="M33"/>
      <c r="N33"/>
      <c r="O33"/>
    </row>
    <row r="34" spans="1:15">
      <c r="A34"/>
      <c r="B34"/>
      <c r="C34"/>
      <c r="D34"/>
      <c r="E34"/>
      <c r="F34"/>
      <c r="G34"/>
      <c r="H34"/>
      <c r="I34"/>
      <c r="J34"/>
      <c r="K34"/>
      <c r="L34"/>
      <c r="M34"/>
      <c r="N34"/>
      <c r="O34"/>
    </row>
    <row r="35" spans="1:15">
      <c r="A35"/>
      <c r="B35"/>
      <c r="C35"/>
      <c r="D35"/>
      <c r="E35"/>
      <c r="F35"/>
      <c r="G35"/>
      <c r="H35"/>
      <c r="I35"/>
      <c r="J35"/>
      <c r="K35"/>
      <c r="L35"/>
      <c r="M35"/>
      <c r="N35"/>
      <c r="O35"/>
    </row>
    <row r="36" spans="1:15">
      <c r="A36"/>
      <c r="B36"/>
      <c r="C36"/>
      <c r="D36"/>
      <c r="E36"/>
      <c r="F36"/>
      <c r="G36"/>
      <c r="H36"/>
      <c r="I36"/>
      <c r="J36"/>
      <c r="K36"/>
      <c r="L36"/>
      <c r="M36"/>
      <c r="N36"/>
      <c r="O3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row r="41" spans="1:15">
      <c r="A41"/>
      <c r="B41"/>
      <c r="C41"/>
      <c r="D41"/>
      <c r="E41"/>
      <c r="F41"/>
      <c r="G41"/>
      <c r="H41"/>
      <c r="I41"/>
      <c r="J41"/>
      <c r="K41"/>
      <c r="L41"/>
      <c r="M41"/>
      <c r="N41"/>
      <c r="O41"/>
    </row>
    <row r="42" spans="1:15">
      <c r="A42"/>
      <c r="B42"/>
      <c r="C42"/>
      <c r="D42"/>
      <c r="E42"/>
      <c r="F42"/>
      <c r="G42"/>
      <c r="H42"/>
      <c r="I42"/>
      <c r="J42"/>
      <c r="K42"/>
      <c r="L42"/>
      <c r="M42"/>
      <c r="N42"/>
      <c r="O42"/>
    </row>
    <row r="43" spans="1:15">
      <c r="A43"/>
      <c r="B43"/>
      <c r="C43"/>
      <c r="D43"/>
      <c r="E43"/>
      <c r="F43"/>
      <c r="G43"/>
      <c r="H43"/>
      <c r="I43"/>
      <c r="J43"/>
      <c r="K43"/>
      <c r="L43"/>
      <c r="M43"/>
      <c r="N43"/>
      <c r="O43"/>
    </row>
    <row r="44" spans="1:15">
      <c r="A44"/>
      <c r="B44"/>
      <c r="C44"/>
      <c r="D44"/>
      <c r="E44"/>
      <c r="F44"/>
      <c r="G44"/>
      <c r="H44"/>
      <c r="I44"/>
      <c r="J44"/>
      <c r="K44"/>
      <c r="L44"/>
      <c r="M44"/>
      <c r="N44"/>
      <c r="O44"/>
    </row>
    <row r="45" spans="1:15" ht="3" customHeight="1">
      <c r="A45"/>
      <c r="B45"/>
      <c r="C45"/>
      <c r="D45"/>
      <c r="E45"/>
      <c r="F45"/>
      <c r="G45"/>
      <c r="H45"/>
      <c r="I45"/>
      <c r="J45"/>
      <c r="K45"/>
      <c r="L45"/>
      <c r="M45"/>
      <c r="N45"/>
      <c r="O45"/>
    </row>
    <row r="46" spans="1:15" hidden="1">
      <c r="A46"/>
      <c r="B46"/>
      <c r="C46"/>
      <c r="D46"/>
      <c r="E46"/>
      <c r="F46"/>
      <c r="G46"/>
      <c r="H46"/>
      <c r="I46"/>
      <c r="J46"/>
      <c r="K46"/>
      <c r="L46"/>
      <c r="M46"/>
      <c r="N46"/>
      <c r="O46"/>
    </row>
    <row r="47" spans="1:15" hidden="1">
      <c r="A47"/>
      <c r="B47"/>
      <c r="C47"/>
      <c r="D47"/>
      <c r="E47"/>
      <c r="F47"/>
      <c r="G47"/>
      <c r="H47"/>
      <c r="I47"/>
      <c r="J47"/>
      <c r="K47"/>
      <c r="L47"/>
      <c r="M47"/>
      <c r="N47" t="s">
        <v>46</v>
      </c>
      <c r="O47"/>
    </row>
    <row r="48" spans="1:15" hidden="1">
      <c r="A48"/>
      <c r="B48"/>
      <c r="C48"/>
      <c r="D48"/>
      <c r="E48"/>
      <c r="F48"/>
      <c r="G48"/>
      <c r="H48"/>
      <c r="I48"/>
      <c r="J48"/>
      <c r="K48"/>
      <c r="L48"/>
      <c r="M48"/>
      <c r="N48"/>
      <c r="O48"/>
    </row>
    <row r="49" spans="1:29" hidden="1">
      <c r="A49"/>
      <c r="B49"/>
      <c r="C49"/>
      <c r="D49"/>
      <c r="E49"/>
      <c r="F49"/>
      <c r="G49"/>
      <c r="H49"/>
      <c r="I49"/>
      <c r="J49"/>
      <c r="K49"/>
      <c r="L49"/>
      <c r="M49"/>
      <c r="N49"/>
      <c r="O49"/>
    </row>
    <row r="50" spans="1:29" hidden="1">
      <c r="A50"/>
      <c r="B50"/>
      <c r="C50"/>
      <c r="D50"/>
      <c r="E50"/>
      <c r="F50"/>
      <c r="G50"/>
      <c r="H50"/>
      <c r="I50"/>
      <c r="J50"/>
      <c r="K50"/>
      <c r="L50"/>
      <c r="M50"/>
      <c r="N50"/>
      <c r="O50"/>
    </row>
    <row r="51" spans="1:29" hidden="1"/>
    <row r="52" spans="1:29" hidden="1"/>
    <row r="53" spans="1:29" hidden="1"/>
    <row r="54" spans="1:29" hidden="1"/>
    <row r="55" spans="1:29" hidden="1"/>
    <row r="56" spans="1:29" hidden="1"/>
    <row r="57" spans="1:29" hidden="1"/>
    <row r="58" spans="1:29" hidden="1"/>
    <row r="59" spans="1:29" hidden="1"/>
    <row r="60" spans="1:29" hidden="1"/>
    <row r="61" spans="1:29">
      <c r="X61" s="39"/>
      <c r="Y61" s="39"/>
      <c r="Z61" s="39"/>
      <c r="AA61" s="39"/>
      <c r="AB61" s="39"/>
      <c r="AC61" s="39"/>
    </row>
    <row r="62" spans="1:29">
      <c r="B62"/>
      <c r="C62" s="163"/>
      <c r="X62" s="186"/>
      <c r="Y62" s="186"/>
      <c r="Z62" s="159"/>
      <c r="AA62" s="185"/>
      <c r="AB62" s="159"/>
      <c r="AC62" s="29"/>
    </row>
    <row r="63" spans="1:29">
      <c r="B63"/>
      <c r="C63" s="18"/>
      <c r="X63" s="186"/>
      <c r="Y63" s="186"/>
      <c r="Z63" s="159"/>
      <c r="AA63" s="185"/>
      <c r="AB63" s="159"/>
      <c r="AC63" s="29"/>
    </row>
    <row r="64" spans="1:29">
      <c r="L64" s="98"/>
      <c r="X64" s="186"/>
      <c r="Y64" s="186"/>
      <c r="Z64" s="159"/>
      <c r="AA64" s="185"/>
      <c r="AB64" s="159"/>
      <c r="AC64" s="29"/>
    </row>
    <row r="65" spans="5:29">
      <c r="L65" s="98"/>
      <c r="X65" s="214"/>
      <c r="Y65" s="214"/>
      <c r="Z65" s="216"/>
      <c r="AA65" s="214"/>
      <c r="AB65" s="216"/>
      <c r="AC65" s="215"/>
    </row>
    <row r="66" spans="5:29">
      <c r="L66" s="98"/>
    </row>
    <row r="67" spans="5:29">
      <c r="L67" s="14"/>
      <c r="Z67" s="1" t="s">
        <v>36</v>
      </c>
      <c r="AB67" s="1" t="s">
        <v>38</v>
      </c>
      <c r="AC67" s="1" t="s">
        <v>39</v>
      </c>
    </row>
    <row r="68" spans="5:29">
      <c r="Y68" s="1">
        <v>28370</v>
      </c>
      <c r="Z68" s="18">
        <v>0.303913271700822</v>
      </c>
      <c r="AA68" s="1">
        <v>64979</v>
      </c>
      <c r="AB68" s="18">
        <v>0.69608672829917839</v>
      </c>
      <c r="AC68" s="1">
        <v>54661</v>
      </c>
    </row>
    <row r="69" spans="5:29">
      <c r="Y69" s="1">
        <v>29370</v>
      </c>
      <c r="Z69" s="18">
        <v>0.31478762285506051</v>
      </c>
      <c r="AA69" s="1">
        <v>64083</v>
      </c>
      <c r="AB69" s="18">
        <v>0.68684151295270146</v>
      </c>
      <c r="AC69" s="1">
        <v>54574</v>
      </c>
    </row>
    <row r="70" spans="5:29">
      <c r="Y70" s="1">
        <v>28435</v>
      </c>
      <c r="Z70" s="18">
        <v>0.30528327410540779</v>
      </c>
      <c r="AA70" s="1">
        <v>64708</v>
      </c>
      <c r="AB70" s="18">
        <v>0.69471672589459221</v>
      </c>
      <c r="AC70" s="1">
        <v>54538</v>
      </c>
    </row>
    <row r="71" spans="5:29">
      <c r="Y71" s="1">
        <v>28725</v>
      </c>
      <c r="AA71" s="1">
        <v>64590</v>
      </c>
      <c r="AC71" s="1">
        <v>54591</v>
      </c>
    </row>
    <row r="75" spans="5:29">
      <c r="Y75" s="207" t="s">
        <v>35</v>
      </c>
      <c r="Z75" s="217">
        <v>0.30799472288709667</v>
      </c>
    </row>
    <row r="76" spans="5:29">
      <c r="Y76" s="207" t="s">
        <v>37</v>
      </c>
      <c r="Z76" s="217">
        <v>0.69254832238215736</v>
      </c>
    </row>
    <row r="78" spans="5:29">
      <c r="E78"/>
      <c r="F78"/>
      <c r="G78"/>
      <c r="H78"/>
      <c r="I78"/>
    </row>
    <row r="79" spans="5:29">
      <c r="E79"/>
      <c r="F79"/>
      <c r="G79"/>
      <c r="H79"/>
      <c r="I79"/>
    </row>
    <row r="80" spans="5:29">
      <c r="E80"/>
      <c r="F80"/>
      <c r="G80"/>
      <c r="H80"/>
      <c r="I80"/>
    </row>
    <row r="81" spans="5:9">
      <c r="E81"/>
      <c r="F81"/>
      <c r="G81"/>
      <c r="H81"/>
      <c r="I81"/>
    </row>
    <row r="82" spans="5:9">
      <c r="E82"/>
      <c r="F82"/>
      <c r="G82"/>
      <c r="H82"/>
      <c r="I82"/>
    </row>
    <row r="83" spans="5:9">
      <c r="E83"/>
      <c r="F83"/>
      <c r="G83"/>
      <c r="H83"/>
      <c r="I83"/>
    </row>
    <row r="84" spans="5:9">
      <c r="E84"/>
      <c r="F84"/>
      <c r="G84"/>
      <c r="H84"/>
      <c r="I84"/>
    </row>
    <row r="85" spans="5:9">
      <c r="E85"/>
      <c r="F85"/>
      <c r="G85"/>
      <c r="H85"/>
      <c r="I85"/>
    </row>
    <row r="86" spans="5:9">
      <c r="E86"/>
      <c r="F86"/>
      <c r="G86"/>
      <c r="H86"/>
      <c r="I86"/>
    </row>
    <row r="87" spans="5:9">
      <c r="E87"/>
      <c r="F87"/>
      <c r="G87"/>
      <c r="H87"/>
      <c r="I87"/>
    </row>
  </sheetData>
  <sortState xmlns:xlrd2="http://schemas.microsoft.com/office/spreadsheetml/2017/richdata2" ref="I11:L12">
    <sortCondition ref="I10:I12"/>
  </sortState>
  <mergeCells count="5">
    <mergeCell ref="A3:F3"/>
    <mergeCell ref="A4:F4"/>
    <mergeCell ref="A6:F6"/>
    <mergeCell ref="A2:F2"/>
    <mergeCell ref="A5:F5"/>
  </mergeCells>
  <pageMargins left="0.7" right="0.7" top="0.75" bottom="0.75" header="0.3" footer="0.3"/>
  <pageSetup paperSize="9" scale="56" orientation="portrait" r:id="rId1"/>
  <ignoredErrors>
    <ignoredError sqref="C11 G11 B11" unlockedFormula="1"/>
    <ignoredError sqref="D11:F11" formula="1"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DE108-C3EA-46E9-8DF1-D2D31CF7D048}">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O43"/>
  <sheetViews>
    <sheetView showGridLines="0" zoomScale="113" zoomScaleNormal="115" workbookViewId="0">
      <selection activeCell="L7" sqref="L7"/>
    </sheetView>
  </sheetViews>
  <sheetFormatPr defaultColWidth="11.42578125" defaultRowHeight="15"/>
  <cols>
    <col min="1" max="1" width="12.42578125" style="1" customWidth="1"/>
    <col min="2" max="2" width="14.42578125" style="1" customWidth="1"/>
    <col min="3" max="3" width="15.28515625" style="1" bestFit="1" customWidth="1"/>
    <col min="4" max="4" width="16.42578125" style="1" bestFit="1" customWidth="1"/>
    <col min="5" max="5" width="14.85546875" style="1" bestFit="1" customWidth="1"/>
    <col min="6" max="6" width="13.28515625" style="1" bestFit="1" customWidth="1"/>
    <col min="7" max="10" width="11.42578125" style="1"/>
    <col min="11" max="11" width="15" style="1" customWidth="1"/>
    <col min="12" max="12" width="6.85546875" style="1" customWidth="1"/>
    <col min="13" max="13" width="10.7109375" style="1" customWidth="1"/>
    <col min="14" max="14" width="10.140625" style="1" customWidth="1"/>
    <col min="15" max="15" width="24.85546875" style="1" customWidth="1"/>
    <col min="16" max="16384" width="11.42578125" style="1"/>
  </cols>
  <sheetData>
    <row r="1" spans="1:15">
      <c r="A1" s="564" t="s">
        <v>0</v>
      </c>
      <c r="B1" s="564"/>
      <c r="C1" s="564"/>
      <c r="D1" s="564"/>
      <c r="E1" s="564"/>
      <c r="F1" s="564"/>
    </row>
    <row r="2" spans="1:15">
      <c r="A2" s="564" t="s">
        <v>32</v>
      </c>
      <c r="B2" s="564"/>
      <c r="C2" s="564"/>
      <c r="D2" s="564"/>
      <c r="E2" s="564"/>
      <c r="F2" s="564"/>
    </row>
    <row r="3" spans="1:15">
      <c r="A3" s="564" t="s">
        <v>47</v>
      </c>
      <c r="B3" s="564"/>
      <c r="C3" s="564"/>
      <c r="D3" s="564"/>
      <c r="E3" s="564"/>
      <c r="F3" s="564"/>
    </row>
    <row r="4" spans="1:15">
      <c r="A4" s="564" t="s">
        <v>3</v>
      </c>
      <c r="B4" s="564"/>
      <c r="C4" s="564"/>
      <c r="D4" s="564"/>
      <c r="E4" s="564"/>
      <c r="F4" s="564"/>
    </row>
    <row r="5" spans="1:15">
      <c r="A5" s="564" t="s">
        <v>4</v>
      </c>
      <c r="B5" s="564"/>
      <c r="C5" s="564"/>
      <c r="D5" s="564"/>
      <c r="E5" s="564"/>
      <c r="F5" s="564"/>
    </row>
    <row r="6" spans="1:15" ht="30.75" customHeight="1">
      <c r="A6" s="563" t="s">
        <v>48</v>
      </c>
      <c r="B6" s="563"/>
      <c r="C6" s="563"/>
      <c r="D6" s="563"/>
      <c r="E6" s="563"/>
      <c r="F6" s="563"/>
      <c r="G6"/>
      <c r="H6"/>
      <c r="I6"/>
      <c r="J6"/>
      <c r="K6"/>
    </row>
    <row r="7" spans="1:15" ht="15" customHeight="1">
      <c r="A7" s="110"/>
      <c r="B7" s="111" t="s">
        <v>49</v>
      </c>
      <c r="C7" s="111" t="s">
        <v>50</v>
      </c>
      <c r="D7" s="111" t="s">
        <v>30</v>
      </c>
      <c r="E7" s="111" t="s">
        <v>51</v>
      </c>
      <c r="F7" s="111" t="s">
        <v>52</v>
      </c>
      <c r="G7"/>
      <c r="H7"/>
      <c r="I7"/>
      <c r="J7"/>
      <c r="K7"/>
      <c r="L7" s="18"/>
      <c r="M7" s="18"/>
      <c r="N7" s="18"/>
    </row>
    <row r="8" spans="1:15" ht="14.25" customHeight="1">
      <c r="A8" s="434" t="s">
        <v>13</v>
      </c>
      <c r="B8" s="465">
        <v>19117</v>
      </c>
      <c r="C8" s="465">
        <v>4779</v>
      </c>
      <c r="D8" s="466">
        <f>B8+C8</f>
        <v>23896</v>
      </c>
      <c r="E8" s="459">
        <f>B8/D8</f>
        <v>0.80000836960160693</v>
      </c>
      <c r="F8" s="459">
        <f>+C8/D8</f>
        <v>0.19999163039839304</v>
      </c>
      <c r="G8"/>
      <c r="H8"/>
    </row>
    <row r="9" spans="1:15" ht="14.25" customHeight="1">
      <c r="A9" s="433" t="s">
        <v>15</v>
      </c>
      <c r="B9" s="465">
        <v>18436</v>
      </c>
      <c r="C9" s="465">
        <v>4609</v>
      </c>
      <c r="D9" s="466">
        <f t="shared" ref="D9:D10" si="0">B9+C9</f>
        <v>23045</v>
      </c>
      <c r="E9" s="459">
        <f t="shared" ref="E9:E14" si="1">B9/D9</f>
        <v>0.8</v>
      </c>
      <c r="F9" s="459">
        <f t="shared" ref="F9:F14" si="2">+C9/D9</f>
        <v>0.2</v>
      </c>
      <c r="G9" s="125"/>
      <c r="H9"/>
      <c r="I9"/>
      <c r="J9"/>
      <c r="K9"/>
      <c r="L9" s="18"/>
      <c r="M9" s="18"/>
      <c r="N9" s="18"/>
    </row>
    <row r="10" spans="1:15" ht="14.25" customHeight="1">
      <c r="A10" s="433" t="s">
        <v>16</v>
      </c>
      <c r="B10" s="465">
        <v>18993</v>
      </c>
      <c r="C10" s="465">
        <v>4748</v>
      </c>
      <c r="D10" s="466">
        <f t="shared" si="0"/>
        <v>23741</v>
      </c>
      <c r="E10" s="459">
        <f>B10/D10</f>
        <v>0.80000842424497709</v>
      </c>
      <c r="F10" s="459">
        <f>+C10/D10</f>
        <v>0.19999157575502297</v>
      </c>
      <c r="G10"/>
      <c r="H10"/>
      <c r="I10"/>
      <c r="J10"/>
      <c r="K10"/>
    </row>
    <row r="11" spans="1:15" ht="25.5">
      <c r="A11" s="268" t="s">
        <v>53</v>
      </c>
      <c r="B11" s="370">
        <f>AVERAGE(B8:B10)</f>
        <v>18848.666666666668</v>
      </c>
      <c r="C11" s="370">
        <f>AVERAGE(C8:C10)</f>
        <v>4712</v>
      </c>
      <c r="D11" s="370">
        <f>AVERAGE(D8:D10)</f>
        <v>23560.666666666668</v>
      </c>
      <c r="E11" s="371">
        <f t="shared" si="1"/>
        <v>0.80000565914942989</v>
      </c>
      <c r="F11" s="372">
        <f t="shared" si="2"/>
        <v>0.19999434085057016</v>
      </c>
      <c r="G11"/>
      <c r="H11"/>
      <c r="I11"/>
      <c r="J11"/>
      <c r="K11"/>
    </row>
    <row r="12" spans="1:15" hidden="1">
      <c r="A12" s="162" t="s">
        <v>18</v>
      </c>
      <c r="B12" s="147">
        <v>24095</v>
      </c>
      <c r="C12" s="147">
        <v>5652</v>
      </c>
      <c r="D12" s="147">
        <f>+B12+C12</f>
        <v>29747</v>
      </c>
      <c r="E12" s="20">
        <f t="shared" si="1"/>
        <v>0.80999764682152819</v>
      </c>
      <c r="F12" s="20">
        <f t="shared" si="2"/>
        <v>0.19000235317847178</v>
      </c>
      <c r="G12"/>
      <c r="H12"/>
      <c r="I12"/>
      <c r="J12"/>
      <c r="K12"/>
      <c r="L12" s="14"/>
    </row>
    <row r="13" spans="1:15" hidden="1">
      <c r="A13" s="162" t="s">
        <v>19</v>
      </c>
      <c r="B13" s="147">
        <v>23262</v>
      </c>
      <c r="C13" s="147">
        <v>5457</v>
      </c>
      <c r="D13" s="147">
        <f t="shared" ref="D13:D26" si="3">+B13+C13</f>
        <v>28719</v>
      </c>
      <c r="E13" s="20">
        <f t="shared" si="1"/>
        <v>0.80998642013997701</v>
      </c>
      <c r="F13" s="20">
        <f t="shared" si="2"/>
        <v>0.19001357986002299</v>
      </c>
      <c r="G13"/>
      <c r="H13"/>
      <c r="I13"/>
      <c r="J13"/>
      <c r="K13"/>
      <c r="L13" s="14"/>
      <c r="O13" s="14"/>
    </row>
    <row r="14" spans="1:15" hidden="1">
      <c r="A14" s="162" t="s">
        <v>20</v>
      </c>
      <c r="B14" s="147">
        <v>23232</v>
      </c>
      <c r="C14" s="147">
        <v>5450</v>
      </c>
      <c r="D14" s="147">
        <f>+B14+C14</f>
        <v>28682</v>
      </c>
      <c r="E14" s="20">
        <f t="shared" si="1"/>
        <v>0.80998535666968829</v>
      </c>
      <c r="F14" s="20">
        <f t="shared" si="2"/>
        <v>0.19001464333031171</v>
      </c>
      <c r="G14"/>
      <c r="H14"/>
      <c r="I14"/>
      <c r="J14"/>
      <c r="K14"/>
      <c r="L14" s="14"/>
      <c r="O14" s="14"/>
    </row>
    <row r="15" spans="1:15" ht="25.5" hidden="1">
      <c r="A15" s="108" t="s">
        <v>54</v>
      </c>
      <c r="B15" s="194">
        <f>AVERAGE(B12:B14)</f>
        <v>23529.666666666668</v>
      </c>
      <c r="C15" s="194">
        <f>AVERAGE(C12:C14)</f>
        <v>5519.666666666667</v>
      </c>
      <c r="D15" s="194">
        <f>AVERAGE(D12:D14)</f>
        <v>29049.333333333332</v>
      </c>
      <c r="E15" s="195">
        <f>+AVERAGE(E12:E14)</f>
        <v>0.80998980787706454</v>
      </c>
      <c r="F15" s="195">
        <f>+AVERAGE(F12:F14)</f>
        <v>0.19001019212293549</v>
      </c>
      <c r="G15"/>
      <c r="H15"/>
      <c r="I15"/>
      <c r="J15"/>
      <c r="K15"/>
      <c r="L15" s="14"/>
      <c r="M15" s="65"/>
      <c r="O15" s="14"/>
    </row>
    <row r="16" spans="1:15" hidden="1">
      <c r="A16" s="47" t="s">
        <v>22</v>
      </c>
      <c r="B16" s="107"/>
      <c r="C16" s="107"/>
      <c r="D16" s="19">
        <f>+B16+C16</f>
        <v>0</v>
      </c>
      <c r="E16" s="20" t="e">
        <f>+B16/D16</f>
        <v>#DIV/0!</v>
      </c>
      <c r="F16" s="20" t="e">
        <f>+C16/D16</f>
        <v>#DIV/0!</v>
      </c>
      <c r="G16"/>
      <c r="H16"/>
      <c r="I16"/>
      <c r="J16"/>
      <c r="K16"/>
    </row>
    <row r="17" spans="1:11" hidden="1">
      <c r="A17" s="47" t="s">
        <v>23</v>
      </c>
      <c r="B17" s="107"/>
      <c r="C17" s="107"/>
      <c r="D17" s="19">
        <f t="shared" si="3"/>
        <v>0</v>
      </c>
      <c r="E17" s="20" t="e">
        <f>+B17/D17</f>
        <v>#DIV/0!</v>
      </c>
      <c r="F17" s="20" t="e">
        <f>+C17/D17</f>
        <v>#DIV/0!</v>
      </c>
      <c r="G17"/>
      <c r="H17"/>
      <c r="I17"/>
      <c r="J17"/>
      <c r="K17"/>
    </row>
    <row r="18" spans="1:11" hidden="1">
      <c r="A18" s="47" t="s">
        <v>24</v>
      </c>
      <c r="B18" s="107"/>
      <c r="C18" s="107"/>
      <c r="D18" s="19">
        <f t="shared" si="3"/>
        <v>0</v>
      </c>
      <c r="E18" s="20" t="e">
        <f>+B18/D18</f>
        <v>#DIV/0!</v>
      </c>
      <c r="F18" s="20" t="e">
        <f>+C18/D18</f>
        <v>#DIV/0!</v>
      </c>
      <c r="G18"/>
      <c r="H18"/>
      <c r="I18"/>
      <c r="J18"/>
      <c r="K18"/>
    </row>
    <row r="19" spans="1:11" ht="25.5" hidden="1">
      <c r="A19" s="108" t="s">
        <v>42</v>
      </c>
      <c r="B19" s="8" t="e">
        <f>AVERAGE(B16:B18)</f>
        <v>#DIV/0!</v>
      </c>
      <c r="C19" s="8" t="e">
        <f>AVERAGE(C16:C18)</f>
        <v>#DIV/0!</v>
      </c>
      <c r="D19" s="8">
        <f>AVERAGE(D16:D18)</f>
        <v>0</v>
      </c>
      <c r="E19" s="16" t="e">
        <f>+AVERAGE(E16:E18)</f>
        <v>#DIV/0!</v>
      </c>
      <c r="F19" s="16" t="e">
        <f>+AVERAGE(F16:F18)</f>
        <v>#DIV/0!</v>
      </c>
      <c r="G19"/>
      <c r="H19"/>
      <c r="I19"/>
      <c r="J19"/>
      <c r="K19"/>
    </row>
    <row r="20" spans="1:11" hidden="1">
      <c r="A20" s="47" t="s">
        <v>43</v>
      </c>
      <c r="B20" s="107"/>
      <c r="C20" s="107"/>
      <c r="D20" s="19">
        <f t="shared" si="3"/>
        <v>0</v>
      </c>
      <c r="E20" s="20" t="e">
        <f>+B20/D20</f>
        <v>#DIV/0!</v>
      </c>
      <c r="F20" s="20" t="e">
        <f>+C20/D20</f>
        <v>#DIV/0!</v>
      </c>
      <c r="G20"/>
      <c r="H20"/>
      <c r="I20"/>
      <c r="J20"/>
      <c r="K20"/>
    </row>
    <row r="21" spans="1:11" hidden="1">
      <c r="A21" s="47" t="s">
        <v>27</v>
      </c>
      <c r="B21" s="107"/>
      <c r="C21" s="107"/>
      <c r="D21" s="19">
        <f t="shared" si="3"/>
        <v>0</v>
      </c>
      <c r="E21" s="20" t="e">
        <f>+B21/D21</f>
        <v>#DIV/0!</v>
      </c>
      <c r="F21" s="20" t="e">
        <f>+C21/D21</f>
        <v>#DIV/0!</v>
      </c>
      <c r="G21"/>
      <c r="H21"/>
      <c r="I21"/>
      <c r="J21"/>
      <c r="K21"/>
    </row>
    <row r="22" spans="1:11" hidden="1">
      <c r="A22" s="47" t="s">
        <v>28</v>
      </c>
      <c r="B22" s="107"/>
      <c r="C22" s="107"/>
      <c r="D22" s="19">
        <f t="shared" si="3"/>
        <v>0</v>
      </c>
      <c r="E22" s="20" t="e">
        <f>+B22/D22</f>
        <v>#DIV/0!</v>
      </c>
      <c r="F22" s="20" t="e">
        <f>+C22/D22</f>
        <v>#DIV/0!</v>
      </c>
      <c r="G22"/>
      <c r="H22"/>
      <c r="I22"/>
      <c r="J22"/>
      <c r="K22"/>
    </row>
    <row r="23" spans="1:11" ht="25.5" hidden="1">
      <c r="A23" s="108" t="s">
        <v>44</v>
      </c>
      <c r="B23" s="8" t="e">
        <f>AVERAGE(B20:B22)</f>
        <v>#DIV/0!</v>
      </c>
      <c r="C23" s="8" t="e">
        <f>AVERAGE(C20:C22)</f>
        <v>#DIV/0!</v>
      </c>
      <c r="D23" s="8">
        <f>AVERAGE(D20:D22)</f>
        <v>0</v>
      </c>
      <c r="E23" s="16" t="e">
        <f>+AVERAGE(E20:E22)</f>
        <v>#DIV/0!</v>
      </c>
      <c r="F23" s="16" t="e">
        <f>+AVERAGE(F20:F22)</f>
        <v>#DIV/0!</v>
      </c>
      <c r="G23"/>
      <c r="H23"/>
      <c r="I23"/>
      <c r="J23"/>
      <c r="K23"/>
    </row>
    <row r="24" spans="1:11" hidden="1">
      <c r="A24" s="47" t="s">
        <v>16</v>
      </c>
      <c r="B24" s="107"/>
      <c r="C24" s="107"/>
      <c r="D24" s="19">
        <f t="shared" si="3"/>
        <v>0</v>
      </c>
      <c r="E24" s="20" t="e">
        <f>+B24/D24</f>
        <v>#DIV/0!</v>
      </c>
      <c r="F24" s="20" t="e">
        <f>+C24/D24</f>
        <v>#DIV/0!</v>
      </c>
      <c r="G24"/>
      <c r="H24"/>
      <c r="I24"/>
      <c r="J24"/>
      <c r="K24"/>
    </row>
    <row r="25" spans="1:11" hidden="1">
      <c r="A25" s="47" t="s">
        <v>15</v>
      </c>
      <c r="B25" s="107"/>
      <c r="C25" s="107"/>
      <c r="D25" s="19">
        <f t="shared" si="3"/>
        <v>0</v>
      </c>
      <c r="E25" s="20" t="e">
        <f>+B25/D25</f>
        <v>#DIV/0!</v>
      </c>
      <c r="F25" s="20" t="e">
        <f>+C25/D25</f>
        <v>#DIV/0!</v>
      </c>
      <c r="G25"/>
      <c r="H25"/>
      <c r="I25"/>
      <c r="J25"/>
      <c r="K25"/>
    </row>
    <row r="26" spans="1:11" hidden="1">
      <c r="A26" s="47" t="s">
        <v>13</v>
      </c>
      <c r="B26" s="107"/>
      <c r="C26" s="107"/>
      <c r="D26" s="19">
        <f t="shared" si="3"/>
        <v>0</v>
      </c>
      <c r="E26" s="20" t="e">
        <f>+B26/D26</f>
        <v>#DIV/0!</v>
      </c>
      <c r="F26" s="20" t="e">
        <f>+C26/D26</f>
        <v>#DIV/0!</v>
      </c>
      <c r="G26"/>
      <c r="H26"/>
      <c r="I26" s="64"/>
      <c r="J26" s="64"/>
      <c r="K26" s="64"/>
    </row>
    <row r="27" spans="1:11" ht="25.5" hidden="1">
      <c r="A27" s="108" t="s">
        <v>40</v>
      </c>
      <c r="B27" s="8" t="e">
        <f t="shared" ref="B27:D28" si="4">AVERAGE(B24:B26)</f>
        <v>#DIV/0!</v>
      </c>
      <c r="C27" s="8" t="e">
        <f t="shared" si="4"/>
        <v>#DIV/0!</v>
      </c>
      <c r="D27" s="8">
        <f t="shared" si="4"/>
        <v>0</v>
      </c>
      <c r="E27" s="16" t="e">
        <f>+AVERAGE(E24:E26)</f>
        <v>#DIV/0!</v>
      </c>
      <c r="F27" s="16" t="e">
        <f>+AVERAGE(F24:F26)</f>
        <v>#DIV/0!</v>
      </c>
      <c r="G27"/>
      <c r="H27"/>
      <c r="I27"/>
      <c r="J27"/>
      <c r="K27"/>
    </row>
    <row r="28" spans="1:11" hidden="1">
      <c r="A28" s="25" t="s">
        <v>30</v>
      </c>
      <c r="B28" s="10" t="e">
        <f t="shared" si="4"/>
        <v>#DIV/0!</v>
      </c>
      <c r="C28" s="10" t="e">
        <f t="shared" si="4"/>
        <v>#DIV/0!</v>
      </c>
      <c r="D28" s="17">
        <f t="shared" si="4"/>
        <v>0</v>
      </c>
      <c r="E28" s="10" t="e">
        <f>+AVERAGE(E25:E27)</f>
        <v>#DIV/0!</v>
      </c>
      <c r="F28" s="17" t="e">
        <f>+AVERAGE(F25:F27)</f>
        <v>#DIV/0!</v>
      </c>
      <c r="G28"/>
      <c r="H28"/>
      <c r="I28"/>
      <c r="J28" s="98">
        <v>24095</v>
      </c>
      <c r="K28"/>
    </row>
    <row r="29" spans="1:11">
      <c r="A29" s="168" t="s">
        <v>55</v>
      </c>
      <c r="B29"/>
      <c r="C29"/>
      <c r="D29"/>
      <c r="E29"/>
      <c r="F29"/>
      <c r="G29"/>
      <c r="H29"/>
      <c r="I29" s="18"/>
    </row>
    <row r="30" spans="1:11">
      <c r="A30" s="323"/>
      <c r="B30"/>
      <c r="C30"/>
      <c r="D30"/>
      <c r="E30"/>
      <c r="F30"/>
      <c r="G30"/>
      <c r="H30"/>
      <c r="J30" s="250"/>
    </row>
    <row r="31" spans="1:11">
      <c r="A31" s="323"/>
      <c r="B31"/>
      <c r="C31"/>
      <c r="D31"/>
      <c r="E31"/>
      <c r="F31"/>
      <c r="G31"/>
      <c r="H31"/>
      <c r="J31" s="250"/>
    </row>
    <row r="32" spans="1:11">
      <c r="A32"/>
      <c r="B32"/>
      <c r="C32"/>
      <c r="D32"/>
      <c r="E32"/>
      <c r="F32"/>
      <c r="G32"/>
      <c r="H32"/>
      <c r="J32" s="250"/>
    </row>
    <row r="33" spans="1:15">
      <c r="A33"/>
      <c r="B33"/>
      <c r="C33"/>
      <c r="D33"/>
      <c r="E33"/>
      <c r="F33"/>
      <c r="G33"/>
      <c r="H33"/>
      <c r="J33" s="251"/>
    </row>
    <row r="34" spans="1:15">
      <c r="A34"/>
      <c r="B34"/>
      <c r="C34"/>
      <c r="D34"/>
      <c r="E34"/>
      <c r="F34"/>
      <c r="G34"/>
      <c r="H34"/>
      <c r="I34"/>
      <c r="J34"/>
      <c r="K34"/>
      <c r="M34" s="252"/>
    </row>
    <row r="35" spans="1:15">
      <c r="A35"/>
      <c r="B35"/>
      <c r="C35"/>
      <c r="D35"/>
      <c r="E35"/>
      <c r="F35"/>
      <c r="G35"/>
      <c r="H35"/>
      <c r="I35"/>
      <c r="J35"/>
      <c r="K35"/>
    </row>
    <row r="36" spans="1:15">
      <c r="A36"/>
      <c r="B36"/>
      <c r="C36"/>
      <c r="D36"/>
      <c r="E36"/>
      <c r="F36"/>
      <c r="G36"/>
      <c r="H36"/>
      <c r="I36"/>
      <c r="J36"/>
      <c r="K36"/>
    </row>
    <row r="37" spans="1:15">
      <c r="A37"/>
      <c r="B37"/>
      <c r="C37"/>
      <c r="D37"/>
      <c r="E37"/>
      <c r="F37"/>
      <c r="G37"/>
      <c r="H37"/>
      <c r="I37"/>
      <c r="J37" s="47"/>
      <c r="K37" s="147"/>
    </row>
    <row r="38" spans="1:15">
      <c r="A38"/>
      <c r="B38"/>
      <c r="C38"/>
      <c r="D38"/>
      <c r="E38"/>
      <c r="F38"/>
      <c r="G38"/>
      <c r="H38"/>
      <c r="I38"/>
      <c r="J38" s="47"/>
      <c r="K38" s="147"/>
    </row>
    <row r="39" spans="1:15">
      <c r="A39"/>
      <c r="B39"/>
      <c r="C39"/>
      <c r="D39"/>
      <c r="E39"/>
      <c r="F39"/>
      <c r="G39"/>
      <c r="H39"/>
      <c r="I39"/>
      <c r="J39" s="47"/>
      <c r="K39" s="147"/>
      <c r="L39" s="147"/>
      <c r="M39" s="19"/>
      <c r="N39" s="20"/>
      <c r="O39" s="20"/>
    </row>
    <row r="40" spans="1:15">
      <c r="A40"/>
      <c r="B40"/>
      <c r="C40"/>
      <c r="D40"/>
      <c r="E40"/>
      <c r="F40"/>
      <c r="G40"/>
      <c r="H40"/>
      <c r="I40"/>
      <c r="J40"/>
      <c r="K40"/>
      <c r="L40" s="147"/>
      <c r="M40" s="19"/>
      <c r="N40" s="20"/>
      <c r="O40" s="20"/>
    </row>
    <row r="41" spans="1:15">
      <c r="A41"/>
      <c r="B41"/>
      <c r="C41"/>
      <c r="D41"/>
      <c r="E41"/>
      <c r="F41"/>
      <c r="G41"/>
      <c r="H41"/>
      <c r="I41"/>
      <c r="J41"/>
      <c r="K41"/>
      <c r="L41" s="147"/>
      <c r="M41" s="19"/>
      <c r="N41" s="20"/>
      <c r="O41" s="20"/>
    </row>
    <row r="42" spans="1:15">
      <c r="A42"/>
      <c r="B42"/>
      <c r="C42"/>
      <c r="D42"/>
      <c r="E42"/>
      <c r="F42"/>
      <c r="G42"/>
    </row>
    <row r="43" spans="1:15">
      <c r="A43"/>
      <c r="B43"/>
      <c r="C43"/>
      <c r="D43"/>
      <c r="E43"/>
      <c r="F43"/>
      <c r="G43"/>
    </row>
  </sheetData>
  <mergeCells count="6">
    <mergeCell ref="A6:F6"/>
    <mergeCell ref="A1:F1"/>
    <mergeCell ref="A2:F2"/>
    <mergeCell ref="A3:F3"/>
    <mergeCell ref="A5:F5"/>
    <mergeCell ref="A4:F4"/>
  </mergeCells>
  <pageMargins left="0.7" right="0.7" top="0.75" bottom="0.75" header="0.3" footer="0.3"/>
  <pageSetup paperSize="9" scale="59" orientation="portrait" r:id="rId1"/>
  <ignoredErrors>
    <ignoredError sqref="F15 D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K45"/>
  <sheetViews>
    <sheetView showGridLines="0" zoomScale="115" zoomScaleNormal="115" workbookViewId="0">
      <selection activeCell="K29" sqref="K29"/>
    </sheetView>
  </sheetViews>
  <sheetFormatPr defaultColWidth="11.42578125" defaultRowHeight="15"/>
  <cols>
    <col min="1" max="1" width="11.7109375" style="1" customWidth="1"/>
    <col min="2" max="2" width="16.5703125" style="1" customWidth="1"/>
    <col min="3" max="3" width="19.7109375" style="1" customWidth="1"/>
    <col min="4" max="4" width="20" style="1" customWidth="1"/>
    <col min="5" max="16384" width="11.42578125" style="1"/>
  </cols>
  <sheetData>
    <row r="1" spans="1:11">
      <c r="A1" s="564" t="s">
        <v>0</v>
      </c>
      <c r="B1" s="564"/>
      <c r="C1" s="564"/>
      <c r="D1" s="564"/>
      <c r="E1" s="21"/>
      <c r="F1" s="21"/>
    </row>
    <row r="2" spans="1:11">
      <c r="A2" s="564" t="s">
        <v>32</v>
      </c>
      <c r="B2" s="564"/>
      <c r="C2" s="564"/>
      <c r="D2" s="564"/>
      <c r="E2" s="22"/>
      <c r="F2" s="22"/>
    </row>
    <row r="3" spans="1:11">
      <c r="A3" s="564" t="s">
        <v>56</v>
      </c>
      <c r="B3" s="564"/>
      <c r="C3" s="564"/>
      <c r="D3" s="564"/>
      <c r="E3" s="22"/>
      <c r="F3" s="22"/>
    </row>
    <row r="4" spans="1:11">
      <c r="A4" s="564" t="s">
        <v>3</v>
      </c>
      <c r="B4" s="564"/>
      <c r="C4" s="564"/>
      <c r="D4" s="564"/>
      <c r="E4" s="21"/>
      <c r="F4" s="21"/>
    </row>
    <row r="5" spans="1:11">
      <c r="A5" s="564" t="s">
        <v>4</v>
      </c>
      <c r="B5" s="564"/>
      <c r="C5" s="564"/>
      <c r="D5" s="564"/>
      <c r="E5" s="22"/>
      <c r="F5" s="22"/>
    </row>
    <row r="6" spans="1:11">
      <c r="A6" s="563" t="s">
        <v>57</v>
      </c>
      <c r="B6" s="563"/>
      <c r="C6" s="563"/>
      <c r="D6" s="563"/>
      <c r="E6"/>
      <c r="F6"/>
      <c r="G6"/>
      <c r="H6"/>
      <c r="I6"/>
      <c r="J6"/>
      <c r="K6"/>
    </row>
    <row r="7" spans="1:11" ht="13.5" customHeight="1">
      <c r="A7" s="110"/>
      <c r="B7" s="512" t="s">
        <v>58</v>
      </c>
      <c r="C7" s="111" t="s">
        <v>59</v>
      </c>
      <c r="D7" s="111" t="s">
        <v>60</v>
      </c>
      <c r="E7"/>
      <c r="F7"/>
      <c r="J7"/>
      <c r="K7"/>
    </row>
    <row r="8" spans="1:11">
      <c r="A8" s="434" t="s">
        <v>13</v>
      </c>
      <c r="B8" s="511">
        <v>84135213</v>
      </c>
      <c r="C8" s="509">
        <v>18700575</v>
      </c>
      <c r="D8" s="510">
        <f>B8+C8</f>
        <v>102835788</v>
      </c>
      <c r="E8"/>
      <c r="F8"/>
    </row>
    <row r="9" spans="1:11">
      <c r="A9" s="433" t="s">
        <v>15</v>
      </c>
      <c r="B9" s="511">
        <v>85161762</v>
      </c>
      <c r="C9" s="509">
        <v>18694045</v>
      </c>
      <c r="D9" s="510">
        <f t="shared" ref="D9:D10" si="0">B9+C9</f>
        <v>103855807</v>
      </c>
      <c r="E9"/>
      <c r="F9"/>
      <c r="J9"/>
      <c r="K9"/>
    </row>
    <row r="10" spans="1:11">
      <c r="A10" s="433" t="s">
        <v>16</v>
      </c>
      <c r="B10" s="511">
        <v>85300653</v>
      </c>
      <c r="C10" s="509">
        <v>18815847</v>
      </c>
      <c r="D10" s="510">
        <f t="shared" si="0"/>
        <v>104116500</v>
      </c>
      <c r="E10"/>
      <c r="F10"/>
      <c r="G10"/>
      <c r="H10"/>
      <c r="I10"/>
      <c r="J10"/>
      <c r="K10"/>
    </row>
    <row r="11" spans="1:11">
      <c r="A11" s="460" t="s">
        <v>17</v>
      </c>
      <c r="B11" s="546">
        <f>SUM(B8:B10)</f>
        <v>254597628</v>
      </c>
      <c r="C11" s="546">
        <f>SUM(C8:C10)</f>
        <v>56210467</v>
      </c>
      <c r="D11" s="546">
        <f>+B11+C11</f>
        <v>310808095</v>
      </c>
      <c r="E11"/>
      <c r="F11"/>
      <c r="G11"/>
      <c r="H11"/>
      <c r="I11"/>
      <c r="J11"/>
      <c r="K11"/>
    </row>
    <row r="12" spans="1:11" hidden="1">
      <c r="A12" s="60" t="s">
        <v>18</v>
      </c>
      <c r="B12" s="165">
        <v>95864876.870000005</v>
      </c>
      <c r="C12" s="165">
        <v>13072483.210000001</v>
      </c>
      <c r="D12" s="41">
        <f t="shared" ref="D12:D14" si="1">+B12+C12</f>
        <v>108937360.08000001</v>
      </c>
      <c r="E12"/>
      <c r="F12" s="113"/>
      <c r="G12" s="113"/>
      <c r="H12"/>
      <c r="I12"/>
      <c r="J12"/>
      <c r="K12"/>
    </row>
    <row r="13" spans="1:11" hidden="1">
      <c r="A13" s="60" t="s">
        <v>19</v>
      </c>
      <c r="B13" s="165">
        <v>89437997.010000005</v>
      </c>
      <c r="C13" s="165">
        <v>12196090.5</v>
      </c>
      <c r="D13" s="41">
        <f t="shared" si="1"/>
        <v>101634087.51000001</v>
      </c>
      <c r="E13"/>
      <c r="F13"/>
      <c r="G13"/>
      <c r="H13"/>
      <c r="I13"/>
      <c r="J13"/>
      <c r="K13"/>
    </row>
    <row r="14" spans="1:11" hidden="1">
      <c r="A14" s="60" t="s">
        <v>20</v>
      </c>
      <c r="B14" s="165">
        <v>90726862.260000005</v>
      </c>
      <c r="C14" s="165">
        <v>12371844.85</v>
      </c>
      <c r="D14" s="41">
        <f t="shared" si="1"/>
        <v>103098707.11</v>
      </c>
      <c r="E14"/>
      <c r="F14"/>
      <c r="G14"/>
      <c r="H14"/>
      <c r="I14"/>
      <c r="J14"/>
      <c r="K14"/>
    </row>
    <row r="15" spans="1:11" ht="23.25" hidden="1" customHeight="1">
      <c r="A15" s="197" t="s">
        <v>21</v>
      </c>
      <c r="B15" s="170">
        <f>SUM(B12:B14)</f>
        <v>276029736.13999999</v>
      </c>
      <c r="C15" s="170">
        <f>SUM(C12:C14)</f>
        <v>37640418.560000002</v>
      </c>
      <c r="D15" s="170">
        <f>SUM(D12:D14)</f>
        <v>313670154.70000005</v>
      </c>
      <c r="E15"/>
      <c r="F15"/>
      <c r="G15"/>
      <c r="H15"/>
      <c r="I15"/>
      <c r="J15"/>
      <c r="K15"/>
    </row>
    <row r="16" spans="1:11" hidden="1">
      <c r="A16" s="172" t="s">
        <v>22</v>
      </c>
      <c r="B16" s="112"/>
      <c r="C16" s="112"/>
      <c r="D16" s="23">
        <f>+B16+C16</f>
        <v>0</v>
      </c>
      <c r="E16"/>
      <c r="F16" s="113"/>
      <c r="G16" s="113"/>
      <c r="H16"/>
      <c r="I16"/>
      <c r="J16"/>
      <c r="K16"/>
    </row>
    <row r="17" spans="1:11" hidden="1">
      <c r="A17" s="172" t="s">
        <v>23</v>
      </c>
      <c r="B17" s="112"/>
      <c r="C17" s="112"/>
      <c r="D17" s="23">
        <f>+B17+C17</f>
        <v>0</v>
      </c>
      <c r="E17"/>
      <c r="F17"/>
      <c r="G17"/>
      <c r="H17"/>
      <c r="I17"/>
      <c r="J17"/>
      <c r="K17"/>
    </row>
    <row r="18" spans="1:11" hidden="1">
      <c r="A18" s="172" t="s">
        <v>24</v>
      </c>
      <c r="B18" s="112"/>
      <c r="C18" s="112"/>
      <c r="D18" s="23">
        <f>+B18+C18</f>
        <v>0</v>
      </c>
      <c r="E18"/>
      <c r="F18"/>
      <c r="G18"/>
      <c r="H18"/>
      <c r="I18"/>
      <c r="J18"/>
      <c r="K18"/>
    </row>
    <row r="19" spans="1:11" hidden="1">
      <c r="A19" s="24" t="s">
        <v>25</v>
      </c>
      <c r="B19" s="8">
        <f>SUM(B16:B18)</f>
        <v>0</v>
      </c>
      <c r="C19" s="8">
        <f>SUM(C16:C18)</f>
        <v>0</v>
      </c>
      <c r="D19" s="8">
        <f>SUM(D16:D18)</f>
        <v>0</v>
      </c>
      <c r="E19"/>
      <c r="F19"/>
      <c r="G19"/>
      <c r="H19"/>
      <c r="I19"/>
      <c r="J19"/>
      <c r="K19"/>
    </row>
    <row r="20" spans="1:11" hidden="1">
      <c r="A20" s="172" t="s">
        <v>43</v>
      </c>
      <c r="B20" s="112"/>
      <c r="C20" s="112"/>
      <c r="D20" s="23">
        <f>+B20+C20</f>
        <v>0</v>
      </c>
      <c r="E20"/>
      <c r="F20" s="113"/>
      <c r="G20" s="113"/>
      <c r="H20"/>
      <c r="I20"/>
      <c r="J20"/>
      <c r="K20"/>
    </row>
    <row r="21" spans="1:11" hidden="1">
      <c r="A21" s="172" t="s">
        <v>27</v>
      </c>
      <c r="B21" s="112"/>
      <c r="C21" s="112"/>
      <c r="D21" s="23">
        <f>+B21+C21</f>
        <v>0</v>
      </c>
      <c r="E21"/>
      <c r="F21"/>
      <c r="G21"/>
      <c r="H21"/>
      <c r="I21"/>
      <c r="J21"/>
      <c r="K21"/>
    </row>
    <row r="22" spans="1:11" hidden="1">
      <c r="A22" s="172" t="s">
        <v>28</v>
      </c>
      <c r="B22" s="112"/>
      <c r="C22" s="112"/>
      <c r="D22" s="23">
        <f>+B22+C22</f>
        <v>0</v>
      </c>
      <c r="E22"/>
      <c r="F22"/>
      <c r="G22"/>
      <c r="H22"/>
      <c r="I22"/>
      <c r="J22"/>
      <c r="K22"/>
    </row>
    <row r="23" spans="1:11" hidden="1">
      <c r="A23" s="24" t="s">
        <v>29</v>
      </c>
      <c r="B23" s="8">
        <f>SUM(B20:B22)</f>
        <v>0</v>
      </c>
      <c r="C23" s="8">
        <f>SUM(C20:C22)</f>
        <v>0</v>
      </c>
      <c r="D23" s="8">
        <f>SUM(D20:D22)</f>
        <v>0</v>
      </c>
      <c r="E23"/>
      <c r="F23"/>
      <c r="G23"/>
      <c r="H23"/>
      <c r="I23"/>
      <c r="J23"/>
      <c r="K23"/>
    </row>
    <row r="24" spans="1:11" hidden="1">
      <c r="A24" s="172" t="s">
        <v>16</v>
      </c>
      <c r="B24" s="112"/>
      <c r="C24" s="112"/>
      <c r="D24" s="23">
        <f>+B24+C24</f>
        <v>0</v>
      </c>
      <c r="E24"/>
      <c r="F24" s="113"/>
      <c r="G24" s="113"/>
      <c r="H24"/>
      <c r="I24"/>
      <c r="J24"/>
      <c r="K24"/>
    </row>
    <row r="25" spans="1:11" hidden="1">
      <c r="A25" s="172" t="s">
        <v>15</v>
      </c>
      <c r="B25" s="112"/>
      <c r="C25" s="112"/>
      <c r="D25" s="23">
        <f>+B25+C25</f>
        <v>0</v>
      </c>
      <c r="E25"/>
      <c r="F25"/>
      <c r="G25"/>
      <c r="H25"/>
      <c r="I25"/>
      <c r="J25"/>
      <c r="K25"/>
    </row>
    <row r="26" spans="1:11" ht="15.75" hidden="1" customHeight="1">
      <c r="A26" s="172" t="s">
        <v>13</v>
      </c>
      <c r="B26" s="112"/>
      <c r="C26" s="112"/>
      <c r="D26" s="23">
        <f>+B26+C26</f>
        <v>0</v>
      </c>
      <c r="E26"/>
      <c r="F26"/>
      <c r="G26"/>
      <c r="H26"/>
      <c r="I26"/>
      <c r="J26"/>
      <c r="K26"/>
    </row>
    <row r="27" spans="1:11" ht="32.25" hidden="1" customHeight="1">
      <c r="A27" s="24" t="s">
        <v>17</v>
      </c>
      <c r="B27" s="8">
        <f>SUM(B24:B26)</f>
        <v>0</v>
      </c>
      <c r="C27" s="8">
        <f>SUM(C24:C26)</f>
        <v>0</v>
      </c>
      <c r="D27" s="8">
        <f>SUM(D24:D26)</f>
        <v>0</v>
      </c>
      <c r="E27"/>
      <c r="F27"/>
      <c r="G27"/>
      <c r="H27"/>
      <c r="I27"/>
      <c r="J27"/>
      <c r="K27"/>
    </row>
    <row r="28" spans="1:11" ht="17.25" hidden="1" customHeight="1">
      <c r="A28" s="343" t="s">
        <v>30</v>
      </c>
      <c r="B28" s="344">
        <f>+B15+B11</f>
        <v>530627364.13999999</v>
      </c>
      <c r="C28" s="344">
        <f>+C15+C11</f>
        <v>93850885.560000002</v>
      </c>
      <c r="D28" s="344">
        <f>+D15+D11</f>
        <v>624478249.70000005</v>
      </c>
      <c r="E28"/>
      <c r="F28"/>
      <c r="G28"/>
      <c r="H28"/>
      <c r="I28"/>
      <c r="J28"/>
      <c r="K28"/>
    </row>
    <row r="29" spans="1:11" ht="19.5" customHeight="1">
      <c r="A29" s="345" t="s">
        <v>61</v>
      </c>
      <c r="B29" s="346">
        <f>B11/D11</f>
        <v>0.81914735200188404</v>
      </c>
      <c r="C29" s="346">
        <f>C11/D11</f>
        <v>0.18085264799811601</v>
      </c>
      <c r="D29" s="345"/>
      <c r="E29"/>
      <c r="F29"/>
      <c r="G29"/>
      <c r="H29"/>
      <c r="I29"/>
      <c r="J29"/>
      <c r="K29"/>
    </row>
    <row r="30" spans="1:11">
      <c r="A30" s="168" t="s">
        <v>55</v>
      </c>
      <c r="B30" s="152"/>
      <c r="C30"/>
      <c r="D30"/>
      <c r="E30"/>
      <c r="F30"/>
      <c r="G30"/>
      <c r="H30"/>
      <c r="I30"/>
      <c r="J30"/>
      <c r="K30"/>
    </row>
    <row r="31" spans="1:11">
      <c r="A31" s="253"/>
      <c r="B31"/>
      <c r="C31"/>
      <c r="D31"/>
      <c r="E31"/>
      <c r="F31"/>
      <c r="G31"/>
      <c r="H31"/>
      <c r="I31"/>
      <c r="J31"/>
      <c r="K31"/>
    </row>
    <row r="32" spans="1:11">
      <c r="A32"/>
      <c r="B32"/>
      <c r="C32"/>
      <c r="D32"/>
      <c r="E32"/>
      <c r="F32"/>
      <c r="G32"/>
      <c r="H32"/>
      <c r="I32"/>
      <c r="J32"/>
      <c r="K32"/>
    </row>
    <row r="33" spans="1:11">
      <c r="A33"/>
      <c r="B33"/>
      <c r="C33"/>
      <c r="D33"/>
      <c r="E33"/>
      <c r="F33"/>
      <c r="G33"/>
      <c r="H33"/>
      <c r="I33"/>
      <c r="J33"/>
      <c r="K33"/>
    </row>
    <row r="34" spans="1:11">
      <c r="A34"/>
      <c r="B34"/>
      <c r="C34"/>
      <c r="D34"/>
      <c r="E34"/>
      <c r="F34"/>
      <c r="G34"/>
      <c r="H34"/>
      <c r="I34"/>
      <c r="J34"/>
      <c r="K34"/>
    </row>
    <row r="35" spans="1:11">
      <c r="A35"/>
      <c r="B35"/>
      <c r="C35"/>
      <c r="D35"/>
      <c r="E35"/>
      <c r="F35"/>
      <c r="G35"/>
      <c r="H35"/>
      <c r="I35"/>
      <c r="J35"/>
      <c r="K35"/>
    </row>
    <row r="36" spans="1:11">
      <c r="A36"/>
      <c r="B36"/>
      <c r="C36"/>
      <c r="D36"/>
      <c r="E36"/>
      <c r="F36"/>
      <c r="G36"/>
      <c r="H36"/>
      <c r="I36" s="218"/>
      <c r="J36"/>
      <c r="K36"/>
    </row>
    <row r="37" spans="1:11">
      <c r="A37"/>
      <c r="B37"/>
      <c r="C37"/>
      <c r="D37"/>
      <c r="E37"/>
      <c r="F37"/>
      <c r="G37" s="114"/>
      <c r="H37" s="114"/>
      <c r="I37" s="218"/>
      <c r="J37" s="114"/>
      <c r="K37" s="106"/>
    </row>
    <row r="38" spans="1:11">
      <c r="A38"/>
      <c r="B38"/>
      <c r="C38"/>
      <c r="D38"/>
      <c r="E38"/>
      <c r="F38"/>
      <c r="G38"/>
      <c r="H38"/>
      <c r="I38" s="218"/>
      <c r="J38"/>
      <c r="K38"/>
    </row>
    <row r="39" spans="1:11">
      <c r="A39"/>
      <c r="B39"/>
      <c r="C39"/>
      <c r="D39"/>
      <c r="E39"/>
      <c r="F39"/>
      <c r="G39"/>
      <c r="H39"/>
      <c r="I39" s="64"/>
      <c r="J39"/>
      <c r="K39"/>
    </row>
    <row r="40" spans="1:11">
      <c r="A40"/>
      <c r="B40"/>
      <c r="C40"/>
      <c r="D40"/>
      <c r="E40"/>
      <c r="F40"/>
      <c r="G40"/>
      <c r="H40"/>
      <c r="I40"/>
      <c r="J40"/>
      <c r="K40"/>
    </row>
    <row r="41" spans="1:11">
      <c r="A41"/>
      <c r="B41"/>
      <c r="C41"/>
      <c r="D41"/>
      <c r="E41"/>
      <c r="F41"/>
      <c r="G41"/>
      <c r="H41"/>
      <c r="I41"/>
      <c r="J41"/>
      <c r="K41"/>
    </row>
    <row r="42" spans="1:11">
      <c r="A42"/>
      <c r="B42"/>
      <c r="C42"/>
      <c r="D42"/>
      <c r="E42"/>
      <c r="F42"/>
      <c r="G42"/>
      <c r="H42"/>
      <c r="I42"/>
      <c r="J42"/>
      <c r="K42"/>
    </row>
    <row r="43" spans="1:11">
      <c r="A43"/>
      <c r="B43"/>
      <c r="C43"/>
      <c r="D43"/>
      <c r="E43"/>
      <c r="F43"/>
      <c r="G43"/>
      <c r="H43"/>
      <c r="I43"/>
      <c r="J43"/>
      <c r="K43"/>
    </row>
    <row r="44" spans="1:11">
      <c r="A44" s="47"/>
      <c r="B44" s="112"/>
      <c r="C44" s="112"/>
      <c r="D44" s="23"/>
    </row>
    <row r="45" spans="1:11">
      <c r="A45" s="47"/>
      <c r="B45" s="112"/>
      <c r="C45" s="112"/>
      <c r="D45" s="23"/>
    </row>
  </sheetData>
  <mergeCells count="6">
    <mergeCell ref="A6:D6"/>
    <mergeCell ref="A1:D1"/>
    <mergeCell ref="A2:D2"/>
    <mergeCell ref="A3:D3"/>
    <mergeCell ref="A5:D5"/>
    <mergeCell ref="A4:D4"/>
  </mergeCells>
  <pageMargins left="0.7" right="0.7" top="0.75" bottom="0.75" header="0.3" footer="0.3"/>
  <pageSetup paperSize="9" scale="64" orientation="portrait"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J59"/>
  <sheetViews>
    <sheetView showGridLines="0" zoomScale="115" zoomScaleNormal="115" zoomScaleSheetLayoutView="115" workbookViewId="0">
      <selection activeCell="G35" sqref="G35"/>
    </sheetView>
  </sheetViews>
  <sheetFormatPr defaultColWidth="11.42578125" defaultRowHeight="15"/>
  <cols>
    <col min="1" max="1" width="17.140625" style="1" customWidth="1"/>
    <col min="2" max="2" width="15.7109375" style="1" customWidth="1"/>
    <col min="3" max="3" width="21.140625" style="1" customWidth="1"/>
    <col min="4" max="4" width="16.7109375" style="1" customWidth="1"/>
    <col min="5" max="16384" width="11.42578125" style="1"/>
  </cols>
  <sheetData>
    <row r="1" spans="1:9">
      <c r="A1" s="564" t="s">
        <v>0</v>
      </c>
      <c r="B1" s="564"/>
      <c r="C1" s="564"/>
      <c r="D1" s="564"/>
    </row>
    <row r="2" spans="1:9">
      <c r="A2" s="564" t="s">
        <v>32</v>
      </c>
      <c r="B2" s="564"/>
      <c r="C2" s="564"/>
      <c r="D2" s="564"/>
    </row>
    <row r="3" spans="1:9">
      <c r="A3" s="564" t="s">
        <v>62</v>
      </c>
      <c r="B3" s="564"/>
      <c r="C3" s="564"/>
      <c r="D3" s="564"/>
    </row>
    <row r="4" spans="1:9">
      <c r="A4" s="564" t="s">
        <v>3</v>
      </c>
      <c r="B4" s="564"/>
      <c r="C4" s="564"/>
      <c r="D4" s="564"/>
    </row>
    <row r="5" spans="1:9">
      <c r="A5" s="564" t="s">
        <v>4</v>
      </c>
      <c r="B5" s="564"/>
      <c r="C5" s="564"/>
      <c r="D5" s="564"/>
    </row>
    <row r="6" spans="1:9">
      <c r="A6" s="563" t="s">
        <v>62</v>
      </c>
      <c r="B6" s="563"/>
      <c r="C6" s="563"/>
      <c r="D6" s="563"/>
      <c r="E6"/>
      <c r="F6"/>
      <c r="G6"/>
    </row>
    <row r="7" spans="1:9">
      <c r="A7" s="110"/>
      <c r="B7" s="111" t="s">
        <v>63</v>
      </c>
      <c r="C7" s="111" t="s">
        <v>64</v>
      </c>
      <c r="D7" s="111" t="s">
        <v>65</v>
      </c>
      <c r="E7"/>
      <c r="F7"/>
      <c r="G7"/>
    </row>
    <row r="8" spans="1:9">
      <c r="A8" s="517" t="s">
        <v>13</v>
      </c>
      <c r="B8" s="513">
        <v>20900</v>
      </c>
      <c r="C8" s="461">
        <f>+B8-B9</f>
        <v>-5270</v>
      </c>
      <c r="D8" s="462">
        <f>+C8/B9</f>
        <v>-0.20137562094000763</v>
      </c>
      <c r="E8"/>
      <c r="F8"/>
      <c r="G8"/>
    </row>
    <row r="9" spans="1:9">
      <c r="A9" s="518" t="s">
        <v>15</v>
      </c>
      <c r="B9" s="513">
        <v>26170</v>
      </c>
      <c r="C9" s="461">
        <f>+B9-B10</f>
        <v>-555</v>
      </c>
      <c r="D9" s="462">
        <f>+C9/B10</f>
        <v>-2.0767072029934518E-2</v>
      </c>
      <c r="E9"/>
      <c r="F9"/>
      <c r="G9"/>
    </row>
    <row r="10" spans="1:9">
      <c r="A10" s="518" t="s">
        <v>16</v>
      </c>
      <c r="B10" s="513">
        <v>26725</v>
      </c>
      <c r="C10" s="461">
        <f>+B10-B22</f>
        <v>602</v>
      </c>
      <c r="D10" s="462">
        <f>+C10/B12</f>
        <v>7.8006556697290501E-3</v>
      </c>
      <c r="E10"/>
      <c r="F10"/>
      <c r="G10"/>
    </row>
    <row r="11" spans="1:9" ht="15" customHeight="1">
      <c r="A11" s="197" t="s">
        <v>17</v>
      </c>
      <c r="B11" s="170">
        <f>+SUM(B8:B10)</f>
        <v>73795</v>
      </c>
      <c r="C11" s="170">
        <f>B11-B23</f>
        <v>-7221</v>
      </c>
      <c r="D11" s="357">
        <f>C11/B23</f>
        <v>-8.9130542115137754E-2</v>
      </c>
      <c r="E11"/>
      <c r="F11" s="204"/>
      <c r="G11"/>
    </row>
    <row r="12" spans="1:9" ht="15" hidden="1" customHeight="1">
      <c r="A12" s="162" t="s">
        <v>18</v>
      </c>
      <c r="B12" s="136">
        <v>77173</v>
      </c>
      <c r="C12" s="19"/>
      <c r="D12" s="219">
        <f>C12/B13</f>
        <v>0</v>
      </c>
      <c r="E12"/>
      <c r="F12"/>
      <c r="G12"/>
      <c r="I12" s="14"/>
    </row>
    <row r="13" spans="1:9" ht="15" hidden="1" customHeight="1">
      <c r="A13" s="162" t="s">
        <v>19</v>
      </c>
      <c r="B13" s="136">
        <v>82966</v>
      </c>
      <c r="C13" s="107"/>
      <c r="D13" s="20">
        <f>C13/B14</f>
        <v>0</v>
      </c>
      <c r="E13"/>
      <c r="F13"/>
      <c r="G13"/>
    </row>
    <row r="14" spans="1:9" hidden="1">
      <c r="A14" s="162" t="s">
        <v>20</v>
      </c>
      <c r="B14" s="136">
        <v>73214</v>
      </c>
      <c r="C14" s="107"/>
      <c r="D14" s="20">
        <f>C14/31800</f>
        <v>0</v>
      </c>
      <c r="E14"/>
      <c r="F14"/>
      <c r="G14"/>
    </row>
    <row r="15" spans="1:9" hidden="1">
      <c r="A15" s="24" t="s">
        <v>21</v>
      </c>
      <c r="B15" s="69">
        <f>SUM(B12:B14)</f>
        <v>233353</v>
      </c>
      <c r="C15" s="69">
        <f>+B15-95277</f>
        <v>138076</v>
      </c>
      <c r="D15" s="176">
        <f>C15/95277</f>
        <v>1.4492059993492659</v>
      </c>
      <c r="E15"/>
      <c r="F15" s="64"/>
      <c r="G15" s="113"/>
    </row>
    <row r="16" spans="1:9" hidden="1">
      <c r="A16" s="47" t="s">
        <v>22</v>
      </c>
      <c r="B16" s="101"/>
      <c r="C16" s="116"/>
      <c r="D16" s="176">
        <f t="shared" ref="D16:D28" si="0">C16/95277</f>
        <v>0</v>
      </c>
      <c r="E16"/>
      <c r="F16"/>
      <c r="G16"/>
    </row>
    <row r="17" spans="1:7" hidden="1">
      <c r="A17" s="47" t="s">
        <v>23</v>
      </c>
      <c r="B17" s="101"/>
      <c r="C17" s="116">
        <f>+B17-B16</f>
        <v>0</v>
      </c>
      <c r="D17" s="176">
        <f t="shared" si="0"/>
        <v>0</v>
      </c>
      <c r="E17"/>
      <c r="F17"/>
      <c r="G17"/>
    </row>
    <row r="18" spans="1:7" hidden="1">
      <c r="A18" s="47" t="s">
        <v>24</v>
      </c>
      <c r="B18" s="101"/>
      <c r="C18" s="116">
        <f>+B18-B17</f>
        <v>0</v>
      </c>
      <c r="D18" s="176">
        <f t="shared" si="0"/>
        <v>0</v>
      </c>
      <c r="E18"/>
      <c r="F18"/>
      <c r="G18"/>
    </row>
    <row r="19" spans="1:7" hidden="1">
      <c r="A19" s="24" t="s">
        <v>25</v>
      </c>
      <c r="B19" s="8">
        <f>SUM(B16:B18)</f>
        <v>0</v>
      </c>
      <c r="C19" s="63">
        <f>+B19-B15</f>
        <v>-233353</v>
      </c>
      <c r="D19" s="176">
        <f t="shared" si="0"/>
        <v>-2.4492059993492656</v>
      </c>
      <c r="E19"/>
      <c r="F19" s="64"/>
      <c r="G19"/>
    </row>
    <row r="20" spans="1:7" hidden="1">
      <c r="A20" s="47" t="s">
        <v>43</v>
      </c>
      <c r="B20" s="101">
        <v>27587</v>
      </c>
      <c r="C20" s="116">
        <f>+B20-B18</f>
        <v>27587</v>
      </c>
      <c r="D20" s="176">
        <f t="shared" si="0"/>
        <v>0.28954522077731248</v>
      </c>
      <c r="E20"/>
      <c r="F20"/>
      <c r="G20"/>
    </row>
    <row r="21" spans="1:7" hidden="1">
      <c r="A21" s="47" t="s">
        <v>27</v>
      </c>
      <c r="B21" s="101">
        <v>27306</v>
      </c>
      <c r="C21" s="116">
        <f>+B21-B20</f>
        <v>-281</v>
      </c>
      <c r="D21" s="176">
        <f t="shared" si="0"/>
        <v>-2.9492952129055281E-3</v>
      </c>
      <c r="E21"/>
      <c r="F21"/>
      <c r="G21"/>
    </row>
    <row r="22" spans="1:7" hidden="1">
      <c r="A22" s="47" t="s">
        <v>28</v>
      </c>
      <c r="B22" s="101">
        <v>26123</v>
      </c>
      <c r="C22" s="116">
        <f>+B22-B21</f>
        <v>-1183</v>
      </c>
      <c r="D22" s="176">
        <f t="shared" si="0"/>
        <v>-1.2416427889207259E-2</v>
      </c>
      <c r="E22"/>
      <c r="F22"/>
      <c r="G22"/>
    </row>
    <row r="23" spans="1:7" hidden="1">
      <c r="A23" s="24" t="s">
        <v>29</v>
      </c>
      <c r="B23" s="8">
        <f>SUM(B20:B22)</f>
        <v>81016</v>
      </c>
      <c r="C23" s="63">
        <f>+B23-B19</f>
        <v>81016</v>
      </c>
      <c r="D23" s="176">
        <f t="shared" si="0"/>
        <v>0.85032064401691909</v>
      </c>
      <c r="E23"/>
      <c r="F23" s="64"/>
      <c r="G23"/>
    </row>
    <row r="24" spans="1:7" hidden="1">
      <c r="A24" s="47" t="s">
        <v>16</v>
      </c>
      <c r="B24" s="101"/>
      <c r="C24" s="116">
        <f>+B24-B22</f>
        <v>-26123</v>
      </c>
      <c r="D24" s="176">
        <f t="shared" si="0"/>
        <v>-0.27417949767519967</v>
      </c>
      <c r="E24"/>
      <c r="F24"/>
      <c r="G24"/>
    </row>
    <row r="25" spans="1:7" hidden="1">
      <c r="A25" s="47" t="s">
        <v>15</v>
      </c>
      <c r="B25" s="101"/>
      <c r="C25" s="116">
        <f>+B25-B24</f>
        <v>0</v>
      </c>
      <c r="D25" s="176">
        <f t="shared" si="0"/>
        <v>0</v>
      </c>
      <c r="E25"/>
      <c r="F25"/>
      <c r="G25"/>
    </row>
    <row r="26" spans="1:7" hidden="1">
      <c r="A26" s="47" t="s">
        <v>13</v>
      </c>
      <c r="B26" s="101"/>
      <c r="C26" s="116">
        <f>+B26-B25</f>
        <v>0</v>
      </c>
      <c r="D26" s="176">
        <f t="shared" si="0"/>
        <v>0</v>
      </c>
      <c r="E26"/>
      <c r="F26"/>
      <c r="G26"/>
    </row>
    <row r="27" spans="1:7" hidden="1">
      <c r="A27" s="24" t="s">
        <v>17</v>
      </c>
      <c r="B27" s="8">
        <f>SUM(B24:B26)</f>
        <v>0</v>
      </c>
      <c r="C27" s="63">
        <f>+B27-B23</f>
        <v>-81016</v>
      </c>
      <c r="D27" s="176">
        <f t="shared" si="0"/>
        <v>-0.85032064401691909</v>
      </c>
      <c r="E27"/>
      <c r="F27" s="64"/>
      <c r="G27"/>
    </row>
    <row r="28" spans="1:7" ht="3" hidden="1" customHeight="1">
      <c r="A28" s="199" t="s">
        <v>30</v>
      </c>
      <c r="B28" s="200">
        <f>B15+B11</f>
        <v>307148</v>
      </c>
      <c r="C28" s="200">
        <f>+C15+C11</f>
        <v>130855</v>
      </c>
      <c r="D28" s="201">
        <f t="shared" si="0"/>
        <v>1.3734164593763447</v>
      </c>
      <c r="E28"/>
      <c r="F28"/>
      <c r="G28"/>
    </row>
    <row r="29" spans="1:7" ht="12" customHeight="1">
      <c r="A29" s="565" t="s">
        <v>66</v>
      </c>
      <c r="B29" s="565"/>
      <c r="C29" s="565"/>
      <c r="D29" s="565"/>
      <c r="E29"/>
      <c r="F29"/>
      <c r="G29"/>
    </row>
    <row r="30" spans="1:7" ht="13.5" customHeight="1">
      <c r="A30" s="253"/>
      <c r="B30"/>
      <c r="C30"/>
      <c r="D30"/>
      <c r="E30" s="106"/>
      <c r="F30" s="106"/>
      <c r="G30"/>
    </row>
    <row r="31" spans="1:7" ht="12.75" customHeight="1"/>
    <row r="32" spans="1:7">
      <c r="A32"/>
      <c r="B32"/>
      <c r="C32"/>
      <c r="D32"/>
    </row>
    <row r="33" spans="1:10">
      <c r="A33"/>
      <c r="B33"/>
      <c r="C33"/>
      <c r="D33"/>
      <c r="E33"/>
      <c r="F33"/>
      <c r="G33"/>
    </row>
    <row r="34" spans="1:10">
      <c r="A34"/>
      <c r="B34"/>
      <c r="C34"/>
      <c r="D34"/>
      <c r="E34"/>
      <c r="F34"/>
      <c r="G34"/>
      <c r="J34" s="28"/>
    </row>
    <row r="35" spans="1:10">
      <c r="A35"/>
      <c r="B35"/>
      <c r="C35"/>
      <c r="D35"/>
      <c r="E35"/>
      <c r="F35"/>
      <c r="G35"/>
    </row>
    <row r="36" spans="1:10">
      <c r="A36"/>
      <c r="B36"/>
      <c r="C36"/>
      <c r="D36"/>
      <c r="E36"/>
      <c r="F36"/>
      <c r="G36"/>
    </row>
    <row r="37" spans="1:10">
      <c r="A37"/>
      <c r="B37"/>
      <c r="C37"/>
      <c r="D37"/>
      <c r="E37"/>
      <c r="F37"/>
      <c r="G37"/>
    </row>
    <row r="38" spans="1:10">
      <c r="A38"/>
      <c r="B38"/>
      <c r="C38"/>
      <c r="D38"/>
      <c r="E38"/>
      <c r="F38"/>
      <c r="G38"/>
    </row>
    <row r="39" spans="1:10">
      <c r="A39"/>
      <c r="B39"/>
      <c r="C39"/>
      <c r="D39"/>
      <c r="E39"/>
      <c r="F39"/>
      <c r="G39"/>
    </row>
    <row r="40" spans="1:10">
      <c r="A40"/>
      <c r="B40"/>
      <c r="C40"/>
      <c r="D40"/>
      <c r="E40"/>
      <c r="F40"/>
      <c r="G40"/>
    </row>
    <row r="41" spans="1:10">
      <c r="A41"/>
      <c r="B41"/>
      <c r="C41"/>
      <c r="D41"/>
      <c r="E41"/>
      <c r="F41"/>
      <c r="G41"/>
    </row>
    <row r="42" spans="1:10">
      <c r="A42"/>
      <c r="B42"/>
      <c r="C42"/>
      <c r="D42"/>
      <c r="E42"/>
      <c r="F42"/>
      <c r="G42"/>
    </row>
    <row r="43" spans="1:10" ht="14.25" customHeight="1">
      <c r="A43"/>
      <c r="B43"/>
      <c r="C43"/>
      <c r="D43"/>
      <c r="E43"/>
      <c r="F43"/>
      <c r="G43"/>
    </row>
    <row r="44" spans="1:10" hidden="1">
      <c r="A44"/>
      <c r="B44"/>
      <c r="C44"/>
      <c r="D44"/>
      <c r="E44"/>
      <c r="F44"/>
      <c r="G44"/>
    </row>
    <row r="45" spans="1:10" hidden="1"/>
    <row r="46" spans="1:10" hidden="1">
      <c r="A46" s="47"/>
      <c r="B46" s="101"/>
      <c r="C46" s="107"/>
      <c r="D46" s="115"/>
    </row>
    <row r="47" spans="1:10" hidden="1">
      <c r="A47" s="47"/>
      <c r="B47" s="101"/>
      <c r="C47" s="107"/>
      <c r="D47" s="20"/>
    </row>
    <row r="48" spans="1:10" hidden="1"/>
    <row r="49" hidden="1"/>
    <row r="50" hidden="1"/>
    <row r="51" hidden="1"/>
    <row r="52" hidden="1"/>
    <row r="53" hidden="1"/>
    <row r="54" hidden="1"/>
    <row r="55" hidden="1"/>
    <row r="56" hidden="1"/>
    <row r="57" hidden="1"/>
    <row r="58" hidden="1"/>
    <row r="59" hidden="1"/>
  </sheetData>
  <mergeCells count="7">
    <mergeCell ref="A29:D29"/>
    <mergeCell ref="A6:D6"/>
    <mergeCell ref="A1:D1"/>
    <mergeCell ref="A2:D2"/>
    <mergeCell ref="A3:D3"/>
    <mergeCell ref="A4:D4"/>
    <mergeCell ref="A5:D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BB92-20AF-4709-B086-9F9D4FB0188E}">
  <sheetPr>
    <tabColor rgb="FFFFC000"/>
    <pageSetUpPr fitToPage="1"/>
  </sheetPr>
  <dimension ref="A1:I62"/>
  <sheetViews>
    <sheetView showGridLines="0" zoomScale="115" zoomScaleNormal="115" zoomScaleSheetLayoutView="130" workbookViewId="0">
      <selection activeCell="M45" sqref="M45"/>
    </sheetView>
  </sheetViews>
  <sheetFormatPr defaultColWidth="11.42578125" defaultRowHeight="15"/>
  <cols>
    <col min="1" max="1" width="15" style="1" customWidth="1"/>
    <col min="2" max="2" width="22" style="1" customWidth="1"/>
    <col min="3" max="3" width="20.42578125" style="1" customWidth="1"/>
    <col min="4" max="4" width="22.42578125" style="1" customWidth="1"/>
    <col min="5" max="16384" width="11.42578125" style="1"/>
  </cols>
  <sheetData>
    <row r="1" spans="1:9">
      <c r="A1" s="566" t="s">
        <v>0</v>
      </c>
      <c r="B1" s="566"/>
      <c r="C1" s="566"/>
      <c r="D1" s="566"/>
      <c r="E1" s="22"/>
      <c r="F1" s="22"/>
      <c r="G1" s="22"/>
    </row>
    <row r="2" spans="1:9">
      <c r="A2" s="564" t="s">
        <v>32</v>
      </c>
      <c r="B2" s="564"/>
      <c r="C2" s="564"/>
      <c r="D2" s="564"/>
      <c r="E2" s="22"/>
      <c r="F2" s="22"/>
      <c r="G2" s="22"/>
    </row>
    <row r="3" spans="1:9">
      <c r="A3" s="564" t="s">
        <v>67</v>
      </c>
      <c r="B3" s="564"/>
      <c r="C3" s="564"/>
      <c r="D3" s="564"/>
      <c r="E3" s="22"/>
      <c r="F3" s="22"/>
      <c r="G3" s="22"/>
    </row>
    <row r="4" spans="1:9">
      <c r="A4" s="566" t="s">
        <v>3</v>
      </c>
      <c r="B4" s="566"/>
      <c r="C4" s="566"/>
      <c r="D4" s="566"/>
      <c r="E4" s="21"/>
      <c r="F4" s="22"/>
      <c r="G4" s="22"/>
    </row>
    <row r="5" spans="1:9">
      <c r="A5" s="564" t="s">
        <v>4</v>
      </c>
      <c r="B5" s="564"/>
      <c r="C5" s="564"/>
      <c r="D5" s="564"/>
      <c r="E5" s="22"/>
      <c r="F5" s="22"/>
      <c r="G5" s="22"/>
    </row>
    <row r="6" spans="1:9" ht="15" customHeight="1">
      <c r="A6" s="563" t="s">
        <v>67</v>
      </c>
      <c r="B6" s="563"/>
      <c r="C6" s="563"/>
      <c r="D6" s="563"/>
      <c r="E6"/>
      <c r="F6"/>
    </row>
    <row r="7" spans="1:9" ht="25.5" customHeight="1">
      <c r="A7" s="110" t="s">
        <v>5</v>
      </c>
      <c r="B7" s="97" t="s">
        <v>68</v>
      </c>
      <c r="C7" s="97" t="s">
        <v>69</v>
      </c>
      <c r="D7" s="97" t="s">
        <v>70</v>
      </c>
      <c r="E7"/>
      <c r="F7"/>
    </row>
    <row r="8" spans="1:9" ht="12" customHeight="1">
      <c r="A8" s="110" t="s">
        <v>16</v>
      </c>
      <c r="B8" s="514">
        <v>427</v>
      </c>
      <c r="C8" s="514">
        <v>11</v>
      </c>
      <c r="D8" s="515">
        <v>478092885.54000002</v>
      </c>
      <c r="E8"/>
      <c r="F8"/>
    </row>
    <row r="9" spans="1:9" ht="12" customHeight="1">
      <c r="A9" s="110" t="s">
        <v>15</v>
      </c>
      <c r="B9" s="514">
        <v>218</v>
      </c>
      <c r="C9" s="514">
        <v>0</v>
      </c>
      <c r="D9" s="515">
        <v>266650468.63999999</v>
      </c>
      <c r="E9"/>
      <c r="F9"/>
      <c r="I9" s="28"/>
    </row>
    <row r="10" spans="1:9" ht="12" customHeight="1">
      <c r="A10" s="110" t="s">
        <v>13</v>
      </c>
      <c r="B10" s="514">
        <v>160</v>
      </c>
      <c r="C10" s="514">
        <v>6</v>
      </c>
      <c r="D10" s="515">
        <v>7102886.6200000001</v>
      </c>
      <c r="E10"/>
      <c r="F10"/>
    </row>
    <row r="11" spans="1:9" ht="21" customHeight="1">
      <c r="A11" s="197" t="s">
        <v>29</v>
      </c>
      <c r="B11" s="365">
        <f>SUM(B8:B10)</f>
        <v>805</v>
      </c>
      <c r="C11" s="193">
        <f>SUM(C8:C10)</f>
        <v>17</v>
      </c>
      <c r="D11" s="550">
        <f>SUM(D8:D10)</f>
        <v>751846240.80000007</v>
      </c>
      <c r="E11"/>
      <c r="F11"/>
    </row>
    <row r="12" spans="1:9" ht="0.75" hidden="1" customHeight="1">
      <c r="A12" s="162" t="s">
        <v>18</v>
      </c>
      <c r="B12" s="117">
        <v>162</v>
      </c>
      <c r="C12" s="117">
        <v>5</v>
      </c>
      <c r="D12" s="555">
        <v>124127103.37</v>
      </c>
      <c r="E12"/>
      <c r="F12"/>
    </row>
    <row r="13" spans="1:9" hidden="1">
      <c r="A13" s="162" t="s">
        <v>19</v>
      </c>
      <c r="B13" s="117">
        <v>1</v>
      </c>
      <c r="C13" s="117">
        <v>1</v>
      </c>
      <c r="D13" s="555">
        <v>4407042.8099999996</v>
      </c>
      <c r="E13"/>
      <c r="F13"/>
      <c r="G13" s="47"/>
    </row>
    <row r="14" spans="1:9" hidden="1">
      <c r="A14" s="162" t="s">
        <v>20</v>
      </c>
      <c r="B14" s="117">
        <v>210</v>
      </c>
      <c r="C14" s="117">
        <v>1</v>
      </c>
      <c r="D14" s="555">
        <v>174414722.21000001</v>
      </c>
      <c r="E14"/>
      <c r="F14"/>
      <c r="G14" s="47"/>
    </row>
    <row r="15" spans="1:9" ht="14.25" hidden="1" customHeight="1">
      <c r="A15" s="24" t="s">
        <v>21</v>
      </c>
      <c r="B15" s="8">
        <f>SUM(B12:B14)</f>
        <v>373</v>
      </c>
      <c r="C15" s="69">
        <f>SUM(C12:C14)</f>
        <v>7</v>
      </c>
      <c r="D15" s="551">
        <f>SUM(D12:D14)</f>
        <v>302948868.38999999</v>
      </c>
      <c r="E15"/>
      <c r="F15"/>
      <c r="G15" s="47"/>
    </row>
    <row r="16" spans="1:9" hidden="1">
      <c r="E16"/>
      <c r="F16"/>
    </row>
    <row r="17" spans="1:6" hidden="1">
      <c r="E17"/>
      <c r="F17"/>
    </row>
    <row r="18" spans="1:6" hidden="1">
      <c r="E18"/>
      <c r="F18"/>
    </row>
    <row r="19" spans="1:6" hidden="1">
      <c r="E19"/>
      <c r="F19"/>
    </row>
    <row r="20" spans="1:6" hidden="1">
      <c r="A20" s="47" t="s">
        <v>43</v>
      </c>
      <c r="B20" s="117"/>
      <c r="C20" s="117"/>
      <c r="D20" s="117"/>
      <c r="E20"/>
      <c r="F20"/>
    </row>
    <row r="21" spans="1:6" hidden="1">
      <c r="A21" s="47" t="s">
        <v>27</v>
      </c>
      <c r="B21" s="117"/>
      <c r="C21" s="117"/>
      <c r="D21" s="117"/>
      <c r="E21"/>
      <c r="F21"/>
    </row>
    <row r="22" spans="1:6" hidden="1">
      <c r="A22" s="47" t="s">
        <v>28</v>
      </c>
      <c r="B22" s="117"/>
      <c r="C22" s="117"/>
      <c r="D22" s="117"/>
      <c r="E22"/>
      <c r="F22"/>
    </row>
    <row r="23" spans="1:6" hidden="1">
      <c r="A23" s="24" t="s">
        <v>71</v>
      </c>
      <c r="B23" s="8">
        <f>SUM(B20:B22)</f>
        <v>0</v>
      </c>
      <c r="C23" s="8">
        <f>SUM(C20:C22)</f>
        <v>0</v>
      </c>
      <c r="D23" s="8"/>
      <c r="E23"/>
      <c r="F23"/>
    </row>
    <row r="24" spans="1:6" hidden="1">
      <c r="A24" s="47" t="s">
        <v>16</v>
      </c>
      <c r="B24" s="117"/>
      <c r="C24" s="117"/>
      <c r="D24" s="117"/>
      <c r="E24"/>
      <c r="F24"/>
    </row>
    <row r="25" spans="1:6" hidden="1">
      <c r="A25" s="47" t="s">
        <v>15</v>
      </c>
      <c r="B25" s="117"/>
      <c r="C25" s="117"/>
      <c r="D25" s="117"/>
      <c r="E25"/>
      <c r="F25"/>
    </row>
    <row r="26" spans="1:6" hidden="1">
      <c r="A26" s="47" t="s">
        <v>13</v>
      </c>
      <c r="B26" s="117"/>
      <c r="C26" s="117"/>
      <c r="D26" s="117"/>
      <c r="E26"/>
      <c r="F26"/>
    </row>
    <row r="27" spans="1:6" hidden="1">
      <c r="A27" s="24" t="s">
        <v>72</v>
      </c>
      <c r="B27" s="8">
        <f>SUM(B24:B26)</f>
        <v>0</v>
      </c>
      <c r="C27" s="8">
        <f>SUM(C24:C26)</f>
        <v>0</v>
      </c>
      <c r="D27" s="8"/>
      <c r="E27"/>
      <c r="F27"/>
    </row>
    <row r="28" spans="1:6" hidden="1">
      <c r="A28" s="552" t="s">
        <v>30</v>
      </c>
      <c r="B28" s="553">
        <f>+B15+B11</f>
        <v>1178</v>
      </c>
      <c r="C28" s="553">
        <f>+C15+C11</f>
        <v>24</v>
      </c>
      <c r="D28" s="554">
        <f>+D11+D15</f>
        <v>1054795109.1900001</v>
      </c>
      <c r="E28"/>
      <c r="F28"/>
    </row>
    <row r="29" spans="1:6" hidden="1">
      <c r="A29" s="168"/>
      <c r="B29" s="168"/>
      <c r="C29" s="168"/>
      <c r="D29" s="168"/>
      <c r="E29"/>
      <c r="F29"/>
    </row>
    <row r="30" spans="1:6" ht="12" customHeight="1">
      <c r="A30" s="168" t="s">
        <v>73</v>
      </c>
      <c r="B30"/>
      <c r="C30"/>
      <c r="D30"/>
      <c r="E30"/>
      <c r="F30"/>
    </row>
    <row r="31" spans="1:6">
      <c r="A31" s="253"/>
      <c r="B31"/>
      <c r="C31"/>
      <c r="D31"/>
      <c r="E31"/>
      <c r="F31"/>
    </row>
    <row r="32" spans="1:6">
      <c r="A32"/>
      <c r="B32"/>
      <c r="C32"/>
      <c r="D32"/>
      <c r="E32"/>
      <c r="F32"/>
    </row>
    <row r="33" spans="1:6">
      <c r="A33"/>
      <c r="B33"/>
      <c r="C33"/>
      <c r="D33"/>
      <c r="E33"/>
      <c r="F33"/>
    </row>
    <row r="34" spans="1:6">
      <c r="A34"/>
      <c r="B34"/>
      <c r="C34"/>
      <c r="D34"/>
      <c r="E34"/>
      <c r="F34"/>
    </row>
    <row r="35" spans="1:6">
      <c r="A35"/>
      <c r="B35"/>
      <c r="C35"/>
      <c r="D35"/>
      <c r="E35"/>
      <c r="F35"/>
    </row>
    <row r="36" spans="1:6">
      <c r="A36"/>
      <c r="B36"/>
      <c r="C36"/>
      <c r="D36"/>
      <c r="E36"/>
      <c r="F36"/>
    </row>
    <row r="37" spans="1:6">
      <c r="A37"/>
      <c r="B37"/>
      <c r="C37"/>
      <c r="D37"/>
      <c r="E37" s="47"/>
      <c r="F37" s="97"/>
    </row>
    <row r="38" spans="1:6">
      <c r="A38"/>
      <c r="B38"/>
      <c r="C38"/>
      <c r="D38"/>
      <c r="E38" s="47"/>
      <c r="F38" s="112"/>
    </row>
    <row r="39" spans="1:6">
      <c r="A39"/>
      <c r="B39"/>
      <c r="C39"/>
      <c r="D39"/>
      <c r="E39" s="47"/>
      <c r="F39" s="112"/>
    </row>
    <row r="40" spans="1:6">
      <c r="A40"/>
      <c r="B40"/>
      <c r="C40"/>
      <c r="D40"/>
      <c r="E40"/>
      <c r="F40" s="112"/>
    </row>
    <row r="41" spans="1:6">
      <c r="A41"/>
      <c r="B41"/>
      <c r="C41"/>
      <c r="D41"/>
      <c r="E41"/>
      <c r="F41"/>
    </row>
    <row r="42" spans="1:6">
      <c r="A42"/>
      <c r="B42"/>
      <c r="C42"/>
      <c r="D42"/>
      <c r="E42"/>
      <c r="F42"/>
    </row>
    <row r="43" spans="1:6">
      <c r="A43"/>
      <c r="B43"/>
      <c r="C43"/>
      <c r="D43"/>
      <c r="E43"/>
      <c r="F43"/>
    </row>
    <row r="44" spans="1:6">
      <c r="A44"/>
      <c r="B44"/>
      <c r="C44"/>
      <c r="D44"/>
      <c r="E44"/>
      <c r="F44"/>
    </row>
    <row r="45" spans="1:6" ht="45.75" customHeight="1"/>
    <row r="46" spans="1:6" ht="14.25" customHeight="1"/>
    <row r="47" spans="1:6" hidden="1">
      <c r="A47" s="47"/>
      <c r="B47" s="117"/>
      <c r="C47" s="117"/>
      <c r="D47" s="117"/>
    </row>
    <row r="48" spans="1:6" hidden="1">
      <c r="A48" s="47"/>
      <c r="B48" s="117"/>
      <c r="C48" s="117"/>
      <c r="D48" s="117"/>
    </row>
    <row r="49" hidden="1"/>
    <row r="50" hidden="1"/>
    <row r="51" hidden="1"/>
    <row r="52" hidden="1"/>
    <row r="53" hidden="1"/>
    <row r="54" hidden="1"/>
    <row r="55" hidden="1"/>
    <row r="56" hidden="1"/>
    <row r="57" hidden="1"/>
    <row r="58" hidden="1"/>
    <row r="59" hidden="1"/>
    <row r="60" hidden="1"/>
    <row r="61" hidden="1"/>
    <row r="62" hidden="1"/>
  </sheetData>
  <mergeCells count="6">
    <mergeCell ref="A6:D6"/>
    <mergeCell ref="A1:D1"/>
    <mergeCell ref="A2:D2"/>
    <mergeCell ref="A3:D3"/>
    <mergeCell ref="A4:D4"/>
    <mergeCell ref="A5:D5"/>
  </mergeCells>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C2:O95"/>
  <sheetViews>
    <sheetView showGridLines="0" zoomScale="130" zoomScaleNormal="130" workbookViewId="0">
      <selection activeCell="H33" sqref="H33"/>
    </sheetView>
  </sheetViews>
  <sheetFormatPr defaultColWidth="11.42578125" defaultRowHeight="15"/>
  <cols>
    <col min="1" max="2" width="0.28515625" style="1" customWidth="1"/>
    <col min="3" max="3" width="13" style="1" customWidth="1"/>
    <col min="4" max="4" width="19.42578125" style="1" customWidth="1"/>
    <col min="5" max="5" width="13.28515625" style="1" customWidth="1"/>
    <col min="6" max="7" width="16.7109375" style="1" customWidth="1"/>
    <col min="8" max="8" width="13.5703125" style="1" customWidth="1"/>
    <col min="9" max="9" width="15" style="1" customWidth="1"/>
    <col min="10" max="10" width="23.28515625" style="1" customWidth="1"/>
    <col min="11" max="11" width="18.140625" style="1" customWidth="1"/>
    <col min="12" max="12" width="16.28515625" style="1" customWidth="1"/>
    <col min="13" max="13" width="22.42578125" style="1" customWidth="1"/>
    <col min="14" max="18" width="16.28515625" style="1" customWidth="1"/>
    <col min="19" max="16384" width="11.42578125" style="1"/>
  </cols>
  <sheetData>
    <row r="2" spans="3:15">
      <c r="C2" s="562" t="s">
        <v>0</v>
      </c>
      <c r="D2" s="562"/>
      <c r="E2" s="562"/>
      <c r="F2" s="562"/>
      <c r="G2" s="562"/>
      <c r="H2" s="562"/>
      <c r="I2" s="562"/>
      <c r="J2" s="562"/>
    </row>
    <row r="3" spans="3:15">
      <c r="C3" s="562" t="s">
        <v>74</v>
      </c>
      <c r="D3" s="562"/>
      <c r="E3" s="562"/>
      <c r="F3" s="562"/>
      <c r="G3" s="562"/>
      <c r="H3" s="562"/>
      <c r="I3" s="562"/>
      <c r="J3" s="562"/>
    </row>
    <row r="4" spans="3:15">
      <c r="C4" s="562" t="s">
        <v>75</v>
      </c>
      <c r="D4" s="562"/>
      <c r="E4" s="562"/>
      <c r="F4" s="562"/>
      <c r="G4" s="562"/>
      <c r="H4" s="562"/>
      <c r="I4" s="562"/>
      <c r="J4" s="562"/>
    </row>
    <row r="5" spans="3:15">
      <c r="C5" s="562" t="s">
        <v>3</v>
      </c>
      <c r="D5" s="562"/>
      <c r="E5" s="562"/>
      <c r="F5" s="562"/>
      <c r="G5" s="562"/>
      <c r="H5" s="562"/>
      <c r="I5" s="562"/>
      <c r="J5" s="562"/>
    </row>
    <row r="6" spans="3:15">
      <c r="C6" s="562" t="s">
        <v>4</v>
      </c>
      <c r="D6" s="562"/>
      <c r="E6" s="562"/>
      <c r="F6" s="562"/>
      <c r="G6" s="562"/>
      <c r="H6" s="562"/>
      <c r="I6" s="562"/>
      <c r="J6" s="562"/>
      <c r="M6" s="29"/>
    </row>
    <row r="7" spans="3:15">
      <c r="C7" s="183"/>
      <c r="D7" s="570" t="s">
        <v>76</v>
      </c>
      <c r="E7" s="570"/>
      <c r="F7" s="570"/>
      <c r="G7" s="570" t="s">
        <v>77</v>
      </c>
      <c r="H7" s="570"/>
      <c r="I7" s="570"/>
      <c r="J7" s="570"/>
    </row>
    <row r="8" spans="3:15" ht="15" customHeight="1">
      <c r="C8" s="39" t="s">
        <v>5</v>
      </c>
      <c r="D8" s="563" t="s">
        <v>78</v>
      </c>
      <c r="E8" s="563" t="s">
        <v>79</v>
      </c>
      <c r="F8" s="563" t="s">
        <v>80</v>
      </c>
      <c r="G8" s="563" t="s">
        <v>81</v>
      </c>
      <c r="H8" s="563"/>
      <c r="I8" s="563" t="s">
        <v>8</v>
      </c>
      <c r="J8" s="563"/>
      <c r="K8" s="14"/>
    </row>
    <row r="9" spans="3:15" ht="24" customHeight="1">
      <c r="C9" s="39"/>
      <c r="D9" s="563"/>
      <c r="E9" s="563"/>
      <c r="F9" s="563"/>
      <c r="G9" s="563"/>
      <c r="H9" s="563"/>
      <c r="I9" s="563"/>
      <c r="J9" s="563"/>
      <c r="K9" s="14"/>
    </row>
    <row r="10" spans="3:15" ht="13.5" customHeight="1">
      <c r="C10" s="118"/>
      <c r="D10" s="97" t="s">
        <v>9</v>
      </c>
      <c r="E10" s="97" t="s">
        <v>9</v>
      </c>
      <c r="F10" s="97" t="s">
        <v>9</v>
      </c>
      <c r="G10" s="97" t="s">
        <v>10</v>
      </c>
      <c r="H10" s="97" t="s">
        <v>11</v>
      </c>
      <c r="I10" s="97" t="s">
        <v>10</v>
      </c>
      <c r="J10" s="97" t="s">
        <v>11</v>
      </c>
    </row>
    <row r="11" spans="3:15" hidden="1">
      <c r="C11" s="137" t="s">
        <v>12</v>
      </c>
      <c r="D11" s="165"/>
      <c r="E11" s="165"/>
      <c r="F11" s="135"/>
      <c r="G11" s="102"/>
      <c r="H11" s="175" t="e">
        <f>(G11/F11)</f>
        <v>#DIV/0!</v>
      </c>
      <c r="I11" s="339">
        <f>+F11-G11</f>
        <v>0</v>
      </c>
      <c r="J11" s="134" t="e">
        <f>(I11/F11)</f>
        <v>#DIV/0!</v>
      </c>
    </row>
    <row r="12" spans="3:15" ht="2.25" hidden="1" customHeight="1">
      <c r="C12" s="73" t="s">
        <v>18</v>
      </c>
      <c r="D12" s="112">
        <v>2990518195.5700002</v>
      </c>
      <c r="E12" s="112">
        <v>3889644.92</v>
      </c>
      <c r="F12" s="112">
        <v>3043479848.3199997</v>
      </c>
      <c r="G12" s="254">
        <v>2993540874.0500002</v>
      </c>
      <c r="H12" s="2">
        <f>(G12/F12)</f>
        <v>0.98359148844124411</v>
      </c>
      <c r="I12" s="339">
        <f>+F12-G12</f>
        <v>49938974.269999504</v>
      </c>
      <c r="J12" s="255">
        <f>(I12/F12)</f>
        <v>1.6408511558755945E-2</v>
      </c>
      <c r="K12" s="14"/>
    </row>
    <row r="13" spans="3:15" hidden="1">
      <c r="C13" s="73" t="s">
        <v>19</v>
      </c>
      <c r="D13" s="112">
        <v>2952232164</v>
      </c>
      <c r="E13" s="373">
        <v>374463.47000000003</v>
      </c>
      <c r="F13" s="112">
        <v>2991604052.5299993</v>
      </c>
      <c r="G13" s="102">
        <v>2942532044.6999998</v>
      </c>
      <c r="H13" s="2">
        <f>(G13/F13)</f>
        <v>0.98359675713485573</v>
      </c>
      <c r="I13" s="339">
        <f>+F13-G13</f>
        <v>49072007.829999447</v>
      </c>
      <c r="J13" s="255">
        <f>(I13/F13)</f>
        <v>1.6403242865144288E-2</v>
      </c>
      <c r="M13" s="14"/>
      <c r="O13" s="92"/>
    </row>
    <row r="14" spans="3:15" hidden="1">
      <c r="C14" s="73" t="s">
        <v>20</v>
      </c>
      <c r="D14" s="112">
        <v>2987602838.7799997</v>
      </c>
      <c r="E14" s="373">
        <v>0</v>
      </c>
      <c r="F14" s="112">
        <v>2987602838.7799997</v>
      </c>
      <c r="G14" s="256">
        <v>2948605413.7200003</v>
      </c>
      <c r="H14" s="2">
        <f>(G14/F14)</f>
        <v>0.98694691792570255</v>
      </c>
      <c r="I14" s="340">
        <f>+F14-G14</f>
        <v>38997425.059999466</v>
      </c>
      <c r="J14" s="255">
        <f>(I14/F14)</f>
        <v>1.3053082074297475E-2</v>
      </c>
    </row>
    <row r="15" spans="3:15" ht="48" hidden="1" customHeight="1">
      <c r="C15" s="24" t="s">
        <v>21</v>
      </c>
      <c r="D15" s="69">
        <f>SUM(D11:D14)</f>
        <v>8930353198.3499985</v>
      </c>
      <c r="E15" s="8">
        <f>SUM(E11:E14)</f>
        <v>4264108.3899999997</v>
      </c>
      <c r="F15" s="8">
        <f>SUM(F11:F14)</f>
        <v>9022686739.6299973</v>
      </c>
      <c r="G15" s="8">
        <f>SUM(G11:G14)</f>
        <v>8884678332.4700012</v>
      </c>
      <c r="H15" s="257">
        <f>+G15/F15</f>
        <v>0.98470428918319564</v>
      </c>
      <c r="I15" s="341">
        <f>(D15+E15)-G15</f>
        <v>49938974.269996643</v>
      </c>
      <c r="J15" s="177">
        <f>+I15/F15</f>
        <v>5.5348230201378509E-3</v>
      </c>
      <c r="K15" s="18"/>
    </row>
    <row r="16" spans="3:15">
      <c r="C16" s="433" t="s">
        <v>13</v>
      </c>
      <c r="D16" s="484">
        <v>4153302300.3699999</v>
      </c>
      <c r="E16" s="519">
        <v>2977280.47</v>
      </c>
      <c r="F16" s="484">
        <v>4257951143.79</v>
      </c>
      <c r="G16" s="484">
        <v>4236918009.75</v>
      </c>
      <c r="H16" s="547">
        <f t="shared" ref="H16:H20" si="0">(G16/F16)</f>
        <v>0.99506026881715737</v>
      </c>
      <c r="I16" s="484">
        <f>+F16-G16</f>
        <v>21033134.039999962</v>
      </c>
      <c r="J16" s="547">
        <f t="shared" ref="J16:J18" si="1">(I16/F16)</f>
        <v>4.9397311828426431E-3</v>
      </c>
      <c r="K16" s="242"/>
      <c r="L16" s="242"/>
      <c r="M16" s="242"/>
    </row>
    <row r="17" spans="3:15">
      <c r="C17" s="433" t="s">
        <v>15</v>
      </c>
      <c r="D17" s="479">
        <v>4022441556.25</v>
      </c>
      <c r="E17" s="519">
        <v>3854051.22</v>
      </c>
      <c r="F17" s="484">
        <v>4133610131.77</v>
      </c>
      <c r="G17" s="484">
        <v>4072236090.4899998</v>
      </c>
      <c r="H17" s="547">
        <f t="shared" si="0"/>
        <v>0.98515243592802981</v>
      </c>
      <c r="I17" s="484">
        <f>+F17-G17</f>
        <v>61374041.28000021</v>
      </c>
      <c r="J17" s="547">
        <f t="shared" si="1"/>
        <v>1.4847564071970189E-2</v>
      </c>
      <c r="K17" s="242"/>
    </row>
    <row r="18" spans="3:15">
      <c r="C18" s="434" t="s">
        <v>16</v>
      </c>
      <c r="D18" s="479">
        <v>4022441556.25</v>
      </c>
      <c r="E18" s="519">
        <v>8099059.6399999997</v>
      </c>
      <c r="F18" s="484">
        <v>4167930311.5999999</v>
      </c>
      <c r="G18" s="484">
        <v>4060615787.3000002</v>
      </c>
      <c r="H18" s="547">
        <f t="shared" si="0"/>
        <v>0.97425232278924467</v>
      </c>
      <c r="I18" s="484">
        <f>+F18-G18</f>
        <v>107314524.29999971</v>
      </c>
      <c r="J18" s="547">
        <f t="shared" si="1"/>
        <v>2.5747677210755337E-2</v>
      </c>
      <c r="K18" s="242"/>
      <c r="L18" s="437"/>
      <c r="M18" s="242"/>
    </row>
    <row r="19" spans="3:15">
      <c r="C19" s="433" t="s">
        <v>14</v>
      </c>
      <c r="D19" s="479">
        <v>3925100168.2399998</v>
      </c>
      <c r="E19" s="520">
        <v>0</v>
      </c>
      <c r="F19" s="484">
        <v>3986474209.52</v>
      </c>
      <c r="G19" s="484">
        <v>3884802646.5700002</v>
      </c>
      <c r="H19" s="547">
        <f t="shared" si="0"/>
        <v>0.97449586837732438</v>
      </c>
      <c r="I19" s="484">
        <f>+F19-G19</f>
        <v>101671562.94999981</v>
      </c>
      <c r="J19" s="547">
        <f>(I19/F19)</f>
        <v>2.5504131622675615E-2</v>
      </c>
      <c r="K19" s="242"/>
      <c r="L19" s="242"/>
      <c r="M19" s="556"/>
    </row>
    <row r="20" spans="3:15">
      <c r="C20" s="197" t="s">
        <v>17</v>
      </c>
      <c r="D20" s="516">
        <f>+D16+D18+D19+D17</f>
        <v>16123285581.110001</v>
      </c>
      <c r="E20" s="374">
        <f>+E16+E18+E19+E17</f>
        <v>14930391.33</v>
      </c>
      <c r="F20" s="374">
        <f t="shared" ref="F20:G20" si="2">+F16+F18+F19+F17</f>
        <v>16545965796.68</v>
      </c>
      <c r="G20" s="374">
        <f t="shared" si="2"/>
        <v>16254572534.110001</v>
      </c>
      <c r="H20" s="548">
        <f t="shared" si="0"/>
        <v>0.98238886347580456</v>
      </c>
      <c r="I20" s="516">
        <f>+I16</f>
        <v>21033134.039999962</v>
      </c>
      <c r="J20" s="549"/>
      <c r="K20" s="71"/>
      <c r="M20" s="71"/>
    </row>
    <row r="21" spans="3:15" hidden="1">
      <c r="C21" s="73" t="s">
        <v>26</v>
      </c>
      <c r="D21" s="101"/>
      <c r="E21" s="101"/>
      <c r="F21" s="101"/>
      <c r="G21" s="102"/>
      <c r="H21" s="2"/>
      <c r="I21" s="62"/>
      <c r="J21" s="4"/>
      <c r="M21" s="31"/>
    </row>
    <row r="22" spans="3:15" hidden="1">
      <c r="C22" s="73" t="s">
        <v>27</v>
      </c>
      <c r="D22" s="101"/>
      <c r="E22" s="101"/>
      <c r="F22" s="101"/>
      <c r="G22" s="102"/>
      <c r="H22" s="2"/>
      <c r="I22" s="62"/>
      <c r="J22" s="4"/>
      <c r="M22" s="31"/>
    </row>
    <row r="23" spans="3:15" hidden="1">
      <c r="C23" s="73" t="s">
        <v>28</v>
      </c>
      <c r="D23" s="101"/>
      <c r="E23" s="101"/>
      <c r="F23" s="101"/>
      <c r="G23" s="102"/>
      <c r="H23" s="2"/>
      <c r="I23" s="62"/>
      <c r="J23" s="4"/>
    </row>
    <row r="24" spans="3:15" hidden="1">
      <c r="C24" s="24" t="s">
        <v>29</v>
      </c>
      <c r="D24" s="8"/>
      <c r="E24" s="8"/>
      <c r="F24" s="8"/>
      <c r="G24" s="8"/>
      <c r="H24" s="3"/>
      <c r="I24" s="13"/>
      <c r="J24" s="5"/>
    </row>
    <row r="25" spans="3:15" hidden="1">
      <c r="C25" s="73" t="s">
        <v>16</v>
      </c>
      <c r="D25" s="101"/>
      <c r="E25" s="101"/>
      <c r="F25" s="101"/>
      <c r="G25" s="102"/>
      <c r="H25" s="2"/>
      <c r="I25" s="62"/>
      <c r="J25" s="4"/>
    </row>
    <row r="26" spans="3:15" hidden="1">
      <c r="C26" s="73" t="s">
        <v>15</v>
      </c>
      <c r="D26" s="101"/>
      <c r="E26" s="101"/>
      <c r="F26" s="101"/>
      <c r="G26" s="102"/>
      <c r="H26" s="2"/>
      <c r="I26" s="62"/>
      <c r="J26" s="4"/>
    </row>
    <row r="27" spans="3:15" hidden="1">
      <c r="C27" s="73" t="s">
        <v>13</v>
      </c>
      <c r="D27" s="101"/>
      <c r="E27" s="101"/>
      <c r="F27" s="101"/>
      <c r="G27" s="102"/>
      <c r="H27" s="2"/>
      <c r="I27" s="62"/>
      <c r="J27" s="4"/>
    </row>
    <row r="28" spans="3:15" hidden="1">
      <c r="C28" s="73" t="s">
        <v>12</v>
      </c>
      <c r="D28" s="101"/>
      <c r="E28" s="101"/>
      <c r="F28" s="101"/>
      <c r="G28" s="102"/>
      <c r="H28" s="2"/>
      <c r="I28" s="62"/>
      <c r="J28" s="4"/>
    </row>
    <row r="29" spans="3:15" hidden="1">
      <c r="C29" s="24" t="s">
        <v>17</v>
      </c>
      <c r="D29" s="8">
        <f>SUM(D25:D28)</f>
        <v>0</v>
      </c>
      <c r="E29" s="8"/>
      <c r="F29" s="8"/>
      <c r="G29" s="8">
        <f>SUM(G25:G28)</f>
        <v>0</v>
      </c>
      <c r="H29" s="3" t="e">
        <f>(G29/D29)</f>
        <v>#DIV/0!</v>
      </c>
      <c r="I29" s="13">
        <f>SUM(I25:I28)</f>
        <v>0</v>
      </c>
      <c r="J29" s="5" t="e">
        <f>(I29/D29)</f>
        <v>#DIV/0!</v>
      </c>
      <c r="O29" s="202"/>
    </row>
    <row r="30" spans="3:15" hidden="1">
      <c r="C30" s="104" t="s">
        <v>30</v>
      </c>
      <c r="D30" s="10">
        <f>+D15+D20+D24+D29</f>
        <v>25053638779.459999</v>
      </c>
      <c r="E30" s="10"/>
      <c r="F30" s="10"/>
      <c r="G30" s="10">
        <f>+G15+G20+G24+G29</f>
        <v>25139250866.580002</v>
      </c>
      <c r="H30" s="17">
        <f>(G30/D30)</f>
        <v>1.0034171518107058</v>
      </c>
      <c r="I30" s="11">
        <f>+I15+I20+I24+I29</f>
        <v>70972108.309996605</v>
      </c>
      <c r="J30" s="17">
        <v>1</v>
      </c>
    </row>
    <row r="31" spans="3:15" ht="15.75" customHeight="1">
      <c r="C31" s="568" t="s">
        <v>82</v>
      </c>
      <c r="D31" s="568"/>
      <c r="E31" s="568"/>
      <c r="F31" s="568"/>
      <c r="G31" s="568"/>
      <c r="H31" s="568"/>
      <c r="I31" s="568"/>
      <c r="J31" s="568"/>
      <c r="K31" s="28"/>
    </row>
    <row r="32" spans="3:15" ht="13.5" customHeight="1">
      <c r="C32" s="569" t="s">
        <v>83</v>
      </c>
      <c r="D32" s="569"/>
      <c r="E32" s="569"/>
      <c r="F32" s="569"/>
      <c r="G32" s="569"/>
      <c r="H32" s="569"/>
      <c r="I32" s="569"/>
      <c r="J32" s="569"/>
      <c r="K32" s="14"/>
      <c r="L32" s="92"/>
    </row>
    <row r="33" spans="3:14" ht="13.5" customHeight="1">
      <c r="C33" s="333" t="s">
        <v>84</v>
      </c>
      <c r="D33" s="333"/>
      <c r="E33" s="333"/>
      <c r="F33" s="333"/>
      <c r="G33" s="333"/>
      <c r="H33" s="333"/>
      <c r="I33" s="333"/>
      <c r="J33" s="333"/>
      <c r="K33" s="14"/>
      <c r="L33" s="92"/>
    </row>
    <row r="34" spans="3:14" ht="12.75" customHeight="1">
      <c r="C34" s="567" t="s">
        <v>85</v>
      </c>
      <c r="D34" s="567"/>
      <c r="E34" s="567"/>
      <c r="F34" s="567"/>
      <c r="G34" s="567"/>
      <c r="H34" s="567"/>
      <c r="I34" s="567"/>
      <c r="J34" s="567"/>
      <c r="L34" s="28"/>
      <c r="N34" s="14"/>
    </row>
    <row r="35" spans="3:14">
      <c r="D35" s="30"/>
      <c r="E35" s="30"/>
      <c r="F35" s="30"/>
      <c r="G35" s="30"/>
      <c r="H35" s="18"/>
      <c r="I35" s="30"/>
      <c r="J35" s="30"/>
      <c r="K35" s="14"/>
    </row>
    <row r="36" spans="3:14" ht="14.25" customHeight="1"/>
    <row r="37" spans="3:14" hidden="1"/>
    <row r="38" spans="3:14" hidden="1"/>
    <row r="39" spans="3:14" hidden="1"/>
    <row r="40" spans="3:14" hidden="1"/>
    <row r="41" spans="3:14" hidden="1"/>
    <row r="42" spans="3:14" hidden="1"/>
    <row r="43" spans="3:14" hidden="1"/>
    <row r="44" spans="3:14" hidden="1"/>
    <row r="45" spans="3:14" hidden="1"/>
    <row r="46" spans="3:14" hidden="1"/>
    <row r="47" spans="3:14" hidden="1"/>
    <row r="48" spans="3:14" hidden="1"/>
    <row r="49" spans="6:11" hidden="1"/>
    <row r="50" spans="6:11" hidden="1"/>
    <row r="51" spans="6:11" hidden="1"/>
    <row r="52" spans="6:11" hidden="1"/>
    <row r="53" spans="6:11" hidden="1"/>
    <row r="54" spans="6:11" hidden="1"/>
    <row r="55" spans="6:11" hidden="1"/>
    <row r="56" spans="6:11" hidden="1"/>
    <row r="57" spans="6:11" hidden="1">
      <c r="K57" s="4"/>
    </row>
    <row r="58" spans="6:11" hidden="1"/>
    <row r="59" spans="6:11" hidden="1">
      <c r="K59" s="4"/>
    </row>
    <row r="60" spans="6:11" hidden="1"/>
    <row r="62" spans="6:11">
      <c r="F62" s="31"/>
    </row>
    <row r="70" spans="3:10">
      <c r="C70" s="567"/>
      <c r="D70" s="567"/>
      <c r="E70" s="567"/>
      <c r="F70" s="567"/>
      <c r="G70" s="567"/>
      <c r="H70" s="567"/>
      <c r="I70" s="567"/>
      <c r="J70" s="567"/>
    </row>
    <row r="71" spans="3:10">
      <c r="C71" s="154"/>
      <c r="D71" s="152"/>
      <c r="E71"/>
      <c r="F71" s="64"/>
      <c r="G71"/>
      <c r="H71"/>
      <c r="I71"/>
      <c r="J71"/>
    </row>
    <row r="72" spans="3:10">
      <c r="C72"/>
      <c r="D72" s="125"/>
      <c r="E72"/>
      <c r="F72" s="125"/>
      <c r="G72"/>
      <c r="H72"/>
      <c r="I72"/>
      <c r="J72"/>
    </row>
    <row r="73" spans="3:10">
      <c r="C73"/>
      <c r="D73"/>
      <c r="E73"/>
      <c r="F73"/>
      <c r="G73"/>
      <c r="H73"/>
      <c r="I73"/>
      <c r="J73"/>
    </row>
    <row r="74" spans="3:10">
      <c r="C74"/>
      <c r="D74"/>
      <c r="E74"/>
      <c r="F74"/>
      <c r="G74"/>
      <c r="H74"/>
      <c r="I74"/>
      <c r="J74"/>
    </row>
    <row r="75" spans="3:10">
      <c r="C75"/>
      <c r="D75"/>
      <c r="E75"/>
      <c r="F75"/>
      <c r="G75"/>
      <c r="H75"/>
      <c r="I75"/>
      <c r="J75"/>
    </row>
    <row r="76" spans="3:10">
      <c r="C76"/>
      <c r="D76"/>
      <c r="E76"/>
      <c r="F76"/>
      <c r="G76"/>
      <c r="H76"/>
      <c r="I76"/>
      <c r="J76"/>
    </row>
    <row r="77" spans="3:10">
      <c r="C77"/>
      <c r="D77"/>
      <c r="E77"/>
      <c r="F77"/>
      <c r="G77"/>
      <c r="H77"/>
      <c r="I77"/>
      <c r="J77"/>
    </row>
    <row r="78" spans="3:10">
      <c r="C78"/>
      <c r="D78"/>
      <c r="E78"/>
      <c r="F78"/>
      <c r="G78"/>
      <c r="H78"/>
      <c r="I78"/>
      <c r="J78"/>
    </row>
    <row r="79" spans="3:10">
      <c r="C79"/>
      <c r="D79"/>
      <c r="E79"/>
      <c r="F79"/>
      <c r="G79"/>
      <c r="H79"/>
      <c r="I79"/>
      <c r="J79"/>
    </row>
    <row r="80" spans="3:10">
      <c r="C80"/>
      <c r="D80"/>
      <c r="E80"/>
      <c r="F80"/>
      <c r="G80"/>
      <c r="H80"/>
      <c r="I80"/>
      <c r="J80"/>
    </row>
    <row r="81" spans="3:10">
      <c r="C81"/>
      <c r="D81"/>
      <c r="E81"/>
      <c r="F81"/>
      <c r="G81"/>
      <c r="H81"/>
      <c r="I81"/>
      <c r="J81"/>
    </row>
    <row r="82" spans="3:10">
      <c r="C82"/>
      <c r="D82"/>
      <c r="E82"/>
      <c r="F82"/>
      <c r="G82"/>
      <c r="H82"/>
      <c r="I82"/>
      <c r="J82"/>
    </row>
    <row r="83" spans="3:10">
      <c r="C83"/>
      <c r="D83"/>
      <c r="E83"/>
      <c r="F83"/>
      <c r="G83"/>
      <c r="H83"/>
      <c r="I83"/>
      <c r="J83"/>
    </row>
    <row r="84" spans="3:10">
      <c r="C84"/>
      <c r="D84"/>
      <c r="E84"/>
      <c r="F84"/>
      <c r="G84"/>
      <c r="H84"/>
      <c r="I84"/>
      <c r="J84"/>
    </row>
    <row r="85" spans="3:10">
      <c r="C85"/>
      <c r="D85"/>
      <c r="E85"/>
      <c r="F85"/>
      <c r="G85"/>
      <c r="H85"/>
      <c r="I85"/>
      <c r="J85"/>
    </row>
    <row r="86" spans="3:10">
      <c r="C86"/>
      <c r="D86"/>
      <c r="E86"/>
      <c r="F86"/>
      <c r="G86"/>
      <c r="H86"/>
      <c r="I86"/>
      <c r="J86"/>
    </row>
    <row r="87" spans="3:10">
      <c r="C87"/>
      <c r="D87"/>
      <c r="E87"/>
      <c r="F87"/>
      <c r="G87"/>
      <c r="H87"/>
      <c r="I87"/>
      <c r="J87"/>
    </row>
    <row r="88" spans="3:10">
      <c r="C88"/>
      <c r="D88"/>
      <c r="E88"/>
      <c r="F88"/>
      <c r="G88"/>
      <c r="H88"/>
      <c r="I88"/>
      <c r="J88"/>
    </row>
    <row r="89" spans="3:10" ht="15" customHeight="1">
      <c r="C89"/>
      <c r="D89"/>
      <c r="E89"/>
      <c r="F89"/>
      <c r="G89"/>
      <c r="H89"/>
      <c r="I89"/>
      <c r="J89"/>
    </row>
    <row r="90" spans="3:10">
      <c r="C90"/>
      <c r="D90"/>
      <c r="E90"/>
      <c r="F90"/>
      <c r="G90"/>
      <c r="H90"/>
      <c r="I90"/>
      <c r="J90"/>
    </row>
    <row r="91" spans="3:10">
      <c r="C91"/>
      <c r="D91"/>
      <c r="E91"/>
      <c r="F91"/>
      <c r="G91"/>
      <c r="H91"/>
      <c r="I91"/>
      <c r="J91"/>
    </row>
    <row r="92" spans="3:10" ht="15" hidden="1" customHeight="1">
      <c r="C92"/>
      <c r="D92"/>
      <c r="E92"/>
      <c r="F92"/>
      <c r="G92"/>
      <c r="H92"/>
      <c r="I92"/>
      <c r="J92"/>
    </row>
    <row r="93" spans="3:10">
      <c r="D93" s="73"/>
      <c r="E93" s="101"/>
      <c r="F93" s="119"/>
      <c r="G93" s="101"/>
      <c r="H93" s="102"/>
      <c r="I93" s="2"/>
      <c r="J93" s="62"/>
    </row>
    <row r="95" spans="3:10">
      <c r="D95" s="73"/>
      <c r="E95" s="119"/>
      <c r="F95" s="101"/>
      <c r="G95" s="101"/>
      <c r="H95" s="102"/>
      <c r="I95" s="2"/>
      <c r="J95" s="94"/>
    </row>
  </sheetData>
  <mergeCells count="16">
    <mergeCell ref="C34:J34"/>
    <mergeCell ref="C70:J70"/>
    <mergeCell ref="C31:J31"/>
    <mergeCell ref="C32:J32"/>
    <mergeCell ref="C2:J2"/>
    <mergeCell ref="C3:J3"/>
    <mergeCell ref="C4:J4"/>
    <mergeCell ref="C6:J6"/>
    <mergeCell ref="G8:H9"/>
    <mergeCell ref="I8:J9"/>
    <mergeCell ref="D8:D9"/>
    <mergeCell ref="C5:J5"/>
    <mergeCell ref="E8:E9"/>
    <mergeCell ref="F8:F9"/>
    <mergeCell ref="D7:F7"/>
    <mergeCell ref="G7:J7"/>
  </mergeCells>
  <pageMargins left="0.7" right="0.7" top="0.75" bottom="0.75" header="0.3" footer="0.3"/>
  <pageSetup paperSize="9" scale="6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B2:AP104"/>
  <sheetViews>
    <sheetView showGridLines="0" tabSelected="1" zoomScale="130" zoomScaleNormal="130" zoomScaleSheetLayoutView="130" workbookViewId="0">
      <selection activeCell="C13" sqref="C13"/>
    </sheetView>
  </sheetViews>
  <sheetFormatPr defaultColWidth="11.42578125" defaultRowHeight="15"/>
  <cols>
    <col min="1" max="1" width="1.140625" style="1" customWidth="1"/>
    <col min="2" max="2" width="12.42578125" style="1" customWidth="1"/>
    <col min="3" max="3" width="10.85546875" style="1" customWidth="1"/>
    <col min="4" max="4" width="13.42578125" style="1" customWidth="1"/>
    <col min="5" max="5" width="18.42578125" style="1" customWidth="1"/>
    <col min="6" max="6" width="11.7109375" style="1" customWidth="1"/>
    <col min="7" max="7" width="9.42578125" style="1" customWidth="1"/>
    <col min="8" max="8" width="18.140625" style="1" customWidth="1"/>
    <col min="9" max="9" width="9.85546875" style="1" customWidth="1"/>
    <col min="10" max="10" width="8.85546875" style="1" bestFit="1" customWidth="1"/>
    <col min="11" max="11" width="15.85546875" style="1" bestFit="1" customWidth="1"/>
    <col min="12" max="12" width="10.28515625" style="1" customWidth="1"/>
    <col min="13" max="13" width="10.85546875" style="1" customWidth="1"/>
    <col min="14" max="14" width="19.42578125" style="1" customWidth="1"/>
    <col min="15" max="15" width="11" style="1" customWidth="1"/>
    <col min="16" max="16" width="15.42578125" style="1" hidden="1" customWidth="1"/>
    <col min="17" max="17" width="16.42578125" style="1" hidden="1" customWidth="1"/>
    <col min="18" max="18" width="14.7109375" style="1" hidden="1" customWidth="1"/>
    <col min="19" max="19" width="17.7109375" style="1" hidden="1" customWidth="1"/>
    <col min="20" max="20" width="16.7109375" style="1" hidden="1" customWidth="1"/>
    <col min="21" max="21" width="12.28515625" style="1" hidden="1" customWidth="1"/>
    <col min="22" max="22" width="17.7109375" style="1" hidden="1" customWidth="1"/>
    <col min="23" max="23" width="0" style="1" hidden="1" customWidth="1"/>
    <col min="24" max="26" width="11.42578125" style="1"/>
    <col min="27" max="27" width="17.28515625" style="1" customWidth="1"/>
    <col min="28" max="28" width="17.140625" style="1" bestFit="1" customWidth="1"/>
    <col min="29" max="29" width="11.42578125" style="1"/>
    <col min="30" max="30" width="20.42578125" style="1" customWidth="1"/>
    <col min="31" max="32" width="11.42578125" style="1"/>
    <col min="33" max="33" width="20.5703125" style="1" customWidth="1"/>
    <col min="34" max="34" width="11.42578125" style="1"/>
    <col min="35" max="35" width="29.5703125" style="1" customWidth="1"/>
    <col min="36" max="16384" width="11.42578125" style="1"/>
  </cols>
  <sheetData>
    <row r="2" spans="2:42">
      <c r="B2" s="562" t="s">
        <v>0</v>
      </c>
      <c r="C2" s="562"/>
      <c r="D2" s="562"/>
      <c r="E2" s="562"/>
      <c r="F2" s="562"/>
      <c r="G2" s="562"/>
      <c r="H2" s="562"/>
      <c r="I2" s="562"/>
      <c r="J2" s="562"/>
      <c r="K2" s="562"/>
      <c r="L2" s="562"/>
      <c r="M2" s="562"/>
      <c r="N2" s="562"/>
      <c r="O2" s="22"/>
    </row>
    <row r="3" spans="2:42">
      <c r="B3" s="562" t="s">
        <v>74</v>
      </c>
      <c r="C3" s="562"/>
      <c r="D3" s="562"/>
      <c r="E3" s="562"/>
      <c r="F3" s="562"/>
      <c r="G3" s="562"/>
      <c r="H3" s="562"/>
      <c r="I3" s="562"/>
      <c r="J3" s="562"/>
      <c r="K3" s="562"/>
      <c r="L3" s="562"/>
      <c r="M3" s="562"/>
      <c r="N3" s="562"/>
    </row>
    <row r="4" spans="2:42">
      <c r="B4" s="562" t="s">
        <v>86</v>
      </c>
      <c r="C4" s="562"/>
      <c r="D4" s="562"/>
      <c r="E4" s="562"/>
      <c r="F4" s="562"/>
      <c r="G4" s="562"/>
      <c r="H4" s="562"/>
      <c r="I4" s="562"/>
      <c r="J4" s="562"/>
      <c r="K4" s="562"/>
      <c r="L4" s="562"/>
      <c r="M4" s="562"/>
      <c r="N4" s="562"/>
    </row>
    <row r="5" spans="2:42">
      <c r="B5" s="562" t="s">
        <v>3</v>
      </c>
      <c r="C5" s="562"/>
      <c r="D5" s="562"/>
      <c r="E5" s="562"/>
      <c r="F5" s="562"/>
      <c r="G5" s="562"/>
      <c r="H5" s="562"/>
      <c r="I5" s="562"/>
      <c r="J5" s="562"/>
      <c r="K5" s="562"/>
      <c r="L5" s="562"/>
      <c r="M5" s="562"/>
      <c r="N5" s="562"/>
    </row>
    <row r="6" spans="2:42">
      <c r="B6" s="562" t="s">
        <v>4</v>
      </c>
      <c r="C6" s="562"/>
      <c r="D6" s="562"/>
      <c r="E6" s="562"/>
      <c r="F6" s="562"/>
      <c r="G6" s="562"/>
      <c r="H6" s="562"/>
      <c r="I6" s="562"/>
      <c r="J6" s="562"/>
      <c r="K6" s="562"/>
      <c r="L6" s="562"/>
      <c r="M6" s="562"/>
      <c r="N6" s="562"/>
    </row>
    <row r="7" spans="2:42">
      <c r="B7" s="74"/>
      <c r="C7" s="572" t="s">
        <v>87</v>
      </c>
      <c r="D7" s="572"/>
      <c r="E7" s="572"/>
      <c r="F7" s="575" t="s">
        <v>88</v>
      </c>
      <c r="G7" s="575"/>
      <c r="H7" s="575"/>
      <c r="I7" s="573" t="s">
        <v>89</v>
      </c>
      <c r="J7" s="573"/>
      <c r="K7" s="573"/>
      <c r="L7" s="574" t="s">
        <v>90</v>
      </c>
      <c r="M7" s="574"/>
      <c r="N7" s="574"/>
    </row>
    <row r="8" spans="2:42" ht="38.25">
      <c r="B8" s="39" t="s">
        <v>5</v>
      </c>
      <c r="C8" s="39" t="s">
        <v>91</v>
      </c>
      <c r="D8" s="39" t="s">
        <v>92</v>
      </c>
      <c r="E8" s="39" t="s">
        <v>9</v>
      </c>
      <c r="F8" s="39" t="s">
        <v>91</v>
      </c>
      <c r="G8" s="39" t="s">
        <v>92</v>
      </c>
      <c r="H8" s="39" t="s">
        <v>9</v>
      </c>
      <c r="I8" s="39" t="s">
        <v>91</v>
      </c>
      <c r="J8" s="39" t="s">
        <v>92</v>
      </c>
      <c r="K8" s="39" t="s">
        <v>9</v>
      </c>
      <c r="L8" s="39" t="s">
        <v>91</v>
      </c>
      <c r="M8" s="39" t="s">
        <v>92</v>
      </c>
      <c r="N8" s="39" t="s">
        <v>9</v>
      </c>
      <c r="X8"/>
      <c r="Y8"/>
      <c r="Z8" s="152"/>
      <c r="AA8"/>
      <c r="AB8"/>
      <c r="AC8"/>
      <c r="AD8"/>
      <c r="AE8"/>
      <c r="AF8"/>
      <c r="AG8"/>
      <c r="AH8"/>
      <c r="AI8"/>
      <c r="AJ8"/>
      <c r="AK8"/>
      <c r="AL8"/>
      <c r="AM8"/>
      <c r="AN8"/>
      <c r="AO8"/>
      <c r="AP8"/>
    </row>
    <row r="9" spans="2:42" s="138" customFormat="1" hidden="1">
      <c r="B9" s="375" t="s">
        <v>12</v>
      </c>
      <c r="C9" s="376"/>
      <c r="D9" s="376"/>
      <c r="E9" s="376"/>
      <c r="F9" s="377"/>
      <c r="G9" s="377"/>
      <c r="H9" s="377"/>
      <c r="I9" s="377"/>
      <c r="J9" s="377"/>
      <c r="K9" s="377"/>
      <c r="L9" s="378">
        <f>+I9+F9+C9</f>
        <v>0</v>
      </c>
      <c r="M9" s="378">
        <f>+D9+G9+J9</f>
        <v>0</v>
      </c>
      <c r="N9" s="378">
        <f>+E9+H9+K9</f>
        <v>0</v>
      </c>
      <c r="X9"/>
      <c r="Y9"/>
      <c r="Z9" s="152"/>
      <c r="AA9"/>
      <c r="AB9"/>
      <c r="AC9"/>
      <c r="AD9"/>
      <c r="AE9"/>
      <c r="AF9"/>
      <c r="AG9"/>
      <c r="AH9"/>
      <c r="AI9"/>
      <c r="AJ9"/>
      <c r="AK9"/>
      <c r="AL9"/>
      <c r="AM9"/>
      <c r="AN9"/>
      <c r="AO9"/>
      <c r="AP9"/>
    </row>
    <row r="10" spans="2:42" s="138" customFormat="1" ht="15.75" customHeight="1">
      <c r="B10" s="433" t="s">
        <v>13</v>
      </c>
      <c r="C10" s="471">
        <v>162031</v>
      </c>
      <c r="D10" s="471">
        <v>174879</v>
      </c>
      <c r="E10" s="467">
        <v>2905754728.2800002</v>
      </c>
      <c r="F10" s="471">
        <v>59116</v>
      </c>
      <c r="G10" s="471">
        <v>59116</v>
      </c>
      <c r="H10" s="467">
        <v>354696000</v>
      </c>
      <c r="I10" s="471">
        <v>26356</v>
      </c>
      <c r="J10" s="471">
        <v>26466</v>
      </c>
      <c r="K10" s="467">
        <v>828385207.74000001</v>
      </c>
      <c r="L10" s="476">
        <v>247503</v>
      </c>
      <c r="M10" s="476">
        <v>260461</v>
      </c>
      <c r="N10" s="477">
        <v>4088835936.02</v>
      </c>
      <c r="X10"/>
      <c r="Y10"/>
      <c r="Z10" s="494"/>
      <c r="AA10"/>
      <c r="AB10"/>
      <c r="AC10"/>
      <c r="AD10"/>
      <c r="AE10"/>
      <c r="AF10"/>
      <c r="AG10"/>
      <c r="AH10"/>
      <c r="AI10"/>
      <c r="AJ10"/>
      <c r="AK10"/>
      <c r="AL10"/>
      <c r="AM10"/>
      <c r="AN10"/>
      <c r="AO10"/>
      <c r="AP10"/>
    </row>
    <row r="11" spans="2:42" s="138" customFormat="1" ht="15.75" customHeight="1">
      <c r="B11" s="433" t="s">
        <v>14</v>
      </c>
      <c r="C11" s="472">
        <v>159715</v>
      </c>
      <c r="D11" s="472">
        <v>172366</v>
      </c>
      <c r="E11" s="473">
        <v>2761164272.5999999</v>
      </c>
      <c r="F11" s="472">
        <v>57017</v>
      </c>
      <c r="G11" s="472">
        <v>57017</v>
      </c>
      <c r="H11" s="473">
        <v>324162500</v>
      </c>
      <c r="I11" s="472">
        <v>26454</v>
      </c>
      <c r="J11" s="472">
        <v>26560</v>
      </c>
      <c r="K11" s="473">
        <v>799475873.97000003</v>
      </c>
      <c r="L11" s="476">
        <v>243186</v>
      </c>
      <c r="M11" s="476">
        <v>255943</v>
      </c>
      <c r="N11" s="477">
        <v>3884802646.5700002</v>
      </c>
      <c r="X11"/>
      <c r="Y11"/>
      <c r="Z11" s="494"/>
      <c r="AA11"/>
      <c r="AB11"/>
      <c r="AC11"/>
      <c r="AD11"/>
      <c r="AE11"/>
      <c r="AF11"/>
      <c r="AG11"/>
      <c r="AH11"/>
      <c r="AI11"/>
      <c r="AJ11"/>
      <c r="AK11"/>
      <c r="AL11"/>
      <c r="AM11"/>
      <c r="AN11"/>
      <c r="AO11"/>
      <c r="AP11"/>
    </row>
    <row r="12" spans="2:42" s="138" customFormat="1" ht="15.75" customHeight="1">
      <c r="B12" s="433" t="s">
        <v>15</v>
      </c>
      <c r="C12" s="472">
        <v>161419</v>
      </c>
      <c r="D12" s="471">
        <v>174284</v>
      </c>
      <c r="E12" s="467">
        <v>2896233306.6500001</v>
      </c>
      <c r="F12" s="471">
        <v>57774</v>
      </c>
      <c r="G12" s="471">
        <v>57774</v>
      </c>
      <c r="H12" s="467">
        <v>346644000</v>
      </c>
      <c r="I12" s="471">
        <v>26384</v>
      </c>
      <c r="J12" s="471">
        <v>26491</v>
      </c>
      <c r="K12" s="467">
        <v>829358783.84000003</v>
      </c>
      <c r="L12" s="476">
        <v>225577</v>
      </c>
      <c r="M12" s="476">
        <v>258549</v>
      </c>
      <c r="N12" s="477">
        <v>4072236090.4899998</v>
      </c>
      <c r="X12"/>
      <c r="Y12"/>
      <c r="Z12" s="152"/>
      <c r="AA12"/>
      <c r="AB12"/>
      <c r="AC12"/>
      <c r="AD12"/>
      <c r="AE12"/>
      <c r="AF12"/>
      <c r="AG12"/>
      <c r="AH12"/>
      <c r="AI12"/>
      <c r="AJ12"/>
      <c r="AK12"/>
      <c r="AL12"/>
      <c r="AM12"/>
      <c r="AN12"/>
      <c r="AO12"/>
      <c r="AP12"/>
    </row>
    <row r="13" spans="2:42" s="138" customFormat="1">
      <c r="B13" s="434" t="s">
        <v>16</v>
      </c>
      <c r="C13" s="472">
        <v>160447</v>
      </c>
      <c r="D13" s="470">
        <v>173317</v>
      </c>
      <c r="E13" s="468">
        <v>2865470977.04</v>
      </c>
      <c r="F13" s="470">
        <v>57406</v>
      </c>
      <c r="G13" s="470">
        <v>57406</v>
      </c>
      <c r="H13" s="468">
        <v>344436000</v>
      </c>
      <c r="I13" s="470">
        <v>26426</v>
      </c>
      <c r="J13" s="470">
        <v>26532</v>
      </c>
      <c r="K13" s="468">
        <v>829130532.80999994</v>
      </c>
      <c r="L13" s="474">
        <v>244279</v>
      </c>
      <c r="M13" s="474">
        <v>257255</v>
      </c>
      <c r="N13" s="475">
        <v>4039037509.8499999</v>
      </c>
      <c r="X13"/>
      <c r="Y13"/>
      <c r="Z13" s="152"/>
      <c r="AA13"/>
      <c r="AB13"/>
      <c r="AC13"/>
      <c r="AD13"/>
      <c r="AE13"/>
      <c r="AF13"/>
      <c r="AG13"/>
      <c r="AH13"/>
      <c r="AI13"/>
      <c r="AJ13"/>
      <c r="AK13"/>
      <c r="AL13"/>
      <c r="AM13"/>
      <c r="AN13"/>
      <c r="AO13"/>
      <c r="AP13"/>
    </row>
    <row r="14" spans="2:42" s="138" customFormat="1" ht="20.25" customHeight="1">
      <c r="B14" s="379" t="s">
        <v>17</v>
      </c>
      <c r="C14" s="381">
        <f>+C10</f>
        <v>162031</v>
      </c>
      <c r="D14" s="381">
        <f>+D10</f>
        <v>174879</v>
      </c>
      <c r="E14" s="380">
        <f>+SUM(E10:E13)</f>
        <v>11428623284.57</v>
      </c>
      <c r="F14" s="410">
        <f>F10</f>
        <v>59116</v>
      </c>
      <c r="G14" s="410">
        <f>+G10</f>
        <v>59116</v>
      </c>
      <c r="H14" s="380">
        <f>+SUM(H10:H13)</f>
        <v>1369938500</v>
      </c>
      <c r="I14" s="407">
        <f>+I10</f>
        <v>26356</v>
      </c>
      <c r="J14" s="408">
        <f>+J10</f>
        <v>26466</v>
      </c>
      <c r="K14" s="380">
        <f>SUM(K10:K13)</f>
        <v>3286350398.3600001</v>
      </c>
      <c r="L14" s="410">
        <f>C14+F14+I14</f>
        <v>247503</v>
      </c>
      <c r="M14" s="410">
        <f>SUM(D14,G14,J14)</f>
        <v>260461</v>
      </c>
      <c r="N14" s="380">
        <f>+SUM(E14,H14,K14)</f>
        <v>16084912182.93</v>
      </c>
      <c r="X14"/>
      <c r="Y14"/>
      <c r="Z14" s="494"/>
      <c r="AA14"/>
      <c r="AB14"/>
      <c r="AC14"/>
      <c r="AD14"/>
      <c r="AE14"/>
      <c r="AF14"/>
      <c r="AG14"/>
      <c r="AH14"/>
      <c r="AI14"/>
      <c r="AJ14"/>
      <c r="AK14"/>
      <c r="AL14"/>
      <c r="AM14"/>
      <c r="AN14"/>
      <c r="AO14"/>
      <c r="AP14"/>
    </row>
    <row r="15" spans="2:42" ht="0.75" hidden="1" customHeight="1">
      <c r="B15" s="129" t="s">
        <v>18</v>
      </c>
      <c r="C15" s="222">
        <v>131472</v>
      </c>
      <c r="D15" s="223">
        <v>143955</v>
      </c>
      <c r="E15" s="221">
        <v>2168518692.8400002</v>
      </c>
      <c r="F15" s="221">
        <v>28481</v>
      </c>
      <c r="G15" s="221">
        <v>28481</v>
      </c>
      <c r="H15" s="221">
        <v>170886000</v>
      </c>
      <c r="I15" s="221">
        <v>24038</v>
      </c>
      <c r="J15" s="221">
        <v>24120</v>
      </c>
      <c r="K15" s="224">
        <v>627907662.75</v>
      </c>
      <c r="L15" s="225">
        <f t="shared" ref="L15:N17" si="0">+C15+I15+F15</f>
        <v>183991</v>
      </c>
      <c r="M15" s="226">
        <f t="shared" si="0"/>
        <v>196556</v>
      </c>
      <c r="N15" s="225">
        <f t="shared" si="0"/>
        <v>2967312355.5900002</v>
      </c>
      <c r="V15" s="87">
        <f>+V35/1000000</f>
        <v>34884.253605049998</v>
      </c>
      <c r="X15"/>
      <c r="Y15"/>
      <c r="Z15"/>
      <c r="AA15"/>
      <c r="AB15"/>
      <c r="AC15"/>
      <c r="AD15"/>
      <c r="AE15"/>
      <c r="AF15"/>
      <c r="AG15"/>
      <c r="AH15"/>
      <c r="AI15"/>
      <c r="AJ15"/>
      <c r="AK15"/>
      <c r="AL15"/>
      <c r="AM15"/>
      <c r="AN15"/>
      <c r="AO15"/>
      <c r="AP15"/>
    </row>
    <row r="16" spans="2:42" ht="33.75" hidden="1" customHeight="1">
      <c r="B16" s="129" t="s">
        <v>19</v>
      </c>
      <c r="C16" s="222">
        <v>130586</v>
      </c>
      <c r="D16" s="227">
        <v>143067</v>
      </c>
      <c r="E16" s="223">
        <v>2139856652.8</v>
      </c>
      <c r="F16" s="223">
        <v>26212</v>
      </c>
      <c r="G16" s="223">
        <v>26212</v>
      </c>
      <c r="H16" s="223">
        <v>157272000</v>
      </c>
      <c r="I16" s="223">
        <v>24014</v>
      </c>
      <c r="J16" s="223">
        <v>24094</v>
      </c>
      <c r="K16" s="223">
        <v>626541522.04999995</v>
      </c>
      <c r="L16" s="225">
        <f t="shared" si="0"/>
        <v>180812</v>
      </c>
      <c r="M16" s="226">
        <f t="shared" si="0"/>
        <v>193373</v>
      </c>
      <c r="N16" s="225">
        <f t="shared" si="0"/>
        <v>2923670174.8499999</v>
      </c>
      <c r="R16" s="30">
        <f>+M17-M16</f>
        <v>-2408</v>
      </c>
      <c r="X16"/>
      <c r="Y16"/>
      <c r="Z16"/>
      <c r="AA16"/>
      <c r="AB16"/>
      <c r="AC16"/>
      <c r="AD16"/>
      <c r="AE16"/>
      <c r="AF16"/>
      <c r="AG16"/>
      <c r="AH16"/>
      <c r="AI16"/>
      <c r="AJ16"/>
      <c r="AK16"/>
      <c r="AL16"/>
      <c r="AM16"/>
      <c r="AN16"/>
      <c r="AO16"/>
      <c r="AP16"/>
    </row>
    <row r="17" spans="2:42" ht="42.75" hidden="1" customHeight="1">
      <c r="B17" s="129" t="s">
        <v>20</v>
      </c>
      <c r="C17" s="222">
        <v>129713</v>
      </c>
      <c r="D17" s="223">
        <v>142180</v>
      </c>
      <c r="E17" s="223">
        <v>2120108544.4200001</v>
      </c>
      <c r="F17" s="223">
        <v>24723</v>
      </c>
      <c r="G17" s="223">
        <v>24723</v>
      </c>
      <c r="H17" s="223">
        <v>148338000</v>
      </c>
      <c r="I17" s="223">
        <v>23983</v>
      </c>
      <c r="J17" s="223">
        <v>24062</v>
      </c>
      <c r="K17" s="223">
        <v>625129302.96000004</v>
      </c>
      <c r="L17" s="225">
        <f t="shared" si="0"/>
        <v>178419</v>
      </c>
      <c r="M17" s="226">
        <f t="shared" si="0"/>
        <v>190965</v>
      </c>
      <c r="N17" s="228">
        <f t="shared" si="0"/>
        <v>2893575847.3800001</v>
      </c>
      <c r="T17" s="28"/>
      <c r="W17" s="1">
        <f>+V35/1000000</f>
        <v>34884.253605049998</v>
      </c>
      <c r="X17"/>
      <c r="Y17"/>
      <c r="Z17"/>
      <c r="AA17"/>
      <c r="AB17"/>
      <c r="AC17"/>
      <c r="AD17"/>
      <c r="AE17"/>
      <c r="AF17"/>
      <c r="AG17"/>
      <c r="AH17"/>
      <c r="AI17"/>
      <c r="AJ17"/>
      <c r="AK17"/>
      <c r="AL17"/>
      <c r="AM17"/>
      <c r="AN17"/>
      <c r="AO17"/>
      <c r="AP17"/>
    </row>
    <row r="18" spans="2:42" ht="80.25" hidden="1" customHeight="1">
      <c r="B18" s="229" t="s">
        <v>21</v>
      </c>
      <c r="C18" s="230">
        <f>+C15</f>
        <v>131472</v>
      </c>
      <c r="D18" s="230">
        <f>+D15</f>
        <v>143955</v>
      </c>
      <c r="E18" s="230">
        <f>SUM(E9:E17)</f>
        <v>29285730459.199997</v>
      </c>
      <c r="F18" s="230">
        <f>+F15</f>
        <v>28481</v>
      </c>
      <c r="G18" s="230">
        <f>+G15</f>
        <v>28481</v>
      </c>
      <c r="H18" s="230">
        <f>SUM(H9:H17)</f>
        <v>3216373000</v>
      </c>
      <c r="I18" s="230">
        <f>+I15</f>
        <v>24038</v>
      </c>
      <c r="J18" s="230">
        <f>+J15</f>
        <v>24120</v>
      </c>
      <c r="K18" s="231">
        <f>SUM(K9:K17)</f>
        <v>8452279284.4800005</v>
      </c>
      <c r="L18" s="230">
        <f>+L15</f>
        <v>183991</v>
      </c>
      <c r="M18" s="230">
        <f>+M15</f>
        <v>196556</v>
      </c>
      <c r="N18" s="231">
        <f>SUM(N9:N17)</f>
        <v>40954382743.679993</v>
      </c>
      <c r="T18" s="571" t="s">
        <v>93</v>
      </c>
      <c r="U18" s="571"/>
      <c r="V18" s="571"/>
      <c r="X18"/>
      <c r="Y18"/>
      <c r="Z18"/>
      <c r="AA18"/>
      <c r="AB18"/>
      <c r="AC18"/>
      <c r="AD18"/>
      <c r="AE18"/>
      <c r="AF18"/>
      <c r="AG18"/>
      <c r="AH18"/>
      <c r="AI18"/>
      <c r="AJ18"/>
      <c r="AK18"/>
      <c r="AL18"/>
      <c r="AM18"/>
      <c r="AN18"/>
      <c r="AO18"/>
      <c r="AP18"/>
    </row>
    <row r="19" spans="2:42" ht="3" hidden="1" customHeight="1">
      <c r="B19" s="129" t="s">
        <v>22</v>
      </c>
      <c r="C19" s="232"/>
      <c r="D19" s="233"/>
      <c r="E19" s="233">
        <f>SUM(E9:E17)</f>
        <v>29285730459.199997</v>
      </c>
      <c r="F19" s="233"/>
      <c r="G19" s="233"/>
      <c r="H19" s="233">
        <f>SUM(H9:H17)</f>
        <v>3216373000</v>
      </c>
      <c r="I19" s="233"/>
      <c r="J19" s="233"/>
      <c r="K19" s="233">
        <f>SUM(K9:K17)</f>
        <v>8452279284.4800005</v>
      </c>
      <c r="L19" s="225">
        <f t="shared" ref="L19:N21" si="1">+C19+I19+F19</f>
        <v>0</v>
      </c>
      <c r="M19" s="226">
        <f t="shared" si="1"/>
        <v>0</v>
      </c>
      <c r="N19" s="225">
        <f t="shared" si="1"/>
        <v>40954382743.68</v>
      </c>
      <c r="X19"/>
      <c r="Y19"/>
      <c r="Z19"/>
      <c r="AA19"/>
      <c r="AB19"/>
      <c r="AC19"/>
      <c r="AD19"/>
      <c r="AE19"/>
      <c r="AF19"/>
      <c r="AG19"/>
      <c r="AH19"/>
      <c r="AI19"/>
      <c r="AJ19"/>
      <c r="AK19"/>
      <c r="AL19"/>
      <c r="AM19"/>
      <c r="AN19"/>
      <c r="AO19"/>
      <c r="AP19"/>
    </row>
    <row r="20" spans="2:42" ht="2.25" hidden="1" customHeight="1">
      <c r="B20" s="129" t="s">
        <v>23</v>
      </c>
      <c r="C20" s="232"/>
      <c r="D20" s="234"/>
      <c r="E20" s="233"/>
      <c r="F20" s="233"/>
      <c r="G20" s="233"/>
      <c r="H20" s="233"/>
      <c r="I20" s="233"/>
      <c r="J20" s="233"/>
      <c r="K20" s="233"/>
      <c r="L20" s="225">
        <f t="shared" si="1"/>
        <v>0</v>
      </c>
      <c r="M20" s="226">
        <f t="shared" si="1"/>
        <v>0</v>
      </c>
      <c r="N20" s="225">
        <f t="shared" si="1"/>
        <v>0</v>
      </c>
      <c r="X20"/>
      <c r="Y20"/>
      <c r="Z20"/>
      <c r="AA20"/>
      <c r="AB20"/>
      <c r="AC20"/>
      <c r="AD20"/>
      <c r="AE20"/>
      <c r="AF20"/>
      <c r="AG20"/>
      <c r="AH20"/>
      <c r="AI20"/>
      <c r="AJ20"/>
      <c r="AK20"/>
      <c r="AL20"/>
      <c r="AM20"/>
      <c r="AN20"/>
      <c r="AO20"/>
      <c r="AP20"/>
    </row>
    <row r="21" spans="2:42" ht="19.5" hidden="1" customHeight="1">
      <c r="B21" s="129" t="s">
        <v>24</v>
      </c>
      <c r="C21" s="232"/>
      <c r="D21" s="233"/>
      <c r="E21" s="233"/>
      <c r="F21" s="233"/>
      <c r="G21" s="233"/>
      <c r="H21" s="233"/>
      <c r="I21" s="233"/>
      <c r="J21" s="233"/>
      <c r="K21" s="233"/>
      <c r="L21" s="225">
        <f t="shared" si="1"/>
        <v>0</v>
      </c>
      <c r="M21" s="226">
        <f t="shared" si="1"/>
        <v>0</v>
      </c>
      <c r="N21" s="225">
        <f t="shared" si="1"/>
        <v>0</v>
      </c>
      <c r="R21" s="30">
        <f>+N17-N16</f>
        <v>-30094327.46999979</v>
      </c>
      <c r="T21" s="28"/>
      <c r="X21"/>
      <c r="Y21"/>
      <c r="Z21"/>
      <c r="AA21"/>
      <c r="AB21"/>
      <c r="AC21"/>
      <c r="AD21"/>
      <c r="AE21"/>
      <c r="AF21"/>
      <c r="AG21"/>
      <c r="AH21"/>
      <c r="AI21"/>
      <c r="AJ21"/>
      <c r="AK21"/>
      <c r="AL21"/>
      <c r="AM21"/>
      <c r="AN21"/>
      <c r="AO21"/>
      <c r="AP21"/>
    </row>
    <row r="22" spans="2:42" ht="19.5" hidden="1" customHeight="1">
      <c r="B22" s="229" t="s">
        <v>25</v>
      </c>
      <c r="C22" s="230">
        <f>+C21</f>
        <v>0</v>
      </c>
      <c r="D22" s="230">
        <f>+D21</f>
        <v>0</v>
      </c>
      <c r="E22" s="230">
        <f>+SUM(E19:E21)</f>
        <v>29285730459.199997</v>
      </c>
      <c r="F22" s="230">
        <f>+F21</f>
        <v>0</v>
      </c>
      <c r="G22" s="230">
        <f>+G21</f>
        <v>0</v>
      </c>
      <c r="H22" s="230">
        <f>+SUM(H19:H21)</f>
        <v>3216373000</v>
      </c>
      <c r="I22" s="230">
        <f>+I21</f>
        <v>0</v>
      </c>
      <c r="J22" s="230">
        <f>+J21</f>
        <v>0</v>
      </c>
      <c r="K22" s="230">
        <f>+SUM(K19:K21)</f>
        <v>8452279284.4800005</v>
      </c>
      <c r="L22" s="230">
        <f>+L21</f>
        <v>0</v>
      </c>
      <c r="M22" s="235">
        <f>+M21</f>
        <v>0</v>
      </c>
      <c r="N22" s="230">
        <f>+SUM(N19:N21)</f>
        <v>40954382743.68</v>
      </c>
      <c r="X22"/>
      <c r="Y22"/>
      <c r="Z22"/>
      <c r="AA22"/>
      <c r="AB22"/>
      <c r="AC22"/>
      <c r="AD22"/>
      <c r="AE22"/>
      <c r="AF22"/>
      <c r="AG22"/>
      <c r="AH22"/>
      <c r="AI22"/>
      <c r="AJ22"/>
      <c r="AK22"/>
      <c r="AL22"/>
      <c r="AM22"/>
      <c r="AN22"/>
      <c r="AO22"/>
      <c r="AP22"/>
    </row>
    <row r="23" spans="2:42" ht="19.5" hidden="1" customHeight="1">
      <c r="B23" s="129" t="s">
        <v>43</v>
      </c>
      <c r="C23" s="232"/>
      <c r="D23" s="233"/>
      <c r="E23" s="233"/>
      <c r="F23" s="233"/>
      <c r="G23" s="233"/>
      <c r="H23" s="233"/>
      <c r="I23" s="233"/>
      <c r="J23" s="233"/>
      <c r="K23" s="233"/>
      <c r="L23" s="225">
        <f t="shared" ref="L23:N25" si="2">+C23+I23+F23</f>
        <v>0</v>
      </c>
      <c r="M23" s="226">
        <f t="shared" si="2"/>
        <v>0</v>
      </c>
      <c r="N23" s="225">
        <f t="shared" si="2"/>
        <v>0</v>
      </c>
      <c r="X23"/>
      <c r="Y23"/>
      <c r="Z23"/>
      <c r="AA23"/>
      <c r="AB23"/>
      <c r="AC23"/>
      <c r="AD23"/>
      <c r="AE23"/>
      <c r="AF23"/>
      <c r="AG23"/>
      <c r="AH23"/>
      <c r="AI23"/>
      <c r="AJ23"/>
      <c r="AK23"/>
      <c r="AL23"/>
      <c r="AM23"/>
      <c r="AN23"/>
      <c r="AO23"/>
      <c r="AP23"/>
    </row>
    <row r="24" spans="2:42" ht="19.5" hidden="1" customHeight="1">
      <c r="B24" s="129" t="s">
        <v>27</v>
      </c>
      <c r="C24" s="232"/>
      <c r="D24" s="234"/>
      <c r="E24" s="233"/>
      <c r="F24" s="233"/>
      <c r="G24" s="233"/>
      <c r="H24" s="233"/>
      <c r="I24" s="233"/>
      <c r="J24" s="233"/>
      <c r="K24" s="233"/>
      <c r="L24" s="225">
        <f t="shared" si="2"/>
        <v>0</v>
      </c>
      <c r="M24" s="226">
        <f t="shared" si="2"/>
        <v>0</v>
      </c>
      <c r="N24" s="225">
        <f t="shared" si="2"/>
        <v>0</v>
      </c>
      <c r="X24"/>
      <c r="Y24"/>
      <c r="Z24"/>
      <c r="AA24"/>
      <c r="AB24"/>
      <c r="AC24"/>
      <c r="AD24"/>
      <c r="AE24"/>
      <c r="AF24"/>
      <c r="AG24"/>
      <c r="AH24"/>
      <c r="AI24"/>
      <c r="AJ24"/>
      <c r="AK24"/>
      <c r="AL24"/>
      <c r="AM24"/>
      <c r="AN24"/>
      <c r="AO24"/>
      <c r="AP24"/>
    </row>
    <row r="25" spans="2:42" ht="19.5" hidden="1" customHeight="1">
      <c r="B25" s="129" t="s">
        <v>28</v>
      </c>
      <c r="C25" s="232"/>
      <c r="D25" s="233"/>
      <c r="E25" s="233"/>
      <c r="F25" s="233"/>
      <c r="G25" s="233"/>
      <c r="H25" s="233"/>
      <c r="I25" s="233"/>
      <c r="J25" s="233"/>
      <c r="K25" s="233"/>
      <c r="L25" s="225">
        <f t="shared" si="2"/>
        <v>0</v>
      </c>
      <c r="M25" s="226">
        <f t="shared" si="2"/>
        <v>0</v>
      </c>
      <c r="N25" s="225">
        <f t="shared" si="2"/>
        <v>0</v>
      </c>
      <c r="T25" s="28"/>
      <c r="X25"/>
      <c r="Y25"/>
      <c r="Z25"/>
      <c r="AA25"/>
      <c r="AB25"/>
      <c r="AC25"/>
      <c r="AD25"/>
      <c r="AE25"/>
      <c r="AF25"/>
      <c r="AG25"/>
      <c r="AH25"/>
      <c r="AI25"/>
      <c r="AJ25"/>
      <c r="AK25"/>
      <c r="AL25"/>
      <c r="AM25"/>
      <c r="AN25"/>
      <c r="AO25"/>
      <c r="AP25"/>
    </row>
    <row r="26" spans="2:42" ht="12" hidden="1" customHeight="1">
      <c r="B26" s="229" t="s">
        <v>29</v>
      </c>
      <c r="C26" s="230">
        <f>+C25</f>
        <v>0</v>
      </c>
      <c r="D26" s="230">
        <f>+D25</f>
        <v>0</v>
      </c>
      <c r="E26" s="230">
        <f>+SUM(E23:E25)</f>
        <v>0</v>
      </c>
      <c r="F26" s="230">
        <f>+F25</f>
        <v>0</v>
      </c>
      <c r="G26" s="230">
        <f>+G25</f>
        <v>0</v>
      </c>
      <c r="H26" s="230">
        <f>+SUM(H23:H25)</f>
        <v>0</v>
      </c>
      <c r="I26" s="230">
        <f>+I25</f>
        <v>0</v>
      </c>
      <c r="J26" s="230">
        <f>+J25</f>
        <v>0</v>
      </c>
      <c r="K26" s="230">
        <f>+SUM(K23:K25)</f>
        <v>0</v>
      </c>
      <c r="L26" s="230">
        <f>+L25</f>
        <v>0</v>
      </c>
      <c r="M26" s="235">
        <f>+M25</f>
        <v>0</v>
      </c>
      <c r="N26" s="230">
        <f>+SUM(N23:N25)</f>
        <v>0</v>
      </c>
      <c r="X26"/>
      <c r="Y26"/>
      <c r="Z26"/>
      <c r="AA26"/>
      <c r="AB26"/>
      <c r="AC26"/>
      <c r="AD26"/>
      <c r="AE26"/>
      <c r="AF26"/>
      <c r="AG26"/>
      <c r="AH26"/>
      <c r="AI26"/>
      <c r="AJ26"/>
      <c r="AK26"/>
      <c r="AL26"/>
      <c r="AM26"/>
      <c r="AN26"/>
      <c r="AO26"/>
      <c r="AP26"/>
    </row>
    <row r="27" spans="2:42" ht="24" hidden="1" customHeight="1">
      <c r="B27" s="129" t="s">
        <v>16</v>
      </c>
      <c r="C27" s="232"/>
      <c r="D27" s="233"/>
      <c r="E27" s="233"/>
      <c r="F27" s="233"/>
      <c r="G27" s="233"/>
      <c r="H27" s="233"/>
      <c r="I27" s="233"/>
      <c r="J27" s="233"/>
      <c r="K27" s="233"/>
      <c r="L27" s="225">
        <f t="shared" ref="L27:N30" si="3">+C27+I27+F27</f>
        <v>0</v>
      </c>
      <c r="M27" s="226">
        <f t="shared" si="3"/>
        <v>0</v>
      </c>
      <c r="N27" s="225">
        <f t="shared" si="3"/>
        <v>0</v>
      </c>
      <c r="X27"/>
      <c r="Y27"/>
      <c r="Z27"/>
      <c r="AA27"/>
      <c r="AB27"/>
      <c r="AC27"/>
      <c r="AD27"/>
      <c r="AE27"/>
      <c r="AF27"/>
      <c r="AG27"/>
      <c r="AH27"/>
      <c r="AI27"/>
      <c r="AJ27"/>
      <c r="AK27"/>
      <c r="AL27"/>
      <c r="AM27"/>
      <c r="AN27"/>
      <c r="AO27"/>
      <c r="AP27"/>
    </row>
    <row r="28" spans="2:42" ht="45.75" hidden="1" customHeight="1">
      <c r="B28" s="129" t="s">
        <v>15</v>
      </c>
      <c r="C28" s="232"/>
      <c r="D28" s="234"/>
      <c r="E28" s="233"/>
      <c r="F28" s="233"/>
      <c r="G28" s="233"/>
      <c r="H28" s="233"/>
      <c r="I28" s="233"/>
      <c r="J28" s="233"/>
      <c r="K28" s="233"/>
      <c r="L28" s="225">
        <f t="shared" si="3"/>
        <v>0</v>
      </c>
      <c r="M28" s="226">
        <f t="shared" si="3"/>
        <v>0</v>
      </c>
      <c r="N28" s="225">
        <f t="shared" si="3"/>
        <v>0</v>
      </c>
      <c r="X28"/>
      <c r="Y28"/>
      <c r="Z28"/>
      <c r="AA28"/>
      <c r="AB28"/>
      <c r="AC28"/>
      <c r="AD28"/>
      <c r="AE28"/>
      <c r="AF28"/>
      <c r="AG28"/>
      <c r="AH28"/>
      <c r="AI28"/>
      <c r="AJ28"/>
      <c r="AK28"/>
      <c r="AL28"/>
      <c r="AM28"/>
      <c r="AN28"/>
      <c r="AO28"/>
      <c r="AP28"/>
    </row>
    <row r="29" spans="2:42" ht="0.75" hidden="1" customHeight="1">
      <c r="B29" s="129" t="s">
        <v>13</v>
      </c>
      <c r="C29" s="232"/>
      <c r="D29" s="233"/>
      <c r="E29" s="233"/>
      <c r="F29" s="233"/>
      <c r="G29" s="233"/>
      <c r="H29" s="233"/>
      <c r="I29" s="233"/>
      <c r="J29" s="233"/>
      <c r="K29" s="233"/>
      <c r="L29" s="225">
        <f t="shared" si="3"/>
        <v>0</v>
      </c>
      <c r="M29" s="226">
        <f t="shared" si="3"/>
        <v>0</v>
      </c>
      <c r="N29" s="225">
        <f t="shared" si="3"/>
        <v>0</v>
      </c>
      <c r="T29" s="28"/>
      <c r="X29"/>
      <c r="Y29"/>
      <c r="Z29"/>
      <c r="AA29"/>
      <c r="AB29"/>
      <c r="AC29"/>
      <c r="AD29"/>
      <c r="AE29"/>
      <c r="AF29"/>
      <c r="AG29"/>
      <c r="AH29"/>
      <c r="AI29"/>
      <c r="AJ29"/>
      <c r="AK29"/>
      <c r="AL29"/>
      <c r="AM29"/>
      <c r="AN29"/>
      <c r="AO29"/>
      <c r="AP29"/>
    </row>
    <row r="30" spans="2:42" ht="13.5" hidden="1" customHeight="1">
      <c r="B30" s="129" t="s">
        <v>12</v>
      </c>
      <c r="C30" s="232"/>
      <c r="D30" s="233"/>
      <c r="E30" s="233"/>
      <c r="F30" s="233"/>
      <c r="G30" s="233"/>
      <c r="H30" s="233"/>
      <c r="I30" s="233"/>
      <c r="J30" s="233"/>
      <c r="K30" s="233"/>
      <c r="L30" s="225">
        <f t="shared" si="3"/>
        <v>0</v>
      </c>
      <c r="M30" s="226">
        <f t="shared" si="3"/>
        <v>0</v>
      </c>
      <c r="N30" s="225">
        <f t="shared" si="3"/>
        <v>0</v>
      </c>
      <c r="X30"/>
      <c r="Y30"/>
      <c r="Z30"/>
      <c r="AA30"/>
      <c r="AB30"/>
      <c r="AC30"/>
      <c r="AD30"/>
      <c r="AE30"/>
      <c r="AF30"/>
      <c r="AG30"/>
      <c r="AH30"/>
      <c r="AI30"/>
      <c r="AJ30"/>
      <c r="AK30"/>
      <c r="AL30"/>
      <c r="AM30"/>
      <c r="AN30"/>
      <c r="AO30"/>
      <c r="AP30"/>
    </row>
    <row r="31" spans="2:42" ht="12" hidden="1" customHeight="1">
      <c r="B31" s="229" t="s">
        <v>17</v>
      </c>
      <c r="C31" s="230">
        <f>+C30</f>
        <v>0</v>
      </c>
      <c r="D31" s="230">
        <f>+D30</f>
        <v>0</v>
      </c>
      <c r="E31" s="230">
        <f>+SUM(E27:E30)</f>
        <v>0</v>
      </c>
      <c r="F31" s="230">
        <f>+F30</f>
        <v>0</v>
      </c>
      <c r="G31" s="230">
        <f>+G30</f>
        <v>0</v>
      </c>
      <c r="H31" s="230">
        <f>+SUM(H27:H30)</f>
        <v>0</v>
      </c>
      <c r="I31" s="230">
        <f>+I30</f>
        <v>0</v>
      </c>
      <c r="J31" s="230">
        <f>+J30</f>
        <v>0</v>
      </c>
      <c r="K31" s="230">
        <f>+SUM(K27:K30)</f>
        <v>0</v>
      </c>
      <c r="L31" s="230">
        <f>+L30</f>
        <v>0</v>
      </c>
      <c r="M31" s="235">
        <f>+M30</f>
        <v>0</v>
      </c>
      <c r="N31" s="230">
        <f>+SUM(N27:N30)</f>
        <v>0</v>
      </c>
      <c r="X31"/>
      <c r="Y31"/>
      <c r="Z31"/>
      <c r="AA31"/>
      <c r="AB31"/>
      <c r="AC31"/>
      <c r="AD31"/>
      <c r="AE31"/>
      <c r="AF31"/>
      <c r="AG31"/>
      <c r="AH31"/>
      <c r="AI31"/>
      <c r="AJ31"/>
      <c r="AK31"/>
      <c r="AL31"/>
      <c r="AM31"/>
      <c r="AN31"/>
      <c r="AO31"/>
      <c r="AP31"/>
    </row>
    <row r="32" spans="2:42" ht="9.75" hidden="1" customHeight="1">
      <c r="B32" s="236" t="s">
        <v>30</v>
      </c>
      <c r="C32" s="237">
        <f>+C31</f>
        <v>0</v>
      </c>
      <c r="D32" s="237">
        <f>+D31</f>
        <v>0</v>
      </c>
      <c r="E32" s="237">
        <f>+E18+E22+E26+E31</f>
        <v>58571460918.399994</v>
      </c>
      <c r="F32" s="237">
        <f>+F31</f>
        <v>0</v>
      </c>
      <c r="G32" s="237">
        <f>+G31</f>
        <v>0</v>
      </c>
      <c r="H32" s="237">
        <f>+H18+H22+H26+H31</f>
        <v>6432746000</v>
      </c>
      <c r="I32" s="237">
        <f>+I31</f>
        <v>0</v>
      </c>
      <c r="J32" s="237">
        <f>+J31</f>
        <v>0</v>
      </c>
      <c r="K32" s="237">
        <f>+K18+K22+K26+K31</f>
        <v>16904558568.960001</v>
      </c>
      <c r="L32" s="237">
        <f>+L31</f>
        <v>0</v>
      </c>
      <c r="M32" s="238">
        <f>+M31</f>
        <v>0</v>
      </c>
      <c r="N32" s="237">
        <f>+N18+N22+N26+N31</f>
        <v>81908765487.359985</v>
      </c>
      <c r="X32"/>
      <c r="Y32"/>
      <c r="Z32"/>
      <c r="AA32"/>
      <c r="AB32"/>
      <c r="AC32"/>
      <c r="AD32"/>
      <c r="AE32"/>
      <c r="AF32"/>
      <c r="AG32"/>
      <c r="AH32"/>
      <c r="AI32"/>
      <c r="AJ32"/>
      <c r="AK32"/>
      <c r="AL32"/>
      <c r="AM32"/>
      <c r="AN32"/>
      <c r="AO32"/>
      <c r="AP32"/>
    </row>
    <row r="33" spans="2:42" ht="6" hidden="1" customHeight="1">
      <c r="B33" s="106" t="s">
        <v>17</v>
      </c>
      <c r="C33" s="239"/>
      <c r="D33" s="239"/>
      <c r="E33" s="240">
        <f>+E18/N18</f>
        <v>0.71508172012968063</v>
      </c>
      <c r="F33" s="241"/>
      <c r="G33" s="241"/>
      <c r="H33" s="240">
        <f>+H18/N18</f>
        <v>7.853550180771178E-2</v>
      </c>
      <c r="I33" s="241"/>
      <c r="J33" s="241"/>
      <c r="K33" s="240">
        <f>+K18/N18</f>
        <v>0.20638277806260774</v>
      </c>
      <c r="L33" s="239"/>
      <c r="M33" s="239"/>
      <c r="N33" s="239"/>
      <c r="S33" s="30"/>
      <c r="X33"/>
      <c r="Y33"/>
      <c r="Z33"/>
      <c r="AA33"/>
      <c r="AB33"/>
      <c r="AC33"/>
      <c r="AD33"/>
      <c r="AE33"/>
      <c r="AF33"/>
      <c r="AG33"/>
      <c r="AH33"/>
      <c r="AI33"/>
      <c r="AJ33"/>
      <c r="AK33"/>
      <c r="AL33"/>
      <c r="AM33"/>
      <c r="AN33"/>
      <c r="AO33"/>
      <c r="AP33"/>
    </row>
    <row r="34" spans="2:42">
      <c r="B34" s="106" t="s">
        <v>94</v>
      </c>
      <c r="C34"/>
      <c r="D34"/>
      <c r="F34" s="204"/>
      <c r="G34" s="204"/>
      <c r="I34" s="204"/>
      <c r="J34" s="204"/>
      <c r="L34"/>
      <c r="M34"/>
      <c r="N34" s="203"/>
      <c r="R34" s="64"/>
      <c r="S34" s="31"/>
      <c r="T34" s="65">
        <v>145883</v>
      </c>
      <c r="U34" s="14">
        <v>158341</v>
      </c>
      <c r="V34" s="14">
        <v>6070129138.6299992</v>
      </c>
      <c r="X34"/>
      <c r="Y34"/>
      <c r="Z34" s="64"/>
      <c r="AA34" s="64"/>
      <c r="AB34" s="85"/>
      <c r="AC34"/>
      <c r="AD34"/>
      <c r="AE34"/>
      <c r="AF34"/>
      <c r="AG34"/>
      <c r="AH34"/>
      <c r="AI34"/>
      <c r="AJ34"/>
      <c r="AK34"/>
      <c r="AL34"/>
      <c r="AM34"/>
      <c r="AN34"/>
      <c r="AO34"/>
      <c r="AP34"/>
    </row>
    <row r="35" spans="2:42">
      <c r="B35"/>
      <c r="C35"/>
      <c r="D35"/>
      <c r="E35"/>
      <c r="F35"/>
      <c r="G35"/>
      <c r="H35"/>
      <c r="I35"/>
      <c r="J35"/>
      <c r="K35"/>
      <c r="L35"/>
      <c r="M35"/>
      <c r="N35" s="203"/>
      <c r="R35" s="70"/>
      <c r="S35" s="70"/>
      <c r="T35" s="30">
        <f>+L18-T34</f>
        <v>38108</v>
      </c>
      <c r="U35" s="30">
        <f>+M18-U34</f>
        <v>38215</v>
      </c>
      <c r="V35" s="30">
        <f>+N18-V34</f>
        <v>34884253605.049995</v>
      </c>
      <c r="X35"/>
      <c r="Y35"/>
      <c r="Z35" s="64"/>
      <c r="AA35" s="64"/>
      <c r="AB35" s="85"/>
      <c r="AC35"/>
      <c r="AD35"/>
      <c r="AE35"/>
      <c r="AF35"/>
      <c r="AG35"/>
      <c r="AH35"/>
      <c r="AI35"/>
      <c r="AJ35"/>
      <c r="AK35"/>
      <c r="AL35"/>
      <c r="AM35"/>
      <c r="AN35"/>
      <c r="AO35"/>
      <c r="AP35"/>
    </row>
    <row r="36" spans="2:42">
      <c r="B36"/>
      <c r="C36"/>
      <c r="D36"/>
      <c r="E36"/>
      <c r="F36"/>
      <c r="G36"/>
      <c r="H36"/>
      <c r="I36"/>
      <c r="J36"/>
      <c r="K36"/>
      <c r="L36"/>
      <c r="M36"/>
      <c r="N36"/>
      <c r="S36" s="31"/>
      <c r="X36"/>
      <c r="Y36"/>
      <c r="Z36" s="463"/>
      <c r="AA36" s="463"/>
      <c r="AB36" s="463"/>
      <c r="AC36"/>
      <c r="AD36"/>
      <c r="AE36"/>
      <c r="AF36"/>
      <c r="AG36"/>
      <c r="AH36"/>
      <c r="AI36"/>
      <c r="AJ36"/>
      <c r="AK36"/>
      <c r="AL36"/>
      <c r="AM36"/>
      <c r="AN36"/>
      <c r="AO36"/>
      <c r="AP36"/>
    </row>
    <row r="37" spans="2:42">
      <c r="B37"/>
      <c r="C37"/>
      <c r="D37"/>
      <c r="E37"/>
      <c r="F37"/>
      <c r="G37"/>
      <c r="H37"/>
      <c r="I37"/>
      <c r="J37"/>
      <c r="K37"/>
      <c r="L37"/>
      <c r="M37"/>
      <c r="N37"/>
      <c r="X37"/>
      <c r="Y37"/>
      <c r="Z37" s="84"/>
      <c r="AA37" s="84"/>
      <c r="AB37" s="84"/>
      <c r="AC37"/>
      <c r="AD37"/>
      <c r="AE37"/>
      <c r="AF37"/>
      <c r="AG37"/>
      <c r="AH37"/>
      <c r="AI37"/>
      <c r="AJ37"/>
      <c r="AK37"/>
      <c r="AL37"/>
      <c r="AM37"/>
      <c r="AN37"/>
      <c r="AO37"/>
      <c r="AP37"/>
    </row>
    <row r="38" spans="2:42">
      <c r="B38"/>
      <c r="C38"/>
      <c r="D38"/>
      <c r="E38"/>
      <c r="F38"/>
      <c r="G38"/>
      <c r="H38"/>
      <c r="I38"/>
      <c r="J38"/>
      <c r="K38"/>
      <c r="L38"/>
      <c r="M38"/>
      <c r="N38"/>
      <c r="T38" s="71">
        <f>+(L18-T34)/T34</f>
        <v>0.26122303489782911</v>
      </c>
      <c r="U38" s="71">
        <f>+(M18-U34)/U34</f>
        <v>0.24134620849937793</v>
      </c>
      <c r="V38" s="71">
        <f>+(N18-V34)/V34</f>
        <v>5.7468717400175793</v>
      </c>
      <c r="X38"/>
      <c r="Y38"/>
      <c r="Z38"/>
      <c r="AA38"/>
      <c r="AB38"/>
      <c r="AC38"/>
      <c r="AD38"/>
      <c r="AE38"/>
      <c r="AF38"/>
      <c r="AG38"/>
      <c r="AH38"/>
      <c r="AI38"/>
      <c r="AJ38"/>
      <c r="AK38"/>
      <c r="AL38"/>
      <c r="AM38"/>
      <c r="AN38"/>
      <c r="AO38"/>
      <c r="AP38"/>
    </row>
    <row r="39" spans="2:42">
      <c r="B39"/>
      <c r="C39"/>
      <c r="D39"/>
      <c r="E39"/>
      <c r="F39"/>
      <c r="G39"/>
      <c r="H39"/>
      <c r="I39"/>
      <c r="J39"/>
      <c r="K39"/>
      <c r="L39"/>
      <c r="M39"/>
      <c r="N39"/>
      <c r="X39"/>
      <c r="Y39"/>
      <c r="Z39"/>
      <c r="AA39"/>
      <c r="AB39"/>
      <c r="AC39"/>
      <c r="AD39"/>
      <c r="AE39"/>
      <c r="AF39"/>
      <c r="AG39"/>
      <c r="AH39"/>
      <c r="AI39"/>
      <c r="AJ39"/>
      <c r="AK39"/>
      <c r="AL39"/>
      <c r="AM39"/>
      <c r="AN39"/>
      <c r="AO39"/>
      <c r="AP39"/>
    </row>
    <row r="40" spans="2:42">
      <c r="B40"/>
      <c r="C40"/>
      <c r="D40"/>
      <c r="E40"/>
      <c r="F40"/>
      <c r="G40"/>
      <c r="H40"/>
      <c r="I40"/>
      <c r="J40"/>
      <c r="K40"/>
      <c r="L40"/>
      <c r="M40"/>
      <c r="N40"/>
      <c r="X40"/>
      <c r="Y40"/>
      <c r="Z40"/>
      <c r="AA40"/>
      <c r="AB40"/>
      <c r="AC40"/>
      <c r="AD40"/>
      <c r="AE40"/>
      <c r="AF40"/>
      <c r="AG40"/>
      <c r="AH40"/>
      <c r="AI40"/>
      <c r="AJ40"/>
      <c r="AK40"/>
      <c r="AL40"/>
      <c r="AM40"/>
      <c r="AN40"/>
      <c r="AO40"/>
      <c r="AP40"/>
    </row>
    <row r="41" spans="2:42">
      <c r="B41"/>
      <c r="C41"/>
      <c r="D41"/>
      <c r="E41"/>
      <c r="F41"/>
      <c r="G41"/>
      <c r="H41"/>
      <c r="I41"/>
      <c r="J41"/>
      <c r="K41"/>
      <c r="L41"/>
      <c r="M41"/>
      <c r="N41"/>
      <c r="T41" s="1" t="s">
        <v>95</v>
      </c>
      <c r="X41"/>
      <c r="Y41"/>
      <c r="Z41"/>
      <c r="AA41"/>
      <c r="AB41"/>
      <c r="AC41"/>
      <c r="AD41"/>
      <c r="AE41"/>
      <c r="AF41"/>
      <c r="AG41"/>
      <c r="AH41"/>
      <c r="AI41"/>
      <c r="AJ41"/>
      <c r="AK41"/>
      <c r="AL41"/>
      <c r="AM41"/>
      <c r="AN41"/>
      <c r="AO41"/>
      <c r="AP41"/>
    </row>
    <row r="42" spans="2:42">
      <c r="B42"/>
      <c r="C42"/>
      <c r="D42"/>
      <c r="E42"/>
      <c r="F42"/>
      <c r="G42"/>
      <c r="H42"/>
      <c r="I42"/>
      <c r="J42"/>
      <c r="K42"/>
      <c r="L42"/>
      <c r="M42"/>
      <c r="N42"/>
      <c r="T42" s="92" t="s">
        <v>96</v>
      </c>
      <c r="U42" s="92" t="s">
        <v>97</v>
      </c>
      <c r="V42" s="92" t="s">
        <v>9</v>
      </c>
      <c r="X42"/>
      <c r="Y42"/>
      <c r="Z42"/>
      <c r="AA42"/>
      <c r="AB42"/>
      <c r="AC42"/>
      <c r="AD42"/>
      <c r="AE42"/>
      <c r="AF42"/>
      <c r="AG42"/>
      <c r="AH42"/>
      <c r="AI42"/>
      <c r="AJ42"/>
      <c r="AK42"/>
      <c r="AL42"/>
      <c r="AM42"/>
      <c r="AN42"/>
      <c r="AO42"/>
      <c r="AP42"/>
    </row>
    <row r="43" spans="2:42">
      <c r="B43"/>
      <c r="C43"/>
      <c r="D43"/>
      <c r="E43"/>
      <c r="F43"/>
      <c r="G43"/>
      <c r="H43"/>
      <c r="I43"/>
      <c r="J43"/>
      <c r="K43"/>
      <c r="L43"/>
      <c r="M43"/>
      <c r="N43"/>
      <c r="T43" s="92">
        <v>139458</v>
      </c>
      <c r="U43" s="92">
        <v>151810</v>
      </c>
      <c r="V43" s="92">
        <v>5844095640.5</v>
      </c>
      <c r="X43"/>
      <c r="Y43"/>
      <c r="Z43"/>
      <c r="AA43"/>
      <c r="AB43"/>
      <c r="AC43"/>
      <c r="AD43"/>
      <c r="AE43"/>
      <c r="AF43"/>
      <c r="AG43"/>
      <c r="AH43"/>
      <c r="AI43"/>
      <c r="AJ43"/>
      <c r="AK43"/>
      <c r="AL43"/>
      <c r="AM43"/>
      <c r="AN43"/>
      <c r="AO43"/>
      <c r="AP43"/>
    </row>
    <row r="44" spans="2:42">
      <c r="B44"/>
      <c r="C44"/>
      <c r="D44"/>
      <c r="E44"/>
      <c r="F44"/>
      <c r="G44"/>
      <c r="H44"/>
      <c r="I44"/>
      <c r="J44"/>
      <c r="K44"/>
      <c r="L44"/>
      <c r="M44"/>
      <c r="N44"/>
      <c r="T44" s="92">
        <f>L18-T43</f>
        <v>44533</v>
      </c>
      <c r="U44" s="92">
        <f>M18-U43</f>
        <v>44746</v>
      </c>
      <c r="V44" s="92">
        <f>N18-V43</f>
        <v>35110287103.179993</v>
      </c>
      <c r="X44"/>
      <c r="Y44"/>
      <c r="Z44"/>
      <c r="AA44"/>
      <c r="AB44"/>
      <c r="AC44"/>
      <c r="AD44"/>
      <c r="AE44"/>
      <c r="AF44"/>
      <c r="AG44"/>
      <c r="AH44"/>
      <c r="AI44"/>
      <c r="AJ44"/>
      <c r="AK44"/>
      <c r="AL44"/>
      <c r="AM44"/>
      <c r="AN44"/>
      <c r="AO44"/>
      <c r="AP44"/>
    </row>
    <row r="45" spans="2:42">
      <c r="B45"/>
      <c r="C45"/>
      <c r="D45"/>
      <c r="E45"/>
      <c r="F45"/>
      <c r="G45"/>
      <c r="H45"/>
      <c r="I45"/>
      <c r="J45"/>
      <c r="K45"/>
      <c r="L45"/>
      <c r="M45"/>
      <c r="N45"/>
      <c r="T45" s="92"/>
      <c r="U45" s="92"/>
      <c r="V45" s="92"/>
      <c r="X45"/>
      <c r="Y45"/>
      <c r="Z45"/>
      <c r="AA45"/>
      <c r="AB45"/>
      <c r="AC45"/>
      <c r="AD45"/>
      <c r="AE45"/>
      <c r="AF45"/>
      <c r="AG45"/>
      <c r="AH45"/>
      <c r="AI45"/>
      <c r="AJ45"/>
      <c r="AK45"/>
      <c r="AL45"/>
      <c r="AM45"/>
      <c r="AN45"/>
      <c r="AO45"/>
      <c r="AP45"/>
    </row>
    <row r="46" spans="2:42">
      <c r="B46"/>
      <c r="C46"/>
      <c r="D46"/>
      <c r="E46"/>
      <c r="F46"/>
      <c r="G46"/>
      <c r="H46"/>
      <c r="I46"/>
      <c r="J46"/>
      <c r="K46"/>
      <c r="L46"/>
      <c r="M46"/>
      <c r="N46"/>
      <c r="T46" s="92"/>
      <c r="U46" s="92"/>
      <c r="V46" s="92"/>
      <c r="X46"/>
      <c r="Y46"/>
      <c r="Z46"/>
      <c r="AA46"/>
      <c r="AB46"/>
      <c r="AC46"/>
      <c r="AD46"/>
      <c r="AE46"/>
      <c r="AF46"/>
      <c r="AG46"/>
      <c r="AH46"/>
      <c r="AI46"/>
      <c r="AJ46"/>
      <c r="AK46"/>
      <c r="AL46"/>
      <c r="AM46"/>
      <c r="AN46"/>
      <c r="AO46"/>
      <c r="AP46"/>
    </row>
    <row r="47" spans="2:42">
      <c r="B47"/>
      <c r="C47"/>
      <c r="D47"/>
      <c r="E47"/>
      <c r="F47"/>
      <c r="G47"/>
      <c r="H47"/>
      <c r="I47"/>
      <c r="J47"/>
      <c r="K47"/>
      <c r="L47"/>
      <c r="M47"/>
      <c r="N47"/>
      <c r="T47" s="71">
        <f>+(L18-T43)/T43</f>
        <v>0.31932911701013927</v>
      </c>
      <c r="U47" s="71">
        <f>+(M18-U43)/U43</f>
        <v>0.29475001646795335</v>
      </c>
      <c r="V47" s="71">
        <f>+(N18-V43)/V43</f>
        <v>6.0078221273216679</v>
      </c>
      <c r="X47"/>
      <c r="Y47"/>
      <c r="Z47"/>
      <c r="AA47"/>
      <c r="AB47"/>
      <c r="AC47"/>
      <c r="AD47"/>
      <c r="AE47"/>
      <c r="AF47"/>
      <c r="AG47"/>
      <c r="AH47"/>
      <c r="AI47"/>
      <c r="AJ47"/>
      <c r="AK47"/>
      <c r="AL47"/>
      <c r="AM47"/>
      <c r="AN47"/>
      <c r="AO47"/>
      <c r="AP47"/>
    </row>
    <row r="48" spans="2:42">
      <c r="B48"/>
      <c r="C48"/>
      <c r="D48"/>
      <c r="E48"/>
      <c r="F48"/>
      <c r="G48"/>
      <c r="H48"/>
      <c r="I48"/>
      <c r="J48"/>
      <c r="K48"/>
      <c r="L48"/>
      <c r="M48"/>
      <c r="N48"/>
      <c r="X48"/>
      <c r="Y48"/>
      <c r="Z48"/>
      <c r="AA48"/>
      <c r="AB48"/>
      <c r="AC48"/>
      <c r="AD48"/>
      <c r="AE48"/>
      <c r="AF48"/>
      <c r="AG48"/>
      <c r="AH48"/>
      <c r="AI48"/>
      <c r="AJ48"/>
      <c r="AK48"/>
      <c r="AL48"/>
      <c r="AM48"/>
      <c r="AN48"/>
      <c r="AO48"/>
      <c r="AP48"/>
    </row>
    <row r="49" spans="2:42">
      <c r="B49"/>
      <c r="C49"/>
      <c r="D49"/>
      <c r="E49"/>
      <c r="F49"/>
      <c r="G49"/>
      <c r="H49"/>
      <c r="I49"/>
      <c r="J49"/>
      <c r="K49"/>
      <c r="L49"/>
      <c r="M49"/>
      <c r="N49"/>
      <c r="X49"/>
      <c r="Y49"/>
      <c r="Z49"/>
      <c r="AA49"/>
      <c r="AB49"/>
      <c r="AC49"/>
      <c r="AD49"/>
      <c r="AE49"/>
      <c r="AF49"/>
      <c r="AG49"/>
      <c r="AH49"/>
      <c r="AI49"/>
      <c r="AJ49"/>
      <c r="AK49"/>
      <c r="AL49"/>
      <c r="AM49"/>
      <c r="AN49"/>
      <c r="AO49"/>
      <c r="AP49"/>
    </row>
    <row r="50" spans="2:42">
      <c r="B50"/>
      <c r="C50"/>
      <c r="D50"/>
      <c r="E50"/>
      <c r="F50"/>
      <c r="G50"/>
      <c r="H50"/>
      <c r="I50"/>
      <c r="J50"/>
      <c r="K50"/>
      <c r="L50"/>
      <c r="M50"/>
      <c r="N50"/>
      <c r="X50"/>
      <c r="Y50"/>
      <c r="Z50"/>
      <c r="AA50"/>
      <c r="AB50"/>
      <c r="AC50"/>
      <c r="AD50"/>
      <c r="AE50"/>
      <c r="AF50"/>
      <c r="AG50"/>
      <c r="AH50"/>
      <c r="AI50"/>
      <c r="AJ50"/>
      <c r="AK50"/>
      <c r="AL50"/>
      <c r="AM50"/>
      <c r="AN50"/>
      <c r="AO50"/>
      <c r="AP50"/>
    </row>
    <row r="51" spans="2:42">
      <c r="B51"/>
      <c r="C51"/>
      <c r="D51"/>
      <c r="E51"/>
      <c r="F51"/>
      <c r="G51"/>
      <c r="H51"/>
      <c r="I51"/>
      <c r="J51"/>
      <c r="K51"/>
      <c r="L51"/>
      <c r="M51"/>
      <c r="N51"/>
      <c r="X51"/>
      <c r="Y51"/>
      <c r="Z51"/>
      <c r="AA51"/>
      <c r="AB51"/>
      <c r="AC51"/>
      <c r="AD51"/>
      <c r="AE51"/>
      <c r="AF51"/>
      <c r="AG51"/>
      <c r="AH51"/>
      <c r="AI51"/>
      <c r="AJ51"/>
      <c r="AK51"/>
      <c r="AL51"/>
      <c r="AM51"/>
      <c r="AN51"/>
      <c r="AO51"/>
      <c r="AP51"/>
    </row>
    <row r="52" spans="2:42">
      <c r="B52"/>
      <c r="C52"/>
      <c r="D52"/>
      <c r="E52"/>
      <c r="F52"/>
      <c r="G52"/>
      <c r="H52"/>
      <c r="I52"/>
      <c r="J52"/>
      <c r="K52"/>
      <c r="L52"/>
      <c r="M52"/>
      <c r="N52"/>
    </row>
    <row r="53" spans="2:42">
      <c r="B53"/>
      <c r="C53"/>
      <c r="D53"/>
      <c r="E53"/>
      <c r="F53"/>
      <c r="G53"/>
      <c r="H53"/>
      <c r="I53"/>
      <c r="J53"/>
      <c r="K53"/>
      <c r="L53"/>
      <c r="M53"/>
      <c r="N53"/>
    </row>
    <row r="54" spans="2:42">
      <c r="B54"/>
      <c r="C54"/>
      <c r="D54"/>
      <c r="E54"/>
      <c r="F54"/>
      <c r="G54"/>
      <c r="H54"/>
      <c r="I54"/>
      <c r="J54"/>
      <c r="K54"/>
      <c r="L54"/>
      <c r="M54"/>
      <c r="N54"/>
    </row>
    <row r="55" spans="2:42">
      <c r="B55"/>
      <c r="C55"/>
      <c r="D55"/>
      <c r="E55"/>
      <c r="F55"/>
      <c r="G55"/>
      <c r="H55"/>
      <c r="I55"/>
      <c r="J55"/>
      <c r="K55"/>
      <c r="L55"/>
      <c r="M55"/>
      <c r="N55"/>
    </row>
    <row r="56" spans="2:42">
      <c r="B56"/>
      <c r="C56"/>
      <c r="D56"/>
      <c r="E56"/>
      <c r="F56"/>
      <c r="G56"/>
      <c r="H56"/>
      <c r="I56"/>
      <c r="J56"/>
      <c r="K56"/>
      <c r="L56"/>
      <c r="M56"/>
      <c r="N56"/>
    </row>
    <row r="57" spans="2:42">
      <c r="B57"/>
      <c r="C57"/>
      <c r="D57"/>
      <c r="E57"/>
      <c r="F57"/>
      <c r="G57"/>
      <c r="H57"/>
      <c r="I57"/>
      <c r="J57"/>
      <c r="K57"/>
      <c r="L57"/>
      <c r="M57"/>
      <c r="N57"/>
    </row>
    <row r="58" spans="2:42">
      <c r="B58"/>
      <c r="C58"/>
      <c r="D58"/>
      <c r="E58"/>
      <c r="F58"/>
      <c r="G58"/>
      <c r="H58"/>
      <c r="I58"/>
      <c r="J58"/>
      <c r="K58"/>
      <c r="L58"/>
      <c r="M58"/>
      <c r="N58"/>
    </row>
    <row r="59" spans="2:42">
      <c r="B59"/>
      <c r="C59"/>
      <c r="D59"/>
      <c r="E59"/>
      <c r="F59"/>
      <c r="G59"/>
      <c r="H59"/>
      <c r="I59"/>
      <c r="J59"/>
      <c r="K59"/>
      <c r="L59"/>
      <c r="M59"/>
      <c r="N59"/>
    </row>
    <row r="60" spans="2:42">
      <c r="B60"/>
      <c r="C60"/>
      <c r="D60"/>
      <c r="E60"/>
      <c r="F60"/>
      <c r="G60"/>
      <c r="H60"/>
      <c r="I60"/>
      <c r="J60"/>
      <c r="K60"/>
      <c r="L60"/>
      <c r="M60"/>
      <c r="N60"/>
    </row>
    <row r="61" spans="2:42">
      <c r="B61"/>
      <c r="C61"/>
      <c r="D61"/>
      <c r="E61"/>
      <c r="F61"/>
      <c r="G61"/>
      <c r="H61"/>
      <c r="I61"/>
      <c r="J61"/>
      <c r="K61"/>
      <c r="L61"/>
      <c r="M61"/>
      <c r="N61"/>
    </row>
    <row r="62" spans="2:42">
      <c r="B62"/>
      <c r="C62"/>
      <c r="D62"/>
      <c r="E62"/>
      <c r="F62"/>
      <c r="G62"/>
      <c r="H62"/>
      <c r="I62"/>
      <c r="J62"/>
      <c r="K62"/>
      <c r="L62"/>
      <c r="M62"/>
      <c r="N62"/>
    </row>
    <row r="63" spans="2:42">
      <c r="B63"/>
      <c r="C63"/>
      <c r="D63"/>
      <c r="E63"/>
      <c r="F63"/>
      <c r="G63"/>
      <c r="H63"/>
      <c r="I63"/>
      <c r="J63"/>
      <c r="K63"/>
      <c r="L63"/>
      <c r="M63"/>
      <c r="N63"/>
    </row>
    <row r="69" spans="3:15">
      <c r="C69" s="38"/>
      <c r="D69" s="120"/>
      <c r="E69" s="93"/>
      <c r="F69" s="93"/>
      <c r="G69" s="93"/>
      <c r="H69" s="93"/>
      <c r="I69" s="93"/>
      <c r="J69" s="93"/>
      <c r="K69" s="93"/>
      <c r="L69" s="93"/>
      <c r="M69" s="32"/>
      <c r="N69" s="33"/>
      <c r="O69" s="32"/>
    </row>
    <row r="71" spans="3:15">
      <c r="C71" s="38"/>
      <c r="D71" s="120"/>
      <c r="E71" s="93"/>
      <c r="F71" s="93"/>
      <c r="G71" s="93"/>
      <c r="H71" s="93"/>
      <c r="I71" s="93"/>
      <c r="J71" s="93"/>
      <c r="K71" s="93"/>
      <c r="L71" s="93"/>
      <c r="M71" s="32"/>
      <c r="N71" s="33"/>
      <c r="O71" s="95"/>
    </row>
    <row r="73" spans="3:15" ht="5.25" customHeight="1"/>
    <row r="74" spans="3:15" hidden="1"/>
    <row r="75" spans="3:15" hidden="1"/>
    <row r="76" spans="3:15" hidden="1"/>
    <row r="77" spans="3:15" hidden="1"/>
    <row r="78" spans="3:15" hidden="1"/>
    <row r="79" spans="3:15" hidden="1"/>
    <row r="80" spans="3:15"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sheetData>
  <mergeCells count="10">
    <mergeCell ref="T18:V18"/>
    <mergeCell ref="B2:N2"/>
    <mergeCell ref="B3:N3"/>
    <mergeCell ref="B4:N4"/>
    <mergeCell ref="B6:N6"/>
    <mergeCell ref="C7:E7"/>
    <mergeCell ref="I7:K7"/>
    <mergeCell ref="L7:N7"/>
    <mergeCell ref="B5:N5"/>
    <mergeCell ref="F7:H7"/>
  </mergeCells>
  <pageMargins left="0.7" right="0.7" top="0.75" bottom="0.75" header="0.3" footer="0.3"/>
  <pageSetup paperSize="9" scale="48" orientation="portrait" r:id="rId1"/>
  <colBreaks count="1" manualBreakCount="1">
    <brk id="15" max="1048575" man="1"/>
  </colBreaks>
  <ignoredErrors>
    <ignoredError sqref="L18 M18" formula="1"/>
    <ignoredError sqref="C14:D14 I14:N14 E14:G14" unlockedFormula="1"/>
    <ignoredError sqref="H14" formula="1"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2:T61"/>
  <sheetViews>
    <sheetView showGridLines="0" zoomScale="91" zoomScaleNormal="91" zoomScaleSheetLayoutView="55" workbookViewId="0">
      <selection activeCell="A4" sqref="A4:R14"/>
    </sheetView>
  </sheetViews>
  <sheetFormatPr defaultColWidth="11.42578125" defaultRowHeight="15"/>
  <cols>
    <col min="1" max="1" width="12.28515625" style="1" customWidth="1"/>
    <col min="2" max="2" width="10.42578125" style="1" customWidth="1"/>
    <col min="3" max="3" width="19" style="1" customWidth="1"/>
    <col min="4" max="4" width="11.5703125" style="1" customWidth="1"/>
    <col min="5" max="5" width="21.140625" style="1" customWidth="1"/>
    <col min="6" max="6" width="13.140625" style="1" customWidth="1"/>
    <col min="7" max="7" width="15.7109375" style="1" customWidth="1"/>
    <col min="8" max="8" width="13.140625" style="1" customWidth="1"/>
    <col min="9" max="9" width="17.5703125" style="1" customWidth="1"/>
    <col min="10" max="10" width="12.42578125" style="1" customWidth="1"/>
    <col min="11" max="11" width="11.28515625" style="1" bestFit="1" customWidth="1"/>
    <col min="12" max="12" width="13" style="1" customWidth="1"/>
    <col min="13" max="13" width="15" style="1" customWidth="1"/>
    <col min="14" max="14" width="17.5703125" style="1" bestFit="1" customWidth="1"/>
    <col min="15" max="15" width="15" style="1" customWidth="1"/>
    <col min="16" max="16" width="12.5703125" style="1" customWidth="1"/>
    <col min="17" max="17" width="17.140625" style="1" customWidth="1"/>
    <col min="18" max="18" width="17" style="1" customWidth="1"/>
    <col min="19" max="16384" width="11.42578125" style="1"/>
  </cols>
  <sheetData>
    <row r="2" spans="1:18">
      <c r="A2" s="562" t="s">
        <v>0</v>
      </c>
      <c r="B2" s="562"/>
      <c r="C2" s="562"/>
      <c r="D2" s="562"/>
      <c r="E2" s="562"/>
      <c r="F2" s="562"/>
      <c r="G2" s="562"/>
      <c r="H2" s="562"/>
      <c r="I2" s="562"/>
      <c r="J2" s="562"/>
      <c r="K2" s="562"/>
      <c r="L2" s="562"/>
      <c r="M2" s="562"/>
      <c r="N2" s="562"/>
      <c r="O2" s="562"/>
      <c r="P2" s="562"/>
      <c r="Q2" s="562"/>
      <c r="R2" s="562"/>
    </row>
    <row r="3" spans="1:18">
      <c r="A3" s="562" t="s">
        <v>74</v>
      </c>
      <c r="B3" s="562"/>
      <c r="C3" s="562"/>
      <c r="D3" s="562"/>
      <c r="E3" s="562"/>
      <c r="F3" s="562"/>
      <c r="G3" s="562"/>
      <c r="H3" s="562"/>
      <c r="I3" s="562"/>
      <c r="J3" s="562"/>
      <c r="K3" s="562"/>
      <c r="L3" s="562"/>
      <c r="M3" s="562"/>
      <c r="N3" s="562"/>
      <c r="O3" s="562"/>
      <c r="P3" s="562"/>
      <c r="Q3" s="562"/>
      <c r="R3" s="562"/>
    </row>
    <row r="4" spans="1:18">
      <c r="A4" s="562" t="s">
        <v>98</v>
      </c>
      <c r="B4" s="562"/>
      <c r="C4" s="562"/>
      <c r="D4" s="562"/>
      <c r="E4" s="562"/>
      <c r="F4" s="562"/>
      <c r="G4" s="562"/>
      <c r="H4" s="562"/>
      <c r="I4" s="562"/>
      <c r="J4" s="562"/>
      <c r="K4" s="562"/>
      <c r="L4" s="562"/>
      <c r="M4" s="562"/>
      <c r="N4" s="562"/>
      <c r="O4" s="562"/>
      <c r="P4" s="562"/>
      <c r="Q4" s="562"/>
      <c r="R4" s="562"/>
    </row>
    <row r="5" spans="1:18">
      <c r="A5" s="562" t="s">
        <v>3</v>
      </c>
      <c r="B5" s="562"/>
      <c r="C5" s="562"/>
      <c r="D5" s="562"/>
      <c r="E5" s="562"/>
      <c r="F5" s="562"/>
      <c r="G5" s="562"/>
      <c r="H5" s="562"/>
      <c r="I5" s="562"/>
      <c r="J5" s="562"/>
      <c r="K5" s="562"/>
      <c r="L5" s="562"/>
      <c r="M5" s="562"/>
      <c r="N5" s="562"/>
      <c r="O5" s="562"/>
      <c r="P5" s="562"/>
      <c r="Q5" s="562"/>
      <c r="R5" s="562"/>
    </row>
    <row r="6" spans="1:18">
      <c r="A6" s="562" t="s">
        <v>4</v>
      </c>
      <c r="B6" s="562"/>
      <c r="C6" s="562"/>
      <c r="D6" s="562"/>
      <c r="E6" s="562"/>
      <c r="F6" s="562"/>
      <c r="G6" s="562"/>
      <c r="H6" s="562"/>
      <c r="I6" s="562"/>
      <c r="J6" s="562"/>
      <c r="K6" s="562"/>
      <c r="L6" s="562"/>
      <c r="M6" s="562"/>
      <c r="N6" s="562"/>
      <c r="O6" s="562"/>
      <c r="P6" s="562"/>
      <c r="Q6" s="562"/>
      <c r="R6" s="562"/>
    </row>
    <row r="7" spans="1:18" ht="31.5" customHeight="1">
      <c r="A7" s="258"/>
      <c r="B7" s="589" t="s">
        <v>99</v>
      </c>
      <c r="C7" s="589"/>
      <c r="D7" s="589"/>
      <c r="E7" s="589"/>
      <c r="F7" s="589"/>
      <c r="G7" s="588" t="s">
        <v>100</v>
      </c>
      <c r="H7" s="588"/>
      <c r="I7" s="588"/>
      <c r="J7" s="588"/>
      <c r="K7" s="588"/>
      <c r="L7" s="586" t="s">
        <v>101</v>
      </c>
      <c r="M7" s="586"/>
      <c r="N7" s="585" t="s">
        <v>102</v>
      </c>
      <c r="O7" s="585"/>
      <c r="P7" s="590" t="s">
        <v>90</v>
      </c>
      <c r="Q7" s="590"/>
      <c r="R7" s="22"/>
    </row>
    <row r="8" spans="1:18" ht="34.5" customHeight="1">
      <c r="A8" s="220" t="s">
        <v>5</v>
      </c>
      <c r="B8" s="220" t="s">
        <v>103</v>
      </c>
      <c r="C8" s="220" t="s">
        <v>104</v>
      </c>
      <c r="D8" s="220" t="s">
        <v>105</v>
      </c>
      <c r="E8" s="220" t="s">
        <v>106</v>
      </c>
      <c r="F8" s="220" t="s">
        <v>107</v>
      </c>
      <c r="G8" s="220" t="s">
        <v>103</v>
      </c>
      <c r="H8" s="220" t="s">
        <v>104</v>
      </c>
      <c r="I8" s="220" t="s">
        <v>105</v>
      </c>
      <c r="J8" s="220" t="s">
        <v>106</v>
      </c>
      <c r="K8" s="220" t="s">
        <v>107</v>
      </c>
      <c r="L8" s="220" t="s">
        <v>103</v>
      </c>
      <c r="M8" s="220" t="s">
        <v>104</v>
      </c>
      <c r="N8" s="220" t="s">
        <v>103</v>
      </c>
      <c r="O8" s="220" t="s">
        <v>108</v>
      </c>
      <c r="P8" s="220" t="s">
        <v>103</v>
      </c>
      <c r="Q8" s="220" t="s">
        <v>104</v>
      </c>
    </row>
    <row r="9" spans="1:18" hidden="1">
      <c r="A9" s="129" t="s">
        <v>12</v>
      </c>
      <c r="B9" s="261"/>
      <c r="C9" s="261"/>
      <c r="D9" s="261" t="s">
        <v>109</v>
      </c>
      <c r="E9" s="261" t="s">
        <v>109</v>
      </c>
      <c r="F9" s="261"/>
      <c r="G9" s="261"/>
      <c r="H9" s="262"/>
      <c r="I9" s="262"/>
      <c r="J9" s="262" t="s">
        <v>109</v>
      </c>
      <c r="K9" s="262"/>
      <c r="L9" s="261"/>
      <c r="M9" s="261"/>
      <c r="N9" s="261"/>
      <c r="O9" s="261"/>
      <c r="P9" s="262" t="e">
        <f>B9+#REF!+L9+N9</f>
        <v>#REF!</v>
      </c>
      <c r="Q9" s="261">
        <f>C9+H9+M9+O9</f>
        <v>0</v>
      </c>
    </row>
    <row r="10" spans="1:18">
      <c r="A10" s="433" t="s">
        <v>13</v>
      </c>
      <c r="B10" s="485">
        <v>225</v>
      </c>
      <c r="C10" s="484">
        <v>2675792.17</v>
      </c>
      <c r="D10" s="484">
        <v>266776.46000000002</v>
      </c>
      <c r="E10" s="484">
        <v>80273.75</v>
      </c>
      <c r="F10" s="484">
        <v>2328741.96</v>
      </c>
      <c r="G10" s="485">
        <v>2</v>
      </c>
      <c r="H10" s="479">
        <v>25000</v>
      </c>
      <c r="I10" s="484">
        <v>2492.5</v>
      </c>
      <c r="J10" s="485">
        <v>750</v>
      </c>
      <c r="K10" s="484">
        <v>21757.5</v>
      </c>
      <c r="L10" s="485">
        <v>651</v>
      </c>
      <c r="M10" s="484">
        <v>12376250.869999999</v>
      </c>
      <c r="N10" s="485">
        <v>957</v>
      </c>
      <c r="O10" s="484">
        <v>12222092.91</v>
      </c>
      <c r="P10" s="488">
        <v>1835</v>
      </c>
      <c r="Q10" s="481">
        <v>27299135.949999999</v>
      </c>
    </row>
    <row r="11" spans="1:18">
      <c r="A11" s="433" t="s">
        <v>14</v>
      </c>
      <c r="B11" s="485">
        <v>226</v>
      </c>
      <c r="C11" s="484">
        <v>2678088.2200000002</v>
      </c>
      <c r="D11" s="485" t="s">
        <v>110</v>
      </c>
      <c r="E11" s="522"/>
      <c r="F11" s="484">
        <v>2678088.2200000002</v>
      </c>
      <c r="G11" s="485">
        <v>2</v>
      </c>
      <c r="H11" s="479">
        <v>25000</v>
      </c>
      <c r="I11" s="485" t="s">
        <v>110</v>
      </c>
      <c r="J11" s="485" t="s">
        <v>110</v>
      </c>
      <c r="K11" s="484">
        <v>25000</v>
      </c>
      <c r="L11" s="485">
        <v>651</v>
      </c>
      <c r="M11" s="484">
        <v>12113102.57</v>
      </c>
      <c r="N11" s="485">
        <v>961</v>
      </c>
      <c r="O11" s="484">
        <v>12161503.890000001</v>
      </c>
      <c r="P11" s="488">
        <v>1840</v>
      </c>
      <c r="Q11" s="481">
        <v>26977694.68</v>
      </c>
    </row>
    <row r="12" spans="1:18">
      <c r="A12" s="433" t="s">
        <v>15</v>
      </c>
      <c r="B12" s="478">
        <v>226</v>
      </c>
      <c r="C12" s="479">
        <v>2678516.9700000002</v>
      </c>
      <c r="D12" s="479">
        <v>267048.13</v>
      </c>
      <c r="E12" s="479">
        <v>80355.490000000005</v>
      </c>
      <c r="F12" s="479">
        <v>2331113.35</v>
      </c>
      <c r="G12" s="478">
        <v>2</v>
      </c>
      <c r="H12" s="479">
        <v>25000</v>
      </c>
      <c r="I12" s="479">
        <v>2492.5</v>
      </c>
      <c r="J12" s="478">
        <v>750</v>
      </c>
      <c r="K12" s="479">
        <v>21757.5</v>
      </c>
      <c r="L12" s="478">
        <v>651</v>
      </c>
      <c r="M12" s="479">
        <v>12356063.52</v>
      </c>
      <c r="N12" s="478">
        <v>961</v>
      </c>
      <c r="O12" s="479">
        <v>12196583.949999999</v>
      </c>
      <c r="P12" s="488">
        <v>1840</v>
      </c>
      <c r="Q12" s="481">
        <v>27256164.440000001</v>
      </c>
    </row>
    <row r="13" spans="1:18">
      <c r="A13" s="434" t="s">
        <v>16</v>
      </c>
      <c r="B13" s="478">
        <v>228</v>
      </c>
      <c r="C13" s="479">
        <v>2706070.01</v>
      </c>
      <c r="D13" s="479">
        <v>269795.15999999997</v>
      </c>
      <c r="E13" s="479">
        <v>81182.09</v>
      </c>
      <c r="F13" s="479">
        <v>2355092.7599999998</v>
      </c>
      <c r="G13" s="478">
        <v>2</v>
      </c>
      <c r="H13" s="479">
        <v>25000</v>
      </c>
      <c r="I13" s="479">
        <v>2492.5</v>
      </c>
      <c r="J13" s="478">
        <v>750</v>
      </c>
      <c r="K13" s="479">
        <v>21757.5</v>
      </c>
      <c r="L13" s="478">
        <v>654</v>
      </c>
      <c r="M13" s="479">
        <v>12378600.98</v>
      </c>
      <c r="N13" s="478">
        <v>966</v>
      </c>
      <c r="O13" s="479">
        <v>12217406.77</v>
      </c>
      <c r="P13" s="488">
        <v>1850</v>
      </c>
      <c r="Q13" s="481">
        <v>27327077.760000002</v>
      </c>
    </row>
    <row r="14" spans="1:18" ht="12.75" customHeight="1">
      <c r="A14" s="331" t="s">
        <v>17</v>
      </c>
      <c r="B14" s="331">
        <f>+B10</f>
        <v>225</v>
      </c>
      <c r="C14" s="495">
        <f>+SUM(C10:C13)</f>
        <v>10738467.370000001</v>
      </c>
      <c r="D14" s="495">
        <f t="shared" ref="D14:F14" si="0">+SUM(D10:D13)</f>
        <v>803619.75</v>
      </c>
      <c r="E14" s="495">
        <f t="shared" si="0"/>
        <v>241811.33</v>
      </c>
      <c r="F14" s="495">
        <f t="shared" si="0"/>
        <v>9693036.2899999991</v>
      </c>
      <c r="G14" s="331">
        <v>2</v>
      </c>
      <c r="H14" s="495">
        <f>+SUM(H10:H13)</f>
        <v>100000</v>
      </c>
      <c r="I14" s="495">
        <f>+SUM(I10:I13)</f>
        <v>7477.5</v>
      </c>
      <c r="J14" s="495">
        <f>+SUM(J10:J13)</f>
        <v>2250</v>
      </c>
      <c r="K14" s="495">
        <f>+SUM(K10:K13)</f>
        <v>90272.5</v>
      </c>
      <c r="L14" s="331">
        <f>+L10</f>
        <v>651</v>
      </c>
      <c r="M14" s="495">
        <f>+SUM(M10:M13)</f>
        <v>49224017.939999998</v>
      </c>
      <c r="N14" s="331">
        <f>+N10</f>
        <v>957</v>
      </c>
      <c r="O14" s="495">
        <f>+SUM(O10:O13)</f>
        <v>48797587.519999996</v>
      </c>
      <c r="P14" s="496">
        <f>+B14+L14+G14+N14</f>
        <v>1835</v>
      </c>
      <c r="Q14" s="495">
        <f>+SUM(Q10:Q13)</f>
        <v>108860072.83</v>
      </c>
    </row>
    <row r="15" spans="1:18" ht="0.75" hidden="1" customHeight="1">
      <c r="A15" s="129" t="s">
        <v>18</v>
      </c>
      <c r="B15" s="261">
        <v>197</v>
      </c>
      <c r="C15" s="261">
        <v>2179212.89</v>
      </c>
      <c r="D15" s="261">
        <v>217267.52</v>
      </c>
      <c r="E15" s="261">
        <v>65376.38</v>
      </c>
      <c r="F15" s="261">
        <v>1896568.99</v>
      </c>
      <c r="G15" s="261"/>
      <c r="H15" s="262">
        <v>25000</v>
      </c>
      <c r="I15" s="262"/>
      <c r="J15" s="262">
        <v>750</v>
      </c>
      <c r="K15" s="262"/>
      <c r="L15" s="261">
        <v>513</v>
      </c>
      <c r="M15" s="261">
        <v>8546125.8599999994</v>
      </c>
      <c r="N15" s="261">
        <v>666</v>
      </c>
      <c r="O15" s="261">
        <v>7640214.7599999998</v>
      </c>
      <c r="P15" s="263" t="e">
        <f>+L15+N15+B15+#REF!</f>
        <v>#REF!</v>
      </c>
      <c r="Q15" s="263">
        <f>+M15+O15+C15+H15</f>
        <v>18390553.509999998</v>
      </c>
    </row>
    <row r="16" spans="1:18" hidden="1">
      <c r="A16" s="129" t="s">
        <v>19</v>
      </c>
      <c r="B16" s="261">
        <v>193</v>
      </c>
      <c r="C16" s="261">
        <v>2121784.19</v>
      </c>
      <c r="D16" s="261">
        <v>211541.89</v>
      </c>
      <c r="E16" s="261">
        <v>63653.52</v>
      </c>
      <c r="F16" s="261">
        <v>1846588.79</v>
      </c>
      <c r="G16" s="261"/>
      <c r="H16" s="262">
        <v>10000</v>
      </c>
      <c r="I16" s="262"/>
      <c r="J16" s="262">
        <v>300</v>
      </c>
      <c r="K16" s="262"/>
      <c r="L16" s="261">
        <v>508</v>
      </c>
      <c r="M16" s="261">
        <v>8389327.0199999996</v>
      </c>
      <c r="N16" s="261">
        <v>654</v>
      </c>
      <c r="O16" s="261">
        <v>7508917.3399999999</v>
      </c>
      <c r="P16" s="263" t="e">
        <f>+L16+N16+B16+#REF!</f>
        <v>#REF!</v>
      </c>
      <c r="Q16" s="263">
        <f>+M16+O16+C16+H16</f>
        <v>18030028.550000001</v>
      </c>
    </row>
    <row r="17" spans="1:20" hidden="1">
      <c r="A17" s="129" t="s">
        <v>20</v>
      </c>
      <c r="B17" s="261">
        <v>196</v>
      </c>
      <c r="C17" s="261">
        <v>2150339.13</v>
      </c>
      <c r="D17" s="261">
        <v>214388.81</v>
      </c>
      <c r="E17" s="261">
        <v>64510.17</v>
      </c>
      <c r="F17" s="261">
        <v>1871440.16</v>
      </c>
      <c r="G17" s="261"/>
      <c r="H17" s="262">
        <v>10000</v>
      </c>
      <c r="I17" s="262"/>
      <c r="J17" s="262">
        <v>300</v>
      </c>
      <c r="K17" s="262"/>
      <c r="L17" s="261">
        <v>501</v>
      </c>
      <c r="M17" s="261">
        <v>8211484.8200000003</v>
      </c>
      <c r="N17" s="261">
        <v>649</v>
      </c>
      <c r="O17" s="261">
        <v>7441713.2999999998</v>
      </c>
      <c r="P17" s="263" t="e">
        <f>+L17+N17+B17+#REF!</f>
        <v>#REF!</v>
      </c>
      <c r="Q17" s="263">
        <f>+M17+O17+C17+H17</f>
        <v>17813537.25</v>
      </c>
    </row>
    <row r="18" spans="1:20" hidden="1">
      <c r="A18" s="229" t="s">
        <v>21</v>
      </c>
      <c r="B18" s="264">
        <f>+B15</f>
        <v>197</v>
      </c>
      <c r="C18" s="265">
        <f>+SUM(C9:C17)</f>
        <v>27928270.950000003</v>
      </c>
      <c r="D18" s="264">
        <f>+SUM(D15:D17)</f>
        <v>643198.22</v>
      </c>
      <c r="E18" s="264">
        <f>+SUM(E15:E17)</f>
        <v>193540.07</v>
      </c>
      <c r="F18" s="264">
        <f>+SUM(F9:F17)</f>
        <v>25000670.519999996</v>
      </c>
      <c r="G18" s="264"/>
      <c r="H18" s="266">
        <f>SUM(H9:H17)</f>
        <v>245000</v>
      </c>
      <c r="I18" s="266"/>
      <c r="J18" s="266">
        <f>SUM(J15:J17)</f>
        <v>1350</v>
      </c>
      <c r="K18" s="266"/>
      <c r="L18" s="264">
        <f>+L15</f>
        <v>513</v>
      </c>
      <c r="M18" s="264">
        <f>+SUM(M9:M17)</f>
        <v>123594973.57999998</v>
      </c>
      <c r="N18" s="264">
        <f>+N15</f>
        <v>666</v>
      </c>
      <c r="O18" s="264">
        <f>+SUM(O9:O17)</f>
        <v>120186020.44</v>
      </c>
      <c r="P18" s="264" t="e">
        <f>+P15</f>
        <v>#REF!</v>
      </c>
      <c r="Q18" s="264">
        <f>SUM(Q9:Q17)</f>
        <v>271954264.97000003</v>
      </c>
    </row>
    <row r="19" spans="1:20" ht="7.5" customHeight="1">
      <c r="B19" s="15"/>
      <c r="C19" s="354">
        <f>+C14/Q14</f>
        <v>9.8644682947894011E-2</v>
      </c>
      <c r="D19" s="355"/>
      <c r="E19" s="355"/>
      <c r="F19" s="355"/>
      <c r="G19" s="355"/>
      <c r="H19" s="356">
        <f>H14/Q14</f>
        <v>9.18610445504329E-4</v>
      </c>
      <c r="I19" s="356"/>
      <c r="J19" s="355"/>
      <c r="K19" s="355"/>
      <c r="L19" s="355"/>
      <c r="M19" s="354">
        <f>M14/Q14</f>
        <v>0.45217697049376482</v>
      </c>
      <c r="N19" s="355"/>
      <c r="O19" s="354">
        <f>+O14/Q14</f>
        <v>0.44825973611283682</v>
      </c>
      <c r="P19" s="355"/>
      <c r="Q19" s="354">
        <f>+SUM(C19,H19,M19,O19)</f>
        <v>1</v>
      </c>
      <c r="R19" s="138"/>
    </row>
    <row r="20" spans="1:20" ht="2.25" customHeight="1">
      <c r="A20" s="259"/>
      <c r="B20" s="15"/>
      <c r="C20" s="15"/>
      <c r="D20" s="15"/>
      <c r="E20" s="15"/>
      <c r="F20" s="15"/>
      <c r="G20" s="15"/>
      <c r="H20" s="587"/>
      <c r="I20" s="587"/>
      <c r="J20" s="587"/>
      <c r="K20" s="260"/>
      <c r="L20" s="15"/>
      <c r="M20" s="15"/>
      <c r="N20" s="15"/>
      <c r="O20" s="15"/>
      <c r="P20" s="15"/>
    </row>
    <row r="21" spans="1:20" ht="11.25" customHeight="1">
      <c r="A21" s="259" t="s">
        <v>111</v>
      </c>
      <c r="B21" s="15"/>
      <c r="C21" s="15"/>
      <c r="D21" s="15"/>
      <c r="E21" s="15"/>
      <c r="F21" s="15"/>
      <c r="G21" s="15"/>
      <c r="H21" s="260"/>
      <c r="I21" s="260"/>
      <c r="J21" s="260"/>
      <c r="K21" s="260"/>
      <c r="L21" s="15"/>
      <c r="M21" s="15"/>
      <c r="N21" s="15"/>
      <c r="O21" s="15"/>
      <c r="P21" s="15"/>
    </row>
    <row r="22" spans="1:20" ht="45.75" customHeight="1">
      <c r="A22" s="15"/>
      <c r="B22" s="15"/>
      <c r="C22" s="15"/>
      <c r="D22" s="15"/>
      <c r="E22" s="15"/>
      <c r="F22" s="15"/>
      <c r="G22" s="15"/>
      <c r="H22" s="260"/>
      <c r="I22" s="260"/>
      <c r="J22" s="260"/>
      <c r="K22" s="260"/>
      <c r="L22" s="15"/>
      <c r="M22" s="15"/>
      <c r="N22" s="334"/>
      <c r="O22" s="15"/>
      <c r="P22" s="15"/>
      <c r="Q22" s="31"/>
    </row>
    <row r="23" spans="1:20" ht="45.75" customHeight="1">
      <c r="A23" s="15"/>
      <c r="B23" s="15"/>
      <c r="C23" s="15"/>
      <c r="D23" s="15"/>
      <c r="E23" s="15"/>
      <c r="F23" s="15"/>
      <c r="G23" s="15"/>
      <c r="H23" s="260"/>
      <c r="I23" s="260"/>
      <c r="J23" s="260"/>
      <c r="K23" s="260"/>
      <c r="L23" s="15"/>
      <c r="M23" s="15"/>
      <c r="N23" s="15"/>
      <c r="O23" s="15"/>
      <c r="P23" s="15"/>
      <c r="T23" s="1" t="s">
        <v>112</v>
      </c>
    </row>
    <row r="24" spans="1:20" ht="45.75" customHeight="1">
      <c r="A24" s="15"/>
      <c r="B24" s="15"/>
      <c r="C24" s="15"/>
      <c r="D24" s="15"/>
      <c r="E24" s="15"/>
      <c r="F24" s="15"/>
      <c r="G24" s="15"/>
      <c r="H24" s="260"/>
      <c r="I24" s="260"/>
      <c r="J24" s="260"/>
      <c r="K24" s="260"/>
      <c r="L24" s="15"/>
      <c r="M24" s="15"/>
      <c r="N24" s="15"/>
      <c r="O24" s="15"/>
      <c r="P24" s="15" t="s">
        <v>112</v>
      </c>
    </row>
    <row r="25" spans="1:20" ht="45.75" customHeight="1">
      <c r="A25" s="15"/>
      <c r="B25" s="15"/>
      <c r="C25" s="15"/>
      <c r="D25" s="15"/>
      <c r="E25" s="15"/>
      <c r="F25" s="15"/>
      <c r="G25" s="15"/>
      <c r="H25" s="260"/>
      <c r="I25" s="260"/>
      <c r="J25" s="260"/>
      <c r="K25" s="260"/>
      <c r="L25" s="15"/>
      <c r="M25" s="15"/>
      <c r="N25" s="15"/>
      <c r="O25" s="15"/>
      <c r="P25" s="15"/>
    </row>
    <row r="31" spans="1:20" ht="49.5" customHeight="1">
      <c r="B31" s="576" t="s">
        <v>113</v>
      </c>
      <c r="C31" s="577"/>
      <c r="D31" s="578" t="s">
        <v>114</v>
      </c>
      <c r="E31" s="579"/>
      <c r="F31" s="580" t="s">
        <v>115</v>
      </c>
      <c r="G31" s="581"/>
      <c r="H31" s="582" t="s">
        <v>116</v>
      </c>
      <c r="I31" s="583"/>
      <c r="J31" s="584" t="s">
        <v>90</v>
      </c>
      <c r="K31" s="584"/>
      <c r="L31" s="29"/>
      <c r="M31" s="621"/>
      <c r="N31" s="621"/>
    </row>
    <row r="32" spans="1:20" ht="42.75" customHeight="1">
      <c r="A32" s="39" t="s">
        <v>5</v>
      </c>
      <c r="B32" s="220" t="s">
        <v>103</v>
      </c>
      <c r="C32" s="220" t="s">
        <v>104</v>
      </c>
      <c r="D32" s="335" t="s">
        <v>103</v>
      </c>
      <c r="E32" s="336" t="s">
        <v>104</v>
      </c>
      <c r="F32" s="220" t="s">
        <v>103</v>
      </c>
      <c r="G32" s="220" t="s">
        <v>104</v>
      </c>
      <c r="H32" s="336" t="s">
        <v>117</v>
      </c>
      <c r="I32" s="220" t="s">
        <v>9</v>
      </c>
      <c r="J32" s="220" t="s">
        <v>103</v>
      </c>
      <c r="K32" s="220" t="s">
        <v>104</v>
      </c>
      <c r="O32" s="244"/>
      <c r="Q32" s="30"/>
    </row>
    <row r="33" spans="1:15" hidden="1">
      <c r="A33" s="38" t="s">
        <v>12</v>
      </c>
      <c r="B33" s="208">
        <v>0</v>
      </c>
      <c r="C33" s="27" t="s">
        <v>109</v>
      </c>
      <c r="D33" s="209">
        <v>0</v>
      </c>
      <c r="E33" s="209" t="s">
        <v>109</v>
      </c>
      <c r="F33" s="208">
        <v>0</v>
      </c>
      <c r="G33" s="208"/>
      <c r="H33" s="27" t="s">
        <v>109</v>
      </c>
      <c r="I33" s="27"/>
      <c r="J33" s="209">
        <v>0</v>
      </c>
      <c r="K33" s="209"/>
      <c r="L33" s="167" t="s">
        <v>109</v>
      </c>
      <c r="M33" s="174">
        <v>0</v>
      </c>
      <c r="N33" s="208" t="s">
        <v>109</v>
      </c>
    </row>
    <row r="34" spans="1:15" hidden="1">
      <c r="A34" s="38" t="s">
        <v>18</v>
      </c>
      <c r="B34" s="208"/>
      <c r="C34" s="166"/>
      <c r="D34" s="209"/>
      <c r="E34" s="209"/>
      <c r="F34" s="208"/>
      <c r="G34" s="208"/>
      <c r="H34" s="27"/>
      <c r="I34" s="27"/>
      <c r="J34" s="209"/>
      <c r="K34" s="209"/>
      <c r="L34" s="167"/>
      <c r="M34" s="210">
        <f>+F34+J34+B34+D34</f>
        <v>0</v>
      </c>
      <c r="N34" s="210">
        <f>+H34+L34+C34+E34</f>
        <v>0</v>
      </c>
    </row>
    <row r="35" spans="1:15" hidden="1">
      <c r="A35" s="38" t="s">
        <v>19</v>
      </c>
      <c r="B35" s="184"/>
      <c r="C35" s="184"/>
      <c r="D35" s="205">
        <v>0</v>
      </c>
      <c r="E35" s="206"/>
      <c r="F35" s="208"/>
      <c r="G35" s="208"/>
      <c r="H35" s="27"/>
      <c r="I35" s="27"/>
      <c r="J35" s="209"/>
      <c r="K35" s="209"/>
      <c r="L35" s="167"/>
      <c r="M35" s="210">
        <f>+F35+J35+B35+D35</f>
        <v>0</v>
      </c>
      <c r="N35" s="210">
        <f>+H35+L35+C35+E35</f>
        <v>0</v>
      </c>
    </row>
    <row r="36" spans="1:15" hidden="1">
      <c r="A36" s="38" t="s">
        <v>20</v>
      </c>
      <c r="B36" s="167"/>
      <c r="C36" s="166"/>
      <c r="D36" s="205">
        <v>0</v>
      </c>
      <c r="E36" s="205"/>
      <c r="F36" s="167"/>
      <c r="G36" s="167"/>
      <c r="H36" s="167"/>
      <c r="I36" s="167"/>
      <c r="J36" s="209"/>
      <c r="K36" s="209"/>
      <c r="L36" s="167"/>
      <c r="M36" s="210">
        <f>+F36+J36+B36+D36</f>
        <v>0</v>
      </c>
      <c r="N36" s="210">
        <f>+H36+L36+C36+E36</f>
        <v>0</v>
      </c>
    </row>
    <row r="37" spans="1:15" hidden="1">
      <c r="A37" s="24" t="s">
        <v>21</v>
      </c>
      <c r="B37" s="211">
        <f>SUM(B34:B36)</f>
        <v>0</v>
      </c>
      <c r="C37" s="211">
        <f>+SUM(C34:C36)</f>
        <v>0</v>
      </c>
      <c r="D37" s="212">
        <f>SUM(D34:D36)</f>
        <v>0</v>
      </c>
      <c r="E37" s="212">
        <f>SUM(E34:E36)</f>
        <v>0</v>
      </c>
      <c r="F37" s="211">
        <f>SUM(F34:F36)</f>
        <v>0</v>
      </c>
      <c r="G37" s="211"/>
      <c r="H37" s="211">
        <f>+SUM(H34:H36)</f>
        <v>0</v>
      </c>
      <c r="I37" s="211"/>
      <c r="J37" s="212">
        <f>SUM(J34:J36)</f>
        <v>0</v>
      </c>
      <c r="K37" s="212"/>
      <c r="L37" s="211">
        <f>+SUM(L34:L36)</f>
        <v>0</v>
      </c>
      <c r="M37" s="211">
        <f>SUM(M34:M36)</f>
        <v>0</v>
      </c>
      <c r="N37" s="211">
        <f>SUM(N34:N36)</f>
        <v>0</v>
      </c>
    </row>
    <row r="38" spans="1:15" s="421" customFormat="1">
      <c r="A38" s="469" t="s">
        <v>13</v>
      </c>
      <c r="B38" s="485">
        <v>0</v>
      </c>
      <c r="C38" s="523">
        <v>0</v>
      </c>
      <c r="D38" s="485">
        <v>0</v>
      </c>
      <c r="E38" s="485">
        <v>0</v>
      </c>
      <c r="F38" s="485">
        <v>7</v>
      </c>
      <c r="G38" s="484">
        <v>2106262.7999999998</v>
      </c>
      <c r="H38" s="485">
        <v>5</v>
      </c>
      <c r="I38" s="484">
        <v>899341.8</v>
      </c>
      <c r="J38" s="486">
        <v>12</v>
      </c>
      <c r="K38" s="481">
        <v>3005604.6</v>
      </c>
      <c r="L38" s="418"/>
      <c r="M38" s="419"/>
      <c r="N38" s="420"/>
    </row>
    <row r="39" spans="1:15">
      <c r="A39" s="38" t="s">
        <v>15</v>
      </c>
      <c r="B39" s="243">
        <v>0</v>
      </c>
      <c r="C39" s="243">
        <v>0</v>
      </c>
      <c r="D39" s="485">
        <v>0</v>
      </c>
      <c r="E39" s="485">
        <v>0</v>
      </c>
      <c r="F39" s="243">
        <v>0</v>
      </c>
      <c r="G39" s="411">
        <v>0</v>
      </c>
      <c r="H39" s="243">
        <v>0</v>
      </c>
      <c r="I39" s="243">
        <v>0</v>
      </c>
      <c r="J39" s="243">
        <v>0</v>
      </c>
      <c r="K39" s="411">
        <v>0</v>
      </c>
      <c r="L39" s="293"/>
      <c r="M39" s="320"/>
      <c r="N39" s="321"/>
    </row>
    <row r="40" spans="1:15">
      <c r="A40" s="38" t="s">
        <v>16</v>
      </c>
      <c r="B40" s="243">
        <v>0</v>
      </c>
      <c r="C40" s="243">
        <v>0</v>
      </c>
      <c r="D40" s="485">
        <v>0</v>
      </c>
      <c r="E40" s="485">
        <v>0</v>
      </c>
      <c r="F40" s="243">
        <v>0</v>
      </c>
      <c r="G40" s="411">
        <v>0</v>
      </c>
      <c r="H40" s="243">
        <v>0</v>
      </c>
      <c r="I40" s="243">
        <v>0</v>
      </c>
      <c r="J40" s="243">
        <v>0</v>
      </c>
      <c r="K40" s="411">
        <v>0</v>
      </c>
      <c r="L40" s="293"/>
      <c r="M40" s="320"/>
      <c r="N40" s="321"/>
    </row>
    <row r="41" spans="1:15">
      <c r="A41" s="197" t="s">
        <v>17</v>
      </c>
      <c r="B41" s="332">
        <f t="shared" ref="B41:K41" si="1">SUM(B38:B40)</f>
        <v>0</v>
      </c>
      <c r="C41" s="332">
        <f t="shared" si="1"/>
        <v>0</v>
      </c>
      <c r="D41" s="332">
        <f t="shared" si="1"/>
        <v>0</v>
      </c>
      <c r="E41" s="332">
        <f t="shared" si="1"/>
        <v>0</v>
      </c>
      <c r="F41" s="332">
        <f t="shared" si="1"/>
        <v>7</v>
      </c>
      <c r="G41" s="412">
        <f t="shared" si="1"/>
        <v>2106262.7999999998</v>
      </c>
      <c r="H41" s="332">
        <f t="shared" si="1"/>
        <v>5</v>
      </c>
      <c r="I41" s="412">
        <f t="shared" si="1"/>
        <v>899341.8</v>
      </c>
      <c r="J41" s="332">
        <f t="shared" si="1"/>
        <v>12</v>
      </c>
      <c r="K41" s="412">
        <f t="shared" si="1"/>
        <v>3005604.6</v>
      </c>
      <c r="L41" s="497"/>
      <c r="M41" s="497"/>
      <c r="N41" s="498"/>
    </row>
    <row r="42" spans="1:15">
      <c r="A42" s="242"/>
      <c r="B42" s="242"/>
      <c r="C42" s="360" t="e">
        <f>+C41/N41</f>
        <v>#DIV/0!</v>
      </c>
      <c r="D42" s="360"/>
      <c r="E42" s="360" t="e">
        <f>+E41/N41</f>
        <v>#DIV/0!</v>
      </c>
      <c r="F42" s="360"/>
      <c r="G42" s="360"/>
      <c r="H42" s="360" t="e">
        <f>+H41/N41</f>
        <v>#DIV/0!</v>
      </c>
      <c r="I42" s="360"/>
      <c r="J42" s="360"/>
      <c r="K42" s="360"/>
      <c r="L42" s="360" t="e">
        <f>+L41/N41</f>
        <v>#DIV/0!</v>
      </c>
      <c r="M42" s="360"/>
      <c r="N42" s="360" t="e">
        <f>+SUM(C42,H42,L42)</f>
        <v>#DIV/0!</v>
      </c>
      <c r="O42" s="138"/>
    </row>
    <row r="43" spans="1:15" ht="13.5" customHeight="1">
      <c r="A43" s="259" t="s">
        <v>111</v>
      </c>
      <c r="E43" s="151"/>
    </row>
    <row r="48" spans="1:15" ht="38.25" customHeight="1">
      <c r="A48"/>
    </row>
    <row r="49" spans="1:12" hidden="1">
      <c r="A49"/>
    </row>
    <row r="50" spans="1:12">
      <c r="A50"/>
    </row>
    <row r="51" spans="1:12">
      <c r="A51"/>
    </row>
    <row r="52" spans="1:12">
      <c r="A52"/>
    </row>
    <row r="53" spans="1:12">
      <c r="A53"/>
    </row>
    <row r="54" spans="1:12">
      <c r="A54"/>
    </row>
    <row r="55" spans="1:12">
      <c r="A55"/>
    </row>
    <row r="56" spans="1:12" ht="15" customHeight="1">
      <c r="A56"/>
    </row>
    <row r="57" spans="1:12">
      <c r="A57"/>
    </row>
    <row r="58" spans="1:12">
      <c r="A58"/>
    </row>
    <row r="59" spans="1:12">
      <c r="A59"/>
    </row>
    <row r="60" spans="1:12">
      <c r="A60"/>
      <c r="B60"/>
      <c r="C60"/>
      <c r="D60"/>
      <c r="E60"/>
      <c r="F60"/>
      <c r="G60"/>
      <c r="H60"/>
      <c r="I60"/>
      <c r="J60"/>
      <c r="K60"/>
      <c r="L60"/>
    </row>
    <row r="61" spans="1:12">
      <c r="A61"/>
      <c r="B61"/>
      <c r="C61"/>
      <c r="D61"/>
      <c r="E61"/>
      <c r="F61"/>
      <c r="G61"/>
      <c r="H61"/>
      <c r="I61"/>
      <c r="J61"/>
      <c r="K61"/>
      <c r="L61"/>
    </row>
  </sheetData>
  <mergeCells count="17">
    <mergeCell ref="B7:F7"/>
    <mergeCell ref="P7:Q7"/>
    <mergeCell ref="A2:R2"/>
    <mergeCell ref="A3:R3"/>
    <mergeCell ref="A4:R4"/>
    <mergeCell ref="A5:R5"/>
    <mergeCell ref="A6:R6"/>
    <mergeCell ref="M31:N31"/>
    <mergeCell ref="N7:O7"/>
    <mergeCell ref="L7:M7"/>
    <mergeCell ref="H20:J20"/>
    <mergeCell ref="G7:K7"/>
    <mergeCell ref="B31:C31"/>
    <mergeCell ref="D31:E31"/>
    <mergeCell ref="F31:G31"/>
    <mergeCell ref="H31:I31"/>
    <mergeCell ref="J31:K31"/>
  </mergeCells>
  <pageMargins left="0.7" right="0.7" top="0.75" bottom="0.75" header="0.3" footer="0.3"/>
  <pageSetup paperSize="9" scale="49" orientation="landscape" r:id="rId1"/>
  <ignoredErrors>
    <ignoredError sqref="B18 D18 E18 N18 P15:P18 Q15:Q17 J18 L18 C19 H19 M19 O19 Q19 M42 D42 D14:G14 H14:K14 B14:C14 Q14 O14" unlockedFormula="1"/>
    <ignoredError sqref="L14:N14 P14" formula="1" unlockedFormula="1"/>
    <ignoredError sqref="E42 L42 N42 H42 C42" evalError="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1dedf2-7fe3-44f9-874d-7599cd1f9e7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493686329ED34BB3FCA57F9547B145" ma:contentTypeVersion="15" ma:contentTypeDescription="Create a new document." ma:contentTypeScope="" ma:versionID="4ad2ad0628d58af04a36219439df2f1a">
  <xsd:schema xmlns:xsd="http://www.w3.org/2001/XMLSchema" xmlns:xs="http://www.w3.org/2001/XMLSchema" xmlns:p="http://schemas.microsoft.com/office/2006/metadata/properties" xmlns:ns3="5f679dd1-4131-4e79-bfbb-2ef5f7b29f1c" xmlns:ns4="631dedf2-7fe3-44f9-874d-7599cd1f9e78" targetNamespace="http://schemas.microsoft.com/office/2006/metadata/properties" ma:root="true" ma:fieldsID="0a4fd4dab5bf08fef466177875255070" ns3:_="" ns4:_="">
    <xsd:import namespace="5f679dd1-4131-4e79-bfbb-2ef5f7b29f1c"/>
    <xsd:import namespace="631dedf2-7fe3-44f9-874d-7599cd1f9e7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_activity"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79dd1-4131-4e79-bfbb-2ef5f7b29f1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1dedf2-7fe3-44f9-874d-7599cd1f9e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B29A6-FD56-4305-AD98-66C8C88A9453}"/>
</file>

<file path=customXml/itemProps2.xml><?xml version="1.0" encoding="utf-8"?>
<ds:datastoreItem xmlns:ds="http://schemas.openxmlformats.org/officeDocument/2006/customXml" ds:itemID="{2B4720F8-1715-4450-8987-9A5F2A8ECB1A}"/>
</file>

<file path=customXml/itemProps3.xml><?xml version="1.0" encoding="utf-8"?>
<ds:datastoreItem xmlns:ds="http://schemas.openxmlformats.org/officeDocument/2006/customXml" ds:itemID="{9610D8E8-5630-4E86-BA1E-D985097EFB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Roa</dc:creator>
  <cp:keywords/>
  <dc:description/>
  <cp:lastModifiedBy>Jose Odalis Gil Vasquez</cp:lastModifiedBy>
  <cp:revision/>
  <dcterms:created xsi:type="dcterms:W3CDTF">2019-06-03T16:17:46Z</dcterms:created>
  <dcterms:modified xsi:type="dcterms:W3CDTF">2026-01-14T18:20:24Z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0x010100A1493686329ED34BB3FCA57F9547B145</vt:lpwstr>
  </property>
</Properties>
</file>