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2.xml" ContentType="application/vnd.openxmlformats-officedocument.drawing+xml"/>
  <Override PartName="/xl/charts/chart23.xml" ContentType="application/vnd.openxmlformats-officedocument.drawingml.chart+xml"/>
  <Override PartName="/xl/drawings/drawing13.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style8.xml" ContentType="application/vnd.ms-office.chartstyle+xml"/>
  <Override PartName="/xl/charts/colors8.xml" ContentType="application/vnd.ms-office.chartcolorstyle+xml"/>
  <Override PartName="/xl/charts/chart27.xml" ContentType="application/vnd.openxmlformats-officedocument.drawingml.chart+xml"/>
  <Override PartName="/xl/drawings/drawing14.xml" ContentType="application/vnd.openxmlformats-officedocument.drawingml.chartshapes+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3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7.xml" ContentType="application/vnd.openxmlformats-officedocument.drawing+xml"/>
  <Override PartName="/xl/charts/chart34.xml" ContentType="application/vnd.openxmlformats-officedocument.drawingml.chart+xml"/>
  <Override PartName="/xl/charts/style11.xml" ContentType="application/vnd.ms-office.chartstyle+xml"/>
  <Override PartName="/xl/charts/colors11.xml" ContentType="application/vnd.ms-office.chartcolorstyle+xml"/>
  <Override PartName="/xl/charts/chart35.xml" ContentType="application/vnd.openxmlformats-officedocument.drawingml.chart+xml"/>
  <Override PartName="/xl/charts/style12.xml" ContentType="application/vnd.ms-office.chartstyle+xml"/>
  <Override PartName="/xl/charts/colors12.xml" ContentType="application/vnd.ms-office.chartcolorstyle+xml"/>
  <Override PartName="/xl/charts/chart36.xml" ContentType="application/vnd.openxmlformats-officedocument.drawingml.chart+xml"/>
  <Override PartName="/xl/charts/style13.xml" ContentType="application/vnd.ms-office.chartstyle+xml"/>
  <Override PartName="/xl/charts/colors13.xml" ContentType="application/vnd.ms-office.chartcolorstyle+xml"/>
  <Override PartName="/xl/charts/chart37.xml" ContentType="application/vnd.openxmlformats-officedocument.drawingml.chart+xml"/>
  <Override PartName="/xl/charts/style14.xml" ContentType="application/vnd.ms-office.chartstyle+xml"/>
  <Override PartName="/xl/charts/colors14.xml" ContentType="application/vnd.ms-office.chartcolorstyle+xml"/>
  <Override PartName="/xl/charts/chart38.xml" ContentType="application/vnd.openxmlformats-officedocument.drawingml.chart+xml"/>
  <Override PartName="/xl/charts/style15.xml" ContentType="application/vnd.ms-office.chartstyle+xml"/>
  <Override PartName="/xl/charts/colors15.xml" ContentType="application/vnd.ms-office.chartcolorstyle+xml"/>
  <Override PartName="/xl/charts/chart3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4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41.xml" ContentType="application/vnd.openxmlformats-officedocument.drawingml.chart+xml"/>
  <Override PartName="/xl/drawings/drawing20.xml" ContentType="application/vnd.openxmlformats-officedocument.drawing+xml"/>
  <Override PartName="/xl/charts/chart4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1.xml" ContentType="application/vnd.openxmlformats-officedocument.drawing+xml"/>
  <Override PartName="/xl/charts/chart4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charts/chart44.xml" ContentType="application/vnd.openxmlformats-officedocument.drawingml.chart+xml"/>
  <Override PartName="/xl/drawings/drawing24.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hacienda365-my.sharepoint.com/personal/elpena_dgjp_gob_do/Documents/PPP- Elangel/Trabajos Boletin Estadístico/2025/T2/"/>
    </mc:Choice>
  </mc:AlternateContent>
  <xr:revisionPtr revIDLastSave="543" documentId="8_{EBDC79DE-309D-4CC5-AF2A-6D2BE8EBD368}" xr6:coauthVersionLast="47" xr6:coauthVersionMax="47" xr10:uidLastSave="{92996200-F540-45EA-A88B-9FF59498EF41}"/>
  <bookViews>
    <workbookView xWindow="-120" yWindow="-120" windowWidth="29040" windowHeight="15720" xr2:uid="{00000000-000D-0000-FFFF-FFFF00000000}"/>
  </bookViews>
  <sheets>
    <sheet name="Presupuesto Adm." sheetId="1" r:id="rId1"/>
    <sheet name="Afiliados y Cotizantes" sheetId="21" r:id="rId2"/>
    <sheet name="Cotizantes" sheetId="4" r:id="rId3"/>
    <sheet name="Empleador" sheetId="7" r:id="rId4"/>
    <sheet name="Aportes" sheetId="5" r:id="rId5"/>
    <sheet name="Traspaso" sheetId="6" r:id="rId6"/>
    <sheet name="Presupuesto de Pensiones" sheetId="2" r:id="rId7"/>
    <sheet name="Nómina" sheetId="8" r:id="rId8"/>
    <sheet name="Autoseguro" sheetId="22" r:id="rId9"/>
    <sheet name="Movimientos" sheetId="9" r:id="rId10"/>
    <sheet name="Hoja1" sheetId="18" state="hidden" r:id="rId11"/>
    <sheet name="Tipo de Pension" sheetId="12" r:id="rId12"/>
    <sheet name="Modalidad" sheetId="10" r:id="rId13"/>
    <sheet name="Retroactivos" sheetId="11" r:id="rId14"/>
    <sheet name="Reintegros" sheetId="16" state="hidden" r:id="rId15"/>
    <sheet name="Créditos Rechazados" sheetId="17" state="hidden" r:id="rId16"/>
    <sheet name="PUC" sheetId="23" r:id="rId17"/>
    <sheet name="Recuperación Fondos" sheetId="15" r:id="rId18"/>
    <sheet name="Servicios" sheetId="13" r:id="rId19"/>
  </sheets>
  <externalReferences>
    <externalReference r:id="rId20"/>
    <externalReference r:id="rId21"/>
  </externalReferences>
  <definedNames>
    <definedName name="_Toc172020404" localSheetId="8">Autoseguro!$H$9</definedName>
    <definedName name="_xlnm.Print_Area" localSheetId="1">'Afiliados y Cotizantes'!$A$2:$S$79</definedName>
    <definedName name="_xlnm.Print_Area" localSheetId="4">Aportes!$A$1:$D$43</definedName>
    <definedName name="_xlnm.Print_Area" localSheetId="8">Autoseguro!$B$1:$Y$79</definedName>
    <definedName name="_xlnm.Print_Area" localSheetId="2">Cotizantes!$A$1:$K$43</definedName>
    <definedName name="_xlnm.Print_Area" localSheetId="12">Modalidad!$B$1:$S$51</definedName>
    <definedName name="_xlnm.Print_Area" localSheetId="9">Movimientos!$C$1:$S$44</definedName>
    <definedName name="_xlnm.Print_Area" localSheetId="7">Nómina!$B$1:$P$66</definedName>
    <definedName name="_xlnm.Print_Area" localSheetId="6">'Presupuesto de Pensiones'!$B$1:$I$89</definedName>
    <definedName name="_xlnm.Print_Area" localSheetId="17">'Recuperación Fondos'!$B$1:$H$61</definedName>
    <definedName name="_xlnm.Print_Area" localSheetId="13">Retroactivos!$B$1:$K$48</definedName>
    <definedName name="_xlnm.Print_Area" localSheetId="18">Servicios!$A$1:$AA$75</definedName>
    <definedName name="_xlnm.Print_Area" localSheetId="11">'Tipo de Pension'!$B$1:$AI$72</definedName>
    <definedName name="_xlnm.Print_Area" localSheetId="5">Traspaso!$A$1:$I$45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19" i="5"/>
  <c r="C8" i="5"/>
  <c r="D8" i="5" s="1"/>
  <c r="C9" i="5"/>
  <c r="D9" i="5" s="1"/>
  <c r="C10" i="5"/>
  <c r="O33" i="13"/>
  <c r="N9" i="8"/>
  <c r="C19" i="5" l="1"/>
  <c r="O39" i="22"/>
  <c r="N39" i="22"/>
  <c r="M39" i="22"/>
  <c r="L39" i="22"/>
  <c r="I39" i="22"/>
  <c r="C39" i="22"/>
  <c r="D39" i="22"/>
  <c r="E39" i="22"/>
  <c r="F39" i="22"/>
  <c r="K39" i="22"/>
  <c r="H7" i="15"/>
  <c r="K9" i="23" l="1"/>
  <c r="O10" i="10"/>
  <c r="G39" i="22"/>
  <c r="P12" i="22"/>
  <c r="Q11" i="22"/>
  <c r="Q10" i="22"/>
  <c r="Q9" i="22"/>
  <c r="R10" i="22"/>
  <c r="R11" i="22"/>
  <c r="R9" i="22"/>
  <c r="L9" i="8"/>
  <c r="I15" i="2"/>
  <c r="H18" i="2"/>
  <c r="G18" i="2"/>
  <c r="G16" i="2"/>
  <c r="G17" i="2"/>
  <c r="G15" i="2"/>
  <c r="D8" i="21"/>
  <c r="E12" i="23" l="1"/>
  <c r="K10" i="11"/>
  <c r="K11" i="11"/>
  <c r="K9" i="11"/>
  <c r="J10" i="11"/>
  <c r="J11" i="11"/>
  <c r="J9" i="11"/>
  <c r="I10" i="11"/>
  <c r="I11" i="11"/>
  <c r="I9" i="11"/>
  <c r="P10" i="10"/>
  <c r="O12" i="10"/>
  <c r="O11" i="10"/>
  <c r="O13" i="10"/>
  <c r="M13" i="10"/>
  <c r="I13" i="10"/>
  <c r="E13" i="10"/>
  <c r="J13" i="10"/>
  <c r="E17" i="10"/>
  <c r="F17" i="10"/>
  <c r="G17" i="10"/>
  <c r="H17" i="10"/>
  <c r="I17" i="10"/>
  <c r="J17" i="10"/>
  <c r="K17" i="10"/>
  <c r="L17" i="10"/>
  <c r="M17" i="10"/>
  <c r="N17" i="10"/>
  <c r="O17" i="10"/>
  <c r="P17" i="10"/>
  <c r="Q17" i="10"/>
  <c r="R17" i="10"/>
  <c r="D17" i="10"/>
  <c r="M12" i="22"/>
  <c r="H12" i="23"/>
  <c r="G12" i="23"/>
  <c r="F12" i="23"/>
  <c r="D12" i="23"/>
  <c r="C12" i="23"/>
  <c r="K11" i="23"/>
  <c r="J11" i="23"/>
  <c r="I11" i="23"/>
  <c r="K10" i="23"/>
  <c r="J10" i="23"/>
  <c r="I10" i="23"/>
  <c r="J9" i="23"/>
  <c r="I9" i="23"/>
  <c r="K8" i="23"/>
  <c r="J8" i="23"/>
  <c r="I8" i="23"/>
  <c r="R12" i="22" l="1"/>
  <c r="I12" i="23"/>
  <c r="K12" i="23"/>
  <c r="J12" i="23"/>
  <c r="G11" i="21"/>
  <c r="D10" i="21"/>
  <c r="D9" i="21"/>
  <c r="B11" i="21"/>
  <c r="K56" i="12" l="1"/>
  <c r="K33" i="12"/>
  <c r="K34" i="12"/>
  <c r="K35" i="12"/>
  <c r="K36" i="12"/>
  <c r="K37" i="12"/>
  <c r="K38" i="12"/>
  <c r="K39" i="12"/>
  <c r="G67" i="12"/>
  <c r="F18" i="2" l="1"/>
  <c r="K48" i="13" l="1"/>
  <c r="K49" i="13"/>
  <c r="K50" i="13"/>
  <c r="K51" i="13"/>
  <c r="J48" i="13"/>
  <c r="J49" i="13"/>
  <c r="J50" i="13"/>
  <c r="J51" i="13"/>
  <c r="H48" i="13"/>
  <c r="H49" i="13"/>
  <c r="H50" i="13"/>
  <c r="H51" i="13"/>
  <c r="G48" i="13"/>
  <c r="G49" i="13"/>
  <c r="G50" i="13"/>
  <c r="G51" i="13"/>
  <c r="E48" i="13"/>
  <c r="E49" i="13"/>
  <c r="E50" i="13"/>
  <c r="E51" i="13"/>
  <c r="D48" i="13"/>
  <c r="D49" i="13"/>
  <c r="D50" i="13"/>
  <c r="D51" i="13"/>
  <c r="L12" i="13"/>
  <c r="L13" i="13"/>
  <c r="L14" i="13"/>
  <c r="L15" i="13"/>
  <c r="L16" i="13"/>
  <c r="L17" i="13"/>
  <c r="L18" i="13"/>
  <c r="L19" i="13"/>
  <c r="L20" i="13"/>
  <c r="L21" i="13"/>
  <c r="L22" i="13"/>
  <c r="L23" i="13"/>
  <c r="L11" i="13"/>
  <c r="I12" i="13"/>
  <c r="I13" i="13"/>
  <c r="I14" i="13"/>
  <c r="I15" i="13"/>
  <c r="I16" i="13"/>
  <c r="I17" i="13"/>
  <c r="I18" i="13"/>
  <c r="I19" i="13"/>
  <c r="I20" i="13"/>
  <c r="I21" i="13"/>
  <c r="I22" i="13"/>
  <c r="I23" i="13"/>
  <c r="I11" i="13"/>
  <c r="F12" i="13"/>
  <c r="F13" i="13"/>
  <c r="F14" i="13"/>
  <c r="F15" i="13"/>
  <c r="F16" i="13"/>
  <c r="F17" i="13"/>
  <c r="F18" i="13"/>
  <c r="F19" i="13"/>
  <c r="F20" i="13"/>
  <c r="F21" i="13"/>
  <c r="F22" i="13"/>
  <c r="F23" i="13"/>
  <c r="F11" i="13"/>
  <c r="D24" i="13"/>
  <c r="N67" i="13"/>
  <c r="N68" i="13"/>
  <c r="N69" i="13"/>
  <c r="N66" i="13"/>
  <c r="M67" i="13"/>
  <c r="M68" i="13"/>
  <c r="M69" i="13"/>
  <c r="M66" i="13"/>
  <c r="K70" i="13"/>
  <c r="J70" i="13"/>
  <c r="H70" i="13"/>
  <c r="G70" i="13"/>
  <c r="E70" i="13"/>
  <c r="D70" i="13"/>
  <c r="J12" i="22"/>
  <c r="L12" i="22"/>
  <c r="M70" i="13" l="1"/>
  <c r="L45" i="13"/>
  <c r="L37" i="13"/>
  <c r="M48" i="13"/>
  <c r="F42" i="13"/>
  <c r="I51" i="13"/>
  <c r="L49" i="13"/>
  <c r="M49" i="13"/>
  <c r="N51" i="13"/>
  <c r="N39" i="13"/>
  <c r="L44" i="13"/>
  <c r="L43" i="13"/>
  <c r="L42" i="13"/>
  <c r="I39" i="13"/>
  <c r="L41" i="13"/>
  <c r="M51" i="13"/>
  <c r="K52" i="13"/>
  <c r="L40" i="13"/>
  <c r="M39" i="13"/>
  <c r="M50" i="13"/>
  <c r="L51" i="13"/>
  <c r="L39" i="13"/>
  <c r="L50" i="13"/>
  <c r="L38" i="13"/>
  <c r="I45" i="13"/>
  <c r="L48" i="13"/>
  <c r="L36" i="13"/>
  <c r="J52" i="13"/>
  <c r="L47" i="13"/>
  <c r="L35" i="13"/>
  <c r="F41" i="13"/>
  <c r="L46" i="13"/>
  <c r="L34" i="13"/>
  <c r="F50" i="13"/>
  <c r="F38" i="13"/>
  <c r="I41" i="13"/>
  <c r="F49" i="13"/>
  <c r="F37" i="13"/>
  <c r="I40" i="13"/>
  <c r="F48" i="13"/>
  <c r="F36" i="13"/>
  <c r="F47" i="13"/>
  <c r="F35" i="13"/>
  <c r="N50" i="13"/>
  <c r="F46" i="13"/>
  <c r="F34" i="13"/>
  <c r="I49" i="13"/>
  <c r="I37" i="13"/>
  <c r="N49" i="13"/>
  <c r="F45" i="13"/>
  <c r="I48" i="13"/>
  <c r="I36" i="13"/>
  <c r="N48" i="13"/>
  <c r="F44" i="13"/>
  <c r="G52" i="13"/>
  <c r="I47" i="13"/>
  <c r="I35" i="13"/>
  <c r="F43" i="13"/>
  <c r="I46" i="13"/>
  <c r="I34" i="13"/>
  <c r="D52" i="13"/>
  <c r="I44" i="13"/>
  <c r="I43" i="13"/>
  <c r="I42" i="13"/>
  <c r="I50" i="13"/>
  <c r="I38" i="13"/>
  <c r="F40" i="13"/>
  <c r="F51" i="13"/>
  <c r="F39" i="13"/>
  <c r="H52" i="13"/>
  <c r="E52" i="13"/>
  <c r="F33" i="13"/>
  <c r="O11" i="13"/>
  <c r="Q10" i="10"/>
  <c r="Q13" i="10" s="1"/>
  <c r="M10" i="8"/>
  <c r="M11" i="8"/>
  <c r="M9" i="8"/>
  <c r="C11" i="6"/>
  <c r="D9" i="4"/>
  <c r="D10" i="4"/>
  <c r="D8" i="4"/>
  <c r="D11" i="4" s="1"/>
  <c r="M52" i="13" l="1"/>
  <c r="N52" i="13"/>
  <c r="H61" i="12"/>
  <c r="I67" i="12"/>
  <c r="J56" i="12" s="1"/>
  <c r="M56" i="12"/>
  <c r="E67" i="12"/>
  <c r="F60" i="12" s="1"/>
  <c r="M34" i="12"/>
  <c r="M35" i="12"/>
  <c r="M36" i="12"/>
  <c r="M37" i="12"/>
  <c r="M38" i="12"/>
  <c r="M39" i="12"/>
  <c r="M40" i="12"/>
  <c r="M41" i="12"/>
  <c r="M42" i="12"/>
  <c r="M43" i="12"/>
  <c r="M44" i="12"/>
  <c r="M45" i="12"/>
  <c r="M33" i="12"/>
  <c r="K40" i="12"/>
  <c r="K41" i="12"/>
  <c r="K42" i="12"/>
  <c r="K43" i="12"/>
  <c r="K44" i="12"/>
  <c r="K45" i="12"/>
  <c r="G46" i="12"/>
  <c r="H35" i="12" s="1"/>
  <c r="C46" i="12"/>
  <c r="D35" i="12" s="1"/>
  <c r="L10" i="12"/>
  <c r="K10" i="12"/>
  <c r="O52" i="13" l="1"/>
  <c r="H38" i="12"/>
  <c r="H34" i="12"/>
  <c r="H33" i="12"/>
  <c r="H45" i="12"/>
  <c r="H44" i="12"/>
  <c r="F65" i="12"/>
  <c r="F59" i="12"/>
  <c r="M46" i="12"/>
  <c r="F64" i="12"/>
  <c r="F58" i="12"/>
  <c r="H40" i="12"/>
  <c r="D41" i="12"/>
  <c r="F63" i="12"/>
  <c r="F57" i="12"/>
  <c r="J57" i="12"/>
  <c r="H39" i="12"/>
  <c r="K46" i="12"/>
  <c r="L34" i="12" s="1"/>
  <c r="F62" i="12"/>
  <c r="F56" i="12"/>
  <c r="F61" i="12"/>
  <c r="F66" i="12"/>
  <c r="J60" i="12"/>
  <c r="J62" i="12"/>
  <c r="J61" i="12"/>
  <c r="J66" i="12"/>
  <c r="J65" i="12"/>
  <c r="J59" i="12"/>
  <c r="J64" i="12"/>
  <c r="J58" i="12"/>
  <c r="J63" i="12"/>
  <c r="H66" i="12"/>
  <c r="H60" i="12"/>
  <c r="H57" i="12"/>
  <c r="H65" i="12"/>
  <c r="H59" i="12"/>
  <c r="H64" i="12"/>
  <c r="H58" i="12"/>
  <c r="H62" i="12"/>
  <c r="H63" i="12"/>
  <c r="H56" i="12"/>
  <c r="H43" i="12"/>
  <c r="H37" i="12"/>
  <c r="H42" i="12"/>
  <c r="H36" i="12"/>
  <c r="H41" i="12"/>
  <c r="D33" i="12"/>
  <c r="D40" i="12"/>
  <c r="D34" i="12"/>
  <c r="D45" i="12"/>
  <c r="D39" i="12"/>
  <c r="D44" i="12"/>
  <c r="D38" i="12"/>
  <c r="D43" i="12"/>
  <c r="D37" i="12"/>
  <c r="D42" i="12"/>
  <c r="D36" i="12"/>
  <c r="L36" i="12" l="1"/>
  <c r="L40" i="12"/>
  <c r="L42" i="12"/>
  <c r="L33" i="12"/>
  <c r="L37" i="12"/>
  <c r="L41" i="12"/>
  <c r="L38" i="12"/>
  <c r="L44" i="12"/>
  <c r="L45" i="12"/>
  <c r="N37" i="12"/>
  <c r="N43" i="12"/>
  <c r="N38" i="12"/>
  <c r="N44" i="12"/>
  <c r="N33" i="12"/>
  <c r="L35" i="12"/>
  <c r="L39" i="12"/>
  <c r="N34" i="12"/>
  <c r="N42" i="12"/>
  <c r="N40" i="12"/>
  <c r="N35" i="12"/>
  <c r="N39" i="12"/>
  <c r="N41" i="12"/>
  <c r="L43" i="12"/>
  <c r="N45" i="12"/>
  <c r="N36" i="12"/>
  <c r="L46" i="12" l="1"/>
  <c r="N46" i="12"/>
  <c r="M10" i="12" l="1"/>
  <c r="M11" i="12"/>
  <c r="M12" i="12"/>
  <c r="M13" i="12"/>
  <c r="M14" i="12"/>
  <c r="M15" i="12"/>
  <c r="M16" i="12"/>
  <c r="M17" i="12"/>
  <c r="M18" i="12"/>
  <c r="K11" i="12"/>
  <c r="K12" i="12"/>
  <c r="K13" i="12"/>
  <c r="K14" i="12"/>
  <c r="K15" i="12"/>
  <c r="K16" i="12"/>
  <c r="K17" i="12"/>
  <c r="K18" i="12"/>
  <c r="J10" i="12"/>
  <c r="G19" i="12"/>
  <c r="H10" i="12" l="1"/>
  <c r="H11" i="12"/>
  <c r="H12" i="12"/>
  <c r="H13" i="12"/>
  <c r="H14" i="12"/>
  <c r="H15" i="12"/>
  <c r="H16" i="12"/>
  <c r="H17" i="12"/>
  <c r="H18" i="12"/>
  <c r="J11" i="12"/>
  <c r="J16" i="12"/>
  <c r="J15" i="12"/>
  <c r="J14" i="12"/>
  <c r="J13" i="12"/>
  <c r="J18" i="12"/>
  <c r="J12" i="12"/>
  <c r="J17" i="12"/>
  <c r="H19" i="12" l="1"/>
  <c r="N24" i="13" l="1"/>
  <c r="M24" i="13"/>
  <c r="O12" i="13"/>
  <c r="O13" i="13"/>
  <c r="O14" i="13"/>
  <c r="O15" i="13"/>
  <c r="O16" i="13"/>
  <c r="O17" i="13"/>
  <c r="O18" i="13"/>
  <c r="O19" i="13"/>
  <c r="O20" i="13"/>
  <c r="O21" i="13"/>
  <c r="O22" i="13"/>
  <c r="O23" i="13"/>
  <c r="O24" i="13" l="1"/>
  <c r="C11" i="21"/>
  <c r="E11" i="21"/>
  <c r="N70" i="13"/>
  <c r="O44" i="13" l="1"/>
  <c r="O45" i="13"/>
  <c r="O46" i="13"/>
  <c r="O47" i="13"/>
  <c r="O48" i="13"/>
  <c r="O49" i="13"/>
  <c r="O50" i="13"/>
  <c r="O51" i="13"/>
  <c r="O34" i="13"/>
  <c r="O35" i="13"/>
  <c r="O36" i="13"/>
  <c r="O37" i="13"/>
  <c r="O38" i="13"/>
  <c r="O39" i="13"/>
  <c r="O40" i="13"/>
  <c r="O41" i="13"/>
  <c r="O42" i="13"/>
  <c r="H8" i="15" l="1"/>
  <c r="H9" i="15"/>
  <c r="F10" i="15"/>
  <c r="E10" i="15"/>
  <c r="D10" i="15"/>
  <c r="C10" i="15"/>
  <c r="F12" i="11"/>
  <c r="C12" i="11"/>
  <c r="E16" i="11"/>
  <c r="F16" i="11"/>
  <c r="E20" i="11"/>
  <c r="F20" i="11"/>
  <c r="E24" i="11"/>
  <c r="F24" i="11"/>
  <c r="E28" i="11"/>
  <c r="F28" i="11"/>
  <c r="H13" i="10"/>
  <c r="D13" i="10"/>
  <c r="F13" i="10"/>
  <c r="L13" i="10"/>
  <c r="N13" i="10"/>
  <c r="K13" i="10"/>
  <c r="R12" i="10"/>
  <c r="R11" i="10"/>
  <c r="R10" i="10"/>
  <c r="Q11" i="10"/>
  <c r="Q12" i="10"/>
  <c r="P11" i="10"/>
  <c r="P12" i="10"/>
  <c r="G13" i="10"/>
  <c r="C13" i="10"/>
  <c r="S12" i="10" l="1"/>
  <c r="R13" i="10"/>
  <c r="S10" i="10"/>
  <c r="G12" i="11"/>
  <c r="S11" i="10"/>
  <c r="H12" i="11"/>
  <c r="D12" i="11"/>
  <c r="P13" i="10"/>
  <c r="G10" i="15"/>
  <c r="H10" i="15" s="1"/>
  <c r="I12" i="11"/>
  <c r="J12" i="11"/>
  <c r="E29" i="11"/>
  <c r="K12" i="11"/>
  <c r="E12" i="11"/>
  <c r="F29" i="11"/>
  <c r="S13" i="10" l="1"/>
  <c r="R32" i="10" s="1"/>
  <c r="K12" i="9"/>
  <c r="O12" i="9"/>
  <c r="M12" i="9"/>
  <c r="I12" i="9"/>
  <c r="G12" i="9"/>
  <c r="E12" i="9"/>
  <c r="P32" i="10" l="1"/>
  <c r="S32" i="10" s="1"/>
  <c r="P12" i="9"/>
  <c r="D12" i="9"/>
  <c r="N12" i="9"/>
  <c r="L12" i="9"/>
  <c r="J12" i="9"/>
  <c r="H12" i="9"/>
  <c r="F12" i="9"/>
  <c r="E12" i="22"/>
  <c r="I40" i="22" l="1"/>
  <c r="M40" i="22"/>
  <c r="F40" i="22"/>
  <c r="D40" i="22"/>
  <c r="Q12" i="9"/>
  <c r="O40" i="22" l="1"/>
  <c r="I35" i="22"/>
  <c r="F35" i="22"/>
  <c r="P17" i="22" l="1"/>
  <c r="O12" i="22"/>
  <c r="N12" i="22"/>
  <c r="N17" i="22" s="1"/>
  <c r="D12" i="22"/>
  <c r="C12" i="22"/>
  <c r="K12" i="22"/>
  <c r="I12" i="22"/>
  <c r="I17" i="22" s="1"/>
  <c r="G12" i="22"/>
  <c r="F12" i="22"/>
  <c r="Q12" i="22" l="1"/>
  <c r="D17" i="22"/>
  <c r="R17" i="22" s="1"/>
  <c r="D18" i="2" l="1"/>
  <c r="H12" i="8"/>
  <c r="E12" i="8"/>
  <c r="L10" i="8"/>
  <c r="L11" i="8"/>
  <c r="F12" i="8"/>
  <c r="D12" i="8"/>
  <c r="I12" i="8"/>
  <c r="N10" i="8"/>
  <c r="N11" i="8"/>
  <c r="K12" i="8"/>
  <c r="J12" i="8"/>
  <c r="G12" i="8"/>
  <c r="C12" i="8"/>
  <c r="I16" i="2"/>
  <c r="I17" i="2"/>
  <c r="D14" i="2"/>
  <c r="E14" i="2"/>
  <c r="F14" i="2"/>
  <c r="E18" i="2"/>
  <c r="C18" i="2"/>
  <c r="C14" i="2"/>
  <c r="H13" i="2"/>
  <c r="I13" i="2" s="1"/>
  <c r="D11" i="6"/>
  <c r="D15" i="6"/>
  <c r="D10" i="5"/>
  <c r="D12" i="5"/>
  <c r="D13" i="5"/>
  <c r="B11" i="5"/>
  <c r="C11" i="5" s="1"/>
  <c r="D11" i="5" s="1"/>
  <c r="D8" i="7"/>
  <c r="D9" i="7"/>
  <c r="D10" i="7"/>
  <c r="C11" i="7"/>
  <c r="B11" i="7"/>
  <c r="F8" i="21"/>
  <c r="E9" i="4"/>
  <c r="E10" i="4"/>
  <c r="F8" i="4"/>
  <c r="F9" i="4"/>
  <c r="F10" i="4"/>
  <c r="E8" i="4"/>
  <c r="B11" i="4"/>
  <c r="E11" i="4" s="1"/>
  <c r="C11" i="4"/>
  <c r="N12" i="8" l="1"/>
  <c r="K32" i="8" s="1"/>
  <c r="D28" i="6"/>
  <c r="F11" i="4"/>
  <c r="I18" i="2"/>
  <c r="D11" i="7"/>
  <c r="C29" i="7" s="1"/>
  <c r="M12" i="8"/>
  <c r="L12" i="8"/>
  <c r="G14" i="2"/>
  <c r="H14" i="2"/>
  <c r="I14" i="2" s="1"/>
  <c r="H32" i="8" l="1"/>
  <c r="E32" i="8"/>
  <c r="N32" i="8" s="1"/>
  <c r="B29" i="7"/>
  <c r="F9" i="21"/>
  <c r="F10" i="21"/>
  <c r="F12" i="21"/>
  <c r="D12" i="21"/>
  <c r="C14" i="1"/>
  <c r="B14" i="1"/>
  <c r="E13" i="1"/>
  <c r="F13" i="1" s="1"/>
  <c r="D13" i="1"/>
  <c r="E12" i="1"/>
  <c r="F12" i="1" s="1"/>
  <c r="D12" i="1"/>
  <c r="E11" i="1"/>
  <c r="F11" i="1" s="1"/>
  <c r="D11" i="1"/>
  <c r="D11" i="21" l="1"/>
  <c r="F11" i="21"/>
  <c r="D14" i="1"/>
  <c r="E14" i="1"/>
  <c r="F14" i="1" s="1"/>
  <c r="L69" i="13" l="1"/>
  <c r="I69" i="13"/>
  <c r="F69" i="13"/>
  <c r="L68" i="13"/>
  <c r="I68" i="13"/>
  <c r="F68" i="13"/>
  <c r="L67" i="13"/>
  <c r="I67" i="13"/>
  <c r="F67" i="13"/>
  <c r="L66" i="13"/>
  <c r="I66" i="13"/>
  <c r="F66" i="13"/>
  <c r="I70" i="13" l="1"/>
  <c r="L70" i="13"/>
  <c r="F70" i="13"/>
  <c r="E16" i="8" l="1"/>
  <c r="I16" i="9" l="1"/>
  <c r="H16" i="9"/>
  <c r="G16" i="9"/>
  <c r="F16" i="9"/>
  <c r="D14" i="5" l="1"/>
  <c r="C18" i="1" l="1"/>
  <c r="B18" i="1"/>
  <c r="E10" i="1"/>
  <c r="F10" i="1" s="1"/>
  <c r="D10" i="1"/>
  <c r="R8" i="22" l="1"/>
  <c r="Q8" i="22"/>
  <c r="K16" i="8"/>
  <c r="H16" i="8"/>
  <c r="H11" i="2" l="1"/>
  <c r="J16" i="9" l="1"/>
  <c r="N33" i="22"/>
  <c r="N34" i="22"/>
  <c r="N32" i="22"/>
  <c r="O33" i="22"/>
  <c r="O34" i="22"/>
  <c r="O32" i="22"/>
  <c r="K35" i="22"/>
  <c r="E35" i="22"/>
  <c r="G35" i="22"/>
  <c r="C35" i="22"/>
  <c r="N35" i="22" l="1"/>
  <c r="R14" i="22" l="1"/>
  <c r="R13" i="22"/>
  <c r="Q13" i="22"/>
  <c r="Q14" i="22"/>
  <c r="Q15" i="22"/>
  <c r="R15" i="22"/>
  <c r="K16" i="22"/>
  <c r="B15" i="21" l="1"/>
  <c r="E46" i="12" l="1"/>
  <c r="I46" i="12"/>
  <c r="J33" i="12" l="1"/>
  <c r="J39" i="12"/>
  <c r="J36" i="12"/>
  <c r="J35" i="12"/>
  <c r="J34" i="12"/>
  <c r="J38" i="12"/>
  <c r="J37" i="12"/>
  <c r="J43" i="12"/>
  <c r="J45" i="12"/>
  <c r="J40" i="12"/>
  <c r="J42" i="12"/>
  <c r="J44" i="12"/>
  <c r="J41" i="12"/>
  <c r="F44" i="12"/>
  <c r="F45" i="12"/>
  <c r="F34" i="12"/>
  <c r="F40" i="12"/>
  <c r="F33" i="12"/>
  <c r="F36" i="12"/>
  <c r="F42" i="12"/>
  <c r="F35" i="12"/>
  <c r="F41" i="12"/>
  <c r="F37" i="12"/>
  <c r="F43" i="12"/>
  <c r="F38" i="12"/>
  <c r="F39" i="12"/>
  <c r="K16" i="9"/>
  <c r="M35" i="22"/>
  <c r="D35" i="22"/>
  <c r="O16" i="22"/>
  <c r="M16" i="22"/>
  <c r="F16" i="22"/>
  <c r="E16" i="22"/>
  <c r="C16" i="22"/>
  <c r="Q16" i="22"/>
  <c r="O35" i="22" l="1"/>
  <c r="D13" i="21" l="1"/>
  <c r="F13" i="21"/>
  <c r="D14" i="21"/>
  <c r="F14" i="21"/>
  <c r="C15" i="21"/>
  <c r="E15" i="21"/>
  <c r="G15" i="21"/>
  <c r="D16" i="21"/>
  <c r="F16" i="21"/>
  <c r="D17" i="21"/>
  <c r="F17" i="21"/>
  <c r="D18" i="21"/>
  <c r="F18" i="21"/>
  <c r="B19" i="21"/>
  <c r="B28" i="21" s="1"/>
  <c r="C19" i="21"/>
  <c r="E19" i="21"/>
  <c r="D20" i="21"/>
  <c r="F20" i="21"/>
  <c r="D21" i="21"/>
  <c r="F21" i="21"/>
  <c r="D22" i="21"/>
  <c r="F22" i="21"/>
  <c r="B23" i="21"/>
  <c r="C23" i="21"/>
  <c r="E23" i="21"/>
  <c r="D24" i="21"/>
  <c r="F24" i="21"/>
  <c r="D25" i="21"/>
  <c r="F25" i="21"/>
  <c r="D26" i="21"/>
  <c r="F26" i="21"/>
  <c r="B27" i="21"/>
  <c r="C27" i="21"/>
  <c r="E27" i="21"/>
  <c r="D23" i="21" l="1"/>
  <c r="D19" i="21"/>
  <c r="F19" i="21"/>
  <c r="C28" i="21"/>
  <c r="D28" i="21" s="1"/>
  <c r="F27" i="21"/>
  <c r="D27" i="21"/>
  <c r="F23" i="21"/>
  <c r="E28" i="21"/>
  <c r="F28" i="21" s="1"/>
  <c r="F15" i="21"/>
  <c r="D15" i="21"/>
  <c r="G11" i="15"/>
  <c r="M58" i="12" l="1"/>
  <c r="M59" i="12"/>
  <c r="M60" i="12"/>
  <c r="M61" i="12"/>
  <c r="M62" i="12"/>
  <c r="M63" i="12"/>
  <c r="M64" i="12"/>
  <c r="M65" i="12"/>
  <c r="M66" i="12"/>
  <c r="M57" i="12"/>
  <c r="K58" i="12"/>
  <c r="K59" i="12"/>
  <c r="K60" i="12"/>
  <c r="K61" i="12"/>
  <c r="K62" i="12"/>
  <c r="K63" i="12"/>
  <c r="K64" i="12"/>
  <c r="K65" i="12"/>
  <c r="K66" i="12"/>
  <c r="K57" i="12"/>
  <c r="M67" i="12" l="1"/>
  <c r="K67" i="12"/>
  <c r="L56" i="12" s="1"/>
  <c r="F46" i="12"/>
  <c r="D46" i="12"/>
  <c r="H46" i="12"/>
  <c r="J46" i="12"/>
  <c r="N60" i="12" l="1"/>
  <c r="N56" i="12"/>
  <c r="N57" i="12"/>
  <c r="N58" i="12"/>
  <c r="N62" i="12"/>
  <c r="N64" i="12"/>
  <c r="N63" i="12"/>
  <c r="N65" i="12"/>
  <c r="N59" i="12"/>
  <c r="N61" i="12"/>
  <c r="N66" i="12"/>
  <c r="L66" i="12"/>
  <c r="L60" i="12"/>
  <c r="L63" i="12"/>
  <c r="L58" i="12"/>
  <c r="L59" i="12"/>
  <c r="L61" i="12"/>
  <c r="L57" i="12"/>
  <c r="L65" i="12"/>
  <c r="L62" i="12"/>
  <c r="L64" i="12"/>
  <c r="L11" i="12"/>
  <c r="L12" i="12"/>
  <c r="L13" i="12"/>
  <c r="L14" i="12"/>
  <c r="L15" i="12"/>
  <c r="L16" i="12"/>
  <c r="L17" i="12"/>
  <c r="L18" i="12"/>
  <c r="N67" i="12" l="1"/>
  <c r="L67" i="12"/>
  <c r="C19" i="12"/>
  <c r="E19" i="12"/>
  <c r="F15" i="12" l="1"/>
  <c r="F16" i="12"/>
  <c r="F11" i="12"/>
  <c r="F17" i="12"/>
  <c r="F12" i="12"/>
  <c r="F18" i="12"/>
  <c r="F13" i="12"/>
  <c r="F10" i="12"/>
  <c r="F14" i="12"/>
  <c r="L19" i="12"/>
  <c r="K19" i="12"/>
  <c r="M19" i="12"/>
  <c r="N19" i="12"/>
  <c r="N17" i="12" l="1"/>
  <c r="N11" i="12"/>
  <c r="N10" i="12"/>
  <c r="N13" i="12"/>
  <c r="N18" i="12"/>
  <c r="N16" i="12"/>
  <c r="N14" i="12"/>
  <c r="N15" i="12"/>
  <c r="N12" i="12"/>
  <c r="J19" i="12"/>
  <c r="D19" i="12"/>
  <c r="F19" i="12"/>
  <c r="H16" i="11" l="1"/>
  <c r="G16" i="11"/>
  <c r="D16" i="11"/>
  <c r="C16" i="11"/>
  <c r="L8" i="8"/>
  <c r="M8" i="8"/>
  <c r="N8" i="8"/>
  <c r="G10" i="2"/>
  <c r="H10" i="2" l="1"/>
  <c r="I10" i="2" l="1"/>
  <c r="R9" i="10" l="1"/>
  <c r="Q9" i="10"/>
  <c r="P9" i="10"/>
  <c r="O9" i="10"/>
  <c r="J16" i="8" l="1"/>
  <c r="I16" i="8"/>
  <c r="F16" i="8"/>
  <c r="E17" i="8"/>
  <c r="H17" i="8"/>
  <c r="K17" i="8"/>
  <c r="D15" i="1" l="1"/>
  <c r="I18" i="10" l="1"/>
  <c r="H11" i="15"/>
  <c r="G13" i="15"/>
  <c r="H13" i="15" s="1"/>
  <c r="J16" i="11"/>
  <c r="C17" i="10"/>
  <c r="G16" i="8"/>
  <c r="D16" i="8"/>
  <c r="C16" i="8"/>
  <c r="N13" i="8"/>
  <c r="M13" i="8"/>
  <c r="M16" i="8" s="1"/>
  <c r="L13" i="8"/>
  <c r="L16" i="8" s="1"/>
  <c r="N15" i="8"/>
  <c r="M15" i="8"/>
  <c r="L15" i="8"/>
  <c r="G13" i="2" l="1"/>
  <c r="G11" i="2"/>
  <c r="I11" i="2" l="1"/>
  <c r="D14" i="7"/>
  <c r="D12" i="7"/>
  <c r="D14" i="4"/>
  <c r="F14" i="4" s="1"/>
  <c r="D12" i="4"/>
  <c r="E15" i="1"/>
  <c r="E17" i="1"/>
  <c r="D17" i="1"/>
  <c r="C27" i="2"/>
  <c r="F27" i="2"/>
  <c r="F12" i="4" l="1"/>
  <c r="E12" i="4"/>
  <c r="F15" i="1"/>
  <c r="F17" i="1"/>
  <c r="H12" i="2"/>
  <c r="G27" i="2"/>
  <c r="C28" i="2"/>
  <c r="G12" i="2"/>
  <c r="E14" i="4"/>
  <c r="H27" i="2"/>
  <c r="I27" i="2" s="1"/>
  <c r="F28" i="2"/>
  <c r="I12" i="2" l="1"/>
  <c r="G28" i="2"/>
  <c r="H28" i="2" l="1"/>
  <c r="C72" i="18" l="1"/>
  <c r="D69" i="18" s="1"/>
  <c r="A72" i="18"/>
  <c r="B71" i="18"/>
  <c r="B70" i="18"/>
  <c r="B69" i="18"/>
  <c r="B68" i="18"/>
  <c r="B67" i="18"/>
  <c r="B66" i="18"/>
  <c r="B65" i="18"/>
  <c r="B64" i="18"/>
  <c r="B63" i="18"/>
  <c r="D71" i="18" l="1"/>
  <c r="D65" i="18"/>
  <c r="D68" i="18"/>
  <c r="D66" i="18"/>
  <c r="B72" i="18"/>
  <c r="D63" i="18"/>
  <c r="D70" i="18"/>
  <c r="D64" i="18"/>
  <c r="D67" i="18"/>
  <c r="D72" i="18" l="1"/>
  <c r="G9" i="16" l="1"/>
  <c r="F9" i="16"/>
  <c r="C9" i="16"/>
  <c r="B9" i="16"/>
  <c r="M55" i="12" l="1"/>
  <c r="K55" i="12"/>
  <c r="C67" i="12" l="1"/>
  <c r="D57" i="12" l="1"/>
  <c r="D56" i="12"/>
  <c r="D66" i="12"/>
  <c r="D65" i="12"/>
  <c r="D63" i="12"/>
  <c r="D62" i="12"/>
  <c r="D61" i="12"/>
  <c r="D59" i="12"/>
  <c r="D58" i="12"/>
  <c r="D64" i="12"/>
  <c r="D60" i="12"/>
  <c r="F55" i="12"/>
  <c r="F67" i="12" l="1"/>
  <c r="P39" i="17" l="1"/>
  <c r="N39" i="17"/>
  <c r="P38" i="17"/>
  <c r="N38" i="17"/>
  <c r="P37" i="17"/>
  <c r="N37" i="17"/>
  <c r="P36" i="17"/>
  <c r="N36" i="17"/>
  <c r="P35" i="17"/>
  <c r="N35" i="17"/>
  <c r="P34" i="17"/>
  <c r="N34" i="17"/>
  <c r="P33" i="17"/>
  <c r="N33" i="17"/>
  <c r="P32" i="17"/>
  <c r="N32" i="17"/>
  <c r="G23" i="17"/>
  <c r="F23" i="17"/>
  <c r="E23" i="17"/>
  <c r="D23" i="17"/>
  <c r="C23" i="17"/>
  <c r="B23" i="17"/>
  <c r="I22" i="17"/>
  <c r="H22" i="17"/>
  <c r="I21" i="17"/>
  <c r="H21" i="17"/>
  <c r="I20" i="17"/>
  <c r="H20" i="17"/>
  <c r="G19" i="17"/>
  <c r="F19" i="17"/>
  <c r="E19" i="17"/>
  <c r="D19" i="17"/>
  <c r="C19" i="17"/>
  <c r="B19" i="17"/>
  <c r="I18" i="17"/>
  <c r="H18" i="17"/>
  <c r="I17" i="17"/>
  <c r="H17" i="17"/>
  <c r="I16" i="17"/>
  <c r="H16" i="17"/>
  <c r="G15" i="17"/>
  <c r="F15" i="17"/>
  <c r="E15" i="17"/>
  <c r="D15" i="17"/>
  <c r="C15" i="17"/>
  <c r="B15" i="17"/>
  <c r="I14" i="17"/>
  <c r="H14" i="17"/>
  <c r="I13" i="17"/>
  <c r="H13" i="17"/>
  <c r="I12" i="17"/>
  <c r="H12" i="17"/>
  <c r="G11" i="17"/>
  <c r="G24" i="17" s="1"/>
  <c r="F11" i="17"/>
  <c r="E11" i="17"/>
  <c r="E24" i="17" s="1"/>
  <c r="D11" i="17"/>
  <c r="C11" i="17"/>
  <c r="B11" i="17"/>
  <c r="I10" i="17"/>
  <c r="H10" i="17"/>
  <c r="I9" i="17"/>
  <c r="H9" i="17"/>
  <c r="I8" i="17"/>
  <c r="H8" i="17"/>
  <c r="P39" i="16"/>
  <c r="N39" i="16"/>
  <c r="P38" i="16"/>
  <c r="N38" i="16"/>
  <c r="P37" i="16"/>
  <c r="N37" i="16"/>
  <c r="P36" i="16"/>
  <c r="N36" i="16"/>
  <c r="P35" i="16"/>
  <c r="N35" i="16"/>
  <c r="P34" i="16"/>
  <c r="N34" i="16"/>
  <c r="P33" i="16"/>
  <c r="N33" i="16"/>
  <c r="P32" i="16"/>
  <c r="N32" i="16"/>
  <c r="G23" i="16"/>
  <c r="F23" i="16"/>
  <c r="E23" i="16"/>
  <c r="D23" i="16"/>
  <c r="C23" i="16"/>
  <c r="B23" i="16"/>
  <c r="I22" i="16"/>
  <c r="H22" i="16"/>
  <c r="I21" i="16"/>
  <c r="H21" i="16"/>
  <c r="I20" i="16"/>
  <c r="H20" i="16"/>
  <c r="G19" i="16"/>
  <c r="F19" i="16"/>
  <c r="E19" i="16"/>
  <c r="D19" i="16"/>
  <c r="C19" i="16"/>
  <c r="B19" i="16"/>
  <c r="I18" i="16"/>
  <c r="H18" i="16"/>
  <c r="I17" i="16"/>
  <c r="H17" i="16"/>
  <c r="I16" i="16"/>
  <c r="H16" i="16"/>
  <c r="G15" i="16"/>
  <c r="F15" i="16"/>
  <c r="E15" i="16"/>
  <c r="D15" i="16"/>
  <c r="C15" i="16"/>
  <c r="B15" i="16"/>
  <c r="I14" i="16"/>
  <c r="H14" i="16"/>
  <c r="I13" i="16"/>
  <c r="H13" i="16"/>
  <c r="I12" i="16"/>
  <c r="H12" i="16"/>
  <c r="G11" i="16"/>
  <c r="G24" i="16" s="1"/>
  <c r="F11" i="16"/>
  <c r="E11" i="16"/>
  <c r="E24" i="16" s="1"/>
  <c r="D11" i="16"/>
  <c r="C11" i="16"/>
  <c r="B11" i="16"/>
  <c r="I10" i="16"/>
  <c r="H10" i="16"/>
  <c r="I9" i="16"/>
  <c r="H9" i="16"/>
  <c r="I8" i="16"/>
  <c r="H8" i="16"/>
  <c r="F24" i="16" l="1"/>
  <c r="B24" i="16"/>
  <c r="F24" i="17"/>
  <c r="D24" i="17"/>
  <c r="H15" i="16"/>
  <c r="H11" i="17"/>
  <c r="H15" i="17"/>
  <c r="H19" i="17"/>
  <c r="D24" i="16"/>
  <c r="I11" i="16"/>
  <c r="B24" i="17"/>
  <c r="H23" i="17"/>
  <c r="I11" i="17"/>
  <c r="C24" i="17"/>
  <c r="H11" i="16"/>
  <c r="H19" i="16"/>
  <c r="H23" i="16"/>
  <c r="C24" i="16"/>
  <c r="I19" i="17"/>
  <c r="I15" i="17"/>
  <c r="I23" i="17"/>
  <c r="I15" i="16"/>
  <c r="I23" i="16"/>
  <c r="I19" i="16"/>
  <c r="H24" i="17" l="1"/>
  <c r="I24" i="16"/>
  <c r="I24" i="17"/>
  <c r="H24" i="16"/>
  <c r="B15" i="4"/>
  <c r="D16" i="9" l="1"/>
  <c r="E16" i="1"/>
  <c r="E18" i="1" s="1"/>
  <c r="C15" i="4" l="1"/>
  <c r="E16" i="9" l="1"/>
  <c r="D14" i="15" l="1"/>
  <c r="F14" i="15" l="1"/>
  <c r="E14" i="15"/>
  <c r="C14" i="15"/>
  <c r="C15" i="6"/>
  <c r="B15" i="6"/>
  <c r="C15" i="7"/>
  <c r="B15" i="7"/>
  <c r="B28" i="7" s="1"/>
  <c r="C15" i="5" l="1"/>
  <c r="B28" i="5"/>
  <c r="C28" i="7"/>
  <c r="D55" i="12"/>
  <c r="D67" i="12" s="1"/>
  <c r="D18" i="1"/>
  <c r="C28" i="5" l="1"/>
  <c r="D15" i="5"/>
  <c r="D28" i="5"/>
  <c r="O43" i="13"/>
  <c r="L33" i="13"/>
  <c r="I33" i="13"/>
  <c r="K24" i="13"/>
  <c r="J24" i="13"/>
  <c r="H24" i="13"/>
  <c r="G24" i="13"/>
  <c r="E24" i="13"/>
  <c r="F26" i="15"/>
  <c r="E26" i="15"/>
  <c r="D26" i="15"/>
  <c r="C26" i="15"/>
  <c r="G25" i="15"/>
  <c r="H25" i="15" s="1"/>
  <c r="G24" i="15"/>
  <c r="H24" i="15" s="1"/>
  <c r="G23" i="15"/>
  <c r="H23" i="15" s="1"/>
  <c r="F22" i="15"/>
  <c r="E22" i="15"/>
  <c r="D22" i="15"/>
  <c r="C22" i="15"/>
  <c r="G21" i="15"/>
  <c r="H21" i="15" s="1"/>
  <c r="G20" i="15"/>
  <c r="H20" i="15" s="1"/>
  <c r="G19" i="15"/>
  <c r="H19" i="15" s="1"/>
  <c r="F18" i="15"/>
  <c r="E18" i="15"/>
  <c r="D18" i="15"/>
  <c r="C18" i="15"/>
  <c r="G17" i="15"/>
  <c r="H17" i="15" s="1"/>
  <c r="G16" i="15"/>
  <c r="H16" i="15" s="1"/>
  <c r="G15" i="15"/>
  <c r="H15" i="15" s="1"/>
  <c r="G12" i="15"/>
  <c r="H12" i="15" s="1"/>
  <c r="H28" i="11"/>
  <c r="G28" i="11"/>
  <c r="D28" i="11"/>
  <c r="C28" i="11"/>
  <c r="H24" i="11"/>
  <c r="G24" i="11"/>
  <c r="D24" i="11"/>
  <c r="C24" i="11"/>
  <c r="H20" i="11"/>
  <c r="G20" i="11"/>
  <c r="D20" i="11"/>
  <c r="C20" i="11"/>
  <c r="K16" i="11"/>
  <c r="I16" i="11"/>
  <c r="J30" i="10"/>
  <c r="I30" i="10"/>
  <c r="I31" i="10" s="1"/>
  <c r="H30" i="10"/>
  <c r="G30" i="10"/>
  <c r="G31" i="10" s="1"/>
  <c r="N30" i="10"/>
  <c r="M30" i="10"/>
  <c r="M31" i="10" s="1"/>
  <c r="L30" i="10"/>
  <c r="K30" i="10"/>
  <c r="K31" i="10" s="1"/>
  <c r="F30" i="10"/>
  <c r="E30" i="10"/>
  <c r="E31" i="10" s="1"/>
  <c r="D30" i="10"/>
  <c r="C30" i="10"/>
  <c r="C31" i="10" s="1"/>
  <c r="R29" i="10"/>
  <c r="Q29" i="10"/>
  <c r="P29" i="10"/>
  <c r="O29" i="10"/>
  <c r="R28" i="10"/>
  <c r="Q28" i="10"/>
  <c r="Q30" i="10" s="1"/>
  <c r="Q31" i="10" s="1"/>
  <c r="P28" i="10"/>
  <c r="O28" i="10"/>
  <c r="O30" i="10" s="1"/>
  <c r="O31" i="10" s="1"/>
  <c r="R27" i="10"/>
  <c r="Q27" i="10"/>
  <c r="P27" i="10"/>
  <c r="O27" i="10"/>
  <c r="R26" i="10"/>
  <c r="Q26" i="10"/>
  <c r="P26" i="10"/>
  <c r="O26" i="10"/>
  <c r="J25" i="10"/>
  <c r="I25" i="10"/>
  <c r="H25" i="10"/>
  <c r="G25" i="10"/>
  <c r="N25" i="10"/>
  <c r="M25" i="10"/>
  <c r="L25" i="10"/>
  <c r="K25" i="10"/>
  <c r="F25" i="10"/>
  <c r="E25" i="10"/>
  <c r="D25" i="10"/>
  <c r="C25" i="10"/>
  <c r="R24" i="10"/>
  <c r="Q24" i="10"/>
  <c r="Q25" i="10" s="1"/>
  <c r="P24" i="10"/>
  <c r="O24" i="10"/>
  <c r="O25" i="10" s="1"/>
  <c r="R23" i="10"/>
  <c r="Q23" i="10"/>
  <c r="P23" i="10"/>
  <c r="O23" i="10"/>
  <c r="R22" i="10"/>
  <c r="Q22" i="10"/>
  <c r="P22" i="10"/>
  <c r="O22" i="10"/>
  <c r="J21" i="10"/>
  <c r="I21" i="10"/>
  <c r="H21" i="10"/>
  <c r="G21" i="10"/>
  <c r="N21" i="10"/>
  <c r="M21" i="10"/>
  <c r="L21" i="10"/>
  <c r="K21" i="10"/>
  <c r="F21" i="10"/>
  <c r="E21" i="10"/>
  <c r="D21" i="10"/>
  <c r="C21" i="10"/>
  <c r="R20" i="10"/>
  <c r="Q20" i="10"/>
  <c r="Q21" i="10" s="1"/>
  <c r="P20" i="10"/>
  <c r="O20" i="10"/>
  <c r="O21" i="10" s="1"/>
  <c r="R19" i="10"/>
  <c r="Q19" i="10"/>
  <c r="P19" i="10"/>
  <c r="O19" i="10"/>
  <c r="R18" i="10"/>
  <c r="Q18" i="10"/>
  <c r="P18" i="10"/>
  <c r="O18" i="10"/>
  <c r="H55" i="12"/>
  <c r="O28" i="9"/>
  <c r="N28" i="9"/>
  <c r="M28" i="9"/>
  <c r="L28" i="9"/>
  <c r="K28" i="9"/>
  <c r="J28" i="9"/>
  <c r="E28" i="9"/>
  <c r="D28" i="9"/>
  <c r="Q27" i="9"/>
  <c r="P27" i="9"/>
  <c r="Q26" i="9"/>
  <c r="P26" i="9"/>
  <c r="Q25" i="9"/>
  <c r="P25" i="9"/>
  <c r="O24" i="9"/>
  <c r="N24" i="9"/>
  <c r="M24" i="9"/>
  <c r="L24" i="9"/>
  <c r="K24" i="9"/>
  <c r="J24" i="9"/>
  <c r="E24" i="9"/>
  <c r="D24" i="9"/>
  <c r="Q23" i="9"/>
  <c r="P23" i="9"/>
  <c r="Q22" i="9"/>
  <c r="P22" i="9"/>
  <c r="Q21" i="9"/>
  <c r="P21" i="9"/>
  <c r="O20" i="9"/>
  <c r="N20" i="9"/>
  <c r="M20" i="9"/>
  <c r="L20" i="9"/>
  <c r="K20" i="9"/>
  <c r="J20" i="9"/>
  <c r="E20" i="9"/>
  <c r="D20" i="9"/>
  <c r="Q19" i="9"/>
  <c r="P19" i="9"/>
  <c r="Q18" i="9"/>
  <c r="P18" i="9"/>
  <c r="Q17" i="9"/>
  <c r="P17" i="9"/>
  <c r="O16" i="9"/>
  <c r="N16" i="9"/>
  <c r="M16" i="9"/>
  <c r="L16" i="9"/>
  <c r="H29" i="8"/>
  <c r="G29" i="8"/>
  <c r="G30" i="8" s="1"/>
  <c r="F29" i="8"/>
  <c r="F30" i="8" s="1"/>
  <c r="K29" i="8"/>
  <c r="J29" i="8"/>
  <c r="J30" i="8" s="1"/>
  <c r="I29" i="8"/>
  <c r="I30" i="8" s="1"/>
  <c r="E29" i="8"/>
  <c r="D29" i="8"/>
  <c r="D30" i="8" s="1"/>
  <c r="C29" i="8"/>
  <c r="C30" i="8" s="1"/>
  <c r="N28" i="8"/>
  <c r="M28" i="8"/>
  <c r="M29" i="8" s="1"/>
  <c r="M30" i="8" s="1"/>
  <c r="L28" i="8"/>
  <c r="L29" i="8" s="1"/>
  <c r="L30" i="8" s="1"/>
  <c r="N27" i="8"/>
  <c r="M27" i="8"/>
  <c r="L27" i="8"/>
  <c r="N26" i="8"/>
  <c r="M26" i="8"/>
  <c r="L26" i="8"/>
  <c r="N25" i="8"/>
  <c r="M25" i="8"/>
  <c r="L25" i="8"/>
  <c r="H24" i="8"/>
  <c r="G24" i="8"/>
  <c r="F24" i="8"/>
  <c r="K24" i="8"/>
  <c r="J24" i="8"/>
  <c r="I24" i="8"/>
  <c r="E24" i="8"/>
  <c r="D24" i="8"/>
  <c r="C24" i="8"/>
  <c r="N23" i="8"/>
  <c r="M23" i="8"/>
  <c r="M24" i="8" s="1"/>
  <c r="L23" i="8"/>
  <c r="L24" i="8" s="1"/>
  <c r="N22" i="8"/>
  <c r="M22" i="8"/>
  <c r="L22" i="8"/>
  <c r="N21" i="8"/>
  <c r="M21" i="8"/>
  <c r="L21" i="8"/>
  <c r="H20" i="8"/>
  <c r="G20" i="8"/>
  <c r="F20" i="8"/>
  <c r="K20" i="8"/>
  <c r="J20" i="8"/>
  <c r="I20" i="8"/>
  <c r="E20" i="8"/>
  <c r="D20" i="8"/>
  <c r="C20" i="8"/>
  <c r="N19" i="8"/>
  <c r="M19" i="8"/>
  <c r="M20" i="8" s="1"/>
  <c r="L19" i="8"/>
  <c r="L20" i="8" s="1"/>
  <c r="N18" i="8"/>
  <c r="M18" i="8"/>
  <c r="L18" i="8"/>
  <c r="N17" i="8"/>
  <c r="M17" i="8"/>
  <c r="L17" i="8"/>
  <c r="N14" i="8"/>
  <c r="N16" i="8" s="1"/>
  <c r="M14" i="8"/>
  <c r="L14" i="8"/>
  <c r="C27" i="6"/>
  <c r="B27" i="6"/>
  <c r="C23" i="6"/>
  <c r="B23" i="6"/>
  <c r="C28" i="6"/>
  <c r="B11" i="6"/>
  <c r="B28" i="6" s="1"/>
  <c r="B27" i="5"/>
  <c r="C26" i="5"/>
  <c r="D26" i="5" s="1"/>
  <c r="C25" i="5"/>
  <c r="D25" i="5" s="1"/>
  <c r="C24" i="5"/>
  <c r="D24" i="5" s="1"/>
  <c r="B23" i="5"/>
  <c r="C22" i="5"/>
  <c r="D22" i="5" s="1"/>
  <c r="C21" i="5"/>
  <c r="D21" i="5" s="1"/>
  <c r="C20" i="5"/>
  <c r="D20" i="5" s="1"/>
  <c r="C18" i="5"/>
  <c r="D18" i="5" s="1"/>
  <c r="C17" i="5"/>
  <c r="D17" i="5" s="1"/>
  <c r="D16" i="5"/>
  <c r="C27" i="7"/>
  <c r="B27" i="7"/>
  <c r="D26" i="7"/>
  <c r="D25" i="7"/>
  <c r="D24" i="7"/>
  <c r="C23" i="7"/>
  <c r="B23" i="7"/>
  <c r="D22" i="7"/>
  <c r="D21" i="7"/>
  <c r="D20" i="7"/>
  <c r="C19" i="7"/>
  <c r="B19" i="7"/>
  <c r="D18" i="7"/>
  <c r="D17" i="7"/>
  <c r="D16" i="7"/>
  <c r="D13" i="7"/>
  <c r="C27" i="4"/>
  <c r="C28" i="4" s="1"/>
  <c r="B27" i="4"/>
  <c r="B28" i="4" s="1"/>
  <c r="D26" i="4"/>
  <c r="F26" i="4" s="1"/>
  <c r="D25" i="4"/>
  <c r="D24" i="4"/>
  <c r="F24" i="4" s="1"/>
  <c r="F27" i="4" s="1"/>
  <c r="C23" i="4"/>
  <c r="B23" i="4"/>
  <c r="D22" i="4"/>
  <c r="F22" i="4" s="1"/>
  <c r="D21" i="4"/>
  <c r="F21" i="4" s="1"/>
  <c r="D20" i="4"/>
  <c r="F20" i="4" s="1"/>
  <c r="F23" i="4" s="1"/>
  <c r="C19" i="4"/>
  <c r="B19" i="4"/>
  <c r="D18" i="4"/>
  <c r="E18" i="4" s="1"/>
  <c r="D17" i="4"/>
  <c r="E17" i="4" s="1"/>
  <c r="D16" i="4"/>
  <c r="F16" i="4" s="1"/>
  <c r="F19" i="4" s="1"/>
  <c r="D13" i="4"/>
  <c r="E31" i="1"/>
  <c r="C31" i="1"/>
  <c r="B31" i="1"/>
  <c r="F30" i="1"/>
  <c r="D30" i="1"/>
  <c r="F29" i="1"/>
  <c r="D29" i="1"/>
  <c r="F28" i="1"/>
  <c r="D28" i="1"/>
  <c r="F27" i="1"/>
  <c r="D27" i="1"/>
  <c r="E26" i="1"/>
  <c r="C26" i="1"/>
  <c r="B26" i="1"/>
  <c r="F25" i="1"/>
  <c r="D25" i="1"/>
  <c r="F24" i="1"/>
  <c r="D24" i="1"/>
  <c r="F23" i="1"/>
  <c r="D23" i="1"/>
  <c r="E22" i="1"/>
  <c r="C22" i="1"/>
  <c r="B22" i="1"/>
  <c r="F21" i="1"/>
  <c r="D21" i="1"/>
  <c r="F20" i="1"/>
  <c r="D20" i="1"/>
  <c r="F19" i="1"/>
  <c r="D19" i="1"/>
  <c r="F16" i="1"/>
  <c r="D16" i="1"/>
  <c r="D29" i="9" l="1"/>
  <c r="I24" i="13"/>
  <c r="T17" i="10"/>
  <c r="C32" i="1"/>
  <c r="C27" i="15"/>
  <c r="E27" i="15"/>
  <c r="L24" i="13"/>
  <c r="F52" i="13"/>
  <c r="E29" i="9"/>
  <c r="L52" i="13"/>
  <c r="F17" i="4"/>
  <c r="L29" i="9"/>
  <c r="J29" i="9"/>
  <c r="P24" i="9"/>
  <c r="D31" i="1"/>
  <c r="I52" i="13"/>
  <c r="J20" i="11"/>
  <c r="N29" i="9"/>
  <c r="P28" i="9"/>
  <c r="D27" i="15"/>
  <c r="D26" i="1"/>
  <c r="C27" i="5"/>
  <c r="D27" i="5" s="1"/>
  <c r="O29" i="9"/>
  <c r="H29" i="11"/>
  <c r="K24" i="11"/>
  <c r="F24" i="13"/>
  <c r="F26" i="1"/>
  <c r="F31" i="1"/>
  <c r="D27" i="7"/>
  <c r="P20" i="9"/>
  <c r="E16" i="4"/>
  <c r="E19" i="4" s="1"/>
  <c r="E24" i="4"/>
  <c r="E27" i="4" s="1"/>
  <c r="D23" i="7"/>
  <c r="F18" i="4"/>
  <c r="D15" i="4"/>
  <c r="D19" i="4"/>
  <c r="U47" i="8"/>
  <c r="U44" i="8"/>
  <c r="L31" i="10"/>
  <c r="B32" i="1"/>
  <c r="D27" i="4"/>
  <c r="D28" i="4" s="1"/>
  <c r="E26" i="4"/>
  <c r="F27" i="15"/>
  <c r="Q28" i="9"/>
  <c r="D19" i="7"/>
  <c r="T35" i="8"/>
  <c r="T47" i="8"/>
  <c r="T44" i="8"/>
  <c r="Q20" i="9"/>
  <c r="Q24" i="9"/>
  <c r="I24" i="11"/>
  <c r="D15" i="7"/>
  <c r="E21" i="4"/>
  <c r="G18" i="15"/>
  <c r="H18" i="15" s="1"/>
  <c r="G22" i="15"/>
  <c r="H22" i="15" s="1"/>
  <c r="G26" i="15"/>
  <c r="H26" i="15" s="1"/>
  <c r="D22" i="1"/>
  <c r="D23" i="4"/>
  <c r="C23" i="5"/>
  <c r="D23" i="5" s="1"/>
  <c r="K29" i="9"/>
  <c r="P21" i="10"/>
  <c r="F22" i="1"/>
  <c r="E25" i="4"/>
  <c r="E28" i="4" s="1"/>
  <c r="J31" i="10"/>
  <c r="E20" i="4"/>
  <c r="E23" i="4" s="1"/>
  <c r="E22" i="4"/>
  <c r="F25" i="4"/>
  <c r="F28" i="4" s="1"/>
  <c r="M29" i="9"/>
  <c r="G29" i="11"/>
  <c r="I20" i="11"/>
  <c r="J24" i="11"/>
  <c r="I28" i="11"/>
  <c r="K28" i="11"/>
  <c r="N31" i="10"/>
  <c r="P30" i="10"/>
  <c r="J28" i="11"/>
  <c r="K20" i="11"/>
  <c r="C29" i="11"/>
  <c r="D29" i="11"/>
  <c r="J55" i="12"/>
  <c r="Q16" i="9"/>
  <c r="T38" i="8"/>
  <c r="E13" i="4"/>
  <c r="E15" i="4" s="1"/>
  <c r="F13" i="4"/>
  <c r="R25" i="10"/>
  <c r="H31" i="10"/>
  <c r="R30" i="10"/>
  <c r="R21" i="10"/>
  <c r="P25" i="10"/>
  <c r="F31" i="10"/>
  <c r="G14" i="15"/>
  <c r="P16" i="9"/>
  <c r="R19" i="8"/>
  <c r="N20" i="8"/>
  <c r="K30" i="8"/>
  <c r="N24" i="8"/>
  <c r="N29" i="8"/>
  <c r="R14" i="8"/>
  <c r="F18" i="1"/>
  <c r="H67" i="12"/>
  <c r="U38" i="8"/>
  <c r="U35" i="8"/>
  <c r="E30" i="8"/>
  <c r="H30" i="8"/>
  <c r="D19" i="5"/>
  <c r="D28" i="7" l="1"/>
  <c r="Q29" i="9"/>
  <c r="D32" i="1"/>
  <c r="J29" i="11"/>
  <c r="P29" i="9"/>
  <c r="V47" i="8"/>
  <c r="V44" i="8"/>
  <c r="V38" i="8"/>
  <c r="V35" i="8"/>
  <c r="H31" i="8"/>
  <c r="N30" i="8"/>
  <c r="I29" i="11"/>
  <c r="P31" i="10"/>
  <c r="K31" i="8"/>
  <c r="K29" i="11"/>
  <c r="R31" i="10"/>
  <c r="F15" i="4"/>
  <c r="E31" i="8"/>
  <c r="J67" i="12"/>
  <c r="E32" i="1"/>
  <c r="F32" i="1" s="1"/>
  <c r="H14" i="15"/>
  <c r="G27" i="15"/>
  <c r="H27" i="15" s="1"/>
  <c r="V13" i="8" l="1"/>
  <c r="W15" i="8"/>
  <c r="D31" i="10" l="1"/>
  <c r="D16" i="22" l="1"/>
  <c r="G16" i="22"/>
  <c r="I16" i="22"/>
  <c r="N16" i="22"/>
  <c r="P16" i="22"/>
  <c r="R16" i="22"/>
</calcChain>
</file>

<file path=xl/sharedStrings.xml><?xml version="1.0" encoding="utf-8"?>
<sst xmlns="http://schemas.openxmlformats.org/spreadsheetml/2006/main" count="950" uniqueCount="312">
  <si>
    <t>Dirección General de Jubilaciones y Pensiones a Cargo del Estado</t>
  </si>
  <si>
    <t>Departamento Administrativo y Financiero</t>
  </si>
  <si>
    <t>Ejecución Presupuesto Administrativo</t>
  </si>
  <si>
    <t>Estadísticas Trimestre abril-junio</t>
  </si>
  <si>
    <t>Año 2025</t>
  </si>
  <si>
    <t>Mes</t>
  </si>
  <si>
    <t>Presupuesto Programado</t>
  </si>
  <si>
    <t>Presupuesto Ejecutado</t>
  </si>
  <si>
    <t>Restante</t>
  </si>
  <si>
    <t>Monto</t>
  </si>
  <si>
    <t>Absoluto (RD$)</t>
  </si>
  <si>
    <t>Relativo</t>
  </si>
  <si>
    <t>Regalía</t>
  </si>
  <si>
    <t>Junio</t>
  </si>
  <si>
    <t>Mayo</t>
  </si>
  <si>
    <t>Abril</t>
  </si>
  <si>
    <t>2do Trimestre</t>
  </si>
  <si>
    <t>Marzo</t>
  </si>
  <si>
    <t>Febrero</t>
  </si>
  <si>
    <t>Enero</t>
  </si>
  <si>
    <t>1er Trimestre</t>
  </si>
  <si>
    <t xml:space="preserve">Julio </t>
  </si>
  <si>
    <t>Agosto</t>
  </si>
  <si>
    <t>Septiembre</t>
  </si>
  <si>
    <t>3er Trimestre</t>
  </si>
  <si>
    <t>Octubre</t>
  </si>
  <si>
    <t>Noviembre</t>
  </si>
  <si>
    <t>Diciembre</t>
  </si>
  <si>
    <t>4to Trimestre</t>
  </si>
  <si>
    <t>Total</t>
  </si>
  <si>
    <r>
      <t xml:space="preserve">Fuente: </t>
    </r>
    <r>
      <rPr>
        <sz val="8"/>
        <color rgb="FF000000"/>
        <rFont val="Calibri"/>
        <family val="2"/>
        <scheme val="minor"/>
      </rPr>
      <t>SIGEF, Departamento Financiero.</t>
    </r>
  </si>
  <si>
    <t>División de Seguimiento al Sistema de Reparto</t>
  </si>
  <si>
    <t>Afiliados y Cotizantes</t>
  </si>
  <si>
    <t>Afiliados al Sistema de Reparto</t>
  </si>
  <si>
    <t>Cotizantes</t>
  </si>
  <si>
    <t>% Cotizantes</t>
  </si>
  <si>
    <t>No Cotizantes</t>
  </si>
  <si>
    <t>% No Cotizantes</t>
  </si>
  <si>
    <t>Afiliados Policia Nacional</t>
  </si>
  <si>
    <t>Junio*</t>
  </si>
  <si>
    <t>Promedio
2do Trimestre</t>
  </si>
  <si>
    <t>Promedio 1er Trimestre</t>
  </si>
  <si>
    <t>Julio</t>
  </si>
  <si>
    <t>Promedio
3er Trimestre</t>
  </si>
  <si>
    <t>Promedio
4to Trimestre</t>
  </si>
  <si>
    <r>
      <rPr>
        <b/>
        <sz val="8"/>
        <color theme="1"/>
        <rFont val="Calibri"/>
        <family val="2"/>
      </rPr>
      <t>Nota:</t>
    </r>
    <r>
      <rPr>
        <sz val="8"/>
        <color theme="1"/>
        <rFont val="Calibri"/>
        <family val="2"/>
      </rPr>
      <t xml:space="preserve"> Datos del mes de junio son proyectados. </t>
    </r>
  </si>
  <si>
    <r>
      <rPr>
        <b/>
        <sz val="8"/>
        <color rgb="FF000000"/>
        <rFont val="Calibri"/>
        <family val="2"/>
      </rPr>
      <t>Fuente:</t>
    </r>
    <r>
      <rPr>
        <sz val="8"/>
        <color rgb="FF000000"/>
        <rFont val="Calibri"/>
        <family val="2"/>
      </rPr>
      <t xml:space="preserve"> Departamento de Gestión del Sistema de Reparto y Control de Pensionados.</t>
    </r>
  </si>
  <si>
    <t xml:space="preserve"> </t>
  </si>
  <si>
    <t>Distribución de Cotizantes por Tipo de Empleador</t>
  </si>
  <si>
    <t>Cantidad de Cotizantes por Tipo de Empleador</t>
  </si>
  <si>
    <t xml:space="preserve">Público 
</t>
  </si>
  <si>
    <t>Privado</t>
  </si>
  <si>
    <t>% Público</t>
  </si>
  <si>
    <t>% Privado</t>
  </si>
  <si>
    <t>Promedio
1er Trimestre</t>
  </si>
  <si>
    <r>
      <rPr>
        <b/>
        <sz val="8"/>
        <color rgb="FF000000"/>
        <rFont val="Calibri"/>
        <family val="2"/>
      </rPr>
      <t>Fuente:</t>
    </r>
    <r>
      <rPr>
        <sz val="8"/>
        <color indexed="8"/>
        <rFont val="Calibri"/>
        <family val="2"/>
      </rPr>
      <t xml:space="preserve"> Data extraída de UNIPAGO, analizada por la División de Seguimiento al Sistema de Reparto</t>
    </r>
  </si>
  <si>
    <r>
      <t xml:space="preserve">Nota:  </t>
    </r>
    <r>
      <rPr>
        <sz val="8"/>
        <color theme="1"/>
        <rFont val="Calibri"/>
        <family val="2"/>
      </rPr>
      <t xml:space="preserve">Datos mes de junio son proyectados </t>
    </r>
  </si>
  <si>
    <t>Individualización por tipo de Empleador</t>
  </si>
  <si>
    <t>Individualización de aportes por tipo de Empleador</t>
  </si>
  <si>
    <t>Público (RD$)</t>
  </si>
  <si>
    <t>Privado (RD$)</t>
  </si>
  <si>
    <t>Total (RD$)</t>
  </si>
  <si>
    <t>Porcentaje</t>
  </si>
  <si>
    <r>
      <rPr>
        <b/>
        <sz val="8"/>
        <color theme="1"/>
        <rFont val="Calibri"/>
        <family val="2"/>
      </rPr>
      <t>Nota:</t>
    </r>
    <r>
      <rPr>
        <sz val="8"/>
        <color theme="1"/>
        <rFont val="Calibri"/>
        <family val="2"/>
      </rPr>
      <t xml:space="preserve"> El mes de junio es proyectado</t>
    </r>
  </si>
  <si>
    <t>Distribución de Aportes</t>
  </si>
  <si>
    <t>Cantidad de Aportes</t>
  </si>
  <si>
    <t>Δ Absoluta</t>
  </si>
  <si>
    <t>Δ Relativa</t>
  </si>
  <si>
    <r>
      <rPr>
        <b/>
        <sz val="8"/>
        <color theme="1"/>
        <rFont val="Calibri"/>
        <family val="2"/>
        <scheme val="minor"/>
      </rPr>
      <t>Fuente:</t>
    </r>
    <r>
      <rPr>
        <sz val="8"/>
        <color theme="1"/>
        <rFont val="Calibri"/>
        <family val="2"/>
        <scheme val="minor"/>
      </rPr>
      <t xml:space="preserve"> Data extraída de UNIPAGO, analizada por la División de Seguimiento al Sistema de Reparto</t>
    </r>
  </si>
  <si>
    <t>Cantidad de Traspasos</t>
  </si>
  <si>
    <t>Recibidos (SCI a Reparto)</t>
  </si>
  <si>
    <t>Cedidos (Reparto a SCI)</t>
  </si>
  <si>
    <t>Monto Traspasado (RD$)</t>
  </si>
  <si>
    <t>T3</t>
  </si>
  <si>
    <t>T4</t>
  </si>
  <si>
    <r>
      <rPr>
        <b/>
        <sz val="8"/>
        <color indexed="8"/>
        <rFont val="Calibri"/>
        <family val="2"/>
      </rPr>
      <t>Fuente:</t>
    </r>
    <r>
      <rPr>
        <sz val="8"/>
        <color indexed="8"/>
        <rFont val="Calibri"/>
        <family val="2"/>
      </rPr>
      <t xml:space="preserve"> Data extraída de UNIPAGO, analizada por la División de Seguimiento al Sistema de Reparto</t>
    </r>
  </si>
  <si>
    <t>Departamento de Gestión Financiera de Pensiones</t>
  </si>
  <si>
    <t>Ejecución Presupuesto Pensionados</t>
  </si>
  <si>
    <t>Programación Presupuestaria</t>
  </si>
  <si>
    <t>Ejecución Presupuestaria</t>
  </si>
  <si>
    <t>Programación Ordinaria (RD$)</t>
  </si>
  <si>
    <t>Ajuste de Partidas Devengadas</t>
  </si>
  <si>
    <t>Programación Total</t>
  </si>
  <si>
    <t xml:space="preserve"> Ejecutado</t>
  </si>
  <si>
    <r>
      <rPr>
        <b/>
        <sz val="9"/>
        <color theme="1"/>
        <rFont val="Calibri"/>
        <family val="2"/>
        <scheme val="minor"/>
      </rPr>
      <t>Nota 1</t>
    </r>
    <r>
      <rPr>
        <sz val="9"/>
        <color theme="1"/>
        <rFont val="Calibri"/>
        <family val="2"/>
        <scheme val="minor"/>
      </rPr>
      <t xml:space="preserve">: Se presenta la información en base a los trámites gestionados dentro del mes por las distintas divisiones del departamento de Gestión Financiera. </t>
    </r>
  </si>
  <si>
    <r>
      <rPr>
        <b/>
        <sz val="8"/>
        <rFont val="Calibri"/>
        <family val="2"/>
        <scheme val="minor"/>
      </rPr>
      <t>Nota 2</t>
    </r>
    <r>
      <rPr>
        <sz val="8"/>
        <rFont val="Calibri"/>
        <family val="2"/>
        <scheme val="minor"/>
      </rPr>
      <t xml:space="preserve">: El monto de ajuste de partidas devengadas, corresponde a los rechazos en transferencia, reintegro de cheques, recuperaciones y devoluciones de pensiones </t>
    </r>
  </si>
  <si>
    <t>de las diferentes nominas (civil, policia, solidaria y adicionales).</t>
  </si>
  <si>
    <r>
      <rPr>
        <b/>
        <sz val="8"/>
        <rFont val="Calibri"/>
        <family val="2"/>
        <scheme val="minor"/>
      </rPr>
      <t>Nota 3</t>
    </r>
    <r>
      <rPr>
        <sz val="8"/>
        <rFont val="Calibri"/>
        <family val="2"/>
        <scheme val="minor"/>
      </rPr>
      <t xml:space="preserve">: Datos mes de Junio son preliminares. </t>
    </r>
  </si>
  <si>
    <r>
      <rPr>
        <b/>
        <sz val="8"/>
        <color theme="1"/>
        <rFont val="Calibri"/>
        <family val="2"/>
        <scheme val="minor"/>
      </rPr>
      <t>Fuente:</t>
    </r>
    <r>
      <rPr>
        <sz val="8"/>
        <color theme="1"/>
        <rFont val="Calibri"/>
        <family val="2"/>
        <scheme val="minor"/>
      </rPr>
      <t xml:space="preserve"> SIGEF, División de Presupuesto de Pensiones</t>
    </r>
  </si>
  <si>
    <t>Nómina de Pensionados</t>
  </si>
  <si>
    <t>Pensiones Civiles</t>
  </si>
  <si>
    <t>Pensiones Solidarias</t>
  </si>
  <si>
    <t>PN</t>
  </si>
  <si>
    <t>TOTAL</t>
  </si>
  <si>
    <t>Cantidad Pensionados</t>
  </si>
  <si>
    <t>Cantidad Pensiones</t>
  </si>
  <si>
    <t>Enero-Abril 2021</t>
  </si>
  <si>
    <t>Abril-Junio 2019</t>
  </si>
  <si>
    <t xml:space="preserve">Nota: Datos del mes de junio son preliminares </t>
  </si>
  <si>
    <t>Variaciones</t>
  </si>
  <si>
    <t>Pensiones</t>
  </si>
  <si>
    <t>Pensionados</t>
  </si>
  <si>
    <r>
      <rPr>
        <b/>
        <sz val="8"/>
        <color theme="1"/>
        <rFont val="Calibri"/>
        <family val="2"/>
        <scheme val="minor"/>
      </rPr>
      <t>Fuente:</t>
    </r>
    <r>
      <rPr>
        <sz val="8"/>
        <color theme="1"/>
        <rFont val="Calibri"/>
        <family val="2"/>
        <scheme val="minor"/>
      </rPr>
      <t xml:space="preserve"> SJP</t>
    </r>
  </si>
  <si>
    <t>Abril-Junio 2020</t>
  </si>
  <si>
    <t>Nóminas Autoseguro</t>
  </si>
  <si>
    <t>Nómina Mensual Discapacidad Civil</t>
  </si>
  <si>
    <t>Nómina Mensual Discapacidad Policía Nacional</t>
  </si>
  <si>
    <t>Nómina Mensual Sobrevivencia Civil</t>
  </si>
  <si>
    <t>Nómina Mensual Sobrevivencia Policía</t>
  </si>
  <si>
    <t>Cantidad Beneficiarios</t>
  </si>
  <si>
    <t>Monto Bruto
(RD$)</t>
  </si>
  <si>
    <t>AFP
(RD$)</t>
  </si>
  <si>
    <t>SFS
(RD$)</t>
  </si>
  <si>
    <t>Monto Neto
(RD$)</t>
  </si>
  <si>
    <t>Monto
(RD$)</t>
  </si>
  <si>
    <t>-</t>
  </si>
  <si>
    <r>
      <rPr>
        <b/>
        <sz val="8"/>
        <color theme="1"/>
        <rFont val="Calibri"/>
        <family val="2"/>
        <scheme val="minor"/>
      </rPr>
      <t xml:space="preserve">Nota: </t>
    </r>
    <r>
      <rPr>
        <sz val="8"/>
        <color theme="1"/>
        <rFont val="Calibri"/>
        <family val="2"/>
        <scheme val="minor"/>
      </rPr>
      <t xml:space="preserve">Datos del mes de junio son preliminares </t>
    </r>
  </si>
  <si>
    <r>
      <rPr>
        <b/>
        <sz val="8"/>
        <color theme="1"/>
        <rFont val="Calibri"/>
        <family val="2"/>
        <scheme val="minor"/>
      </rPr>
      <t>Fuente</t>
    </r>
    <r>
      <rPr>
        <sz val="8"/>
        <color theme="1"/>
        <rFont val="Calibri"/>
        <family val="2"/>
        <scheme val="minor"/>
      </rPr>
      <t>:  División de Presupuesto de Pensiones</t>
    </r>
  </si>
  <si>
    <t>.</t>
  </si>
  <si>
    <t>Nómina Deuda Retroactiva 
Discapacidad Civil</t>
  </si>
  <si>
    <t>Nómina Deuda Retroactiva
Sobrevivencia Civil</t>
  </si>
  <si>
    <t>Nómina Deuda Retroactiva
Sobrevivencia Policía Nacional</t>
  </si>
  <si>
    <t>Cantidad
 Beneficiarios</t>
  </si>
  <si>
    <t>Movimientos en Nómina</t>
  </si>
  <si>
    <t>TOTAL GENERAL</t>
  </si>
  <si>
    <t>Inclusiones</t>
  </si>
  <si>
    <t>Pensiones por Sobrevivencia</t>
  </si>
  <si>
    <t>Reactivaciones &amp; Reinclusiones</t>
  </si>
  <si>
    <t>Ajustes Monto Pensiones</t>
  </si>
  <si>
    <t>Exclusiones</t>
  </si>
  <si>
    <t>Suspensiones</t>
  </si>
  <si>
    <t>Cantidad</t>
  </si>
  <si>
    <r>
      <rPr>
        <b/>
        <sz val="8"/>
        <color theme="1"/>
        <rFont val="Calibri"/>
        <family val="2"/>
        <scheme val="minor"/>
      </rPr>
      <t>Nota:</t>
    </r>
    <r>
      <rPr>
        <sz val="8"/>
        <color theme="1"/>
        <rFont val="Calibri"/>
        <family val="2"/>
        <scheme val="minor"/>
      </rPr>
      <t xml:space="preserve"> Datos mes de junio son preliminares </t>
    </r>
  </si>
  <si>
    <t>Tipo Cantidad Porcentaje Monto Porcentaje</t>
  </si>
  <si>
    <t>PENSIÓN</t>
  </si>
  <si>
    <t>CIVIL</t>
  </si>
  <si>
    <t>IDSS</t>
  </si>
  <si>
    <t>GLORIAS</t>
  </si>
  <si>
    <t>DEL</t>
  </si>
  <si>
    <t>DEPORTE</t>
  </si>
  <si>
    <t>PABELLÓN</t>
  </si>
  <si>
    <t>DE</t>
  </si>
  <si>
    <t>LA</t>
  </si>
  <si>
    <t>FAMA</t>
  </si>
  <si>
    <t>PODER</t>
  </si>
  <si>
    <t>LEGISLATIVO</t>
  </si>
  <si>
    <t>EJECUTIVO</t>
  </si>
  <si>
    <t>POLICÍA</t>
  </si>
  <si>
    <t>NACIONAL</t>
  </si>
  <si>
    <t>SOLIDARIA</t>
  </si>
  <si>
    <t>PENSION</t>
  </si>
  <si>
    <t>POR</t>
  </si>
  <si>
    <t>SOBREVIVENCIA</t>
  </si>
  <si>
    <t>Rango</t>
  </si>
  <si>
    <t>Cantidad*</t>
  </si>
  <si>
    <t>Monto*</t>
  </si>
  <si>
    <t>Menos</t>
  </si>
  <si>
    <t>de</t>
  </si>
  <si>
    <t>RD$5117.50</t>
  </si>
  <si>
    <t>Igual</t>
  </si>
  <si>
    <t>a</t>
  </si>
  <si>
    <t>RD$5117.51</t>
  </si>
  <si>
    <t>&gt;=100,000.00</t>
  </si>
  <si>
    <t>18-30</t>
  </si>
  <si>
    <t>30-40</t>
  </si>
  <si>
    <t>40-50</t>
  </si>
  <si>
    <t>50-60</t>
  </si>
  <si>
    <t>60-70</t>
  </si>
  <si>
    <t>70-80</t>
  </si>
  <si>
    <t>80-90</t>
  </si>
  <si>
    <t>90-100</t>
  </si>
  <si>
    <t>con</t>
  </si>
  <si>
    <t>Nacimiento</t>
  </si>
  <si>
    <t>Trimestre Abril-Junio
Al 30 de Junio 2021</t>
  </si>
  <si>
    <t xml:space="preserve">Cantidad </t>
  </si>
  <si>
    <t xml:space="preserve">Tipo de Pensión </t>
  </si>
  <si>
    <t>Trimestre abril-junio
Al 30 de junio 2024</t>
  </si>
  <si>
    <t>Trimestre abril-junio
Al 30 de junio 2025</t>
  </si>
  <si>
    <t xml:space="preserve">Tipo  </t>
  </si>
  <si>
    <t>Cantidad 
 Absoluta</t>
  </si>
  <si>
    <t>Porcentual</t>
  </si>
  <si>
    <t>Monto
 Absoluto</t>
  </si>
  <si>
    <t xml:space="preserve"> Porcentual</t>
  </si>
  <si>
    <t>PENSIÓN CIVIL</t>
  </si>
  <si>
    <t>GLORIAS DEL DEPORTE</t>
  </si>
  <si>
    <t>PABELLÓN DE LA FAMA</t>
  </si>
  <si>
    <t>PODER LEGISLATIVO</t>
  </si>
  <si>
    <t>PODER EJECUTIVO</t>
  </si>
  <si>
    <t>POLICÍA NACIONAL</t>
  </si>
  <si>
    <t>PENSIÓN SOLIDARIA</t>
  </si>
  <si>
    <t>PENSION POR SOBREVIVENCIA</t>
  </si>
  <si>
    <t>TOTALES:</t>
  </si>
  <si>
    <r>
      <rPr>
        <b/>
        <sz val="8"/>
        <color theme="1"/>
        <rFont val="Calibri"/>
        <family val="2"/>
        <scheme val="minor"/>
      </rPr>
      <t>Fuente:</t>
    </r>
    <r>
      <rPr>
        <sz val="8"/>
        <color theme="1"/>
        <rFont val="Calibri"/>
        <family val="2"/>
        <scheme val="minor"/>
      </rPr>
      <t xml:space="preserve"> SJP.</t>
    </r>
  </si>
  <si>
    <t>Pensiones por Monto</t>
  </si>
  <si>
    <t>Trimestre abril-junio
Al 30 de junio 2023</t>
  </si>
  <si>
    <t>Por %</t>
  </si>
  <si>
    <t>Cantidad 
(Var Absoluta)</t>
  </si>
  <si>
    <t>Porcentaje
(Var Porcentual)</t>
  </si>
  <si>
    <t>Monto
(Var Absoluta)</t>
  </si>
  <si>
    <t>Menos de RD$5117.50</t>
  </si>
  <si>
    <t>Igual a RD$5117.51</t>
  </si>
  <si>
    <t>5,117.50 - 10,000.00</t>
  </si>
  <si>
    <t>10,000.00 - 20,000.00</t>
  </si>
  <si>
    <t>20,000.00 - 30,000.00</t>
  </si>
  <si>
    <t>30,000.00 - 40,000.00</t>
  </si>
  <si>
    <t>40,000.00 - 50,000.00</t>
  </si>
  <si>
    <t>50,000.00 - 60,000.00</t>
  </si>
  <si>
    <t>60,000.00 - 70,000.00</t>
  </si>
  <si>
    <t>70,000.00 - 80,000.00</t>
  </si>
  <si>
    <t>80,000.00 - 90,000.00</t>
  </si>
  <si>
    <t>90,000.00 - 100,000.00</t>
  </si>
  <si>
    <r>
      <rPr>
        <b/>
        <sz val="8"/>
        <color theme="1"/>
        <rFont val="Calibri"/>
        <family val="2"/>
        <scheme val="minor"/>
      </rPr>
      <t>Nota:</t>
    </r>
    <r>
      <rPr>
        <sz val="8"/>
        <color theme="1"/>
        <rFont val="Calibri"/>
        <family val="2"/>
        <scheme val="minor"/>
      </rPr>
      <t xml:space="preserve"> No incluye los pensionados de la Policía Nacional </t>
    </r>
  </si>
  <si>
    <r>
      <rPr>
        <b/>
        <sz val="8"/>
        <rFont val="Calibri"/>
        <family val="2"/>
        <scheme val="minor"/>
      </rPr>
      <t>Nota 2</t>
    </r>
    <r>
      <rPr>
        <sz val="8"/>
        <rFont val="Calibri"/>
        <family val="2"/>
        <scheme val="minor"/>
      </rPr>
      <t>: Incluye los montos y cantidad de Pensiones Solidarias.</t>
    </r>
  </si>
  <si>
    <r>
      <rPr>
        <b/>
        <sz val="8"/>
        <color theme="1"/>
        <rFont val="Calibri"/>
        <family val="2"/>
        <scheme val="minor"/>
      </rPr>
      <t xml:space="preserve">Fuente: </t>
    </r>
    <r>
      <rPr>
        <sz val="8"/>
        <color theme="1"/>
        <rFont val="Calibri"/>
        <family val="2"/>
        <scheme val="minor"/>
      </rPr>
      <t>SIJUPEN.</t>
    </r>
  </si>
  <si>
    <t>Pensiones por Edad</t>
  </si>
  <si>
    <t xml:space="preserve">Cantidad* </t>
  </si>
  <si>
    <t>Monto
 Absoluta</t>
  </si>
  <si>
    <t>Menos 18 años</t>
  </si>
  <si>
    <t>0-18</t>
  </si>
  <si>
    <t>Sin fecha de nacimiento</t>
  </si>
  <si>
    <r>
      <rPr>
        <b/>
        <sz val="8"/>
        <color rgb="FF000000"/>
        <rFont val="Calibri"/>
        <family val="2"/>
        <scheme val="minor"/>
      </rPr>
      <t>Nota 1:</t>
    </r>
    <r>
      <rPr>
        <sz val="8"/>
        <color rgb="FF000000"/>
        <rFont val="Calibri"/>
        <family val="2"/>
        <scheme val="minor"/>
      </rPr>
      <t xml:space="preserve"> No incluye los pensionados de la Policía Nacional ni los pensionados por pensión solidaria.</t>
    </r>
  </si>
  <si>
    <r>
      <rPr>
        <b/>
        <sz val="8"/>
        <color rgb="FF000000"/>
        <rFont val="Calibri"/>
        <family val="2"/>
        <scheme val="minor"/>
      </rPr>
      <t>Nota 2:</t>
    </r>
    <r>
      <rPr>
        <sz val="8"/>
        <color rgb="FF000000"/>
        <rFont val="Calibri"/>
        <family val="2"/>
        <scheme val="minor"/>
      </rPr>
      <t xml:space="preserve"> Existe una diferencia de 1 pensionado y RD$60,000.00 pesos en el monto, debido a problemas con la sincronización de sistemas.</t>
    </r>
  </si>
  <si>
    <t>Nota: D</t>
  </si>
  <si>
    <t>Modalidad de Pago</t>
  </si>
  <si>
    <t>Electrónico</t>
  </si>
  <si>
    <t>Cheque</t>
  </si>
  <si>
    <t xml:space="preserve">Electrónico </t>
  </si>
  <si>
    <t>Total Monto</t>
  </si>
  <si>
    <t>Cantidad de Pensiones</t>
  </si>
  <si>
    <t>Cantidad  Pensiones</t>
  </si>
  <si>
    <t>Cantidad Electrónico</t>
  </si>
  <si>
    <t>Cantidad Cheque</t>
  </si>
  <si>
    <t>Electrónico Cheque</t>
  </si>
  <si>
    <t>Pago de Retroactivos</t>
  </si>
  <si>
    <t>Cantidad 
Pensionados</t>
  </si>
  <si>
    <t>Cantidad 
Pensiones</t>
  </si>
  <si>
    <t>Regalia</t>
  </si>
  <si>
    <t>Diciembre**</t>
  </si>
  <si>
    <r>
      <rPr>
        <b/>
        <sz val="8"/>
        <color theme="1"/>
        <rFont val="Calibri"/>
        <family val="2"/>
        <scheme val="minor"/>
      </rPr>
      <t xml:space="preserve">Fuente: </t>
    </r>
    <r>
      <rPr>
        <sz val="8"/>
        <color theme="1"/>
        <rFont val="Calibri"/>
        <family val="2"/>
        <scheme val="minor"/>
      </rPr>
      <t xml:space="preserve">Departamento de Gestión Financiera de Pensiones </t>
    </r>
  </si>
  <si>
    <t>Direccion General de Jubilaciones y Pensiones a Cargo del Estado</t>
  </si>
  <si>
    <t>Reintegro de Cheques</t>
  </si>
  <si>
    <t>Estadíticas Trimestre Abril-Junio</t>
  </si>
  <si>
    <t>Año 2021</t>
  </si>
  <si>
    <t>DGJP</t>
  </si>
  <si>
    <t>Cantidad 
de Cheques</t>
  </si>
  <si>
    <t xml:space="preserve"> *Estos totales incluyen las nóminas adicionales de regalía de pensionados inactivos.</t>
  </si>
  <si>
    <t>Fuente: SIJUPEN</t>
  </si>
  <si>
    <t>Créditos Rechazados</t>
  </si>
  <si>
    <t>Estadíticas Trimestre Enero-Marzo</t>
  </si>
  <si>
    <t xml:space="preserve">Cantidad 
</t>
  </si>
  <si>
    <t>Pagos Únicos Compensatorios</t>
  </si>
  <si>
    <t>Estadísticas Trimestre abril - junio</t>
  </si>
  <si>
    <t>2do. Trimestre</t>
  </si>
  <si>
    <r>
      <rPr>
        <b/>
        <sz val="8"/>
        <color theme="1"/>
        <rFont val="Calibri"/>
        <family val="2"/>
        <scheme val="minor"/>
      </rPr>
      <t xml:space="preserve">Fuente: </t>
    </r>
    <r>
      <rPr>
        <sz val="8"/>
        <color theme="1"/>
        <rFont val="Calibri"/>
        <family val="2"/>
        <scheme val="minor"/>
      </rPr>
      <t>Departamento de Gestión Financiera de Pensiones.</t>
    </r>
  </si>
  <si>
    <t>Recuperación de Fondos</t>
  </si>
  <si>
    <t>Cantidad 
Solicitudes</t>
  </si>
  <si>
    <t>Monto 
Recuperado años anteriores
(RD$)</t>
  </si>
  <si>
    <t>Monto Recuperado 
Años en curso
(RD$)</t>
  </si>
  <si>
    <t>Monto total solicitado (RD$)</t>
  </si>
  <si>
    <t>Total 
Recuperado
(RD$)</t>
  </si>
  <si>
    <t>% Recuperado</t>
  </si>
  <si>
    <r>
      <rPr>
        <b/>
        <sz val="8"/>
        <color theme="1"/>
        <rFont val="Calibri"/>
        <family val="2"/>
        <scheme val="minor"/>
      </rPr>
      <t xml:space="preserve">Fuente: </t>
    </r>
    <r>
      <rPr>
        <sz val="8"/>
        <color theme="1"/>
        <rFont val="Calibri"/>
        <family val="2"/>
        <scheme val="minor"/>
      </rPr>
      <t>SJP</t>
    </r>
  </si>
  <si>
    <t>Dirección de Servicios y Trámite de Pensiones</t>
  </si>
  <si>
    <t>Gestión de Servicios a Pensionados</t>
  </si>
  <si>
    <t>Solicitudes Recibidas</t>
  </si>
  <si>
    <t xml:space="preserve">Descripción </t>
  </si>
  <si>
    <t>Recibidas</t>
  </si>
  <si>
    <t>Procesadas</t>
  </si>
  <si>
    <t>% Eficiencia</t>
  </si>
  <si>
    <t>Modificación Datos Críticos</t>
  </si>
  <si>
    <t>Pensión por sobrevivencia</t>
  </si>
  <si>
    <t>Registro de Poderes</t>
  </si>
  <si>
    <t>Solicitud Aplicación/Suspensión de Descuento 2%</t>
  </si>
  <si>
    <t>Solicitud Pago Único Compensatorio</t>
  </si>
  <si>
    <t>Solicitud Pensión</t>
  </si>
  <si>
    <t>Solicitud Re-activación/Re-inclusión Pensión</t>
  </si>
  <si>
    <t>Solicitud Traspaso</t>
  </si>
  <si>
    <t>Solicitud de Exclusión</t>
  </si>
  <si>
    <t>Solicitud de Inclusión a Nómina</t>
  </si>
  <si>
    <t>Solicitud de Reajuste de Pensión</t>
  </si>
  <si>
    <t>Solicitud de Reclamación de Deuda</t>
  </si>
  <si>
    <t>Solicitud de actualización de datos  Pensionados</t>
  </si>
  <si>
    <t>Total:</t>
  </si>
  <si>
    <r>
      <rPr>
        <b/>
        <sz val="8"/>
        <rFont val="Calibri"/>
        <family val="2"/>
        <scheme val="minor"/>
      </rPr>
      <t>Fuente:</t>
    </r>
    <r>
      <rPr>
        <sz val="8"/>
        <rFont val="Calibri"/>
        <family val="2"/>
        <scheme val="minor"/>
      </rPr>
      <t xml:space="preserve"> SJP, Division de Atencion al Publico</t>
    </r>
  </si>
  <si>
    <t>Cantidad de Tramites Procesados</t>
  </si>
  <si>
    <t>Solicitud de aplicacion de Descuento ADL</t>
  </si>
  <si>
    <t>Pensión por Sobrevivencia Concubina</t>
  </si>
  <si>
    <t>Pensión por Sobrevivencia Conyugue</t>
  </si>
  <si>
    <t>Pensión por Sobrevivencia Menor</t>
  </si>
  <si>
    <t>Pensión por Sobrevivencia Padres</t>
  </si>
  <si>
    <t>PensiOn por Sobrevivencia Estudiante PN</t>
  </si>
  <si>
    <t>Pensión por Sobrevivencia Hijo Discapacitado PN</t>
  </si>
  <si>
    <t>Reactivacion</t>
  </si>
  <si>
    <t>Reembolso - RE</t>
  </si>
  <si>
    <t>Reinclusion</t>
  </si>
  <si>
    <t>Retroactivo – RT</t>
  </si>
  <si>
    <t>Retroactivo – RTI</t>
  </si>
  <si>
    <t>Solicitud de Suspension de Descuento SDL</t>
  </si>
  <si>
    <t>Solicitud Modificación Monto Pensión</t>
  </si>
  <si>
    <t xml:space="preserve">IDSS </t>
  </si>
  <si>
    <t>Convenio España-RD</t>
  </si>
  <si>
    <t xml:space="preserve">Solicitud de Pensión </t>
  </si>
  <si>
    <t>Reajuste de Pensión</t>
  </si>
  <si>
    <r>
      <rPr>
        <b/>
        <sz val="8"/>
        <rFont val="Calibri"/>
        <family val="2"/>
        <scheme val="minor"/>
      </rPr>
      <t xml:space="preserve">Fuente: </t>
    </r>
    <r>
      <rPr>
        <sz val="8"/>
        <rFont val="Calibri"/>
        <family val="2"/>
        <scheme val="minor"/>
      </rPr>
      <t>SJP,</t>
    </r>
    <r>
      <rPr>
        <b/>
        <sz val="8"/>
        <rFont val="Calibri"/>
        <family val="2"/>
        <scheme val="minor"/>
      </rPr>
      <t xml:space="preserve"> </t>
    </r>
    <r>
      <rPr>
        <sz val="8"/>
        <rFont val="Calibri"/>
        <family val="2"/>
        <scheme val="minor"/>
      </rPr>
      <t>Departamento de Trámite de Pensiones</t>
    </r>
  </si>
  <si>
    <t>Solicitudes Recibidas y otorgadas Autoseguro</t>
  </si>
  <si>
    <t>Otorgadas</t>
  </si>
  <si>
    <t>Sobrevivencia Civil</t>
  </si>
  <si>
    <t>Sobrevivencia Policía Nacional</t>
  </si>
  <si>
    <t>Discapacidad Civil</t>
  </si>
  <si>
    <t>Discapacidad Policía Nacional</t>
  </si>
  <si>
    <r>
      <rPr>
        <b/>
        <sz val="8"/>
        <rFont val="Calibri"/>
        <family val="2"/>
        <scheme val="minor"/>
      </rPr>
      <t xml:space="preserve">Fuente: </t>
    </r>
    <r>
      <rPr>
        <sz val="8"/>
        <rFont val="Calibri"/>
        <family val="2"/>
        <scheme val="minor"/>
      </rPr>
      <t>Departamento de Autoseguro</t>
    </r>
  </si>
  <si>
    <r>
      <rPr>
        <b/>
        <sz val="8"/>
        <rFont val="Calibri"/>
        <family val="2"/>
        <scheme val="minor"/>
      </rPr>
      <t>Nota</t>
    </r>
    <r>
      <rPr>
        <sz val="8"/>
        <rFont val="Calibri"/>
        <family val="2"/>
        <scheme val="minor"/>
      </rPr>
      <t>: El proceso de análisis de solicitudes de pensiones de autoseguro requiere de la intervención de varias instituciones, siendo un proceso que puede tardar incluso varios meses. Esto provoca que, el número de otorgamientos sea superior al número de expedientes recibidos en algunas ocasiones, y viceversa.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</si>
</sst>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0.0%"/>
    <numFmt numFmtId="165" formatCode="_(* #,##0_);_(* \(#,##0\);_(* &quot;-&quot;??_);_(@_)"/>
    <numFmt numFmtId="166" formatCode="&quot;RD$&quot;#,##0.00"/>
    <numFmt numFmtId="167" formatCode="&quot;$&quot;#,##0.00"/>
    <numFmt numFmtId="168" formatCode="_(* #,##0.0_);_(* \(#,##0.0\);_(* &quot;-&quot;??_);_(@_)"/>
    <numFmt numFmtId="169" formatCode="#,##0.0_);\(#,##0.0\)"/>
    <numFmt numFmtId="170" formatCode="0_);\(0\)"/>
  </numFmts>
  <fonts count="5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i/>
      <sz val="10"/>
      <color rgb="FF000000"/>
      <name val="Calibri"/>
      <family val="2"/>
      <scheme val="minor"/>
    </font>
    <font>
      <b/>
      <sz val="10"/>
      <color rgb="FF000000"/>
      <name val="Calibri"/>
      <family val="2"/>
      <scheme val="minor"/>
    </font>
    <font>
      <sz val="10"/>
      <color indexed="8"/>
      <name val="Arial"/>
      <family val="2"/>
    </font>
    <font>
      <b/>
      <sz val="11"/>
      <color rgb="FFFF0000"/>
      <name val="Calibri"/>
      <family val="2"/>
      <scheme val="minor"/>
    </font>
    <font>
      <b/>
      <sz val="12"/>
      <color theme="1"/>
      <name val="Calibri"/>
      <family val="2"/>
      <scheme val="minor"/>
    </font>
    <font>
      <sz val="8"/>
      <color rgb="FF000000"/>
      <name val="Calibri"/>
      <family val="2"/>
      <scheme val="minor"/>
    </font>
    <font>
      <b/>
      <i/>
      <sz val="10"/>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0"/>
      <name val="Calibri"/>
      <family val="2"/>
      <scheme val="minor"/>
    </font>
    <font>
      <b/>
      <i/>
      <sz val="10"/>
      <name val="Calibri"/>
      <family val="2"/>
      <scheme val="minor"/>
    </font>
    <font>
      <b/>
      <sz val="8"/>
      <color rgb="FF000000"/>
      <name val="Calibri"/>
      <family val="2"/>
      <scheme val="minor"/>
    </font>
    <font>
      <sz val="11"/>
      <color rgb="FF000000"/>
      <name val="Calibri"/>
      <family val="2"/>
      <scheme val="minor"/>
    </font>
    <font>
      <sz val="8"/>
      <color rgb="FFFF0000"/>
      <name val="Calibri"/>
      <family val="2"/>
      <scheme val="minor"/>
    </font>
    <font>
      <sz val="8"/>
      <name val="Calibri"/>
      <family val="2"/>
      <scheme val="minor"/>
    </font>
    <font>
      <sz val="10"/>
      <name val="Calibri"/>
      <family val="2"/>
      <scheme val="minor"/>
    </font>
    <font>
      <b/>
      <sz val="8"/>
      <name val="Calibri"/>
      <family val="2"/>
      <scheme val="minor"/>
    </font>
    <font>
      <sz val="11"/>
      <name val="Calibri"/>
      <family val="2"/>
      <scheme val="minor"/>
    </font>
    <font>
      <sz val="7"/>
      <color theme="1"/>
      <name val="Calibri"/>
      <family val="2"/>
      <scheme val="minor"/>
    </font>
    <font>
      <sz val="11"/>
      <color theme="0"/>
      <name val="Calibri"/>
      <family val="2"/>
      <scheme val="minor"/>
    </font>
    <font>
      <b/>
      <i/>
      <sz val="9"/>
      <color rgb="FF000000"/>
      <name val="Calibri"/>
      <family val="2"/>
      <scheme val="minor"/>
    </font>
    <font>
      <b/>
      <sz val="8"/>
      <color indexed="8"/>
      <name val="Calibri"/>
      <family val="2"/>
    </font>
    <font>
      <sz val="8"/>
      <color indexed="8"/>
      <name val="Calibri"/>
      <family val="2"/>
    </font>
    <font>
      <sz val="7"/>
      <name val="Calibri"/>
      <family val="2"/>
      <scheme val="minor"/>
    </font>
    <font>
      <b/>
      <sz val="7"/>
      <name val="Calibri"/>
      <family val="2"/>
      <scheme val="minor"/>
    </font>
    <font>
      <b/>
      <sz val="11"/>
      <name val="Calibri"/>
      <family val="2"/>
      <scheme val="minor"/>
    </font>
    <font>
      <b/>
      <sz val="8"/>
      <color rgb="FF000000"/>
      <name val="Calibri"/>
      <family val="2"/>
    </font>
    <font>
      <sz val="9"/>
      <color theme="1"/>
      <name val="Calibri"/>
      <family val="2"/>
      <scheme val="minor"/>
    </font>
    <font>
      <b/>
      <sz val="11"/>
      <color rgb="FF000000"/>
      <name val="Calibri"/>
      <family val="2"/>
      <scheme val="minor"/>
    </font>
    <font>
      <b/>
      <sz val="11"/>
      <color theme="3" tint="0.39997558519241921"/>
      <name val="Calibri"/>
      <family val="2"/>
      <scheme val="minor"/>
    </font>
    <font>
      <b/>
      <i/>
      <sz val="8"/>
      <color theme="1"/>
      <name val="Calibri"/>
      <family val="2"/>
      <scheme val="minor"/>
    </font>
    <font>
      <i/>
      <sz val="8"/>
      <name val="Calibri"/>
      <family val="2"/>
      <scheme val="minor"/>
    </font>
    <font>
      <b/>
      <i/>
      <sz val="8"/>
      <color rgb="FF000000"/>
      <name val="Calibri"/>
      <family val="2"/>
      <scheme val="minor"/>
    </font>
    <font>
      <b/>
      <i/>
      <sz val="8"/>
      <name val="Calibri"/>
      <family val="2"/>
      <scheme val="minor"/>
    </font>
    <font>
      <sz val="11"/>
      <color rgb="FFFF0000"/>
      <name val="Calibri"/>
      <family val="2"/>
      <scheme val="minor"/>
    </font>
    <font>
      <b/>
      <sz val="9"/>
      <color rgb="FFFF0000"/>
      <name val="Calibri"/>
      <family val="2"/>
      <scheme val="minor"/>
    </font>
    <font>
      <sz val="9"/>
      <color rgb="FF000000"/>
      <name val="Calibri"/>
      <family val="2"/>
      <scheme val="minor"/>
    </font>
    <font>
      <b/>
      <sz val="9"/>
      <color rgb="FF000000"/>
      <name val="Calibri"/>
      <family val="2"/>
      <scheme val="minor"/>
    </font>
    <font>
      <sz val="9"/>
      <color indexed="8"/>
      <name val="Arial"/>
      <family val="2"/>
    </font>
    <font>
      <sz val="9"/>
      <color indexed="8"/>
      <name val="Calibri"/>
      <family val="2"/>
      <scheme val="minor"/>
    </font>
    <font>
      <sz val="8"/>
      <color rgb="FF000000"/>
      <name val="Calibri"/>
      <family val="2"/>
    </font>
    <font>
      <sz val="10"/>
      <color rgb="FFFF0000"/>
      <name val="Calibri"/>
      <family val="2"/>
      <scheme val="minor"/>
    </font>
    <font>
      <b/>
      <i/>
      <sz val="8"/>
      <color rgb="FFFF0000"/>
      <name val="Calibri"/>
      <family val="2"/>
      <scheme val="minor"/>
    </font>
    <font>
      <sz val="8"/>
      <color theme="1"/>
      <name val="Calibri"/>
      <family val="2"/>
    </font>
    <font>
      <b/>
      <sz val="8"/>
      <color theme="1"/>
      <name val="Calibri"/>
      <family val="2"/>
    </font>
    <font>
      <sz val="9"/>
      <color rgb="FF000000"/>
      <name val="Arial"/>
      <family val="2"/>
    </font>
    <font>
      <sz val="8"/>
      <color indexed="8"/>
      <name val="Arial"/>
      <family val="2"/>
    </font>
    <font>
      <b/>
      <sz val="8"/>
      <color theme="0"/>
      <name val="Calibri"/>
      <family val="2"/>
      <scheme val="minor"/>
    </font>
    <font>
      <sz val="8"/>
      <color theme="0"/>
      <name val="Calibri"/>
      <family val="2"/>
      <scheme val="minor"/>
    </font>
    <font>
      <b/>
      <sz val="10"/>
      <color theme="0"/>
      <name val="Calibri"/>
      <family val="2"/>
      <scheme val="minor"/>
    </font>
    <font>
      <i/>
      <sz val="10"/>
      <name val="Calibri"/>
      <family val="2"/>
      <scheme val="minor"/>
    </font>
    <font>
      <b/>
      <sz val="10"/>
      <color rgb="FF000000"/>
      <name val="Calibri"/>
      <family val="2"/>
    </font>
  </fonts>
  <fills count="22">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6" tint="0.79998168889431442"/>
        <bgColor rgb="FF000000"/>
      </patternFill>
    </fill>
    <fill>
      <patternFill patternType="solid">
        <fgColor theme="6" tint="0.39997558519241921"/>
        <bgColor indexed="64"/>
      </patternFill>
    </fill>
    <fill>
      <patternFill patternType="solid">
        <fgColor theme="9"/>
        <bgColor indexed="64"/>
      </patternFill>
    </fill>
    <fill>
      <patternFill patternType="solid">
        <fgColor theme="8" tint="-0.249977111117893"/>
        <bgColor indexed="64"/>
      </patternFill>
    </fill>
    <fill>
      <patternFill patternType="solid">
        <fgColor theme="0" tint="-0.34998626667073579"/>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8" fillId="0" borderId="0">
      <alignment vertical="top"/>
    </xf>
  </cellStyleXfs>
  <cellXfs count="584">
    <xf numFmtId="0" fontId="0" fillId="0" borderId="0" xfId="0"/>
    <xf numFmtId="0" fontId="0" fillId="0" borderId="0" xfId="0" applyProtection="1">
      <protection locked="0"/>
    </xf>
    <xf numFmtId="9" fontId="5" fillId="0" borderId="0" xfId="0" applyNumberFormat="1" applyFont="1" applyAlignment="1">
      <alignment horizontal="center" vertical="center"/>
    </xf>
    <xf numFmtId="9" fontId="7" fillId="7" borderId="0" xfId="0" applyNumberFormat="1" applyFont="1" applyFill="1" applyAlignment="1">
      <alignment horizontal="center" vertical="center"/>
    </xf>
    <xf numFmtId="9" fontId="4" fillId="0" borderId="0" xfId="0" applyNumberFormat="1" applyFont="1" applyAlignment="1">
      <alignment horizontal="center" vertical="center"/>
    </xf>
    <xf numFmtId="9" fontId="3" fillId="7" borderId="0" xfId="0" applyNumberFormat="1" applyFont="1" applyFill="1" applyAlignment="1">
      <alignment horizontal="center" vertical="center"/>
    </xf>
    <xf numFmtId="9" fontId="3" fillId="9" borderId="0" xfId="0" applyNumberFormat="1" applyFont="1" applyFill="1" applyAlignment="1">
      <alignment horizontal="center" vertical="center"/>
    </xf>
    <xf numFmtId="9" fontId="7" fillId="9" borderId="0" xfId="0" applyNumberFormat="1" applyFont="1" applyFill="1" applyAlignment="1">
      <alignment horizontal="center" vertical="center"/>
    </xf>
    <xf numFmtId="3" fontId="6" fillId="7" borderId="0" xfId="0" applyNumberFormat="1" applyFont="1" applyFill="1" applyAlignment="1">
      <alignment horizontal="center" vertical="center"/>
    </xf>
    <xf numFmtId="165" fontId="6" fillId="7" borderId="0" xfId="2" applyNumberFormat="1" applyFont="1" applyFill="1" applyBorder="1" applyAlignment="1" applyProtection="1">
      <alignment horizontal="center" vertical="center"/>
    </xf>
    <xf numFmtId="3" fontId="6" fillId="9" borderId="0" xfId="0" applyNumberFormat="1" applyFont="1" applyFill="1" applyAlignment="1">
      <alignment horizontal="center" vertical="center"/>
    </xf>
    <xf numFmtId="165" fontId="6" fillId="9" borderId="0" xfId="2" applyNumberFormat="1" applyFont="1" applyFill="1" applyBorder="1" applyAlignment="1" applyProtection="1">
      <alignment horizontal="center" vertical="center"/>
    </xf>
    <xf numFmtId="0" fontId="6" fillId="7" borderId="0" xfId="0" applyFont="1" applyFill="1" applyAlignment="1" applyProtection="1">
      <alignment horizontal="left" vertical="center"/>
      <protection locked="0"/>
    </xf>
    <xf numFmtId="165" fontId="6" fillId="7" borderId="0" xfId="0" applyNumberFormat="1" applyFont="1" applyFill="1" applyAlignment="1">
      <alignment horizontal="center" vertical="center"/>
    </xf>
    <xf numFmtId="3" fontId="0" fillId="0" borderId="0" xfId="0" applyNumberFormat="1" applyProtection="1">
      <protection locked="0"/>
    </xf>
    <xf numFmtId="0" fontId="14" fillId="0" borderId="0" xfId="0" applyFont="1" applyProtection="1">
      <protection locked="0"/>
    </xf>
    <xf numFmtId="9" fontId="6" fillId="7" borderId="0" xfId="1" applyFont="1" applyFill="1" applyBorder="1" applyAlignment="1" applyProtection="1">
      <alignment horizontal="center" vertical="center"/>
    </xf>
    <xf numFmtId="9" fontId="6" fillId="9" borderId="0" xfId="1" applyFont="1" applyFill="1" applyBorder="1" applyAlignment="1" applyProtection="1">
      <alignment horizontal="center" vertical="center"/>
    </xf>
    <xf numFmtId="9" fontId="0" fillId="0" borderId="0" xfId="1" applyFont="1" applyProtection="1">
      <protection locked="0"/>
    </xf>
    <xf numFmtId="3" fontId="2" fillId="0" borderId="0" xfId="0" applyNumberFormat="1" applyFont="1" applyAlignment="1">
      <alignment horizontal="center" vertical="center"/>
    </xf>
    <xf numFmtId="9" fontId="0" fillId="0" borderId="0" xfId="1" applyFont="1" applyAlignment="1" applyProtection="1">
      <alignment horizontal="center" vertical="center"/>
    </xf>
    <xf numFmtId="0" fontId="3" fillId="0" borderId="0" xfId="0" applyFont="1" applyProtection="1">
      <protection locked="0"/>
    </xf>
    <xf numFmtId="0" fontId="2" fillId="0" borderId="0" xfId="0" applyFont="1" applyProtection="1">
      <protection locked="0"/>
    </xf>
    <xf numFmtId="3" fontId="3" fillId="0" borderId="0" xfId="0" applyNumberFormat="1" applyFont="1" applyAlignment="1">
      <alignment horizontal="center"/>
    </xf>
    <xf numFmtId="0" fontId="6" fillId="7" borderId="0" xfId="0" applyFont="1" applyFill="1" applyAlignment="1">
      <alignment horizontal="left" vertical="center"/>
    </xf>
    <xf numFmtId="0" fontId="6" fillId="9" borderId="0" xfId="0" applyFont="1" applyFill="1" applyAlignment="1">
      <alignment horizontal="left" vertical="center" wrapText="1"/>
    </xf>
    <xf numFmtId="0" fontId="4" fillId="0" borderId="0" xfId="0" applyFont="1" applyAlignment="1" applyProtection="1">
      <alignment horizontal="left" vertical="center"/>
      <protection locked="0"/>
    </xf>
    <xf numFmtId="165" fontId="4" fillId="0" borderId="0" xfId="2" applyNumberFormat="1" applyFont="1" applyBorder="1" applyAlignment="1" applyProtection="1">
      <alignment horizontal="center"/>
      <protection locked="0"/>
    </xf>
    <xf numFmtId="2" fontId="0" fillId="0" borderId="0" xfId="0" applyNumberFormat="1" applyProtection="1">
      <protection locked="0"/>
    </xf>
    <xf numFmtId="0" fontId="0" fillId="0" borderId="0" xfId="0" applyAlignment="1" applyProtection="1">
      <alignment horizontal="center"/>
      <protection locked="0"/>
    </xf>
    <xf numFmtId="165" fontId="0" fillId="0" borderId="0" xfId="0" applyNumberFormat="1" applyProtection="1">
      <protection locked="0"/>
    </xf>
    <xf numFmtId="43" fontId="0" fillId="0" borderId="0" xfId="0" applyNumberFormat="1" applyProtection="1">
      <protection locked="0"/>
    </xf>
    <xf numFmtId="165" fontId="3" fillId="0" borderId="0" xfId="2" applyNumberFormat="1" applyFont="1" applyFill="1" applyBorder="1" applyAlignment="1" applyProtection="1">
      <alignment horizontal="center"/>
    </xf>
    <xf numFmtId="165" fontId="3" fillId="0" borderId="0" xfId="2" applyNumberFormat="1" applyFont="1" applyFill="1" applyBorder="1" applyAlignment="1" applyProtection="1">
      <alignment horizontal="center" vertical="center"/>
    </xf>
    <xf numFmtId="165" fontId="12" fillId="7" borderId="0" xfId="2" applyNumberFormat="1" applyFont="1" applyFill="1" applyBorder="1" applyAlignment="1" applyProtection="1">
      <alignment horizontal="center"/>
    </xf>
    <xf numFmtId="165" fontId="12" fillId="7" borderId="0" xfId="2" applyNumberFormat="1" applyFont="1" applyFill="1" applyBorder="1" applyAlignment="1" applyProtection="1">
      <alignment horizontal="center" vertical="center"/>
    </xf>
    <xf numFmtId="165" fontId="12" fillId="9" borderId="0" xfId="2" applyNumberFormat="1" applyFont="1" applyFill="1" applyBorder="1" applyAlignment="1" applyProtection="1">
      <alignment horizontal="center"/>
    </xf>
    <xf numFmtId="0" fontId="3" fillId="5" borderId="0" xfId="0" applyFont="1" applyFill="1" applyAlignment="1">
      <alignment horizontal="left" vertical="center" wrapText="1"/>
    </xf>
    <xf numFmtId="0" fontId="4" fillId="0" borderId="0" xfId="0" applyFont="1" applyAlignment="1">
      <alignment horizontal="left" vertical="center"/>
    </xf>
    <xf numFmtId="0" fontId="3" fillId="5" borderId="0" xfId="0" applyFont="1" applyFill="1" applyAlignment="1">
      <alignment horizontal="center" vertical="center" wrapText="1"/>
    </xf>
    <xf numFmtId="0" fontId="6" fillId="7" borderId="0" xfId="0" applyFont="1" applyFill="1" applyAlignment="1">
      <alignment horizontal="center" vertical="center"/>
    </xf>
    <xf numFmtId="3" fontId="3" fillId="0" borderId="0" xfId="0" applyNumberFormat="1" applyFont="1" applyAlignment="1">
      <alignment horizontal="center" vertical="center"/>
    </xf>
    <xf numFmtId="165" fontId="6" fillId="9" borderId="0" xfId="2" applyNumberFormat="1" applyFont="1" applyFill="1" applyBorder="1" applyAlignment="1" applyProtection="1">
      <alignment horizontal="center"/>
    </xf>
    <xf numFmtId="0" fontId="6" fillId="9" borderId="0" xfId="0" applyFont="1" applyFill="1" applyAlignment="1">
      <alignment horizontal="center" vertical="center"/>
    </xf>
    <xf numFmtId="165" fontId="6" fillId="9" borderId="0" xfId="2" applyNumberFormat="1" applyFont="1" applyFill="1" applyBorder="1" applyAlignment="1" applyProtection="1">
      <alignment horizontal="left" vertical="center"/>
    </xf>
    <xf numFmtId="3" fontId="8" fillId="0" borderId="0" xfId="0" applyNumberFormat="1" applyFont="1" applyAlignment="1" applyProtection="1">
      <alignment horizontal="center" vertical="top"/>
      <protection locked="0"/>
    </xf>
    <xf numFmtId="4" fontId="8" fillId="0" borderId="0" xfId="0" applyNumberFormat="1" applyFont="1" applyAlignment="1" applyProtection="1">
      <alignment horizontal="center" vertical="top"/>
      <protection locked="0"/>
    </xf>
    <xf numFmtId="0" fontId="2" fillId="0" borderId="0" xfId="0" applyFont="1" applyAlignment="1">
      <alignment horizontal="left"/>
    </xf>
    <xf numFmtId="0" fontId="2" fillId="0" borderId="0" xfId="0" applyFont="1" applyAlignment="1">
      <alignment horizontal="center"/>
    </xf>
    <xf numFmtId="43" fontId="3" fillId="0" borderId="0" xfId="2" applyFont="1" applyFill="1" applyBorder="1" applyAlignment="1" applyProtection="1">
      <alignment horizontal="center" vertical="center"/>
    </xf>
    <xf numFmtId="43" fontId="4" fillId="0" borderId="0" xfId="2" applyFont="1" applyBorder="1" applyAlignment="1" applyProtection="1">
      <alignment horizontal="center"/>
      <protection locked="0"/>
    </xf>
    <xf numFmtId="0" fontId="6" fillId="9"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2" fontId="8" fillId="0" borderId="0" xfId="0" applyNumberFormat="1" applyFont="1" applyAlignment="1" applyProtection="1">
      <alignment horizontal="center" vertical="top"/>
      <protection locked="0"/>
    </xf>
    <xf numFmtId="2" fontId="0" fillId="0" borderId="0" xfId="0" applyNumberFormat="1" applyAlignment="1" applyProtection="1">
      <alignment horizontal="center"/>
      <protection locked="0"/>
    </xf>
    <xf numFmtId="43" fontId="3" fillId="0" borderId="0" xfId="2" applyFont="1" applyFill="1" applyBorder="1" applyAlignment="1" applyProtection="1">
      <alignment horizontal="center"/>
    </xf>
    <xf numFmtId="3" fontId="3" fillId="0" borderId="0" xfId="0" applyNumberFormat="1" applyFont="1"/>
    <xf numFmtId="9" fontId="4" fillId="0" borderId="0" xfId="1" applyFont="1" applyBorder="1" applyAlignment="1" applyProtection="1">
      <alignment horizontal="center"/>
    </xf>
    <xf numFmtId="165" fontId="3" fillId="0" borderId="0" xfId="2" applyNumberFormat="1" applyFont="1" applyBorder="1" applyAlignment="1" applyProtection="1"/>
    <xf numFmtId="3" fontId="6" fillId="7" borderId="0" xfId="0" applyNumberFormat="1" applyFont="1" applyFill="1" applyAlignment="1">
      <alignment horizontal="right" vertical="center"/>
    </xf>
    <xf numFmtId="0" fontId="4" fillId="0" borderId="0" xfId="0" applyFont="1" applyAlignment="1">
      <alignment horizontal="left"/>
    </xf>
    <xf numFmtId="0" fontId="6" fillId="9" borderId="0" xfId="0" applyFont="1" applyFill="1" applyAlignment="1">
      <alignment horizontal="left" vertical="center"/>
    </xf>
    <xf numFmtId="165" fontId="5" fillId="0" borderId="0" xfId="2" applyNumberFormat="1" applyFont="1" applyFill="1" applyBorder="1" applyAlignment="1" applyProtection="1">
      <alignment horizontal="center" vertical="center"/>
    </xf>
    <xf numFmtId="43" fontId="6" fillId="7" borderId="0" xfId="2" applyFont="1" applyFill="1" applyBorder="1" applyAlignment="1" applyProtection="1">
      <alignment horizontal="center" vertical="center"/>
    </xf>
    <xf numFmtId="3" fontId="0" fillId="0" borderId="0" xfId="0" applyNumberFormat="1"/>
    <xf numFmtId="4" fontId="0" fillId="0" borderId="0" xfId="0" applyNumberFormat="1" applyProtection="1">
      <protection locked="0"/>
    </xf>
    <xf numFmtId="165" fontId="0" fillId="0" borderId="0" xfId="0" applyNumberFormat="1" applyAlignment="1" applyProtection="1">
      <alignment horizontal="center"/>
      <protection locked="0"/>
    </xf>
    <xf numFmtId="9" fontId="8" fillId="0" borderId="0" xfId="1" applyFont="1" applyBorder="1" applyAlignment="1" applyProtection="1">
      <alignment horizontal="center" vertical="top"/>
    </xf>
    <xf numFmtId="164" fontId="8" fillId="0" borderId="0" xfId="1" applyNumberFormat="1" applyFont="1" applyBorder="1" applyAlignment="1" applyProtection="1">
      <alignment horizontal="center" vertical="top"/>
    </xf>
    <xf numFmtId="3" fontId="16" fillId="0" borderId="0" xfId="0" applyNumberFormat="1" applyFont="1" applyAlignment="1">
      <alignment horizontal="center" vertical="center"/>
    </xf>
    <xf numFmtId="3" fontId="17" fillId="7" borderId="0" xfId="0" applyNumberFormat="1" applyFont="1" applyFill="1" applyAlignment="1">
      <alignment horizontal="center" vertical="center"/>
    </xf>
    <xf numFmtId="165" fontId="0" fillId="11" borderId="0" xfId="0" applyNumberFormat="1" applyFill="1" applyProtection="1">
      <protection locked="0"/>
    </xf>
    <xf numFmtId="0" fontId="0" fillId="12" borderId="0" xfId="0" applyFill="1" applyProtection="1">
      <protection locked="0"/>
    </xf>
    <xf numFmtId="10" fontId="0" fillId="0" borderId="0" xfId="1" applyNumberFormat="1" applyFont="1" applyProtection="1">
      <protection locked="0"/>
    </xf>
    <xf numFmtId="0" fontId="5" fillId="0" borderId="0" xfId="0" applyFont="1" applyAlignment="1">
      <alignment vertical="center"/>
    </xf>
    <xf numFmtId="0" fontId="5" fillId="0" borderId="0" xfId="0" applyFont="1" applyAlignment="1">
      <alignment horizontal="left" vertical="center"/>
    </xf>
    <xf numFmtId="0" fontId="4" fillId="0" borderId="0" xfId="0" applyFont="1"/>
    <xf numFmtId="0" fontId="3" fillId="5" borderId="0" xfId="0" applyFont="1" applyFill="1" applyAlignment="1">
      <alignment horizontal="left" vertical="center"/>
    </xf>
    <xf numFmtId="3" fontId="8" fillId="0" borderId="4" xfId="0" applyNumberFormat="1" applyFont="1" applyBorder="1" applyAlignment="1" applyProtection="1">
      <alignment horizontal="center" vertical="top"/>
      <protection locked="0"/>
    </xf>
    <xf numFmtId="9" fontId="0" fillId="0" borderId="5" xfId="1" applyFont="1" applyBorder="1" applyAlignment="1" applyProtection="1">
      <alignment horizontal="center"/>
    </xf>
    <xf numFmtId="164" fontId="0" fillId="0" borderId="5" xfId="1" applyNumberFormat="1" applyFont="1" applyBorder="1" applyAlignment="1" applyProtection="1">
      <alignment horizontal="center"/>
    </xf>
    <xf numFmtId="3" fontId="6" fillId="7" borderId="6" xfId="0" applyNumberFormat="1" applyFont="1" applyFill="1" applyBorder="1" applyAlignment="1">
      <alignment horizontal="center" vertical="center"/>
    </xf>
    <xf numFmtId="9" fontId="6" fillId="7" borderId="7" xfId="1" applyFont="1" applyFill="1" applyBorder="1" applyAlignment="1" applyProtection="1">
      <alignment horizontal="center" vertical="center"/>
    </xf>
    <xf numFmtId="3" fontId="6" fillId="7" borderId="7" xfId="0" applyNumberFormat="1" applyFont="1" applyFill="1" applyBorder="1" applyAlignment="1">
      <alignment horizontal="center" vertical="center"/>
    </xf>
    <xf numFmtId="9" fontId="6" fillId="7" borderId="8" xfId="1" applyFont="1" applyFill="1" applyBorder="1" applyAlignment="1" applyProtection="1">
      <alignment horizontal="center" vertical="center"/>
    </xf>
    <xf numFmtId="9" fontId="0" fillId="0" borderId="0" xfId="0" applyNumberFormat="1"/>
    <xf numFmtId="10" fontId="0" fillId="0" borderId="0" xfId="0" applyNumberFormat="1"/>
    <xf numFmtId="4" fontId="0" fillId="0" borderId="0" xfId="0" applyNumberFormat="1"/>
    <xf numFmtId="14" fontId="0" fillId="0" borderId="0" xfId="0" applyNumberFormat="1"/>
    <xf numFmtId="167" fontId="0" fillId="0" borderId="0" xfId="0" applyNumberFormat="1" applyProtection="1">
      <protection locked="0"/>
    </xf>
    <xf numFmtId="0" fontId="2" fillId="0" borderId="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5" xfId="0" applyFont="1" applyBorder="1" applyAlignment="1">
      <alignment horizontal="center" vertical="center"/>
    </xf>
    <xf numFmtId="43" fontId="0" fillId="0" borderId="0" xfId="2" applyFont="1" applyProtection="1">
      <protection locked="0"/>
    </xf>
    <xf numFmtId="165" fontId="4" fillId="0" borderId="0" xfId="2" applyNumberFormat="1" applyFont="1" applyBorder="1" applyAlignment="1" applyProtection="1">
      <alignment horizontal="center"/>
    </xf>
    <xf numFmtId="165" fontId="22" fillId="0" borderId="0" xfId="2" applyNumberFormat="1" applyFont="1" applyFill="1" applyBorder="1" applyAlignment="1" applyProtection="1">
      <alignment horizontal="center" vertical="center"/>
    </xf>
    <xf numFmtId="165" fontId="16" fillId="0" borderId="0" xfId="2" applyNumberFormat="1" applyFont="1" applyFill="1" applyBorder="1" applyAlignment="1" applyProtection="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3" fontId="19" fillId="0" borderId="0" xfId="0" applyNumberFormat="1" applyFont="1" applyAlignment="1">
      <alignment horizontal="center" vertical="center"/>
    </xf>
    <xf numFmtId="168" fontId="5" fillId="0" borderId="0" xfId="2" applyNumberFormat="1" applyFont="1" applyFill="1" applyBorder="1" applyAlignment="1" applyProtection="1">
      <alignment vertical="center"/>
    </xf>
    <xf numFmtId="0" fontId="6" fillId="7" borderId="0" xfId="0" applyFont="1" applyFill="1" applyAlignment="1">
      <alignment vertical="center"/>
    </xf>
    <xf numFmtId="3" fontId="0" fillId="0" borderId="0" xfId="0" applyNumberFormat="1" applyAlignment="1">
      <alignment horizontal="center"/>
    </xf>
    <xf numFmtId="3" fontId="5" fillId="0" borderId="0" xfId="0" applyNumberFormat="1" applyFont="1" applyAlignment="1">
      <alignment horizontal="center" vertical="center"/>
    </xf>
    <xf numFmtId="43" fontId="5" fillId="0" borderId="0" xfId="2" applyFont="1" applyFill="1" applyBorder="1" applyAlignment="1" applyProtection="1">
      <alignment horizontal="center" vertical="center"/>
    </xf>
    <xf numFmtId="0" fontId="6" fillId="9" borderId="0" xfId="0" applyFont="1" applyFill="1" applyAlignment="1">
      <alignment vertical="center"/>
    </xf>
    <xf numFmtId="0" fontId="25" fillId="0" borderId="0" xfId="0" applyFont="1"/>
    <xf numFmtId="0" fontId="14" fillId="0" borderId="0" xfId="0" applyFont="1"/>
    <xf numFmtId="3" fontId="0" fillId="0" borderId="0" xfId="0" applyNumberFormat="1" applyAlignment="1">
      <alignment horizontal="center" vertical="center"/>
    </xf>
    <xf numFmtId="0" fontId="6" fillId="7" borderId="0" xfId="0" applyFont="1" applyFill="1" applyAlignment="1">
      <alignment horizontal="left" vertical="center" wrapText="1"/>
    </xf>
    <xf numFmtId="0" fontId="21" fillId="0" borderId="0" xfId="0" applyFont="1"/>
    <xf numFmtId="0" fontId="3" fillId="0" borderId="0" xfId="0" applyFont="1" applyAlignment="1">
      <alignment horizontal="left" vertical="center"/>
    </xf>
    <xf numFmtId="0" fontId="3" fillId="0" borderId="0" xfId="0" applyFont="1" applyAlignment="1">
      <alignment horizontal="center" vertical="center"/>
    </xf>
    <xf numFmtId="3" fontId="4" fillId="0" borderId="0" xfId="0" applyNumberFormat="1" applyFont="1" applyAlignment="1">
      <alignment horizontal="center"/>
    </xf>
    <xf numFmtId="9" fontId="0" fillId="0" borderId="0" xfId="1" applyFont="1" applyProtection="1"/>
    <xf numFmtId="0" fontId="20" fillId="0" borderId="0" xfId="0" applyFont="1"/>
    <xf numFmtId="10" fontId="0" fillId="0" borderId="0" xfId="1" applyNumberFormat="1" applyFont="1" applyAlignment="1" applyProtection="1">
      <alignment horizontal="center" vertical="center"/>
    </xf>
    <xf numFmtId="43" fontId="0" fillId="0" borderId="0" xfId="2" applyFont="1" applyBorder="1" applyAlignment="1" applyProtection="1">
      <alignment horizontal="center"/>
    </xf>
    <xf numFmtId="0" fontId="0" fillId="0" borderId="0" xfId="0" applyAlignment="1">
      <alignment horizontal="center"/>
    </xf>
    <xf numFmtId="0" fontId="3" fillId="0" borderId="0" xfId="0" applyFont="1" applyAlignment="1">
      <alignment horizontal="left" vertical="center" wrapText="1"/>
    </xf>
    <xf numFmtId="3" fontId="24" fillId="0" borderId="0" xfId="0" applyNumberFormat="1" applyFont="1" applyAlignment="1">
      <alignment horizontal="center"/>
    </xf>
    <xf numFmtId="165" fontId="4" fillId="0" borderId="0" xfId="2" applyNumberFormat="1" applyFont="1" applyBorder="1" applyAlignment="1" applyProtection="1"/>
    <xf numFmtId="165" fontId="4" fillId="0" borderId="0" xfId="2" applyNumberFormat="1" applyFont="1" applyBorder="1" applyAlignment="1" applyProtection="1">
      <alignment horizontal="center" vertical="center"/>
    </xf>
    <xf numFmtId="3" fontId="4" fillId="0" borderId="0" xfId="0" applyNumberFormat="1" applyFont="1" applyAlignment="1">
      <alignment horizontal="center" vertical="center"/>
    </xf>
    <xf numFmtId="39" fontId="4" fillId="0" borderId="0" xfId="2" applyNumberFormat="1" applyFont="1" applyBorder="1" applyAlignment="1" applyProtection="1">
      <alignment horizontal="center" vertical="center"/>
    </xf>
    <xf numFmtId="43" fontId="4" fillId="0" borderId="0" xfId="2" applyFont="1" applyBorder="1" applyAlignment="1" applyProtection="1">
      <alignment horizontal="center" vertical="center"/>
    </xf>
    <xf numFmtId="165" fontId="0" fillId="0" borderId="0" xfId="0" applyNumberFormat="1"/>
    <xf numFmtId="43" fontId="4" fillId="0" borderId="0" xfId="2" applyFont="1" applyBorder="1" applyAlignment="1" applyProtection="1">
      <alignment horizontal="center"/>
    </xf>
    <xf numFmtId="0" fontId="4" fillId="0" borderId="0" xfId="2" applyNumberFormat="1" applyFont="1" applyBorder="1" applyAlignment="1" applyProtection="1">
      <alignment horizontal="center" vertical="center"/>
    </xf>
    <xf numFmtId="0" fontId="4" fillId="0" borderId="0" xfId="2" applyNumberFormat="1" applyFont="1" applyBorder="1" applyAlignment="1" applyProtection="1">
      <alignment horizontal="center"/>
    </xf>
    <xf numFmtId="0" fontId="14" fillId="0" borderId="0" xfId="0" applyFont="1" applyAlignment="1">
      <alignment horizontal="left" vertical="center"/>
    </xf>
    <xf numFmtId="0" fontId="4" fillId="0" borderId="0" xfId="0" applyFont="1" applyAlignment="1">
      <alignment horizontal="center"/>
    </xf>
    <xf numFmtId="3" fontId="4" fillId="0" borderId="0" xfId="2" applyNumberFormat="1" applyFont="1" applyBorder="1" applyAlignment="1" applyProtection="1"/>
    <xf numFmtId="0" fontId="9" fillId="5" borderId="0" xfId="0" applyFont="1" applyFill="1"/>
    <xf numFmtId="0" fontId="4" fillId="0" borderId="0" xfId="0" applyFont="1" applyAlignment="1">
      <alignment vertical="center" wrapText="1"/>
    </xf>
    <xf numFmtId="9" fontId="4" fillId="0" borderId="0" xfId="1" applyFont="1" applyFill="1" applyBorder="1" applyAlignment="1" applyProtection="1">
      <alignment horizontal="center" vertical="center" wrapText="1"/>
    </xf>
    <xf numFmtId="3" fontId="4" fillId="0" borderId="0" xfId="0" applyNumberFormat="1" applyFont="1" applyAlignment="1">
      <alignment horizontal="center" vertical="center" wrapText="1"/>
    </xf>
    <xf numFmtId="3" fontId="0" fillId="0" borderId="0" xfId="0" applyNumberFormat="1" applyAlignment="1" applyProtection="1">
      <alignment horizontal="center"/>
      <protection locked="0"/>
    </xf>
    <xf numFmtId="0" fontId="4" fillId="0" borderId="0" xfId="0" applyFont="1" applyAlignment="1">
      <alignment horizontal="left" vertical="center" wrapText="1"/>
    </xf>
    <xf numFmtId="0" fontId="26" fillId="13" borderId="0" xfId="0" applyFont="1" applyFill="1" applyProtection="1">
      <protection locked="0"/>
    </xf>
    <xf numFmtId="165" fontId="4" fillId="0" borderId="0" xfId="2" applyNumberFormat="1" applyFont="1" applyBorder="1" applyAlignment="1" applyProtection="1">
      <alignment horizontal="center" vertical="center"/>
      <protection locked="0"/>
    </xf>
    <xf numFmtId="165" fontId="4" fillId="0" borderId="0" xfId="2" applyNumberFormat="1" applyFont="1" applyBorder="1" applyAlignment="1" applyProtection="1">
      <alignment horizontal="right"/>
      <protection locked="0"/>
    </xf>
    <xf numFmtId="165" fontId="3" fillId="0" borderId="0" xfId="2" applyNumberFormat="1" applyFont="1" applyBorder="1" applyAlignment="1" applyProtection="1">
      <alignment vertical="center"/>
    </xf>
    <xf numFmtId="3" fontId="6" fillId="7" borderId="0" xfId="0" applyNumberFormat="1" applyFont="1" applyFill="1" applyAlignment="1">
      <alignment vertical="center"/>
    </xf>
    <xf numFmtId="0" fontId="4" fillId="13" borderId="0" xfId="0" applyFont="1" applyFill="1" applyAlignment="1">
      <alignment horizontal="left" vertical="center"/>
    </xf>
    <xf numFmtId="165" fontId="3" fillId="13" borderId="0" xfId="0" applyNumberFormat="1" applyFont="1" applyFill="1" applyAlignment="1">
      <alignment horizontal="center" vertical="center" wrapText="1"/>
    </xf>
    <xf numFmtId="43" fontId="3" fillId="13" borderId="0" xfId="0" applyNumberFormat="1" applyFont="1" applyFill="1" applyAlignment="1">
      <alignment horizontal="center" vertical="center" wrapText="1"/>
    </xf>
    <xf numFmtId="165" fontId="12" fillId="7" borderId="0" xfId="2" applyNumberFormat="1" applyFont="1" applyFill="1" applyBorder="1" applyAlignment="1" applyProtection="1">
      <alignment horizontal="right"/>
    </xf>
    <xf numFmtId="3" fontId="0" fillId="0" borderId="0" xfId="0" applyNumberFormat="1" applyAlignment="1" applyProtection="1">
      <alignment horizontal="center" vertical="center"/>
      <protection locked="0"/>
    </xf>
    <xf numFmtId="165" fontId="5" fillId="0" borderId="0" xfId="2" applyNumberFormat="1" applyFont="1" applyFill="1" applyBorder="1" applyAlignment="1" applyProtection="1">
      <alignment horizontal="left" vertical="center" indent="1"/>
    </xf>
    <xf numFmtId="165" fontId="5" fillId="0" borderId="0" xfId="2" applyNumberFormat="1" applyFont="1" applyFill="1" applyBorder="1" applyAlignment="1" applyProtection="1">
      <alignment horizontal="left" vertical="center"/>
    </xf>
    <xf numFmtId="165" fontId="17" fillId="7" borderId="0" xfId="2" applyNumberFormat="1" applyFont="1" applyFill="1" applyBorder="1" applyAlignment="1" applyProtection="1">
      <alignment horizontal="left" vertical="center"/>
    </xf>
    <xf numFmtId="9" fontId="0" fillId="0" borderId="0" xfId="0" applyNumberFormat="1" applyProtection="1">
      <protection locked="0"/>
    </xf>
    <xf numFmtId="0" fontId="0" fillId="13" borderId="0" xfId="0" applyFill="1"/>
    <xf numFmtId="3" fontId="4" fillId="0" borderId="0" xfId="2" applyNumberFormat="1" applyFont="1" applyBorder="1" applyAlignment="1" applyProtection="1">
      <alignment horizontal="right"/>
      <protection locked="0"/>
    </xf>
    <xf numFmtId="0" fontId="4" fillId="13" borderId="0" xfId="0" applyFont="1" applyFill="1"/>
    <xf numFmtId="0" fontId="14" fillId="13" borderId="0" xfId="0" applyFont="1" applyFill="1"/>
    <xf numFmtId="3" fontId="4" fillId="0" borderId="0" xfId="2" applyNumberFormat="1" applyFont="1" applyBorder="1" applyAlignment="1" applyProtection="1">
      <alignment horizontal="right"/>
    </xf>
    <xf numFmtId="3" fontId="17" fillId="7" borderId="0" xfId="0" applyNumberFormat="1" applyFont="1" applyFill="1" applyAlignment="1">
      <alignment horizontal="right"/>
    </xf>
    <xf numFmtId="0" fontId="3" fillId="0" borderId="0" xfId="0" applyFont="1" applyAlignment="1" applyProtection="1">
      <alignment horizontal="center"/>
      <protection locked="0"/>
    </xf>
    <xf numFmtId="9" fontId="0" fillId="0" borderId="0" xfId="1" applyFont="1" applyFill="1" applyBorder="1" applyAlignment="1" applyProtection="1">
      <alignment horizontal="center" vertical="center"/>
    </xf>
    <xf numFmtId="3" fontId="0" fillId="0" borderId="0" xfId="0" applyNumberFormat="1" applyAlignment="1">
      <alignment horizontal="left" vertical="center"/>
    </xf>
    <xf numFmtId="164" fontId="0" fillId="0" borderId="0" xfId="0" applyNumberFormat="1"/>
    <xf numFmtId="0" fontId="0" fillId="0" borderId="0" xfId="0" applyAlignment="1">
      <alignment horizontal="left"/>
    </xf>
    <xf numFmtId="1" fontId="0" fillId="0" borderId="0" xfId="0" applyNumberFormat="1" applyProtection="1">
      <protection locked="0"/>
    </xf>
    <xf numFmtId="0" fontId="27" fillId="7" borderId="0" xfId="0" applyFont="1" applyFill="1" applyAlignment="1">
      <alignment horizontal="left" vertical="center" wrapText="1"/>
    </xf>
    <xf numFmtId="3" fontId="4" fillId="0" borderId="0" xfId="0" applyNumberFormat="1" applyFont="1" applyAlignment="1" applyProtection="1">
      <alignment horizontal="center"/>
      <protection locked="0"/>
    </xf>
    <xf numFmtId="165" fontId="4" fillId="0" borderId="0" xfId="2" applyNumberFormat="1" applyFont="1" applyBorder="1" applyAlignment="1" applyProtection="1">
      <protection locked="0"/>
    </xf>
    <xf numFmtId="3" fontId="4" fillId="0" borderId="0" xfId="2" applyNumberFormat="1" applyFont="1" applyBorder="1" applyAlignment="1" applyProtection="1">
      <alignment horizontal="center"/>
      <protection locked="0"/>
    </xf>
    <xf numFmtId="0" fontId="29" fillId="0" borderId="0" xfId="0" applyFont="1"/>
    <xf numFmtId="165" fontId="32" fillId="0" borderId="0" xfId="0" applyNumberFormat="1" applyFont="1" applyProtection="1">
      <protection locked="0"/>
    </xf>
    <xf numFmtId="3" fontId="16" fillId="7" borderId="0" xfId="0" applyNumberFormat="1" applyFont="1" applyFill="1" applyAlignment="1">
      <alignment horizontal="center" vertical="center"/>
    </xf>
    <xf numFmtId="0" fontId="2" fillId="0" borderId="0" xfId="0" applyFont="1" applyAlignment="1" applyProtection="1">
      <alignment horizontal="center"/>
      <protection locked="0"/>
    </xf>
    <xf numFmtId="0" fontId="3" fillId="0" borderId="0" xfId="0" applyFont="1" applyAlignment="1">
      <alignment horizontal="left"/>
    </xf>
    <xf numFmtId="164" fontId="5" fillId="0" borderId="0" xfId="0" applyNumberFormat="1" applyFont="1" applyAlignment="1">
      <alignment horizontal="center" vertical="center"/>
    </xf>
    <xf numFmtId="0" fontId="4" fillId="0" borderId="0" xfId="0" applyFont="1" applyAlignment="1">
      <alignment horizontal="center" vertical="center"/>
    </xf>
    <xf numFmtId="165" fontId="6" fillId="7" borderId="0" xfId="2" applyNumberFormat="1" applyFont="1" applyFill="1" applyAlignment="1">
      <alignment horizontal="right" vertical="center"/>
    </xf>
    <xf numFmtId="9" fontId="22" fillId="0" borderId="0" xfId="1" applyFont="1" applyFill="1" applyBorder="1" applyAlignment="1" applyProtection="1">
      <alignment horizontal="center" vertical="center" wrapText="1"/>
    </xf>
    <xf numFmtId="9" fontId="17" fillId="7" borderId="0" xfId="1" applyFont="1" applyFill="1" applyBorder="1" applyAlignment="1" applyProtection="1">
      <alignment horizontal="center" vertical="center"/>
    </xf>
    <xf numFmtId="164" fontId="3" fillId="7" borderId="0" xfId="0" applyNumberFormat="1" applyFont="1" applyFill="1" applyAlignment="1">
      <alignment horizontal="center" vertical="center"/>
    </xf>
    <xf numFmtId="164" fontId="7" fillId="7" borderId="0" xfId="0" applyNumberFormat="1" applyFont="1" applyFill="1" applyAlignment="1">
      <alignment horizontal="center" vertical="center"/>
    </xf>
    <xf numFmtId="3" fontId="0" fillId="13" borderId="0" xfId="0" applyNumberFormat="1" applyFill="1" applyAlignment="1">
      <alignment horizontal="center"/>
    </xf>
    <xf numFmtId="164" fontId="0" fillId="13" borderId="0" xfId="1" applyNumberFormat="1" applyFont="1" applyFill="1" applyBorder="1" applyAlignment="1" applyProtection="1">
      <alignment horizontal="center"/>
    </xf>
    <xf numFmtId="10" fontId="0" fillId="13" borderId="0" xfId="1" applyNumberFormat="1" applyFont="1" applyFill="1" applyBorder="1" applyAlignment="1" applyProtection="1">
      <alignment horizontal="center"/>
    </xf>
    <xf numFmtId="164" fontId="0" fillId="0" borderId="0" xfId="1" applyNumberFormat="1" applyFont="1" applyFill="1" applyBorder="1" applyAlignment="1" applyProtection="1">
      <alignment horizontal="center"/>
    </xf>
    <xf numFmtId="4" fontId="8" fillId="0" borderId="0" xfId="0" applyNumberFormat="1" applyFont="1" applyAlignment="1">
      <alignment horizontal="center" vertical="top"/>
    </xf>
    <xf numFmtId="3" fontId="8" fillId="0" borderId="0" xfId="0" applyNumberFormat="1" applyFont="1" applyAlignment="1">
      <alignment horizontal="center" vertical="top"/>
    </xf>
    <xf numFmtId="0" fontId="10" fillId="0" borderId="0" xfId="0" applyFont="1"/>
    <xf numFmtId="0" fontId="21" fillId="0" borderId="0" xfId="0" applyFont="1" applyAlignment="1">
      <alignment wrapText="1"/>
    </xf>
    <xf numFmtId="0" fontId="2" fillId="5" borderId="0" xfId="0" applyFont="1" applyFill="1" applyAlignment="1">
      <alignment horizontal="center"/>
    </xf>
    <xf numFmtId="1" fontId="4" fillId="0" borderId="0" xfId="2" applyNumberFormat="1" applyFont="1" applyBorder="1" applyAlignment="1" applyProtection="1">
      <alignment horizontal="center"/>
      <protection locked="0"/>
    </xf>
    <xf numFmtId="0" fontId="0" fillId="0" borderId="0" xfId="0" applyAlignment="1" applyProtection="1">
      <alignment horizontal="left"/>
      <protection locked="0"/>
    </xf>
    <xf numFmtId="3" fontId="0" fillId="0" borderId="0" xfId="0" applyNumberFormat="1" applyAlignment="1" applyProtection="1">
      <alignment horizontal="left" vertical="center"/>
      <protection locked="0"/>
    </xf>
    <xf numFmtId="165" fontId="3" fillId="0" borderId="0" xfId="2" applyNumberFormat="1" applyFont="1" applyFill="1" applyAlignment="1">
      <alignment horizontal="center" vertical="center" wrapText="1"/>
    </xf>
    <xf numFmtId="165" fontId="4" fillId="0" borderId="0" xfId="2" applyNumberFormat="1" applyFont="1" applyFill="1" applyAlignment="1">
      <alignment horizontal="center" vertical="center" wrapText="1"/>
    </xf>
    <xf numFmtId="3" fontId="0" fillId="0" borderId="0" xfId="0" applyNumberFormat="1" applyAlignment="1">
      <alignment horizontal="right" vertical="center"/>
    </xf>
    <xf numFmtId="9" fontId="0" fillId="0" borderId="0" xfId="1" applyFont="1" applyFill="1" applyBorder="1" applyAlignment="1" applyProtection="1">
      <alignment horizontal="right" vertical="center"/>
    </xf>
    <xf numFmtId="165" fontId="3" fillId="0" borderId="0" xfId="2" applyNumberFormat="1" applyFont="1" applyFill="1" applyAlignment="1">
      <alignment horizontal="right" vertical="center" wrapText="1"/>
    </xf>
    <xf numFmtId="3" fontId="24" fillId="0" borderId="0" xfId="0" applyNumberFormat="1" applyFont="1" applyAlignment="1">
      <alignment horizontal="right" vertical="center"/>
    </xf>
    <xf numFmtId="3" fontId="16" fillId="7" borderId="0" xfId="0" applyNumberFormat="1" applyFont="1" applyFill="1" applyAlignment="1">
      <alignment horizontal="right" vertical="center"/>
    </xf>
    <xf numFmtId="9" fontId="16" fillId="7" borderId="0" xfId="1" applyFont="1" applyFill="1" applyBorder="1" applyAlignment="1" applyProtection="1">
      <alignment horizontal="right" vertical="center"/>
    </xf>
    <xf numFmtId="3" fontId="7" fillId="7" borderId="0" xfId="0" applyNumberFormat="1" applyFont="1" applyFill="1" applyAlignment="1">
      <alignment horizontal="center" vertical="center"/>
    </xf>
    <xf numFmtId="3" fontId="32" fillId="7" borderId="0" xfId="0" applyNumberFormat="1" applyFont="1" applyFill="1" applyAlignment="1">
      <alignment horizontal="center" vertical="center"/>
    </xf>
    <xf numFmtId="9" fontId="35" fillId="7" borderId="0" xfId="1" applyFont="1" applyFill="1" applyBorder="1" applyAlignment="1" applyProtection="1">
      <alignment horizontal="center" vertical="center"/>
    </xf>
    <xf numFmtId="43" fontId="0" fillId="0" borderId="0" xfId="2" applyFont="1"/>
    <xf numFmtId="0" fontId="7" fillId="7" borderId="0" xfId="0" applyFont="1" applyFill="1" applyAlignment="1">
      <alignment horizontal="left" vertical="center"/>
    </xf>
    <xf numFmtId="3" fontId="35" fillId="7" borderId="0" xfId="0" applyNumberFormat="1" applyFont="1" applyFill="1" applyAlignment="1">
      <alignment horizontal="center" vertical="center"/>
    </xf>
    <xf numFmtId="0" fontId="7" fillId="16" borderId="0" xfId="0" applyFont="1" applyFill="1" applyAlignment="1">
      <alignment horizontal="left" vertical="center" wrapText="1"/>
    </xf>
    <xf numFmtId="3" fontId="7" fillId="16" borderId="0" xfId="0" applyNumberFormat="1" applyFont="1" applyFill="1" applyAlignment="1">
      <alignment horizontal="center" vertical="center" wrapText="1"/>
    </xf>
    <xf numFmtId="9" fontId="17" fillId="16" borderId="0" xfId="1" applyFont="1" applyFill="1" applyBorder="1" applyAlignment="1" applyProtection="1">
      <alignment horizontal="center" vertical="center"/>
    </xf>
    <xf numFmtId="165" fontId="1" fillId="0" borderId="0" xfId="2" applyNumberFormat="1" applyFont="1" applyAlignment="1" applyProtection="1">
      <alignment horizontal="right" vertical="center"/>
      <protection locked="0"/>
    </xf>
    <xf numFmtId="0" fontId="6" fillId="14" borderId="0" xfId="0" applyFont="1" applyFill="1" applyAlignment="1">
      <alignment horizontal="left" vertical="center" wrapText="1"/>
    </xf>
    <xf numFmtId="3" fontId="2" fillId="14" borderId="0" xfId="0" applyNumberFormat="1" applyFont="1" applyFill="1" applyAlignment="1">
      <alignment horizontal="center"/>
    </xf>
    <xf numFmtId="165" fontId="2" fillId="14" borderId="0" xfId="0" applyNumberFormat="1" applyFont="1" applyFill="1"/>
    <xf numFmtId="0" fontId="36" fillId="0" borderId="0" xfId="0" applyFont="1" applyProtection="1">
      <protection locked="0"/>
    </xf>
    <xf numFmtId="43" fontId="0" fillId="0" borderId="0" xfId="0" applyNumberFormat="1"/>
    <xf numFmtId="10" fontId="0" fillId="0" borderId="0" xfId="1" applyNumberFormat="1" applyFont="1"/>
    <xf numFmtId="1" fontId="4" fillId="0" borderId="0" xfId="2" applyNumberFormat="1" applyFont="1" applyBorder="1" applyAlignment="1" applyProtection="1">
      <protection locked="0"/>
    </xf>
    <xf numFmtId="1" fontId="4" fillId="0" borderId="0" xfId="2" applyNumberFormat="1" applyFont="1" applyBorder="1" applyAlignment="1" applyProtection="1">
      <alignment vertical="center"/>
      <protection locked="0"/>
    </xf>
    <xf numFmtId="0" fontId="0" fillId="0" borderId="9" xfId="0" applyBorder="1" applyProtection="1">
      <protection locked="0"/>
    </xf>
    <xf numFmtId="3" fontId="4" fillId="0" borderId="0" xfId="0" applyNumberFormat="1" applyFont="1" applyAlignment="1" applyProtection="1">
      <alignment horizontal="center" vertical="center"/>
      <protection locked="0"/>
    </xf>
    <xf numFmtId="3" fontId="4" fillId="0" borderId="0" xfId="0" applyNumberFormat="1" applyFont="1" applyAlignment="1" applyProtection="1">
      <alignment vertical="center"/>
      <protection locked="0"/>
    </xf>
    <xf numFmtId="3" fontId="12" fillId="13" borderId="0" xfId="0" applyNumberFormat="1" applyFont="1" applyFill="1" applyAlignment="1" applyProtection="1">
      <alignment horizontal="center" vertical="center"/>
      <protection locked="0"/>
    </xf>
    <xf numFmtId="3" fontId="12" fillId="7" borderId="0" xfId="0" applyNumberFormat="1" applyFont="1" applyFill="1" applyAlignment="1" applyProtection="1">
      <alignment horizontal="center" vertical="center"/>
      <protection locked="0"/>
    </xf>
    <xf numFmtId="3" fontId="12" fillId="7" borderId="0" xfId="0" applyNumberFormat="1" applyFont="1" applyFill="1" applyAlignment="1" applyProtection="1">
      <alignment vertical="center"/>
      <protection locked="0"/>
    </xf>
    <xf numFmtId="37" fontId="4" fillId="0" borderId="0" xfId="2" applyNumberFormat="1" applyFont="1" applyBorder="1" applyAlignment="1" applyProtection="1">
      <alignment horizontal="center"/>
      <protection locked="0"/>
    </xf>
    <xf numFmtId="0" fontId="4" fillId="0" borderId="0" xfId="0" applyFont="1" applyAlignment="1" applyProtection="1">
      <alignment horizontal="center" vertical="center"/>
      <protection locked="0"/>
    </xf>
    <xf numFmtId="0" fontId="3" fillId="5" borderId="0" xfId="0" applyFont="1" applyFill="1" applyAlignment="1">
      <alignment vertical="center"/>
    </xf>
    <xf numFmtId="165" fontId="3" fillId="7" borderId="0" xfId="2" applyNumberFormat="1" applyFont="1" applyFill="1" applyAlignment="1">
      <alignment horizontal="center" vertical="center" wrapText="1"/>
    </xf>
    <xf numFmtId="165" fontId="3" fillId="7" borderId="0" xfId="2" applyNumberFormat="1" applyFont="1" applyFill="1" applyAlignment="1">
      <alignment horizontal="left" vertical="center" wrapText="1"/>
    </xf>
    <xf numFmtId="9" fontId="3" fillId="7" borderId="0" xfId="1" applyFont="1" applyFill="1" applyAlignment="1">
      <alignment horizontal="center" vertical="center" wrapText="1"/>
    </xf>
    <xf numFmtId="9" fontId="0" fillId="0" borderId="9" xfId="1" applyFont="1" applyBorder="1" applyProtection="1">
      <protection locked="0"/>
    </xf>
    <xf numFmtId="3" fontId="35" fillId="0" borderId="0" xfId="0" applyNumberFormat="1" applyFont="1" applyAlignment="1">
      <alignment horizontal="center" vertical="center"/>
    </xf>
    <xf numFmtId="3" fontId="2" fillId="0" borderId="0" xfId="0" applyNumberFormat="1" applyFont="1" applyAlignment="1" applyProtection="1">
      <alignment horizontal="center"/>
      <protection locked="0"/>
    </xf>
    <xf numFmtId="164" fontId="2" fillId="0" borderId="0" xfId="1" applyNumberFormat="1" applyFont="1" applyAlignment="1" applyProtection="1">
      <alignment horizontal="center" vertical="center"/>
    </xf>
    <xf numFmtId="0" fontId="15" fillId="5" borderId="0" xfId="0" applyFont="1" applyFill="1" applyAlignment="1">
      <alignment horizontal="center" vertical="center" wrapText="1"/>
    </xf>
    <xf numFmtId="165" fontId="38" fillId="0" borderId="0" xfId="2" applyNumberFormat="1" applyFont="1" applyBorder="1" applyAlignment="1" applyProtection="1">
      <alignment horizontal="center"/>
      <protection locked="0"/>
    </xf>
    <xf numFmtId="165" fontId="14" fillId="0" borderId="0" xfId="2" applyNumberFormat="1" applyFont="1" applyBorder="1" applyAlignment="1" applyProtection="1">
      <protection locked="0"/>
    </xf>
    <xf numFmtId="165" fontId="14" fillId="0" borderId="0" xfId="2" applyNumberFormat="1" applyFont="1" applyBorder="1" applyAlignment="1" applyProtection="1">
      <alignment horizontal="center"/>
      <protection locked="0"/>
    </xf>
    <xf numFmtId="43" fontId="38" fillId="0" borderId="0" xfId="2" applyFont="1" applyBorder="1" applyAlignment="1" applyProtection="1">
      <alignment horizontal="center"/>
      <protection locked="0"/>
    </xf>
    <xf numFmtId="165" fontId="15" fillId="0" borderId="0" xfId="2" applyNumberFormat="1" applyFont="1" applyFill="1" applyBorder="1" applyAlignment="1" applyProtection="1">
      <alignment horizontal="center"/>
    </xf>
    <xf numFmtId="165" fontId="15" fillId="0" borderId="0" xfId="2" applyNumberFormat="1" applyFont="1" applyFill="1" applyBorder="1" applyAlignment="1" applyProtection="1">
      <alignment horizontal="center" vertical="center"/>
    </xf>
    <xf numFmtId="165" fontId="14" fillId="0" borderId="0" xfId="2" applyNumberFormat="1" applyFont="1" applyBorder="1" applyAlignment="1" applyProtection="1">
      <alignment horizontal="center" vertical="center"/>
      <protection locked="0"/>
    </xf>
    <xf numFmtId="165" fontId="23" fillId="0" borderId="0" xfId="2" applyNumberFormat="1" applyFont="1" applyFill="1" applyBorder="1" applyAlignment="1" applyProtection="1">
      <alignment horizontal="center"/>
    </xf>
    <xf numFmtId="0" fontId="39" fillId="7" borderId="0" xfId="0" applyFont="1" applyFill="1" applyAlignment="1">
      <alignment horizontal="left" vertical="center"/>
    </xf>
    <xf numFmtId="165" fontId="37" fillId="7" borderId="0" xfId="2" applyNumberFormat="1" applyFont="1" applyFill="1" applyBorder="1" applyAlignment="1" applyProtection="1">
      <alignment horizontal="center"/>
    </xf>
    <xf numFmtId="165" fontId="40" fillId="7" borderId="0" xfId="2" applyNumberFormat="1" applyFont="1" applyFill="1" applyBorder="1" applyAlignment="1" applyProtection="1">
      <alignment horizontal="center"/>
    </xf>
    <xf numFmtId="165" fontId="14" fillId="0" borderId="0" xfId="2" applyNumberFormat="1" applyFont="1" applyBorder="1" applyAlignment="1" applyProtection="1"/>
    <xf numFmtId="165" fontId="14" fillId="0" borderId="0" xfId="2" applyNumberFormat="1" applyFont="1" applyBorder="1" applyAlignment="1" applyProtection="1">
      <alignment horizontal="center"/>
    </xf>
    <xf numFmtId="165" fontId="14" fillId="0" borderId="0" xfId="2" applyNumberFormat="1" applyFont="1" applyBorder="1" applyAlignment="1" applyProtection="1">
      <alignment horizontal="center" vertical="center"/>
    </xf>
    <xf numFmtId="165" fontId="37" fillId="7" borderId="0" xfId="2" applyNumberFormat="1" applyFont="1" applyFill="1" applyBorder="1" applyAlignment="1" applyProtection="1">
      <alignment horizontal="center" vertical="center"/>
    </xf>
    <xf numFmtId="0" fontId="39" fillId="9" borderId="0" xfId="0" applyFont="1" applyFill="1" applyAlignment="1">
      <alignment horizontal="left" vertical="center" wrapText="1"/>
    </xf>
    <xf numFmtId="165" fontId="37" fillId="9" borderId="0" xfId="2" applyNumberFormat="1" applyFont="1" applyFill="1" applyBorder="1" applyAlignment="1" applyProtection="1">
      <alignment horizontal="center"/>
    </xf>
    <xf numFmtId="165" fontId="37" fillId="9" borderId="0" xfId="2" applyNumberFormat="1" applyFont="1" applyFill="1" applyBorder="1" applyAlignment="1" applyProtection="1">
      <alignment horizontal="center" vertical="center"/>
    </xf>
    <xf numFmtId="0" fontId="14" fillId="0" borderId="0" xfId="0" applyFont="1" applyAlignment="1">
      <alignment horizontal="center"/>
    </xf>
    <xf numFmtId="9" fontId="15" fillId="0" borderId="0" xfId="1" applyFont="1" applyAlignment="1" applyProtection="1">
      <alignment horizontal="center"/>
    </xf>
    <xf numFmtId="0" fontId="15" fillId="0" borderId="0" xfId="0" applyFont="1" applyAlignment="1">
      <alignment horizontal="center"/>
    </xf>
    <xf numFmtId="0" fontId="4" fillId="0" borderId="0" xfId="0" applyFont="1" applyProtection="1">
      <protection locked="0"/>
    </xf>
    <xf numFmtId="0" fontId="4" fillId="0" borderId="0" xfId="0" applyFont="1" applyAlignment="1" applyProtection="1">
      <alignment horizontal="center"/>
      <protection locked="0"/>
    </xf>
    <xf numFmtId="168" fontId="4" fillId="0" borderId="0" xfId="2" applyNumberFormat="1" applyFont="1" applyBorder="1" applyAlignment="1" applyProtection="1">
      <alignment horizontal="center"/>
      <protection locked="0"/>
    </xf>
    <xf numFmtId="0" fontId="15" fillId="0" borderId="0" xfId="0" applyFont="1" applyAlignment="1">
      <alignment horizontal="center" vertical="center" wrapText="1"/>
    </xf>
    <xf numFmtId="0" fontId="35" fillId="7" borderId="0" xfId="0" applyFont="1" applyFill="1" applyAlignment="1">
      <alignment horizontal="center" vertical="center"/>
    </xf>
    <xf numFmtId="10" fontId="45" fillId="0" borderId="0" xfId="1" applyNumberFormat="1" applyFont="1" applyBorder="1" applyAlignment="1" applyProtection="1">
      <alignment horizontal="center" vertical="top"/>
    </xf>
    <xf numFmtId="10" fontId="45" fillId="11" borderId="0" xfId="1" applyNumberFormat="1" applyFont="1" applyFill="1" applyBorder="1" applyAlignment="1" applyProtection="1">
      <alignment horizontal="center" vertical="top"/>
    </xf>
    <xf numFmtId="10" fontId="34" fillId="0" borderId="0" xfId="1" applyNumberFormat="1" applyFont="1" applyBorder="1" applyAlignment="1" applyProtection="1">
      <alignment horizontal="center"/>
    </xf>
    <xf numFmtId="0" fontId="47" fillId="0" borderId="0" xfId="0" applyFont="1"/>
    <xf numFmtId="165" fontId="48" fillId="0" borderId="0" xfId="2" applyNumberFormat="1" applyFont="1" applyAlignment="1">
      <alignment horizontal="center" vertical="center" wrapText="1"/>
    </xf>
    <xf numFmtId="165" fontId="4" fillId="0" borderId="0" xfId="2" applyNumberFormat="1" applyFont="1" applyAlignment="1">
      <alignment horizontal="center" vertical="center" wrapText="1"/>
    </xf>
    <xf numFmtId="165" fontId="3" fillId="13" borderId="0" xfId="2" applyNumberFormat="1" applyFont="1" applyFill="1" applyAlignment="1">
      <alignment horizontal="center" vertical="center" wrapText="1"/>
    </xf>
    <xf numFmtId="0" fontId="2" fillId="0" borderId="9" xfId="0" applyFont="1" applyBorder="1" applyProtection="1">
      <protection locked="0"/>
    </xf>
    <xf numFmtId="9" fontId="2" fillId="0" borderId="9" xfId="1" applyFont="1" applyBorder="1" applyProtection="1">
      <protection locked="0"/>
    </xf>
    <xf numFmtId="164" fontId="0" fillId="0" borderId="9" xfId="1" applyNumberFormat="1" applyFont="1" applyBorder="1" applyProtection="1">
      <protection locked="0"/>
    </xf>
    <xf numFmtId="164" fontId="2" fillId="0" borderId="9" xfId="1" applyNumberFormat="1" applyFont="1" applyBorder="1" applyProtection="1">
      <protection locked="0"/>
    </xf>
    <xf numFmtId="0" fontId="50" fillId="0" borderId="0" xfId="0" applyFont="1"/>
    <xf numFmtId="3" fontId="22" fillId="0" borderId="0" xfId="0" applyNumberFormat="1" applyFont="1" applyAlignment="1">
      <alignment horizontal="center" vertical="center"/>
    </xf>
    <xf numFmtId="164" fontId="4" fillId="0" borderId="0" xfId="0" applyNumberFormat="1" applyFont="1" applyAlignment="1">
      <alignment horizontal="center" vertical="center"/>
    </xf>
    <xf numFmtId="3" fontId="5" fillId="0" borderId="0" xfId="0" applyNumberFormat="1" applyFont="1" applyAlignment="1" applyProtection="1">
      <alignment horizontal="center" vertical="center"/>
      <protection locked="0"/>
    </xf>
    <xf numFmtId="9" fontId="16" fillId="7" borderId="0" xfId="0" applyNumberFormat="1" applyFont="1" applyFill="1" applyAlignment="1">
      <alignment horizontal="center" vertical="center"/>
    </xf>
    <xf numFmtId="0" fontId="15" fillId="0" borderId="0" xfId="0" applyFont="1" applyProtection="1">
      <protection locked="0"/>
    </xf>
    <xf numFmtId="0" fontId="14" fillId="13" borderId="0" xfId="0" applyFont="1" applyFill="1" applyProtection="1">
      <protection locked="0"/>
    </xf>
    <xf numFmtId="0" fontId="20" fillId="0" borderId="0" xfId="0" applyFont="1" applyAlignment="1" applyProtection="1">
      <alignment horizontal="center" wrapText="1"/>
      <protection locked="0"/>
    </xf>
    <xf numFmtId="3" fontId="14" fillId="0" borderId="0" xfId="2" applyNumberFormat="1" applyFont="1" applyBorder="1" applyAlignment="1" applyProtection="1">
      <alignment horizontal="center"/>
      <protection locked="0"/>
    </xf>
    <xf numFmtId="3" fontId="20" fillId="0" borderId="0" xfId="2" applyNumberFormat="1" applyFont="1" applyBorder="1" applyAlignment="1" applyProtection="1">
      <alignment horizontal="center"/>
      <protection locked="0"/>
    </xf>
    <xf numFmtId="3" fontId="37" fillId="13" borderId="0" xfId="0" applyNumberFormat="1" applyFont="1" applyFill="1" applyAlignment="1" applyProtection="1">
      <alignment horizontal="center" vertical="center"/>
      <protection locked="0"/>
    </xf>
    <xf numFmtId="3" fontId="37" fillId="7" borderId="0" xfId="0" applyNumberFormat="1" applyFont="1" applyFill="1" applyAlignment="1" applyProtection="1">
      <alignment horizontal="center" vertical="center"/>
      <protection locked="0"/>
    </xf>
    <xf numFmtId="3" fontId="37" fillId="7" borderId="0" xfId="0" applyNumberFormat="1" applyFont="1" applyFill="1" applyAlignment="1">
      <alignment horizontal="center" vertical="center"/>
    </xf>
    <xf numFmtId="3" fontId="49" fillId="7" borderId="0" xfId="0" applyNumberFormat="1" applyFont="1" applyFill="1" applyAlignment="1" applyProtection="1">
      <alignment horizontal="center" vertical="center"/>
      <protection locked="0"/>
    </xf>
    <xf numFmtId="0" fontId="41" fillId="0" borderId="0" xfId="0" applyFont="1"/>
    <xf numFmtId="0" fontId="7" fillId="7" borderId="0" xfId="0" applyFont="1" applyFill="1" applyAlignment="1">
      <alignment horizontal="left" vertical="center" wrapText="1"/>
    </xf>
    <xf numFmtId="0" fontId="7" fillId="0" borderId="0" xfId="0" applyFont="1" applyAlignment="1">
      <alignment horizontal="left" vertical="center"/>
    </xf>
    <xf numFmtId="0" fontId="2" fillId="0" borderId="0" xfId="0" applyFont="1" applyAlignment="1" applyProtection="1">
      <alignment vertical="center"/>
      <protection locked="0"/>
    </xf>
    <xf numFmtId="0" fontId="13" fillId="6" borderId="0" xfId="0" applyFont="1" applyFill="1" applyAlignment="1">
      <alignment vertical="center"/>
    </xf>
    <xf numFmtId="0" fontId="3" fillId="0" borderId="0" xfId="0" applyFont="1" applyAlignment="1">
      <alignment vertical="center"/>
    </xf>
    <xf numFmtId="0" fontId="13" fillId="5" borderId="0" xfId="0" applyFont="1" applyFill="1" applyAlignment="1">
      <alignment horizontal="center" vertical="center"/>
    </xf>
    <xf numFmtId="0" fontId="13" fillId="0" borderId="0" xfId="0" applyFont="1" applyAlignment="1">
      <alignment horizontal="left" vertical="top"/>
    </xf>
    <xf numFmtId="9" fontId="34" fillId="0" borderId="0" xfId="1" applyFont="1" applyBorder="1" applyAlignment="1" applyProtection="1">
      <alignment horizontal="center"/>
    </xf>
    <xf numFmtId="3" fontId="46" fillId="0" borderId="0" xfId="0" applyNumberFormat="1" applyFont="1" applyAlignment="1" applyProtection="1">
      <alignment horizontal="center" vertical="top"/>
      <protection locked="0"/>
    </xf>
    <xf numFmtId="0" fontId="13" fillId="0" borderId="0" xfId="0" applyFont="1" applyAlignment="1">
      <alignment vertical="top"/>
    </xf>
    <xf numFmtId="0" fontId="18" fillId="18" borderId="0" xfId="0" applyFont="1" applyFill="1" applyAlignment="1">
      <alignment horizontal="center" vertical="center"/>
    </xf>
    <xf numFmtId="0" fontId="14" fillId="0" borderId="0" xfId="0" applyFont="1" applyAlignment="1">
      <alignment horizontal="left" vertical="top" wrapText="1"/>
    </xf>
    <xf numFmtId="3" fontId="8" fillId="0" borderId="0" xfId="0" applyNumberFormat="1" applyFont="1" applyAlignment="1">
      <alignment horizontal="center"/>
    </xf>
    <xf numFmtId="166" fontId="13" fillId="0" borderId="0" xfId="0" applyNumberFormat="1" applyFont="1" applyAlignment="1">
      <alignment horizontal="left" vertical="center"/>
    </xf>
    <xf numFmtId="0" fontId="13" fillId="0" borderId="0" xfId="0" applyFont="1" applyAlignment="1">
      <alignment horizontal="left" vertical="center"/>
    </xf>
    <xf numFmtId="3" fontId="48" fillId="0" borderId="0" xfId="0" applyNumberFormat="1" applyFont="1" applyAlignment="1">
      <alignment horizontal="center" vertical="center"/>
    </xf>
    <xf numFmtId="43" fontId="5" fillId="0" borderId="0" xfId="1" applyNumberFormat="1" applyFont="1" applyBorder="1" applyAlignment="1">
      <alignment horizontal="center" vertical="center"/>
    </xf>
    <xf numFmtId="0" fontId="21" fillId="0" borderId="0" xfId="0" applyFont="1" applyAlignment="1">
      <alignment horizontal="left" vertical="center"/>
    </xf>
    <xf numFmtId="166" fontId="13" fillId="11" borderId="0" xfId="0" applyNumberFormat="1" applyFont="1" applyFill="1" applyAlignment="1">
      <alignment vertical="center"/>
    </xf>
    <xf numFmtId="9" fontId="34" fillId="11" borderId="0" xfId="1" applyFont="1" applyFill="1" applyBorder="1" applyAlignment="1" applyProtection="1">
      <alignment horizontal="center"/>
    </xf>
    <xf numFmtId="166" fontId="13" fillId="0" borderId="0" xfId="0" applyNumberFormat="1" applyFont="1" applyAlignment="1">
      <alignment vertical="center"/>
    </xf>
    <xf numFmtId="9" fontId="34" fillId="0" borderId="0" xfId="1" applyFont="1" applyFill="1" applyBorder="1" applyAlignment="1" applyProtection="1">
      <alignment horizontal="center"/>
    </xf>
    <xf numFmtId="0" fontId="11" fillId="0" borderId="0" xfId="0" applyFont="1" applyAlignment="1">
      <alignment horizontal="left" vertical="center"/>
    </xf>
    <xf numFmtId="3" fontId="8" fillId="0" borderId="0" xfId="0" applyNumberFormat="1" applyFont="1" applyAlignment="1">
      <alignment vertical="top"/>
    </xf>
    <xf numFmtId="37" fontId="0" fillId="0" borderId="0" xfId="0" applyNumberFormat="1" applyProtection="1">
      <protection locked="0"/>
    </xf>
    <xf numFmtId="4" fontId="8" fillId="0" borderId="0" xfId="0" applyNumberFormat="1" applyFont="1" applyAlignment="1">
      <alignment vertical="top"/>
    </xf>
    <xf numFmtId="0" fontId="14" fillId="5" borderId="0" xfId="0" applyFont="1" applyFill="1"/>
    <xf numFmtId="169" fontId="15" fillId="0" borderId="0" xfId="2" applyNumberFormat="1" applyFont="1" applyFill="1" applyBorder="1" applyAlignment="1" applyProtection="1">
      <alignment horizontal="right" vertical="center"/>
      <protection locked="0"/>
    </xf>
    <xf numFmtId="0" fontId="7" fillId="9" borderId="0" xfId="0" applyFont="1" applyFill="1" applyAlignment="1">
      <alignment horizontal="left" vertical="center"/>
    </xf>
    <xf numFmtId="0" fontId="7" fillId="7" borderId="0" xfId="0" applyFont="1" applyFill="1" applyAlignment="1">
      <alignment vertical="center"/>
    </xf>
    <xf numFmtId="0" fontId="35" fillId="0" borderId="0" xfId="0" applyFont="1" applyAlignment="1">
      <alignment horizontal="center" vertical="center"/>
    </xf>
    <xf numFmtId="0" fontId="35" fillId="7" borderId="0" xfId="0" applyFont="1" applyFill="1" applyAlignment="1" applyProtection="1">
      <alignment horizontal="left" vertical="center" wrapText="1"/>
      <protection locked="0"/>
    </xf>
    <xf numFmtId="43" fontId="4" fillId="0" borderId="0" xfId="0" applyNumberFormat="1" applyFont="1" applyAlignment="1" applyProtection="1">
      <alignment horizontal="center"/>
      <protection locked="0"/>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4" fontId="46" fillId="0" borderId="0" xfId="0" applyNumberFormat="1" applyFont="1" applyAlignment="1" applyProtection="1">
      <alignment horizontal="center" vertical="top"/>
      <protection locked="0"/>
    </xf>
    <xf numFmtId="9" fontId="34" fillId="0" borderId="14" xfId="1" applyFont="1" applyBorder="1" applyAlignment="1" applyProtection="1">
      <alignment horizontal="center"/>
    </xf>
    <xf numFmtId="9" fontId="18" fillId="18" borderId="16" xfId="1" applyFont="1" applyFill="1" applyBorder="1" applyAlignment="1" applyProtection="1">
      <alignment horizontal="center" vertical="center"/>
    </xf>
    <xf numFmtId="4" fontId="23" fillId="18" borderId="16" xfId="0" applyNumberFormat="1" applyFont="1" applyFill="1" applyBorder="1" applyAlignment="1">
      <alignment horizontal="center" vertical="center"/>
    </xf>
    <xf numFmtId="9" fontId="18" fillId="18" borderId="17" xfId="1" applyFont="1" applyFill="1" applyBorder="1" applyAlignment="1" applyProtection="1">
      <alignment horizontal="center" vertical="center"/>
    </xf>
    <xf numFmtId="3" fontId="45" fillId="0" borderId="13" xfId="0" applyNumberFormat="1" applyFont="1" applyBorder="1" applyAlignment="1">
      <alignment horizontal="center" vertical="top"/>
    </xf>
    <xf numFmtId="4" fontId="34" fillId="0" borderId="0" xfId="0" applyNumberFormat="1" applyFont="1" applyAlignment="1">
      <alignment horizontal="center"/>
    </xf>
    <xf numFmtId="3" fontId="34" fillId="0" borderId="0" xfId="0" applyNumberFormat="1" applyFont="1" applyAlignment="1">
      <alignment horizontal="center"/>
    </xf>
    <xf numFmtId="3" fontId="45" fillId="0" borderId="0" xfId="0" applyNumberFormat="1" applyFont="1" applyAlignment="1" applyProtection="1">
      <alignment horizontal="center" vertical="top"/>
      <protection locked="0"/>
    </xf>
    <xf numFmtId="3" fontId="45" fillId="0" borderId="0" xfId="0" applyNumberFormat="1" applyFont="1" applyAlignment="1">
      <alignment horizontal="center" vertical="top"/>
    </xf>
    <xf numFmtId="3" fontId="18" fillId="18" borderId="16" xfId="0" applyNumberFormat="1" applyFont="1" applyFill="1" applyBorder="1" applyAlignment="1">
      <alignment horizontal="center" vertical="center"/>
    </xf>
    <xf numFmtId="0" fontId="13" fillId="5" borderId="13"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14" xfId="0" applyFont="1" applyFill="1" applyBorder="1" applyAlignment="1">
      <alignment horizontal="center" vertical="center" wrapText="1"/>
    </xf>
    <xf numFmtId="10" fontId="34" fillId="0" borderId="14" xfId="1" applyNumberFormat="1" applyFont="1" applyBorder="1" applyAlignment="1" applyProtection="1">
      <alignment horizontal="center"/>
    </xf>
    <xf numFmtId="0" fontId="13" fillId="5" borderId="13" xfId="0" applyFont="1" applyFill="1" applyBorder="1" applyAlignment="1">
      <alignment horizontal="center"/>
    </xf>
    <xf numFmtId="0" fontId="13" fillId="5" borderId="0" xfId="0" applyFont="1" applyFill="1" applyAlignment="1">
      <alignment horizontal="center"/>
    </xf>
    <xf numFmtId="4" fontId="45" fillId="0" borderId="0" xfId="0" applyNumberFormat="1" applyFont="1" applyAlignment="1">
      <alignment horizontal="center" vertical="top"/>
    </xf>
    <xf numFmtId="10" fontId="45" fillId="0" borderId="14" xfId="1" applyNumberFormat="1" applyFont="1" applyBorder="1" applyAlignment="1" applyProtection="1">
      <alignment horizontal="center" vertical="top"/>
    </xf>
    <xf numFmtId="3" fontId="23" fillId="18" borderId="16" xfId="0" applyNumberFormat="1" applyFont="1" applyFill="1" applyBorder="1" applyAlignment="1">
      <alignment horizontal="center" vertical="center"/>
    </xf>
    <xf numFmtId="9" fontId="34" fillId="11" borderId="14" xfId="1" applyFont="1" applyFill="1" applyBorder="1" applyAlignment="1" applyProtection="1">
      <alignment horizontal="center"/>
    </xf>
    <xf numFmtId="4" fontId="45" fillId="0" borderId="0" xfId="0" applyNumberFormat="1" applyFont="1" applyAlignment="1" applyProtection="1">
      <alignment horizontal="center" vertical="top"/>
      <protection locked="0"/>
    </xf>
    <xf numFmtId="4" fontId="34" fillId="0" borderId="0" xfId="0" applyNumberFormat="1" applyFont="1" applyAlignment="1" applyProtection="1">
      <alignment horizontal="center"/>
      <protection locked="0"/>
    </xf>
    <xf numFmtId="4" fontId="15" fillId="18" borderId="16" xfId="0" applyNumberFormat="1" applyFont="1" applyFill="1" applyBorder="1" applyProtection="1">
      <protection locked="0"/>
    </xf>
    <xf numFmtId="0" fontId="13" fillId="0" borderId="0" xfId="0" applyFont="1" applyAlignment="1">
      <alignment horizontal="left"/>
    </xf>
    <xf numFmtId="164" fontId="34" fillId="0" borderId="0" xfId="1" applyNumberFormat="1" applyFont="1" applyFill="1" applyBorder="1" applyAlignment="1" applyProtection="1">
      <alignment horizontal="center"/>
    </xf>
    <xf numFmtId="0" fontId="44" fillId="7" borderId="0" xfId="0" applyFont="1" applyFill="1" applyAlignment="1">
      <alignment horizontal="left" vertical="center"/>
    </xf>
    <xf numFmtId="3" fontId="27" fillId="7" borderId="0" xfId="0" applyNumberFormat="1" applyFont="1" applyFill="1" applyAlignment="1">
      <alignment horizontal="center" vertical="center"/>
    </xf>
    <xf numFmtId="0" fontId="13" fillId="5" borderId="18" xfId="0" applyFont="1" applyFill="1" applyBorder="1" applyAlignment="1">
      <alignment vertical="center"/>
    </xf>
    <xf numFmtId="10" fontId="43" fillId="0" borderId="0" xfId="1" applyNumberFormat="1" applyFont="1" applyBorder="1" applyAlignment="1" applyProtection="1">
      <alignment horizontal="center"/>
    </xf>
    <xf numFmtId="0" fontId="13" fillId="5" borderId="19" xfId="0" applyFont="1" applyFill="1" applyBorder="1" applyAlignment="1">
      <alignment vertical="center"/>
    </xf>
    <xf numFmtId="0" fontId="42" fillId="5" borderId="0" xfId="0" applyFont="1" applyFill="1"/>
    <xf numFmtId="0" fontId="13" fillId="5" borderId="20" xfId="0" applyFont="1" applyFill="1" applyBorder="1" applyAlignment="1">
      <alignment vertical="center"/>
    </xf>
    <xf numFmtId="0" fontId="21" fillId="0" borderId="0" xfId="0" applyFont="1" applyAlignment="1">
      <alignment horizontal="left" wrapText="1"/>
    </xf>
    <xf numFmtId="10" fontId="5" fillId="0" borderId="0" xfId="0" applyNumberFormat="1" applyFont="1" applyAlignment="1">
      <alignment horizontal="center" vertical="center"/>
    </xf>
    <xf numFmtId="0" fontId="12" fillId="0" borderId="0" xfId="0" applyFont="1" applyAlignment="1" applyProtection="1">
      <alignment horizontal="center"/>
      <protection locked="0"/>
    </xf>
    <xf numFmtId="43" fontId="12" fillId="0" borderId="0" xfId="0" applyNumberFormat="1" applyFont="1" applyAlignment="1" applyProtection="1">
      <alignment horizontal="center"/>
      <protection locked="0"/>
    </xf>
    <xf numFmtId="4" fontId="53" fillId="0" borderId="0" xfId="0" applyNumberFormat="1" applyFont="1" applyAlignment="1">
      <alignment vertical="top"/>
    </xf>
    <xf numFmtId="0" fontId="51" fillId="0" borderId="0" xfId="0" applyFont="1"/>
    <xf numFmtId="43" fontId="4" fillId="0" borderId="0" xfId="2" applyFont="1" applyBorder="1" applyAlignment="1" applyProtection="1">
      <alignment horizontal="right" vertical="center"/>
      <protection locked="0"/>
    </xf>
    <xf numFmtId="43" fontId="4" fillId="0" borderId="0" xfId="2" applyFont="1" applyBorder="1" applyAlignment="1" applyProtection="1">
      <alignment vertical="center"/>
      <protection locked="0"/>
    </xf>
    <xf numFmtId="43" fontId="0" fillId="0" borderId="0" xfId="0" applyNumberFormat="1" applyAlignment="1">
      <alignment horizontal="right" vertical="center"/>
    </xf>
    <xf numFmtId="165" fontId="0" fillId="0" borderId="0" xfId="0" applyNumberFormat="1" applyAlignment="1">
      <alignment horizontal="right" vertical="center"/>
    </xf>
    <xf numFmtId="37" fontId="4" fillId="0" borderId="0" xfId="2" applyNumberFormat="1" applyFont="1" applyBorder="1" applyAlignment="1" applyProtection="1">
      <alignment horizontal="center"/>
    </xf>
    <xf numFmtId="37" fontId="2" fillId="9" borderId="0" xfId="2" applyNumberFormat="1" applyFont="1" applyFill="1" applyBorder="1" applyAlignment="1" applyProtection="1">
      <alignment horizontal="right" vertical="center"/>
      <protection locked="0"/>
    </xf>
    <xf numFmtId="39" fontId="2" fillId="9" borderId="0" xfId="2" applyNumberFormat="1" applyFont="1" applyFill="1" applyBorder="1" applyAlignment="1" applyProtection="1">
      <alignment horizontal="right" vertical="center"/>
      <protection locked="0"/>
    </xf>
    <xf numFmtId="43" fontId="2" fillId="9" borderId="0" xfId="2" applyFont="1" applyFill="1" applyBorder="1" applyAlignment="1" applyProtection="1">
      <alignment horizontal="right" vertical="center"/>
      <protection locked="0"/>
    </xf>
    <xf numFmtId="43" fontId="4" fillId="0" borderId="0" xfId="2" applyFont="1" applyBorder="1" applyAlignment="1" applyProtection="1">
      <alignment horizontal="center" vertical="center"/>
      <protection locked="0"/>
    </xf>
    <xf numFmtId="0" fontId="7" fillId="7" borderId="0" xfId="0" applyFont="1" applyFill="1" applyAlignment="1">
      <alignment horizontal="center" vertical="center"/>
    </xf>
    <xf numFmtId="3" fontId="15" fillId="7" borderId="0" xfId="2" applyNumberFormat="1" applyFont="1" applyFill="1" applyBorder="1" applyAlignment="1" applyProtection="1">
      <alignment horizontal="center"/>
      <protection locked="0"/>
    </xf>
    <xf numFmtId="3" fontId="3" fillId="7" borderId="0" xfId="2" applyNumberFormat="1" applyFont="1" applyFill="1" applyBorder="1" applyAlignment="1" applyProtection="1">
      <alignment horizontal="center"/>
    </xf>
    <xf numFmtId="0" fontId="21" fillId="0" borderId="0" xfId="0" applyFont="1" applyAlignment="1">
      <alignment horizontal="left"/>
    </xf>
    <xf numFmtId="43" fontId="14" fillId="0" borderId="0" xfId="0" applyNumberFormat="1" applyFont="1" applyProtection="1">
      <protection locked="0"/>
    </xf>
    <xf numFmtId="3" fontId="15" fillId="5" borderId="0" xfId="0" applyNumberFormat="1" applyFont="1" applyFill="1" applyAlignment="1">
      <alignment vertical="center" wrapText="1"/>
    </xf>
    <xf numFmtId="0" fontId="15" fillId="5" borderId="0" xfId="0" applyFont="1" applyFill="1" applyAlignment="1">
      <alignment vertical="center" wrapText="1"/>
    </xf>
    <xf numFmtId="43" fontId="4" fillId="0" borderId="0" xfId="2" applyFont="1" applyBorder="1" applyAlignment="1" applyProtection="1">
      <alignment horizontal="left" vertical="center"/>
      <protection locked="0"/>
    </xf>
    <xf numFmtId="43" fontId="4" fillId="0" borderId="0" xfId="2" applyFont="1" applyBorder="1" applyAlignment="1" applyProtection="1">
      <alignment horizontal="left"/>
    </xf>
    <xf numFmtId="0" fontId="2" fillId="0" borderId="0" xfId="0" applyFont="1" applyAlignment="1">
      <alignment horizontal="left" vertical="center" wrapText="1"/>
    </xf>
    <xf numFmtId="0" fontId="3" fillId="0" borderId="0" xfId="0" applyFont="1" applyAlignment="1">
      <alignment horizontal="right" vertical="center" wrapText="1"/>
    </xf>
    <xf numFmtId="165" fontId="5" fillId="0" borderId="0" xfId="2" applyNumberFormat="1" applyFont="1" applyFill="1" applyBorder="1" applyAlignment="1" applyProtection="1">
      <alignment horizontal="right" vertical="center"/>
    </xf>
    <xf numFmtId="165" fontId="22" fillId="0" borderId="0" xfId="2" applyNumberFormat="1" applyFont="1" applyFill="1" applyBorder="1" applyAlignment="1" applyProtection="1">
      <alignment horizontal="right" vertical="center"/>
    </xf>
    <xf numFmtId="165" fontId="17" fillId="7" borderId="0" xfId="0" applyNumberFormat="1" applyFont="1" applyFill="1" applyAlignment="1">
      <alignment horizontal="right" vertical="center"/>
    </xf>
    <xf numFmtId="4" fontId="5" fillId="0" borderId="0" xfId="2" applyNumberFormat="1" applyFont="1" applyFill="1" applyBorder="1" applyAlignment="1" applyProtection="1">
      <alignment horizontal="right" vertical="center"/>
    </xf>
    <xf numFmtId="43" fontId="7" fillId="0" borderId="0" xfId="0" applyNumberFormat="1" applyFont="1" applyAlignment="1">
      <alignment horizontal="left" vertical="center"/>
    </xf>
    <xf numFmtId="4" fontId="4" fillId="0" borderId="0" xfId="0" applyNumberFormat="1" applyFont="1" applyAlignment="1">
      <alignment horizontal="center" vertical="center"/>
    </xf>
    <xf numFmtId="4" fontId="5" fillId="0" borderId="0" xfId="0" applyNumberFormat="1" applyFont="1" applyAlignment="1">
      <alignment horizontal="center" vertical="center"/>
    </xf>
    <xf numFmtId="4" fontId="7" fillId="7" borderId="0" xfId="0" applyNumberFormat="1" applyFont="1" applyFill="1" applyAlignment="1">
      <alignment horizontal="center" vertical="center"/>
    </xf>
    <xf numFmtId="10" fontId="7" fillId="7" borderId="0" xfId="0" applyNumberFormat="1" applyFont="1" applyFill="1" applyAlignment="1">
      <alignment horizontal="center" vertical="center"/>
    </xf>
    <xf numFmtId="43" fontId="7" fillId="7" borderId="0" xfId="2" applyFont="1" applyFill="1" applyBorder="1" applyAlignment="1" applyProtection="1">
      <alignment horizontal="center" vertical="center"/>
    </xf>
    <xf numFmtId="4" fontId="4" fillId="0" borderId="0" xfId="0" applyNumberFormat="1" applyFont="1" applyAlignment="1">
      <alignment horizontal="right" vertical="center"/>
    </xf>
    <xf numFmtId="4" fontId="5" fillId="0" borderId="0" xfId="0" applyNumberFormat="1" applyFont="1" applyAlignment="1">
      <alignment horizontal="right" vertical="center"/>
    </xf>
    <xf numFmtId="4" fontId="7" fillId="7" borderId="0" xfId="0" applyNumberFormat="1" applyFont="1" applyFill="1" applyAlignment="1">
      <alignment horizontal="right" vertical="center"/>
    </xf>
    <xf numFmtId="0" fontId="7" fillId="14" borderId="0" xfId="0" applyFont="1" applyFill="1" applyAlignment="1">
      <alignment horizontal="center" vertical="center" wrapText="1"/>
    </xf>
    <xf numFmtId="3" fontId="7" fillId="14" borderId="0" xfId="0" applyNumberFormat="1" applyFont="1" applyFill="1" applyAlignment="1">
      <alignment horizontal="center" vertical="center" wrapText="1"/>
    </xf>
    <xf numFmtId="0" fontId="3" fillId="16" borderId="0" xfId="0" applyFont="1" applyFill="1" applyAlignment="1">
      <alignment horizontal="center" vertical="center"/>
    </xf>
    <xf numFmtId="9" fontId="3" fillId="16" borderId="0" xfId="1" applyFont="1" applyFill="1" applyAlignment="1" applyProtection="1">
      <alignment horizontal="center" vertical="center"/>
    </xf>
    <xf numFmtId="4" fontId="4" fillId="0" borderId="0" xfId="0" applyNumberFormat="1" applyFont="1" applyAlignment="1" applyProtection="1">
      <alignment horizontal="center"/>
      <protection locked="0"/>
    </xf>
    <xf numFmtId="4" fontId="3" fillId="0" borderId="0" xfId="0" applyNumberFormat="1" applyFont="1" applyAlignment="1">
      <alignment horizontal="center" vertical="center"/>
    </xf>
    <xf numFmtId="4" fontId="4" fillId="0" borderId="0" xfId="0" applyNumberFormat="1" applyFont="1" applyAlignment="1">
      <alignment horizontal="center"/>
    </xf>
    <xf numFmtId="43" fontId="4" fillId="0" borderId="0" xfId="2" applyFont="1" applyBorder="1" applyAlignment="1" applyProtection="1"/>
    <xf numFmtId="4" fontId="15" fillId="7" borderId="0" xfId="2" applyNumberFormat="1" applyFont="1" applyFill="1" applyBorder="1" applyAlignment="1" applyProtection="1">
      <protection locked="0"/>
    </xf>
    <xf numFmtId="3" fontId="15" fillId="7" borderId="0" xfId="2" applyNumberFormat="1" applyFont="1" applyFill="1" applyBorder="1" applyAlignment="1" applyProtection="1">
      <protection locked="0"/>
    </xf>
    <xf numFmtId="165" fontId="4" fillId="0" borderId="0" xfId="0" applyNumberFormat="1" applyFont="1" applyAlignment="1" applyProtection="1">
      <alignment vertical="center"/>
      <protection locked="0"/>
    </xf>
    <xf numFmtId="3" fontId="7" fillId="7" borderId="0" xfId="0" applyNumberFormat="1" applyFont="1" applyFill="1" applyAlignment="1">
      <alignment vertical="center"/>
    </xf>
    <xf numFmtId="43" fontId="7" fillId="7" borderId="0" xfId="0" applyNumberFormat="1" applyFont="1" applyFill="1" applyAlignment="1">
      <alignment horizontal="center" vertical="center"/>
    </xf>
    <xf numFmtId="43" fontId="16" fillId="7" borderId="0" xfId="0" applyNumberFormat="1" applyFont="1" applyFill="1" applyAlignment="1">
      <alignment horizontal="center" vertical="center"/>
    </xf>
    <xf numFmtId="43" fontId="4" fillId="0" borderId="0" xfId="2" applyFont="1" applyAlignment="1">
      <alignment horizontal="center" vertical="center"/>
    </xf>
    <xf numFmtId="37" fontId="4" fillId="0" borderId="0" xfId="2" applyNumberFormat="1" applyFont="1" applyBorder="1" applyAlignment="1" applyProtection="1"/>
    <xf numFmtId="37" fontId="2" fillId="9" borderId="0" xfId="2" applyNumberFormat="1" applyFont="1" applyFill="1" applyBorder="1" applyAlignment="1" applyProtection="1">
      <alignment vertical="center"/>
      <protection locked="0"/>
    </xf>
    <xf numFmtId="0" fontId="0" fillId="0" borderId="0" xfId="0" applyAlignment="1">
      <alignment horizontal="center" vertical="center"/>
    </xf>
    <xf numFmtId="37" fontId="2" fillId="9" borderId="0" xfId="2" applyNumberFormat="1" applyFont="1" applyFill="1" applyBorder="1" applyAlignment="1" applyProtection="1">
      <alignment horizontal="center" vertical="center"/>
      <protection locked="0"/>
    </xf>
    <xf numFmtId="43" fontId="2" fillId="9" borderId="0" xfId="2" applyFont="1" applyFill="1" applyBorder="1" applyAlignment="1" applyProtection="1">
      <alignment vertical="center"/>
      <protection locked="0"/>
    </xf>
    <xf numFmtId="10" fontId="35" fillId="7" borderId="0" xfId="1" applyNumberFormat="1" applyFont="1" applyFill="1" applyBorder="1" applyAlignment="1" applyProtection="1">
      <alignment horizontal="center" vertical="center"/>
    </xf>
    <xf numFmtId="10" fontId="34" fillId="0" borderId="0" xfId="1" applyNumberFormat="1" applyFont="1" applyFill="1" applyBorder="1" applyAlignment="1" applyProtection="1">
      <alignment horizontal="center"/>
    </xf>
    <xf numFmtId="10" fontId="27" fillId="7" borderId="0" xfId="1" applyNumberFormat="1" applyFont="1" applyFill="1" applyBorder="1" applyAlignment="1" applyProtection="1">
      <alignment horizontal="center" vertical="center"/>
    </xf>
    <xf numFmtId="9" fontId="54" fillId="13" borderId="0" xfId="1" applyFont="1" applyFill="1" applyBorder="1" applyAlignment="1" applyProtection="1">
      <alignment horizontal="center" vertical="center"/>
      <protection locked="0"/>
    </xf>
    <xf numFmtId="0" fontId="54" fillId="13" borderId="0" xfId="0" applyFont="1" applyFill="1" applyProtection="1">
      <protection locked="0"/>
    </xf>
    <xf numFmtId="164" fontId="54" fillId="13" borderId="0" xfId="1" applyNumberFormat="1" applyFont="1" applyFill="1" applyBorder="1" applyAlignment="1" applyProtection="1">
      <alignment horizontal="center" vertical="center"/>
      <protection locked="0"/>
    </xf>
    <xf numFmtId="10" fontId="54" fillId="13" borderId="0" xfId="1" applyNumberFormat="1" applyFont="1" applyFill="1" applyAlignment="1" applyProtection="1">
      <alignment horizontal="center"/>
    </xf>
    <xf numFmtId="0" fontId="55" fillId="13" borderId="0" xfId="0" applyFont="1" applyFill="1"/>
    <xf numFmtId="43" fontId="55" fillId="13" borderId="0" xfId="2" applyFont="1" applyFill="1"/>
    <xf numFmtId="165" fontId="55" fillId="13" borderId="0" xfId="0" applyNumberFormat="1" applyFont="1" applyFill="1"/>
    <xf numFmtId="9" fontId="54" fillId="13" borderId="0" xfId="1" applyFont="1" applyFill="1" applyAlignment="1">
      <alignment horizontal="center"/>
    </xf>
    <xf numFmtId="10" fontId="4" fillId="0" borderId="0" xfId="1" applyNumberFormat="1" applyFont="1" applyAlignment="1">
      <alignment horizontal="center" vertical="center"/>
    </xf>
    <xf numFmtId="10" fontId="16" fillId="7" borderId="0" xfId="1" applyNumberFormat="1" applyFont="1" applyFill="1" applyBorder="1" applyAlignment="1" applyProtection="1">
      <alignment horizontal="center" vertical="center"/>
    </xf>
    <xf numFmtId="37" fontId="3" fillId="7" borderId="0" xfId="2" applyNumberFormat="1" applyFont="1" applyFill="1" applyBorder="1" applyAlignment="1" applyProtection="1">
      <alignment horizontal="center"/>
      <protection locked="0"/>
    </xf>
    <xf numFmtId="43" fontId="3" fillId="7" borderId="0" xfId="2" applyFont="1" applyFill="1" applyBorder="1" applyAlignment="1" applyProtection="1">
      <alignment horizontal="center"/>
      <protection locked="0"/>
    </xf>
    <xf numFmtId="37" fontId="4" fillId="0" borderId="0" xfId="2" applyNumberFormat="1" applyFont="1" applyBorder="1" applyAlignment="1" applyProtection="1">
      <alignment horizontal="center" vertical="center"/>
      <protection locked="0"/>
    </xf>
    <xf numFmtId="9" fontId="56" fillId="13" borderId="0" xfId="1" applyFont="1" applyFill="1" applyAlignment="1" applyProtection="1">
      <alignment horizontal="center"/>
      <protection locked="0"/>
    </xf>
    <xf numFmtId="170" fontId="4" fillId="0" borderId="0" xfId="0" applyNumberFormat="1" applyFont="1" applyAlignment="1" applyProtection="1">
      <alignment horizontal="center" vertical="center"/>
      <protection locked="0"/>
    </xf>
    <xf numFmtId="170" fontId="15" fillId="7" borderId="0" xfId="2" applyNumberFormat="1" applyFont="1" applyFill="1" applyBorder="1" applyAlignment="1" applyProtection="1">
      <protection locked="0"/>
    </xf>
    <xf numFmtId="170" fontId="3" fillId="0" borderId="0" xfId="2" applyNumberFormat="1" applyFont="1" applyBorder="1" applyAlignment="1" applyProtection="1"/>
    <xf numFmtId="1" fontId="45" fillId="0" borderId="13" xfId="0" applyNumberFormat="1" applyFont="1" applyBorder="1" applyAlignment="1">
      <alignment horizontal="center" vertical="top"/>
    </xf>
    <xf numFmtId="1" fontId="46" fillId="0" borderId="0" xfId="0" applyNumberFormat="1" applyFont="1" applyAlignment="1" applyProtection="1">
      <alignment horizontal="center" vertical="top"/>
      <protection locked="0"/>
    </xf>
    <xf numFmtId="1" fontId="52" fillId="0" borderId="13" xfId="0" applyNumberFormat="1" applyFont="1" applyBorder="1" applyAlignment="1">
      <alignment horizontal="center" vertical="top"/>
    </xf>
    <xf numFmtId="1" fontId="18" fillId="18" borderId="15" xfId="0" applyNumberFormat="1" applyFont="1" applyFill="1" applyBorder="1" applyAlignment="1">
      <alignment horizontal="center" vertical="center"/>
    </xf>
    <xf numFmtId="1" fontId="23" fillId="18" borderId="15" xfId="0" applyNumberFormat="1" applyFont="1" applyFill="1" applyBorder="1" applyAlignment="1">
      <alignment horizontal="center" vertical="center"/>
    </xf>
    <xf numFmtId="1" fontId="18" fillId="18" borderId="16" xfId="0" applyNumberFormat="1" applyFont="1" applyFill="1" applyBorder="1" applyAlignment="1">
      <alignment horizontal="center" vertical="center"/>
    </xf>
    <xf numFmtId="170" fontId="3" fillId="7" borderId="0" xfId="2" applyNumberFormat="1" applyFont="1" applyFill="1" applyBorder="1" applyAlignment="1" applyProtection="1">
      <alignment horizontal="center"/>
      <protection locked="0"/>
    </xf>
    <xf numFmtId="1" fontId="0" fillId="13" borderId="0" xfId="0" applyNumberFormat="1" applyFill="1" applyAlignment="1">
      <alignment horizontal="center"/>
    </xf>
    <xf numFmtId="1" fontId="4" fillId="0" borderId="0" xfId="0" applyNumberFormat="1" applyFont="1" applyAlignment="1">
      <alignment horizontal="center"/>
    </xf>
    <xf numFmtId="1" fontId="35" fillId="7" borderId="0" xfId="0" applyNumberFormat="1" applyFont="1" applyFill="1" applyAlignment="1">
      <alignment horizontal="center" vertical="center"/>
    </xf>
    <xf numFmtId="1" fontId="34" fillId="0" borderId="0" xfId="0" applyNumberFormat="1" applyFont="1" applyAlignment="1">
      <alignment horizontal="center"/>
    </xf>
    <xf numFmtId="1" fontId="43" fillId="0" borderId="0" xfId="0" applyNumberFormat="1" applyFont="1" applyAlignment="1">
      <alignment horizontal="center" vertical="center"/>
    </xf>
    <xf numFmtId="1" fontId="27" fillId="7" borderId="0" xfId="0" applyNumberFormat="1" applyFont="1" applyFill="1" applyAlignment="1">
      <alignment horizontal="center" vertical="center"/>
    </xf>
    <xf numFmtId="1" fontId="7" fillId="7" borderId="0" xfId="0" applyNumberFormat="1" applyFont="1" applyFill="1" applyAlignment="1">
      <alignment horizontal="center" vertical="center"/>
    </xf>
    <xf numFmtId="0" fontId="3" fillId="5" borderId="0" xfId="0" applyFont="1" applyFill="1" applyAlignment="1">
      <alignment horizontal="center" vertical="center"/>
    </xf>
    <xf numFmtId="43" fontId="12" fillId="0" borderId="0" xfId="2" applyFont="1" applyFill="1" applyBorder="1" applyAlignment="1" applyProtection="1"/>
    <xf numFmtId="43" fontId="13" fillId="7" borderId="0" xfId="2" applyFont="1" applyFill="1" applyBorder="1" applyAlignment="1" applyProtection="1">
      <protection locked="0"/>
    </xf>
    <xf numFmtId="9" fontId="4" fillId="0" borderId="0" xfId="1" applyFont="1" applyAlignment="1">
      <alignment horizontal="center" vertical="center"/>
    </xf>
    <xf numFmtId="9" fontId="7" fillId="7" borderId="0" xfId="1" applyFont="1" applyFill="1" applyAlignment="1" applyProtection="1">
      <alignment horizontal="center" vertical="center" wrapText="1"/>
      <protection locked="0"/>
    </xf>
    <xf numFmtId="9" fontId="4" fillId="0" borderId="0" xfId="1" applyFont="1" applyFill="1" applyBorder="1" applyAlignment="1" applyProtection="1">
      <alignment horizontal="center" vertical="center"/>
    </xf>
    <xf numFmtId="9" fontId="3" fillId="7" borderId="0" xfId="1" applyFont="1" applyFill="1" applyAlignment="1">
      <alignment horizontal="center" vertical="center"/>
    </xf>
    <xf numFmtId="37" fontId="4" fillId="0" borderId="0" xfId="2" applyNumberFormat="1" applyFont="1" applyFill="1" applyAlignment="1">
      <alignment horizontal="center" vertical="center" wrapText="1"/>
    </xf>
    <xf numFmtId="37" fontId="7" fillId="7" borderId="0" xfId="2" applyNumberFormat="1" applyFont="1" applyFill="1" applyAlignment="1" applyProtection="1">
      <alignment horizontal="center" vertical="center" wrapText="1"/>
      <protection locked="0"/>
    </xf>
    <xf numFmtId="3" fontId="3" fillId="0" borderId="0" xfId="2" applyNumberFormat="1" applyFont="1" applyFill="1" applyAlignment="1">
      <alignment horizontal="left" vertical="top" wrapText="1" indent="3"/>
    </xf>
    <xf numFmtId="3" fontId="7" fillId="7" borderId="0" xfId="0" applyNumberFormat="1" applyFont="1" applyFill="1" applyAlignment="1" applyProtection="1">
      <alignment horizontal="left" vertical="top" wrapText="1" indent="3"/>
      <protection locked="0"/>
    </xf>
    <xf numFmtId="37" fontId="4" fillId="0" borderId="0" xfId="2" applyNumberFormat="1" applyFont="1" applyAlignment="1" applyProtection="1">
      <alignment horizontal="center"/>
      <protection locked="0"/>
    </xf>
    <xf numFmtId="37" fontId="4" fillId="0" borderId="0" xfId="0" applyNumberFormat="1" applyFont="1" applyAlignment="1">
      <alignment horizontal="center"/>
    </xf>
    <xf numFmtId="9" fontId="4" fillId="0" borderId="0" xfId="1" applyFont="1" applyAlignment="1">
      <alignment horizontal="center"/>
    </xf>
    <xf numFmtId="37" fontId="7" fillId="7" borderId="0" xfId="0" applyNumberFormat="1" applyFont="1" applyFill="1" applyAlignment="1">
      <alignment horizontal="center" vertical="center" wrapText="1"/>
    </xf>
    <xf numFmtId="9" fontId="7" fillId="7" borderId="0" xfId="1" applyFont="1" applyFill="1" applyAlignment="1">
      <alignment horizontal="left" vertical="center" wrapText="1" indent="4"/>
    </xf>
    <xf numFmtId="9" fontId="7" fillId="7" borderId="0" xfId="1" applyFont="1" applyFill="1" applyAlignment="1">
      <alignment horizontal="center" vertical="center" wrapText="1"/>
    </xf>
    <xf numFmtId="3" fontId="22" fillId="13" borderId="0" xfId="0" applyNumberFormat="1" applyFont="1" applyFill="1" applyAlignment="1">
      <alignment horizontal="center"/>
    </xf>
    <xf numFmtId="43" fontId="4" fillId="0" borderId="0" xfId="2" applyFont="1" applyAlignment="1" applyProtection="1">
      <alignment horizontal="center"/>
      <protection locked="0"/>
    </xf>
    <xf numFmtId="10" fontId="4" fillId="0" borderId="0" xfId="1" applyNumberFormat="1" applyFont="1" applyAlignment="1" applyProtection="1">
      <alignment horizontal="center"/>
      <protection locked="0"/>
    </xf>
    <xf numFmtId="43" fontId="7" fillId="7" borderId="0" xfId="2" applyFont="1" applyFill="1" applyAlignment="1">
      <alignment horizontal="center" vertical="center"/>
    </xf>
    <xf numFmtId="10" fontId="7" fillId="7" borderId="0" xfId="1" applyNumberFormat="1" applyFont="1" applyFill="1" applyAlignment="1">
      <alignment horizontal="center" vertical="center"/>
    </xf>
    <xf numFmtId="43" fontId="7" fillId="7" borderId="0" xfId="2" applyFont="1" applyFill="1" applyAlignment="1">
      <alignment vertical="center"/>
    </xf>
    <xf numFmtId="0" fontId="22" fillId="13" borderId="0" xfId="0" applyFont="1" applyFill="1" applyAlignment="1">
      <alignment horizontal="center" vertical="center" wrapText="1"/>
    </xf>
    <xf numFmtId="165" fontId="22" fillId="0" borderId="0" xfId="2" applyNumberFormat="1" applyFont="1" applyBorder="1" applyAlignment="1" applyProtection="1">
      <alignment horizontal="center"/>
      <protection locked="0"/>
    </xf>
    <xf numFmtId="165" fontId="57" fillId="0" borderId="0" xfId="2" applyNumberFormat="1" applyFont="1" applyBorder="1" applyAlignment="1" applyProtection="1">
      <alignment horizontal="center"/>
      <protection locked="0"/>
    </xf>
    <xf numFmtId="165" fontId="16" fillId="13" borderId="0" xfId="0" applyNumberFormat="1" applyFont="1" applyFill="1" applyAlignment="1">
      <alignment horizontal="center" vertical="center" wrapText="1"/>
    </xf>
    <xf numFmtId="170" fontId="22" fillId="0" borderId="0" xfId="2" applyNumberFormat="1" applyFont="1" applyFill="1" applyBorder="1" applyAlignment="1" applyProtection="1">
      <alignment vertical="center"/>
      <protection locked="0"/>
    </xf>
    <xf numFmtId="43" fontId="22" fillId="0" borderId="0" xfId="2" applyFont="1" applyFill="1" applyBorder="1" applyAlignment="1" applyProtection="1">
      <alignment horizontal="center" vertical="center"/>
      <protection locked="0"/>
    </xf>
    <xf numFmtId="170" fontId="22" fillId="0" borderId="0" xfId="2" applyNumberFormat="1" applyFont="1" applyFill="1" applyBorder="1" applyAlignment="1" applyProtection="1">
      <alignment horizontal="center" vertical="center"/>
      <protection locked="0"/>
    </xf>
    <xf numFmtId="170" fontId="16" fillId="0" borderId="0" xfId="2" applyNumberFormat="1" applyFont="1" applyFill="1" applyAlignment="1">
      <alignment vertical="center" wrapText="1"/>
    </xf>
    <xf numFmtId="43" fontId="16" fillId="0" borderId="0" xfId="2" applyFont="1" applyFill="1" applyAlignment="1">
      <alignment horizontal="center" vertical="center" wrapText="1"/>
    </xf>
    <xf numFmtId="0" fontId="58" fillId="17" borderId="0" xfId="0" applyFont="1" applyFill="1" applyAlignment="1">
      <alignment horizontal="center" vertical="center"/>
    </xf>
    <xf numFmtId="170" fontId="58" fillId="17" borderId="0" xfId="2" applyNumberFormat="1" applyFont="1" applyFill="1" applyBorder="1" applyAlignment="1" applyProtection="1">
      <alignment vertical="center"/>
      <protection locked="0"/>
    </xf>
    <xf numFmtId="43" fontId="58" fillId="17" borderId="0" xfId="2" applyFont="1" applyFill="1" applyBorder="1" applyAlignment="1" applyProtection="1">
      <alignment horizontal="center" vertical="center"/>
      <protection locked="0"/>
    </xf>
    <xf numFmtId="37" fontId="58" fillId="17" borderId="0" xfId="2" applyNumberFormat="1" applyFont="1" applyFill="1" applyBorder="1" applyAlignment="1" applyProtection="1">
      <alignment vertical="center"/>
      <protection locked="0"/>
    </xf>
    <xf numFmtId="37" fontId="58" fillId="17" borderId="0" xfId="2" applyNumberFormat="1" applyFont="1" applyFill="1" applyBorder="1" applyAlignment="1" applyProtection="1">
      <alignment horizontal="center" vertical="center"/>
      <protection locked="0"/>
    </xf>
    <xf numFmtId="4" fontId="4" fillId="0" borderId="0" xfId="2" applyNumberFormat="1" applyFont="1" applyBorder="1" applyAlignment="1" applyProtection="1"/>
    <xf numFmtId="3" fontId="15" fillId="7" borderId="0" xfId="2" applyNumberFormat="1" applyFont="1" applyFill="1" applyBorder="1" applyAlignment="1" applyProtection="1">
      <alignment horizontal="right"/>
      <protection locked="0"/>
    </xf>
    <xf numFmtId="165" fontId="4" fillId="0" borderId="0" xfId="2" applyNumberFormat="1" applyFont="1" applyBorder="1" applyAlignment="1" applyProtection="1">
      <alignment horizontal="right" wrapText="1"/>
    </xf>
    <xf numFmtId="0" fontId="4" fillId="5" borderId="0" xfId="0" applyFont="1" applyFill="1"/>
    <xf numFmtId="0" fontId="3" fillId="14" borderId="0" xfId="0" applyFont="1" applyFill="1" applyAlignment="1" applyProtection="1">
      <alignment horizontal="center"/>
      <protection locked="0"/>
    </xf>
    <xf numFmtId="165" fontId="3" fillId="0" borderId="0" xfId="0" applyNumberFormat="1" applyFont="1" applyAlignment="1">
      <alignment horizontal="center" vertical="center"/>
    </xf>
    <xf numFmtId="0" fontId="3" fillId="0" borderId="0" xfId="0" applyFont="1" applyAlignment="1" applyProtection="1">
      <alignment horizontal="center" wrapText="1"/>
      <protection locked="0"/>
    </xf>
    <xf numFmtId="165" fontId="22" fillId="0" borderId="0" xfId="2" applyNumberFormat="1" applyFont="1" applyBorder="1" applyAlignment="1" applyProtection="1">
      <alignment horizontal="center" vertical="center"/>
      <protection locked="0"/>
    </xf>
    <xf numFmtId="39" fontId="4" fillId="0" borderId="0" xfId="2" applyNumberFormat="1" applyFont="1" applyBorder="1" applyAlignment="1" applyProtection="1">
      <alignment horizontal="center" vertical="center"/>
      <protection locked="0"/>
    </xf>
    <xf numFmtId="165" fontId="3" fillId="0" borderId="0" xfId="0" applyNumberFormat="1" applyFont="1" applyAlignment="1">
      <alignment horizontal="center" vertical="center" wrapText="1"/>
    </xf>
    <xf numFmtId="1" fontId="4" fillId="0" borderId="0" xfId="2" applyNumberFormat="1" applyFont="1" applyBorder="1" applyAlignment="1" applyProtection="1">
      <alignment horizontal="center" vertical="center"/>
      <protection locked="0"/>
    </xf>
    <xf numFmtId="39" fontId="4" fillId="0" borderId="0" xfId="2" applyNumberFormat="1" applyFont="1" applyBorder="1" applyAlignment="1" applyProtection="1">
      <alignment horizontal="right" vertical="center"/>
      <protection locked="0"/>
    </xf>
    <xf numFmtId="1" fontId="3" fillId="0" borderId="0" xfId="0" applyNumberFormat="1" applyFont="1" applyAlignment="1">
      <alignment horizontal="center" vertical="center"/>
    </xf>
    <xf numFmtId="43" fontId="3" fillId="0" borderId="0" xfId="0" applyNumberFormat="1" applyFont="1" applyAlignment="1">
      <alignment horizontal="center" vertical="center"/>
    </xf>
    <xf numFmtId="43" fontId="3" fillId="0" borderId="0" xfId="0" applyNumberFormat="1" applyFont="1" applyAlignment="1" applyProtection="1">
      <alignment horizontal="center"/>
      <protection locked="0"/>
    </xf>
    <xf numFmtId="1" fontId="3" fillId="7" borderId="0" xfId="2" applyNumberFormat="1" applyFont="1" applyFill="1" applyBorder="1" applyAlignment="1" applyProtection="1">
      <alignment horizontal="center" vertical="center"/>
      <protection locked="0"/>
    </xf>
    <xf numFmtId="39" fontId="3" fillId="7" borderId="0" xfId="2" applyNumberFormat="1" applyFont="1" applyFill="1" applyBorder="1" applyAlignment="1" applyProtection="1">
      <alignment horizontal="right" vertical="center"/>
      <protection locked="0"/>
    </xf>
    <xf numFmtId="37" fontId="3" fillId="7" borderId="0" xfId="2" applyNumberFormat="1" applyFont="1" applyFill="1" applyBorder="1" applyAlignment="1" applyProtection="1">
      <alignment horizontal="center" vertical="center"/>
      <protection locked="0"/>
    </xf>
    <xf numFmtId="1" fontId="3" fillId="7" borderId="0" xfId="2" applyNumberFormat="1" applyFont="1" applyFill="1" applyBorder="1" applyAlignment="1" applyProtection="1">
      <alignment horizontal="right" vertical="center"/>
      <protection locked="0"/>
    </xf>
    <xf numFmtId="43" fontId="3" fillId="7" borderId="0" xfId="2" applyFont="1" applyFill="1" applyBorder="1" applyAlignment="1" applyProtection="1">
      <alignment horizontal="right" vertical="center"/>
      <protection locked="0"/>
    </xf>
    <xf numFmtId="37" fontId="3" fillId="7" borderId="0" xfId="2" applyNumberFormat="1" applyFont="1" applyFill="1" applyBorder="1" applyAlignment="1" applyProtection="1">
      <alignment horizontal="right" vertical="center"/>
      <protection locked="0"/>
    </xf>
    <xf numFmtId="37" fontId="4" fillId="0" borderId="0" xfId="2" applyNumberFormat="1" applyFont="1" applyBorder="1" applyAlignment="1" applyProtection="1">
      <alignment horizontal="right" vertical="center"/>
      <protection locked="0"/>
    </xf>
    <xf numFmtId="165" fontId="3" fillId="16" borderId="0" xfId="2" applyNumberFormat="1" applyFont="1" applyFill="1" applyBorder="1" applyAlignment="1" applyProtection="1">
      <alignment horizontal="center" vertical="center"/>
    </xf>
    <xf numFmtId="0" fontId="3" fillId="16" borderId="0" xfId="0" applyFont="1" applyFill="1" applyAlignment="1" applyProtection="1">
      <alignment horizontal="center"/>
      <protection locked="0"/>
    </xf>
    <xf numFmtId="165" fontId="4" fillId="0" borderId="0" xfId="2" applyNumberFormat="1" applyFont="1" applyBorder="1" applyAlignment="1" applyProtection="1">
      <alignment vertical="center"/>
      <protection locked="0"/>
    </xf>
    <xf numFmtId="165" fontId="12" fillId="7" borderId="0" xfId="2" applyNumberFormat="1" applyFont="1" applyFill="1" applyBorder="1" applyAlignment="1" applyProtection="1">
      <alignment vertical="center"/>
    </xf>
    <xf numFmtId="165" fontId="3" fillId="16" borderId="0" xfId="0" applyNumberFormat="1" applyFont="1" applyFill="1" applyAlignment="1" applyProtection="1">
      <alignment horizontal="center"/>
      <protection locked="0"/>
    </xf>
    <xf numFmtId="43" fontId="3" fillId="16" borderId="0" xfId="2" applyFont="1" applyFill="1" applyBorder="1" applyAlignment="1" applyProtection="1">
      <alignment horizontal="center" vertical="center"/>
    </xf>
    <xf numFmtId="37" fontId="12" fillId="7" borderId="0" xfId="2" applyNumberFormat="1" applyFont="1" applyFill="1" applyBorder="1" applyAlignment="1" applyProtection="1">
      <alignment horizontal="right" vertical="center"/>
    </xf>
    <xf numFmtId="165" fontId="12" fillId="16" borderId="0" xfId="2" applyNumberFormat="1" applyFont="1" applyFill="1" applyBorder="1" applyAlignment="1" applyProtection="1">
      <alignment vertical="center"/>
    </xf>
    <xf numFmtId="37" fontId="12" fillId="16" borderId="0" xfId="2" applyNumberFormat="1" applyFont="1" applyFill="1" applyBorder="1" applyAlignment="1" applyProtection="1">
      <alignment horizontal="right" vertical="center"/>
    </xf>
    <xf numFmtId="165" fontId="12" fillId="9" borderId="0" xfId="2" applyNumberFormat="1" applyFont="1" applyFill="1" applyBorder="1" applyAlignment="1" applyProtection="1">
      <alignment vertical="center"/>
    </xf>
    <xf numFmtId="37" fontId="12" fillId="9" borderId="0" xfId="2" applyNumberFormat="1" applyFont="1" applyFill="1" applyBorder="1" applyAlignment="1" applyProtection="1">
      <alignment horizontal="right" vertical="center"/>
    </xf>
    <xf numFmtId="9" fontId="3" fillId="0" borderId="0" xfId="1" applyFont="1" applyFill="1" applyBorder="1" applyAlignment="1" applyProtection="1">
      <alignment horizontal="center"/>
    </xf>
    <xf numFmtId="0" fontId="3" fillId="0" borderId="0" xfId="0" applyFont="1"/>
    <xf numFmtId="10" fontId="3" fillId="0" borderId="0" xfId="1" applyNumberFormat="1" applyFont="1" applyFill="1" applyBorder="1" applyAlignment="1" applyProtection="1">
      <alignment horizontal="center"/>
    </xf>
    <xf numFmtId="10" fontId="3" fillId="0" borderId="0" xfId="0" applyNumberFormat="1" applyFont="1" applyAlignment="1" applyProtection="1">
      <alignment horizontal="center"/>
      <protection locked="0"/>
    </xf>
    <xf numFmtId="43" fontId="4" fillId="0" borderId="0" xfId="2" applyFont="1" applyAlignment="1">
      <alignment horizontal="center"/>
    </xf>
    <xf numFmtId="165" fontId="4" fillId="0" borderId="0" xfId="0" applyNumberFormat="1" applyFont="1" applyAlignment="1">
      <alignment horizontal="center"/>
    </xf>
    <xf numFmtId="10" fontId="4" fillId="0" borderId="0" xfId="1" applyNumberFormat="1" applyFont="1" applyAlignment="1"/>
    <xf numFmtId="10" fontId="7" fillId="7" borderId="0" xfId="1" applyNumberFormat="1" applyFont="1" applyFill="1" applyAlignment="1">
      <alignment vertical="center"/>
    </xf>
    <xf numFmtId="10" fontId="34" fillId="0" borderId="0" xfId="1" applyNumberFormat="1" applyFont="1" applyBorder="1" applyAlignment="1" applyProtection="1">
      <alignment horizontal="center"/>
      <protection locked="0"/>
    </xf>
    <xf numFmtId="3" fontId="52" fillId="0" borderId="0" xfId="0" applyNumberFormat="1" applyFont="1" applyAlignment="1">
      <alignment horizontal="center" vertical="top"/>
    </xf>
    <xf numFmtId="10" fontId="52" fillId="0" borderId="0" xfId="1" applyNumberFormat="1" applyFont="1" applyBorder="1" applyAlignment="1" applyProtection="1">
      <alignment horizontal="center" vertical="top"/>
    </xf>
    <xf numFmtId="0" fontId="31" fillId="13" borderId="0" xfId="0" applyFont="1" applyFill="1" applyAlignment="1">
      <alignment horizontal="left" vertical="center" wrapText="1"/>
    </xf>
    <xf numFmtId="0" fontId="30" fillId="13" borderId="0" xfId="0" applyFont="1" applyFill="1" applyAlignment="1">
      <alignment horizontal="left" vertical="center" wrapText="1"/>
    </xf>
    <xf numFmtId="0" fontId="18" fillId="13" borderId="0" xfId="0" applyFont="1" applyFill="1" applyAlignment="1">
      <alignment horizontal="left" vertical="center" wrapText="1"/>
    </xf>
    <xf numFmtId="0" fontId="21" fillId="13" borderId="0" xfId="0" applyFont="1" applyFill="1" applyAlignment="1">
      <alignment horizontal="left" vertical="center" wrapText="1"/>
    </xf>
    <xf numFmtId="0" fontId="3" fillId="5" borderId="0" xfId="0" applyFont="1" applyFill="1" applyAlignment="1" applyProtection="1">
      <alignment horizontal="center" vertical="center" wrapText="1"/>
      <protection locked="0"/>
    </xf>
    <xf numFmtId="0" fontId="2" fillId="0" borderId="0" xfId="0" applyFont="1" applyAlignment="1" applyProtection="1">
      <alignment horizontal="center"/>
      <protection locked="0"/>
    </xf>
    <xf numFmtId="0" fontId="3" fillId="5" borderId="0" xfId="0" applyFont="1" applyFill="1" applyAlignment="1">
      <alignment horizontal="center" vertical="center" wrapText="1"/>
    </xf>
    <xf numFmtId="0" fontId="3" fillId="0" borderId="0" xfId="0" applyFont="1" applyAlignment="1" applyProtection="1">
      <alignment horizontal="center"/>
      <protection locked="0"/>
    </xf>
    <xf numFmtId="0" fontId="14" fillId="0" borderId="0" xfId="0" applyFont="1" applyAlignment="1">
      <alignment horizontal="left" vertical="center" wrapText="1"/>
    </xf>
    <xf numFmtId="0" fontId="13" fillId="0" borderId="0" xfId="0" applyFont="1" applyAlignment="1" applyProtection="1">
      <alignment horizontal="center"/>
      <protection locked="0"/>
    </xf>
    <xf numFmtId="0" fontId="2" fillId="5" borderId="0" xfId="0" applyFont="1" applyFill="1" applyAlignment="1">
      <alignment horizontal="center"/>
    </xf>
    <xf numFmtId="0" fontId="21" fillId="0" borderId="0" xfId="0" applyFont="1" applyAlignment="1">
      <alignment horizontal="left"/>
    </xf>
    <xf numFmtId="0" fontId="14" fillId="0" borderId="0" xfId="0" applyFont="1" applyAlignment="1">
      <alignment horizontal="left" wrapText="1"/>
    </xf>
    <xf numFmtId="0" fontId="34" fillId="0" borderId="0" xfId="0" applyFont="1" applyAlignment="1">
      <alignment horizontal="left"/>
    </xf>
    <xf numFmtId="0" fontId="14" fillId="0" borderId="0" xfId="0" applyFont="1" applyAlignment="1">
      <alignment horizontal="left"/>
    </xf>
    <xf numFmtId="0" fontId="0" fillId="0" borderId="0" xfId="0" applyAlignment="1" applyProtection="1">
      <alignment horizontal="center"/>
      <protection locked="0"/>
    </xf>
    <xf numFmtId="0" fontId="3" fillId="2"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0" fontId="3" fillId="10" borderId="0" xfId="0" applyFont="1" applyFill="1" applyAlignment="1">
      <alignment horizontal="center"/>
    </xf>
    <xf numFmtId="0" fontId="3" fillId="15" borderId="0" xfId="0" applyFont="1" applyFill="1" applyAlignment="1">
      <alignment horizontal="center" vertical="center" wrapText="1"/>
    </xf>
    <xf numFmtId="0" fontId="3" fillId="3" borderId="0" xfId="0" applyFont="1" applyFill="1" applyAlignment="1">
      <alignment horizontal="center" vertical="center" wrapText="1"/>
    </xf>
    <xf numFmtId="0" fontId="3" fillId="14" borderId="0" xfId="0" applyFont="1" applyFill="1" applyAlignment="1">
      <alignment horizontal="center" vertical="center"/>
    </xf>
    <xf numFmtId="0" fontId="2" fillId="10" borderId="0" xfId="0" applyFont="1" applyFill="1" applyAlignment="1">
      <alignment horizontal="center" vertical="center" wrapText="1"/>
    </xf>
    <xf numFmtId="0" fontId="3" fillId="2" borderId="0" xfId="0" applyFont="1" applyFill="1" applyAlignment="1">
      <alignment horizontal="center" vertical="center" wrapText="1"/>
    </xf>
    <xf numFmtId="0" fontId="2" fillId="14" borderId="0" xfId="0" applyFont="1" applyFill="1" applyAlignment="1">
      <alignment horizontal="center" vertical="center"/>
    </xf>
    <xf numFmtId="0" fontId="20" fillId="0" borderId="0" xfId="0" applyFont="1" applyAlignment="1" applyProtection="1">
      <alignment horizontal="center" wrapText="1"/>
      <protection locked="0"/>
    </xf>
    <xf numFmtId="0" fontId="2" fillId="15" borderId="0" xfId="0" applyFont="1" applyFill="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3" fillId="5" borderId="0" xfId="0" applyFont="1" applyFill="1" applyAlignment="1">
      <alignment horizontal="center" vertical="center"/>
    </xf>
    <xf numFmtId="0" fontId="3" fillId="6" borderId="1"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12" xfId="0" applyFont="1" applyFill="1" applyBorder="1" applyAlignment="1">
      <alignment horizontal="center" vertical="center"/>
    </xf>
    <xf numFmtId="0" fontId="13" fillId="6" borderId="11" xfId="0" applyFont="1" applyFill="1" applyBorder="1" applyAlignment="1">
      <alignment horizontal="center" vertical="center" wrapText="1"/>
    </xf>
    <xf numFmtId="0" fontId="13" fillId="8" borderId="0" xfId="0" applyFont="1" applyFill="1" applyAlignment="1">
      <alignment horizontal="center" vertical="center" wrapText="1"/>
    </xf>
    <xf numFmtId="0" fontId="14" fillId="0" borderId="0" xfId="0" applyFont="1" applyAlignment="1">
      <alignment horizontal="left" vertical="top" wrapText="1"/>
    </xf>
    <xf numFmtId="0" fontId="2" fillId="0" borderId="0" xfId="0" applyFont="1" applyAlignment="1">
      <alignment horizontal="center"/>
    </xf>
    <xf numFmtId="0" fontId="13" fillId="6" borderId="12"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3" fillId="5" borderId="0" xfId="0" applyFont="1" applyFill="1" applyAlignment="1">
      <alignment horizontal="center"/>
    </xf>
    <xf numFmtId="0" fontId="3" fillId="14" borderId="0" xfId="0" applyFont="1" applyFill="1" applyAlignment="1">
      <alignment horizontal="center"/>
    </xf>
    <xf numFmtId="0" fontId="3" fillId="16" borderId="0" xfId="0" applyFont="1" applyFill="1" applyAlignment="1">
      <alignment horizontal="center"/>
    </xf>
    <xf numFmtId="0" fontId="3" fillId="19" borderId="0" xfId="0" applyFont="1" applyFill="1" applyAlignment="1">
      <alignment horizontal="center"/>
    </xf>
    <xf numFmtId="0" fontId="3" fillId="20" borderId="0" xfId="0" applyFont="1" applyFill="1" applyAlignment="1">
      <alignment horizontal="center"/>
    </xf>
    <xf numFmtId="0" fontId="3" fillId="21" borderId="0" xfId="0" applyFont="1" applyFill="1" applyAlignment="1">
      <alignment horizontal="center"/>
    </xf>
    <xf numFmtId="0" fontId="10" fillId="0" borderId="0" xfId="0" applyFont="1" applyAlignment="1" applyProtection="1">
      <alignment horizontal="center"/>
      <protection locked="0"/>
    </xf>
    <xf numFmtId="0" fontId="13" fillId="5" borderId="0" xfId="0" applyFont="1" applyFill="1" applyAlignment="1">
      <alignment horizontal="center" vertical="center"/>
    </xf>
    <xf numFmtId="0" fontId="10" fillId="0" borderId="0" xfId="0" applyFont="1" applyAlignment="1">
      <alignment horizontal="center"/>
    </xf>
    <xf numFmtId="3" fontId="4" fillId="0" borderId="0" xfId="0" applyNumberFormat="1" applyFont="1" applyFill="1" applyAlignment="1">
      <alignment horizontal="center" vertical="center"/>
    </xf>
  </cellXfs>
  <cellStyles count="4">
    <cellStyle name="Millares" xfId="2" builtinId="3"/>
    <cellStyle name="Normal" xfId="0" builtinId="0"/>
    <cellStyle name="Normal 2" xfId="3" xr:uid="{00000000-0005-0000-0000-000002000000}"/>
    <cellStyle name="Porcentaje" xfId="1" builtinId="5"/>
  </cellStyles>
  <dxfs count="0"/>
  <tableStyles count="1" defaultTableStyle="TableStyleMedium2" defaultPivotStyle="PivotStyleLight16">
    <tableStyle name="Invisible" pivot="0" table="0" count="0" xr9:uid="{EB55D738-EBA8-42B6-A2D2-EFAB11F34F90}"/>
  </tableStyles>
  <colors>
    <mruColors>
      <color rgb="FFFF33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4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615130463804834"/>
          <c:y val="5.1400554097404488E-2"/>
          <c:w val="0.74836611939844222"/>
          <c:h val="0.72112459900845727"/>
        </c:manualLayout>
      </c:layout>
      <c:barChart>
        <c:barDir val="col"/>
        <c:grouping val="clustered"/>
        <c:varyColors val="0"/>
        <c:ser>
          <c:idx val="0"/>
          <c:order val="0"/>
          <c:tx>
            <c:v>Programado</c:v>
          </c:tx>
          <c:spPr>
            <a:solidFill>
              <a:schemeClr val="accent3">
                <a:lumMod val="60000"/>
                <a:lumOff val="40000"/>
              </a:schemeClr>
            </a:solidFill>
            <a:ln>
              <a:solidFill>
                <a:schemeClr val="accent3">
                  <a:lumMod val="60000"/>
                  <a:lumOff val="40000"/>
                </a:schemeClr>
              </a:solidFill>
            </a:ln>
          </c:spPr>
          <c:invertIfNegative val="0"/>
          <c:dPt>
            <c:idx val="1"/>
            <c:invertIfNegative val="0"/>
            <c:bubble3D val="0"/>
            <c:extLst>
              <c:ext xmlns:c16="http://schemas.microsoft.com/office/drawing/2014/chart" uri="{C3380CC4-5D6E-409C-BE32-E72D297353CC}">
                <c16:uniqueId val="{00000001-B26F-49E2-B71B-8A084CE8A512}"/>
              </c:ext>
            </c:extLst>
          </c:dPt>
          <c:dLbls>
            <c:dLbl>
              <c:idx val="0"/>
              <c:layout>
                <c:manualLayout>
                  <c:x val="-2.6960416099915951E-3"/>
                  <c:y val="0.429687479881646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6F-49E2-B71B-8A084CE8A512}"/>
                </c:ext>
              </c:extLst>
            </c:dLbl>
            <c:dLbl>
              <c:idx val="1"/>
              <c:layout>
                <c:manualLayout>
                  <c:x val="-1.031542386507586E-3"/>
                  <c:y val="0.180992436786522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6F-49E2-B71B-8A084CE8A512}"/>
                </c:ext>
              </c:extLst>
            </c:dLbl>
            <c:dLbl>
              <c:idx val="2"/>
              <c:layout>
                <c:manualLayout>
                  <c:x val="-4.2734695700544483E-3"/>
                  <c:y val="0.291654005515969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6F-49E2-B71B-8A084CE8A512}"/>
                </c:ext>
              </c:extLst>
            </c:dLbl>
            <c:spPr>
              <a:noFill/>
              <a:ln>
                <a:noFill/>
              </a:ln>
              <a:effectLst/>
            </c:spPr>
            <c:txPr>
              <a:bodyPr rot="-5400000" vert="horz"/>
              <a:lstStyle/>
              <a:p>
                <a:pPr>
                  <a:defRPr sz="105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Adm.'!$A$15:$A$17</c:f>
            </c:multiLvlStrRef>
          </c:cat>
          <c:val>
            <c:numRef>
              <c:f>'Presupuesto Adm.'!$B$15:$B$17</c:f>
            </c:numRef>
          </c:val>
          <c:extLst>
            <c:ext xmlns:c16="http://schemas.microsoft.com/office/drawing/2014/chart" uri="{C3380CC4-5D6E-409C-BE32-E72D297353CC}">
              <c16:uniqueId val="{00000004-B26F-49E2-B71B-8A084CE8A512}"/>
            </c:ext>
          </c:extLst>
        </c:ser>
        <c:ser>
          <c:idx val="1"/>
          <c:order val="1"/>
          <c:tx>
            <c:v>Ejecutado</c:v>
          </c:tx>
          <c:spPr>
            <a:solidFill>
              <a:schemeClr val="bg1">
                <a:lumMod val="75000"/>
              </a:schemeClr>
            </a:solidFill>
          </c:spPr>
          <c:invertIfNegative val="0"/>
          <c:dLbls>
            <c:dLbl>
              <c:idx val="0"/>
              <c:layout>
                <c:manualLayout>
                  <c:x val="3.2002805669807399E-3"/>
                  <c:y val="0.284275880894194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6F-49E2-B71B-8A084CE8A512}"/>
                </c:ext>
              </c:extLst>
            </c:dLbl>
            <c:dLbl>
              <c:idx val="1"/>
              <c:layout>
                <c:manualLayout>
                  <c:x val="5.9003210707371089E-4"/>
                  <c:y val="0.20034951213796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6F-49E2-B71B-8A084CE8A512}"/>
                </c:ext>
              </c:extLst>
            </c:dLbl>
            <c:dLbl>
              <c:idx val="2"/>
              <c:layout>
                <c:manualLayout>
                  <c:x val="-1.6167621514736872E-3"/>
                  <c:y val="0.263278757335956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6F-49E2-B71B-8A084CE8A512}"/>
                </c:ext>
              </c:extLst>
            </c:dLbl>
            <c:spPr>
              <a:noFill/>
              <a:ln>
                <a:noFill/>
              </a:ln>
              <a:effectLst/>
            </c:spPr>
            <c:txPr>
              <a:bodyPr rot="-5400000" vert="horz"/>
              <a:lstStyle/>
              <a:p>
                <a:pPr>
                  <a:defRPr sz="1050" b="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Adm.'!$A$15:$A$17</c:f>
            </c:multiLvlStrRef>
          </c:cat>
          <c:val>
            <c:numRef>
              <c:f>'Presupuesto Adm.'!$C$15:$C$17</c:f>
            </c:numRef>
          </c:val>
          <c:extLst>
            <c:ext xmlns:c16="http://schemas.microsoft.com/office/drawing/2014/chart" uri="{C3380CC4-5D6E-409C-BE32-E72D297353CC}">
              <c16:uniqueId val="{00000008-B26F-49E2-B71B-8A084CE8A512}"/>
            </c:ext>
          </c:extLst>
        </c:ser>
        <c:dLbls>
          <c:showLegendKey val="0"/>
          <c:showVal val="1"/>
          <c:showCatName val="0"/>
          <c:showSerName val="0"/>
          <c:showPercent val="0"/>
          <c:showBubbleSize val="0"/>
        </c:dLbls>
        <c:gapWidth val="75"/>
        <c:axId val="1578264528"/>
        <c:axId val="1578266160"/>
      </c:barChart>
      <c:lineChart>
        <c:grouping val="standard"/>
        <c:varyColors val="0"/>
        <c:ser>
          <c:idx val="2"/>
          <c:order val="2"/>
          <c:tx>
            <c:strRef>
              <c:f>'Presupuesto Adm.'!$D$9</c:f>
              <c:strCache>
                <c:ptCount val="1"/>
                <c:pt idx="0">
                  <c:v>Relativo</c:v>
                </c:pt>
              </c:strCache>
            </c:strRef>
          </c:tx>
          <c:spPr>
            <a:ln>
              <a:solidFill>
                <a:schemeClr val="tx2">
                  <a:lumMod val="60000"/>
                  <a:lumOff val="40000"/>
                </a:schemeClr>
              </a:solidFill>
            </a:ln>
          </c:spPr>
          <c:marker>
            <c:spPr>
              <a:solidFill>
                <a:schemeClr val="tx2">
                  <a:lumMod val="60000"/>
                  <a:lumOff val="40000"/>
                </a:schemeClr>
              </a:solidFill>
              <a:ln>
                <a:solidFill>
                  <a:schemeClr val="accent5">
                    <a:lumMod val="75000"/>
                  </a:schemeClr>
                </a:solidFill>
              </a:ln>
            </c:spPr>
          </c:marker>
          <c:dLbls>
            <c:dLbl>
              <c:idx val="0"/>
              <c:layout>
                <c:manualLayout>
                  <c:x val="-8.868388303077307E-2"/>
                  <c:y val="-4.23319135676890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73-488F-AC0F-83F78A7882F5}"/>
                </c:ext>
              </c:extLst>
            </c:dLbl>
            <c:dLbl>
              <c:idx val="1"/>
              <c:layout>
                <c:manualLayout>
                  <c:x val="-6.7514523672266388E-2"/>
                  <c:y val="-4.0880495046700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BB-4D30-8D34-CD287BDB4B79}"/>
                </c:ext>
              </c:extLst>
            </c:dLbl>
            <c:dLbl>
              <c:idx val="2"/>
              <c:layout>
                <c:manualLayout>
                  <c:x val="-6.111546482263059E-2"/>
                  <c:y val="-0.118553435635430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F2-4A65-B098-370A8A17C53B}"/>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Adm.'!$A$11:$D$13</c:f>
              <c:multiLvlStrCache>
                <c:ptCount val="3"/>
                <c:lvl>
                  <c:pt idx="0">
                    <c:v>104.49%</c:v>
                  </c:pt>
                  <c:pt idx="1">
                    <c:v>63.00%</c:v>
                  </c:pt>
                  <c:pt idx="2">
                    <c:v>149.33%</c:v>
                  </c:pt>
                </c:lvl>
                <c:lvl>
                  <c:pt idx="0">
                    <c:v>42,128,507.07</c:v>
                  </c:pt>
                  <c:pt idx="1">
                    <c:v>45,057,518.36</c:v>
                  </c:pt>
                  <c:pt idx="2">
                    <c:v>59,459,707.56</c:v>
                  </c:pt>
                </c:lvl>
                <c:lvl>
                  <c:pt idx="0">
                    <c:v>40,317,798.97</c:v>
                  </c:pt>
                  <c:pt idx="1">
                    <c:v>71,517,798.97</c:v>
                  </c:pt>
                  <c:pt idx="2">
                    <c:v>39,817,798.97</c:v>
                  </c:pt>
                </c:lvl>
                <c:lvl>
                  <c:pt idx="0">
                    <c:v>Junio</c:v>
                  </c:pt>
                  <c:pt idx="1">
                    <c:v>Mayo</c:v>
                  </c:pt>
                  <c:pt idx="2">
                    <c:v>Abril</c:v>
                  </c:pt>
                </c:lvl>
              </c:multiLvlStrCache>
            </c:multiLvlStrRef>
          </c:cat>
          <c:val>
            <c:numRef>
              <c:f>'Presupuesto Adm.'!$D$15:$D$17</c:f>
            </c:numRef>
          </c:val>
          <c:smooth val="0"/>
          <c:extLst>
            <c:ext xmlns:c16="http://schemas.microsoft.com/office/drawing/2014/chart" uri="{C3380CC4-5D6E-409C-BE32-E72D297353CC}">
              <c16:uniqueId val="{00000009-B26F-49E2-B71B-8A084CE8A512}"/>
            </c:ext>
          </c:extLst>
        </c:ser>
        <c:dLbls>
          <c:showLegendKey val="0"/>
          <c:showVal val="1"/>
          <c:showCatName val="0"/>
          <c:showSerName val="0"/>
          <c:showPercent val="0"/>
          <c:showBubbleSize val="0"/>
        </c:dLbls>
        <c:marker val="1"/>
        <c:smooth val="0"/>
        <c:axId val="1578270512"/>
        <c:axId val="1578269424"/>
      </c:lineChart>
      <c:catAx>
        <c:axId val="1578264528"/>
        <c:scaling>
          <c:orientation val="minMax"/>
        </c:scaling>
        <c:delete val="0"/>
        <c:axPos val="b"/>
        <c:numFmt formatCode="General" sourceLinked="0"/>
        <c:majorTickMark val="none"/>
        <c:minorTickMark val="none"/>
        <c:tickLblPos val="nextTo"/>
        <c:crossAx val="1578266160"/>
        <c:crosses val="autoZero"/>
        <c:auto val="1"/>
        <c:lblAlgn val="ctr"/>
        <c:lblOffset val="100"/>
        <c:noMultiLvlLbl val="0"/>
      </c:catAx>
      <c:valAx>
        <c:axId val="1578266160"/>
        <c:scaling>
          <c:orientation val="minMax"/>
        </c:scaling>
        <c:delete val="0"/>
        <c:axPos val="l"/>
        <c:numFmt formatCode="#,##0" sourceLinked="1"/>
        <c:majorTickMark val="none"/>
        <c:minorTickMark val="none"/>
        <c:tickLblPos val="nextTo"/>
        <c:crossAx val="1578264528"/>
        <c:crosses val="autoZero"/>
        <c:crossBetween val="between"/>
      </c:valAx>
      <c:valAx>
        <c:axId val="1578269424"/>
        <c:scaling>
          <c:orientation val="minMax"/>
        </c:scaling>
        <c:delete val="0"/>
        <c:axPos val="r"/>
        <c:numFmt formatCode="0.0%" sourceLinked="1"/>
        <c:majorTickMark val="out"/>
        <c:minorTickMark val="none"/>
        <c:tickLblPos val="nextTo"/>
        <c:crossAx val="1578270512"/>
        <c:crosses val="max"/>
        <c:crossBetween val="between"/>
      </c:valAx>
      <c:catAx>
        <c:axId val="1578270512"/>
        <c:scaling>
          <c:orientation val="minMax"/>
        </c:scaling>
        <c:delete val="1"/>
        <c:axPos val="b"/>
        <c:numFmt formatCode="General" sourceLinked="1"/>
        <c:majorTickMark val="out"/>
        <c:minorTickMark val="none"/>
        <c:tickLblPos val="nextTo"/>
        <c:crossAx val="1578269424"/>
        <c:crosses val="autoZero"/>
        <c:auto val="1"/>
        <c:lblAlgn val="ctr"/>
        <c:lblOffset val="100"/>
        <c:noMultiLvlLbl val="0"/>
      </c:catAx>
    </c:plotArea>
    <c:legend>
      <c:legendPos val="b"/>
      <c:overlay val="0"/>
      <c:txPr>
        <a:bodyPr/>
        <a:lstStyle/>
        <a:p>
          <a:pPr>
            <a:defRPr sz="8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8018372703412"/>
          <c:y val="3.5109750841474434E-2"/>
          <c:w val="0.68917891513560803"/>
          <c:h val="0.8326195683872849"/>
        </c:manualLayout>
      </c:layout>
      <c:barChart>
        <c:barDir val="col"/>
        <c:grouping val="clustered"/>
        <c:varyColors val="0"/>
        <c:ser>
          <c:idx val="0"/>
          <c:order val="0"/>
          <c:tx>
            <c:strRef>
              <c:f>Cotizantes!$B$7</c:f>
              <c:strCache>
                <c:ptCount val="1"/>
                <c:pt idx="0">
                  <c:v>Público 
</c:v>
                </c:pt>
              </c:strCache>
            </c:strRef>
          </c:tx>
          <c:spPr>
            <a:solidFill>
              <a:schemeClr val="bg1">
                <a:lumMod val="75000"/>
              </a:schemeClr>
            </a:solidFill>
            <a:ln>
              <a:solidFill>
                <a:schemeClr val="bg1">
                  <a:lumMod val="75000"/>
                </a:schemeClr>
              </a:solidFill>
            </a:ln>
          </c:spPr>
          <c:invertIfNegative val="0"/>
          <c:dLbls>
            <c:dLbl>
              <c:idx val="0"/>
              <c:layout>
                <c:manualLayout>
                  <c:x val="-2.7771099146605784E-3"/>
                  <c:y val="0.216870195930268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C0-431D-A784-ADE8732008D2}"/>
                </c:ext>
              </c:extLst>
            </c:dLbl>
            <c:dLbl>
              <c:idx val="1"/>
              <c:layout>
                <c:manualLayout>
                  <c:x val="-2.7770361414853994E-3"/>
                  <c:y val="0.233135460625038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C0-431D-A784-ADE8732008D2}"/>
                </c:ext>
              </c:extLst>
            </c:dLbl>
            <c:dLbl>
              <c:idx val="2"/>
              <c:layout>
                <c:manualLayout>
                  <c:x val="2.7770361414853994E-3"/>
                  <c:y val="0.22229195082852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C0-431D-A784-ADE8732008D2}"/>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Cotizantes!$A$12:$A$14</c:f>
            </c:multiLvlStrRef>
          </c:cat>
          <c:val>
            <c:numRef>
              <c:f>Cotizantes!$B$12:$B$14</c:f>
            </c:numRef>
          </c:val>
          <c:extLst>
            <c:ext xmlns:c16="http://schemas.microsoft.com/office/drawing/2014/chart" uri="{C3380CC4-5D6E-409C-BE32-E72D297353CC}">
              <c16:uniqueId val="{00000000-2F8B-4152-BDE9-0C66FFE1287D}"/>
            </c:ext>
          </c:extLst>
        </c:ser>
        <c:ser>
          <c:idx val="1"/>
          <c:order val="1"/>
          <c:tx>
            <c:strRef>
              <c:f>Cotizantes!$C$7</c:f>
              <c:strCache>
                <c:ptCount val="1"/>
                <c:pt idx="0">
                  <c:v>Privado</c:v>
                </c:pt>
              </c:strCache>
            </c:strRef>
          </c:tx>
          <c:spPr>
            <a:solidFill>
              <a:schemeClr val="accent3">
                <a:lumMod val="60000"/>
                <a:lumOff val="40000"/>
              </a:schemeClr>
            </a:solidFill>
            <a:ln>
              <a:solidFill>
                <a:schemeClr val="accent3">
                  <a:lumMod val="60000"/>
                  <a:lumOff val="40000"/>
                </a:schemeClr>
              </a:solidFill>
            </a:ln>
          </c:spPr>
          <c:invertIfNegative val="0"/>
          <c:dLbls>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Cotizantes!$A$12:$A$14</c:f>
            </c:multiLvlStrRef>
          </c:cat>
          <c:val>
            <c:numRef>
              <c:f>Cotizantes!$C$12:$C$14</c:f>
            </c:numRef>
          </c:val>
          <c:extLst>
            <c:ext xmlns:c16="http://schemas.microsoft.com/office/drawing/2014/chart" uri="{C3380CC4-5D6E-409C-BE32-E72D297353CC}">
              <c16:uniqueId val="{00000001-2F8B-4152-BDE9-0C66FFE1287D}"/>
            </c:ext>
          </c:extLst>
        </c:ser>
        <c:dLbls>
          <c:showLegendKey val="0"/>
          <c:showVal val="0"/>
          <c:showCatName val="0"/>
          <c:showSerName val="0"/>
          <c:showPercent val="0"/>
          <c:showBubbleSize val="0"/>
        </c:dLbls>
        <c:gapWidth val="150"/>
        <c:axId val="1667763488"/>
        <c:axId val="1667764032"/>
      </c:barChart>
      <c:catAx>
        <c:axId val="1667763488"/>
        <c:scaling>
          <c:orientation val="minMax"/>
        </c:scaling>
        <c:delete val="0"/>
        <c:axPos val="b"/>
        <c:numFmt formatCode="General" sourceLinked="0"/>
        <c:majorTickMark val="none"/>
        <c:minorTickMark val="none"/>
        <c:tickLblPos val="nextTo"/>
        <c:crossAx val="1667764032"/>
        <c:crosses val="autoZero"/>
        <c:auto val="1"/>
        <c:lblAlgn val="ctr"/>
        <c:lblOffset val="100"/>
        <c:noMultiLvlLbl val="0"/>
      </c:catAx>
      <c:valAx>
        <c:axId val="1667764032"/>
        <c:scaling>
          <c:orientation val="minMax"/>
        </c:scaling>
        <c:delete val="0"/>
        <c:axPos val="l"/>
        <c:numFmt formatCode="#,##0" sourceLinked="1"/>
        <c:majorTickMark val="out"/>
        <c:minorTickMark val="none"/>
        <c:tickLblPos val="nextTo"/>
        <c:crossAx val="1667763488"/>
        <c:crosses val="autoZero"/>
        <c:crossBetween val="between"/>
      </c:valAx>
    </c:plotArea>
    <c:legend>
      <c:legendPos val="r"/>
      <c:layout>
        <c:manualLayout>
          <c:xMode val="edge"/>
          <c:yMode val="edge"/>
          <c:x val="0.83812576552930884"/>
          <c:y val="0.41853966170895307"/>
          <c:w val="0.14242979002624673"/>
          <c:h val="0.16743438320209975"/>
        </c:manualLayout>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8018372703412"/>
          <c:y val="3.5109750841474434E-2"/>
          <c:w val="0.68917891513560803"/>
          <c:h val="0.8326195683872849"/>
        </c:manualLayout>
      </c:layout>
      <c:barChart>
        <c:barDir val="col"/>
        <c:grouping val="clustered"/>
        <c:varyColors val="0"/>
        <c:ser>
          <c:idx val="0"/>
          <c:order val="0"/>
          <c:tx>
            <c:strRef>
              <c:f>Cotizantes!$B$7</c:f>
              <c:strCache>
                <c:ptCount val="1"/>
                <c:pt idx="0">
                  <c:v>Público 
</c:v>
                </c:pt>
              </c:strCache>
            </c:strRef>
          </c:tx>
          <c:spPr>
            <a:solidFill>
              <a:schemeClr val="bg1">
                <a:lumMod val="75000"/>
              </a:schemeClr>
            </a:solidFill>
            <a:ln>
              <a:solidFill>
                <a:schemeClr val="bg1">
                  <a:lumMod val="75000"/>
                </a:schemeClr>
              </a:solidFill>
            </a:ln>
          </c:spPr>
          <c:invertIfNegative val="0"/>
          <c:dLbls>
            <c:dLbl>
              <c:idx val="0"/>
              <c:layout>
                <c:manualLayout>
                  <c:x val="-2.7771099146605784E-3"/>
                  <c:y val="0.216870195930268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7E-42F1-A859-3F19AC5D91D9}"/>
                </c:ext>
              </c:extLst>
            </c:dLbl>
            <c:dLbl>
              <c:idx val="1"/>
              <c:layout>
                <c:manualLayout>
                  <c:x val="-2.7770361414853994E-3"/>
                  <c:y val="0.233135460625038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7E-42F1-A859-3F19AC5D91D9}"/>
                </c:ext>
              </c:extLst>
            </c:dLbl>
            <c:dLbl>
              <c:idx val="2"/>
              <c:layout>
                <c:manualLayout>
                  <c:x val="2.7770361414853994E-3"/>
                  <c:y val="0.22229195082852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7E-42F1-A859-3F19AC5D91D9}"/>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Cotizantes!$A$8:$A$10</c:f>
              <c:strCache>
                <c:ptCount val="3"/>
                <c:pt idx="0">
                  <c:v>Junio</c:v>
                </c:pt>
                <c:pt idx="1">
                  <c:v>Mayo</c:v>
                </c:pt>
                <c:pt idx="2">
                  <c:v>Abril</c:v>
                </c:pt>
              </c:strCache>
            </c:strRef>
          </c:cat>
          <c:val>
            <c:numRef>
              <c:f>Cotizantes!$B$8:$B$10</c:f>
              <c:numCache>
                <c:formatCode>#,##0_);\(#,##0\)</c:formatCode>
                <c:ptCount val="3"/>
                <c:pt idx="0">
                  <c:v>19411.650000000001</c:v>
                </c:pt>
                <c:pt idx="1">
                  <c:v>19269.900000000001</c:v>
                </c:pt>
                <c:pt idx="2">
                  <c:v>19119.240000000002</c:v>
                </c:pt>
              </c:numCache>
            </c:numRef>
          </c:val>
          <c:extLst>
            <c:ext xmlns:c16="http://schemas.microsoft.com/office/drawing/2014/chart" uri="{C3380CC4-5D6E-409C-BE32-E72D297353CC}">
              <c16:uniqueId val="{00000003-3E7E-42F1-A859-3F19AC5D91D9}"/>
            </c:ext>
          </c:extLst>
        </c:ser>
        <c:ser>
          <c:idx val="1"/>
          <c:order val="1"/>
          <c:tx>
            <c:strRef>
              <c:f>Cotizantes!$C$7</c:f>
              <c:strCache>
                <c:ptCount val="1"/>
                <c:pt idx="0">
                  <c:v>Privado</c:v>
                </c:pt>
              </c:strCache>
            </c:strRef>
          </c:tx>
          <c:spPr>
            <a:solidFill>
              <a:schemeClr val="accent3">
                <a:lumMod val="60000"/>
                <a:lumOff val="40000"/>
              </a:schemeClr>
            </a:solidFill>
            <a:ln>
              <a:solidFill>
                <a:schemeClr val="accent3">
                  <a:lumMod val="60000"/>
                  <a:lumOff val="40000"/>
                </a:schemeClr>
              </a:solidFill>
            </a:ln>
          </c:spPr>
          <c:invertIfNegative val="0"/>
          <c:dLbls>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Cotizantes!$A$8:$A$10</c:f>
              <c:strCache>
                <c:ptCount val="3"/>
                <c:pt idx="0">
                  <c:v>Junio</c:v>
                </c:pt>
                <c:pt idx="1">
                  <c:v>Mayo</c:v>
                </c:pt>
                <c:pt idx="2">
                  <c:v>Abril</c:v>
                </c:pt>
              </c:strCache>
            </c:strRef>
          </c:cat>
          <c:val>
            <c:numRef>
              <c:f>Cotizantes!$C$8:$C$10</c:f>
              <c:numCache>
                <c:formatCode>#,##0_);\(#,##0\)</c:formatCode>
                <c:ptCount val="3"/>
                <c:pt idx="0">
                  <c:v>4553.3500000000004</c:v>
                </c:pt>
                <c:pt idx="1">
                  <c:v>4520.1000000000004</c:v>
                </c:pt>
                <c:pt idx="2">
                  <c:v>4484.76</c:v>
                </c:pt>
              </c:numCache>
            </c:numRef>
          </c:val>
          <c:extLst>
            <c:ext xmlns:c16="http://schemas.microsoft.com/office/drawing/2014/chart" uri="{C3380CC4-5D6E-409C-BE32-E72D297353CC}">
              <c16:uniqueId val="{00000004-3E7E-42F1-A859-3F19AC5D91D9}"/>
            </c:ext>
          </c:extLst>
        </c:ser>
        <c:dLbls>
          <c:showLegendKey val="0"/>
          <c:showVal val="0"/>
          <c:showCatName val="0"/>
          <c:showSerName val="0"/>
          <c:showPercent val="0"/>
          <c:showBubbleSize val="0"/>
        </c:dLbls>
        <c:gapWidth val="150"/>
        <c:axId val="1667763488"/>
        <c:axId val="1667764032"/>
      </c:barChart>
      <c:catAx>
        <c:axId val="1667763488"/>
        <c:scaling>
          <c:orientation val="minMax"/>
        </c:scaling>
        <c:delete val="0"/>
        <c:axPos val="b"/>
        <c:numFmt formatCode="General" sourceLinked="0"/>
        <c:majorTickMark val="none"/>
        <c:minorTickMark val="none"/>
        <c:tickLblPos val="nextTo"/>
        <c:crossAx val="1667764032"/>
        <c:crosses val="autoZero"/>
        <c:auto val="1"/>
        <c:lblAlgn val="ctr"/>
        <c:lblOffset val="100"/>
        <c:noMultiLvlLbl val="0"/>
      </c:catAx>
      <c:valAx>
        <c:axId val="1667764032"/>
        <c:scaling>
          <c:orientation val="minMax"/>
        </c:scaling>
        <c:delete val="0"/>
        <c:axPos val="l"/>
        <c:numFmt formatCode="#,##0_);\(#,##0\)" sourceLinked="1"/>
        <c:majorTickMark val="out"/>
        <c:minorTickMark val="none"/>
        <c:tickLblPos val="nextTo"/>
        <c:crossAx val="1667763488"/>
        <c:crosses val="autoZero"/>
        <c:crossBetween val="between"/>
      </c:valAx>
    </c:plotArea>
    <c:legend>
      <c:legendPos val="r"/>
      <c:layout>
        <c:manualLayout>
          <c:xMode val="edge"/>
          <c:yMode val="edge"/>
          <c:x val="0.83812576552930884"/>
          <c:y val="0.41853966170895307"/>
          <c:w val="0.14242979002624673"/>
          <c:h val="0.16743438320209975"/>
        </c:manualLayout>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sz="1100">
                <a:solidFill>
                  <a:schemeClr val="accent1"/>
                </a:solidFill>
              </a:rPr>
              <a:t>Porcentaje</a:t>
            </a:r>
            <a:r>
              <a:rPr lang="es-ES" sz="1100" baseline="0">
                <a:solidFill>
                  <a:schemeClr val="accent1"/>
                </a:solidFill>
              </a:rPr>
              <a:t> Cotizantes por Tipo de Empleador</a:t>
            </a:r>
            <a:endParaRPr lang="es-ES" sz="1100">
              <a:solidFill>
                <a:schemeClr val="accent1"/>
              </a:solidFill>
            </a:endParaRPr>
          </a:p>
        </c:rich>
      </c:tx>
      <c:layout>
        <c:manualLayout>
          <c:xMode val="edge"/>
          <c:yMode val="edge"/>
          <c:x val="0.11448876116302337"/>
          <c:y val="3.5521229761756035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chemeClr val="bg1">
                <a:lumMod val="75000"/>
              </a:schemeClr>
            </a:solidFill>
          </c:spPr>
          <c:explosion val="21"/>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E27F-40BC-B156-ECDD57E26777}"/>
              </c:ext>
            </c:extLst>
          </c:dPt>
          <c:dPt>
            <c:idx val="1"/>
            <c:bubble3D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E27F-40BC-B156-ECDD57E26777}"/>
              </c:ext>
            </c:extLst>
          </c:dPt>
          <c:dLbls>
            <c:dLbl>
              <c:idx val="0"/>
              <c:tx>
                <c:rich>
                  <a:bodyPr/>
                  <a:lstStyle/>
                  <a:p>
                    <a:fld id="{1E83FA5F-D0AB-48CE-96D6-99FDB27CB416}" type="CATEGORYNAME">
                      <a:rPr lang="en-US"/>
                      <a:pPr/>
                      <a:t>[NOMBRE DE CATEGORÍA]</a:t>
                    </a:fld>
                    <a:r>
                      <a:rPr lang="en-US" baseline="0"/>
                      <a:t>
</a:t>
                    </a:r>
                    <a:fld id="{C20B6CD3-A00D-42C3-9725-57F7CEEDB32F}" type="VALUE">
                      <a:rPr lang="en-US" baseline="0"/>
                      <a:pPr/>
                      <a:t>[VALOR]</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27F-40BC-B156-ECDD57E26777}"/>
                </c:ext>
              </c:extLst>
            </c:dLbl>
            <c:dLbl>
              <c:idx val="1"/>
              <c:layout>
                <c:manualLayout>
                  <c:x val="0.14088443512799001"/>
                  <c:y val="9.0954002126448455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s-DO"/>
                </a:p>
              </c:txPr>
              <c:showLegendKey val="0"/>
              <c:showVal val="0"/>
              <c:showCatName val="1"/>
              <c:showSerName val="0"/>
              <c:showPercent val="1"/>
              <c:showBubbleSize val="0"/>
              <c:extLst>
                <c:ext xmlns:c15="http://schemas.microsoft.com/office/drawing/2012/chart" uri="{CE6537A1-D6FC-4f65-9D91-7224C49458BB}">
                  <c15:layout>
                    <c:manualLayout>
                      <c:w val="0.16958098767372243"/>
                      <c:h val="0.19305351204092519"/>
                    </c:manualLayout>
                  </c15:layout>
                </c:ext>
                <c:ext xmlns:c16="http://schemas.microsoft.com/office/drawing/2014/chart" uri="{C3380CC4-5D6E-409C-BE32-E72D297353CC}">
                  <c16:uniqueId val="{00000003-E27F-40BC-B156-ECDD57E2677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DO"/>
              </a:p>
            </c:txPr>
            <c:showLegendKey val="0"/>
            <c:showVal val="0"/>
            <c:showCatName val="1"/>
            <c:showSerName val="0"/>
            <c:showPercent val="1"/>
            <c:showBubbleSize val="0"/>
            <c:showLeaderLines val="0"/>
            <c:extLst>
              <c:ext xmlns:c15="http://schemas.microsoft.com/office/drawing/2012/chart" uri="{CE6537A1-D6FC-4f65-9D91-7224C49458BB}"/>
            </c:extLst>
          </c:dLbls>
          <c:cat>
            <c:strRef>
              <c:f>Cotizantes!$E$7:$F$7</c:f>
              <c:strCache>
                <c:ptCount val="2"/>
                <c:pt idx="0">
                  <c:v>% Público</c:v>
                </c:pt>
                <c:pt idx="1">
                  <c:v>% Privado</c:v>
                </c:pt>
              </c:strCache>
            </c:strRef>
          </c:cat>
          <c:val>
            <c:numRef>
              <c:f>Cotizantes!$E$11:$F$11</c:f>
              <c:numCache>
                <c:formatCode>0%</c:formatCode>
                <c:ptCount val="2"/>
                <c:pt idx="0">
                  <c:v>0.81000000000000016</c:v>
                </c:pt>
                <c:pt idx="1">
                  <c:v>0.19000000000000003</c:v>
                </c:pt>
              </c:numCache>
            </c:numRef>
          </c:val>
          <c:extLst>
            <c:ext xmlns:c16="http://schemas.microsoft.com/office/drawing/2014/chart" uri="{C3380CC4-5D6E-409C-BE32-E72D297353CC}">
              <c16:uniqueId val="{00000004-E27F-40BC-B156-ECDD57E26777}"/>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Empleador!$B$7</c:f>
              <c:strCache>
                <c:ptCount val="1"/>
                <c:pt idx="0">
                  <c:v>Público (RD$)</c:v>
                </c:pt>
              </c:strCache>
            </c:strRef>
          </c:tx>
          <c:spPr>
            <a:solidFill>
              <a:schemeClr val="bg1">
                <a:lumMod val="75000"/>
              </a:schemeClr>
            </a:solidFill>
            <a:ln>
              <a:solidFill>
                <a:schemeClr val="bg1">
                  <a:lumMod val="75000"/>
                </a:schemeClr>
              </a:solidFill>
            </a:ln>
          </c:spPr>
          <c:invertIfNegative val="0"/>
          <c:dLbls>
            <c:spPr>
              <a:noFill/>
              <a:ln>
                <a:noFill/>
              </a:ln>
              <a:effectLst/>
            </c:spPr>
            <c:txPr>
              <a:bodyPr wrap="square" lIns="38100" tIns="19050" rIns="38100" bIns="19050" anchor="ctr">
                <a:spAutoFit/>
              </a:bodyPr>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Empleador!$A$8:$A$10</c:f>
              <c:strCache>
                <c:ptCount val="3"/>
                <c:pt idx="0">
                  <c:v>Junio</c:v>
                </c:pt>
                <c:pt idx="1">
                  <c:v>Mayo</c:v>
                </c:pt>
                <c:pt idx="2">
                  <c:v>Abril</c:v>
                </c:pt>
              </c:strCache>
            </c:strRef>
          </c:cat>
          <c:val>
            <c:numRef>
              <c:f>Empleador!$B$8:$B$10</c:f>
              <c:numCache>
                <c:formatCode>#,##0.00</c:formatCode>
                <c:ptCount val="3"/>
                <c:pt idx="0">
                  <c:v>79587061.920000002</c:v>
                </c:pt>
                <c:pt idx="1">
                  <c:v>82189475.030000001</c:v>
                </c:pt>
                <c:pt idx="2">
                  <c:v>78921073.278000027</c:v>
                </c:pt>
              </c:numCache>
            </c:numRef>
          </c:val>
          <c:extLst>
            <c:ext xmlns:c16="http://schemas.microsoft.com/office/drawing/2014/chart" uri="{C3380CC4-5D6E-409C-BE32-E72D297353CC}">
              <c16:uniqueId val="{00000000-9301-42CA-BE02-9F1C2FB19D24}"/>
            </c:ext>
          </c:extLst>
        </c:ser>
        <c:ser>
          <c:idx val="1"/>
          <c:order val="1"/>
          <c:tx>
            <c:strRef>
              <c:f>Empleador!$C$7</c:f>
              <c:strCache>
                <c:ptCount val="1"/>
                <c:pt idx="0">
                  <c:v>Privado (RD$)</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3.20766864871802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01-42CA-BE02-9F1C2FB19D24}"/>
                </c:ext>
              </c:extLst>
            </c:dLbl>
            <c:dLbl>
              <c:idx val="1"/>
              <c:layout>
                <c:manualLayout>
                  <c:x val="3.84913162701046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01-42CA-BE02-9F1C2FB19D24}"/>
                </c:ext>
              </c:extLst>
            </c:dLbl>
            <c:dLbl>
              <c:idx val="2"/>
              <c:layout>
                <c:manualLayout>
                  <c:x val="2.88817530996714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01-42CA-BE02-9F1C2FB19D24}"/>
                </c:ext>
              </c:extLst>
            </c:dLbl>
            <c:spPr>
              <a:noFill/>
              <a:ln>
                <a:noFill/>
              </a:ln>
              <a:effectLst/>
            </c:spPr>
            <c:txPr>
              <a:bodyPr wrap="square" lIns="38100" tIns="19050" rIns="38100" bIns="19050" anchor="ctr">
                <a:spAutoFit/>
              </a:bodyPr>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Empleador!$A$8:$A$10</c:f>
              <c:strCache>
                <c:ptCount val="3"/>
                <c:pt idx="0">
                  <c:v>Junio</c:v>
                </c:pt>
                <c:pt idx="1">
                  <c:v>Mayo</c:v>
                </c:pt>
                <c:pt idx="2">
                  <c:v>Abril</c:v>
                </c:pt>
              </c:strCache>
            </c:strRef>
          </c:cat>
          <c:val>
            <c:numRef>
              <c:f>Empleador!$C$8:$C$10</c:f>
              <c:numCache>
                <c:formatCode>#,##0.00</c:formatCode>
                <c:ptCount val="3"/>
                <c:pt idx="0">
                  <c:v>18668570.079999998</c:v>
                </c:pt>
                <c:pt idx="1">
                  <c:v>19279012.66</c:v>
                </c:pt>
                <c:pt idx="2">
                  <c:v>18512350.522</c:v>
                </c:pt>
              </c:numCache>
            </c:numRef>
          </c:val>
          <c:extLst>
            <c:ext xmlns:c16="http://schemas.microsoft.com/office/drawing/2014/chart" uri="{C3380CC4-5D6E-409C-BE32-E72D297353CC}">
              <c16:uniqueId val="{00000004-9301-42CA-BE02-9F1C2FB19D24}"/>
            </c:ext>
          </c:extLst>
        </c:ser>
        <c:dLbls>
          <c:showLegendKey val="0"/>
          <c:showVal val="1"/>
          <c:showCatName val="0"/>
          <c:showSerName val="0"/>
          <c:showPercent val="0"/>
          <c:showBubbleSize val="0"/>
        </c:dLbls>
        <c:gapWidth val="75"/>
        <c:axId val="1667757504"/>
        <c:axId val="1667761312"/>
      </c:barChart>
      <c:catAx>
        <c:axId val="1667757504"/>
        <c:scaling>
          <c:orientation val="minMax"/>
        </c:scaling>
        <c:delete val="0"/>
        <c:axPos val="b"/>
        <c:numFmt formatCode="General" sourceLinked="0"/>
        <c:majorTickMark val="none"/>
        <c:minorTickMark val="none"/>
        <c:tickLblPos val="nextTo"/>
        <c:crossAx val="1667761312"/>
        <c:crosses val="autoZero"/>
        <c:auto val="1"/>
        <c:lblAlgn val="ctr"/>
        <c:lblOffset val="100"/>
        <c:noMultiLvlLbl val="0"/>
      </c:catAx>
      <c:valAx>
        <c:axId val="1667761312"/>
        <c:scaling>
          <c:orientation val="minMax"/>
          <c:max val="200000000"/>
        </c:scaling>
        <c:delete val="0"/>
        <c:axPos val="l"/>
        <c:numFmt formatCode="#,##0.00" sourceLinked="1"/>
        <c:majorTickMark val="none"/>
        <c:minorTickMark val="none"/>
        <c:tickLblPos val="nextTo"/>
        <c:crossAx val="1667757504"/>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100" b="1" i="0" u="none" strike="noStrike" kern="1200" cap="none" spc="20" baseline="0">
                <a:solidFill>
                  <a:schemeClr val="accent1"/>
                </a:solidFill>
                <a:latin typeface="+mn-lt"/>
                <a:ea typeface="+mn-ea"/>
                <a:cs typeface="+mn-cs"/>
              </a:defRPr>
            </a:pPr>
            <a:r>
              <a:rPr lang="en-US" sz="1100" b="1">
                <a:solidFill>
                  <a:schemeClr val="accent1"/>
                </a:solidFill>
              </a:rPr>
              <a:t>Porcentaje Monto Total</a:t>
            </a:r>
            <a:r>
              <a:rPr lang="en-US" sz="1100" b="1" baseline="0">
                <a:solidFill>
                  <a:schemeClr val="accent1"/>
                </a:solidFill>
              </a:rPr>
              <a:t> Individualizado por Tipo de Empleador</a:t>
            </a:r>
            <a:endParaRPr lang="en-US" sz="1100" b="1">
              <a:solidFill>
                <a:schemeClr val="accent1"/>
              </a:solidFill>
            </a:endParaRPr>
          </a:p>
        </c:rich>
      </c:tx>
      <c:overlay val="0"/>
      <c:spPr>
        <a:noFill/>
        <a:ln>
          <a:noFill/>
        </a:ln>
        <a:effectLst/>
      </c:spPr>
      <c:txPr>
        <a:bodyPr rot="0" spcFirstLastPara="1" vertOverflow="ellipsis" vert="horz" wrap="square" anchor="ctr" anchorCtr="1"/>
        <a:lstStyle/>
        <a:p>
          <a:pPr>
            <a:defRPr sz="1100" b="1" i="0" u="none" strike="noStrike" kern="1200" cap="none" spc="20" baseline="0">
              <a:solidFill>
                <a:schemeClr val="accent1"/>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4"/>
          <c:dPt>
            <c:idx val="0"/>
            <c:bubble3D val="0"/>
            <c:spPr>
              <a:solidFill>
                <a:schemeClr val="accent3"/>
              </a:soli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1-FBF6-429A-A5C3-DB8E0C911E9E}"/>
              </c:ext>
            </c:extLst>
          </c:dPt>
          <c:dPt>
            <c:idx val="1"/>
            <c:bubble3D val="0"/>
            <c:spPr>
              <a:solidFill>
                <a:schemeClr val="bg1">
                  <a:lumMod val="50000"/>
                </a:schemeClr>
              </a:soli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3-FBF6-429A-A5C3-DB8E0C911E9E}"/>
              </c:ext>
            </c:extLst>
          </c:dPt>
          <c:dLbls>
            <c:dLbl>
              <c:idx val="0"/>
              <c:tx>
                <c:rich>
                  <a:bodyPr/>
                  <a:lstStyle/>
                  <a:p>
                    <a:r>
                      <a:rPr lang="en-US" baseline="0"/>
                      <a:t>
</a:t>
                    </a:r>
                    <a:fld id="{1E0124BD-4345-4E4A-B14D-12CA58C69878}" type="PERCENTAGE">
                      <a:rPr lang="en-US" baseline="0"/>
                      <a:pPr/>
                      <a:t>[PORCENTAJE]</a:t>
                    </a:fld>
                    <a:endParaRPr lang="en-US" baseline="0"/>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BF6-429A-A5C3-DB8E0C911E9E}"/>
                </c:ext>
              </c:extLst>
            </c:dLbl>
            <c:dLbl>
              <c:idx val="1"/>
              <c:layout>
                <c:manualLayout>
                  <c:x val="7.4119001557259923E-2"/>
                  <c:y val="9.9428685560682892E-2"/>
                </c:manualLayout>
              </c:layout>
              <c:tx>
                <c:rich>
                  <a:bodyPr/>
                  <a:lstStyle/>
                  <a:p>
                    <a:r>
                      <a:rPr lang="en-US" baseline="0"/>
                      <a:t>
</a:t>
                    </a:r>
                    <a:fld id="{9808AA45-761B-4E95-9508-605747744867}" type="PERCENTAGE">
                      <a:rPr lang="en-US"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BF6-429A-A5C3-DB8E0C911E9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DO"/>
              </a:p>
            </c:tx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Empleador!$B$7:$C$7</c:f>
              <c:strCache>
                <c:ptCount val="2"/>
                <c:pt idx="0">
                  <c:v>Público (RD$)</c:v>
                </c:pt>
                <c:pt idx="1">
                  <c:v>Privado (RD$)</c:v>
                </c:pt>
              </c:strCache>
            </c:strRef>
          </c:cat>
          <c:val>
            <c:numRef>
              <c:f>Empleador!$B$29:$C$29</c:f>
              <c:numCache>
                <c:formatCode>0%</c:formatCode>
                <c:ptCount val="2"/>
                <c:pt idx="0">
                  <c:v>0.81000000000370176</c:v>
                </c:pt>
                <c:pt idx="1">
                  <c:v>0.18999999999629824</c:v>
                </c:pt>
              </c:numCache>
            </c:numRef>
          </c:val>
          <c:extLst>
            <c:ext xmlns:c16="http://schemas.microsoft.com/office/drawing/2014/chart" uri="{C3380CC4-5D6E-409C-BE32-E72D297353CC}">
              <c16:uniqueId val="{00000004-FBF6-429A-A5C3-DB8E0C911E9E}"/>
            </c:ext>
          </c:extLst>
        </c:ser>
        <c:dLbls>
          <c:dLblPos val="in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800">
                <a:solidFill>
                  <a:schemeClr val="accent1">
                    <a:lumMod val="75000"/>
                  </a:schemeClr>
                </a:solidFill>
              </a:rPr>
              <a:t>Distribución de</a:t>
            </a:r>
            <a:r>
              <a:rPr lang="es-ES" sz="800" baseline="0">
                <a:solidFill>
                  <a:schemeClr val="accent1">
                    <a:lumMod val="75000"/>
                  </a:schemeClr>
                </a:solidFill>
              </a:rPr>
              <a:t> Aportes</a:t>
            </a:r>
            <a:endParaRPr lang="es-ES" sz="800">
              <a:solidFill>
                <a:schemeClr val="accent1">
                  <a:lumMod val="75000"/>
                </a:schemeClr>
              </a:solidFill>
            </a:endParaRPr>
          </a:p>
        </c:rich>
      </c:tx>
      <c:layout>
        <c:manualLayout>
          <c:xMode val="edge"/>
          <c:yMode val="edge"/>
          <c:x val="0.36509152799625716"/>
          <c:y val="1.4417744497132913E-2"/>
        </c:manualLayout>
      </c:layout>
      <c:overlay val="0"/>
    </c:title>
    <c:autoTitleDeleted val="0"/>
    <c:plotArea>
      <c:layout/>
      <c:barChart>
        <c:barDir val="col"/>
        <c:grouping val="clustered"/>
        <c:varyColors val="0"/>
        <c:ser>
          <c:idx val="0"/>
          <c:order val="0"/>
          <c:spPr>
            <a:solidFill>
              <a:schemeClr val="bg1">
                <a:lumMod val="75000"/>
              </a:schemeClr>
            </a:solidFill>
            <a:ln>
              <a:solidFill>
                <a:schemeClr val="bg1">
                  <a:lumMod val="75000"/>
                </a:schemeClr>
              </a:solidFill>
            </a:ln>
          </c:spPr>
          <c:invertIfNegative val="0"/>
          <c:dLbls>
            <c:dLbl>
              <c:idx val="0"/>
              <c:layout>
                <c:manualLayout>
                  <c:x val="-2.7579408140791677E-3"/>
                  <c:y val="0.227768232028614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C4-4E72-86CD-26E8823546DB}"/>
                </c:ext>
              </c:extLst>
            </c:dLbl>
            <c:spPr>
              <a:noFill/>
              <a:ln>
                <a:noFill/>
              </a:ln>
              <a:effectLst/>
            </c:spPr>
            <c:txPr>
              <a:bodyPr rot="-540000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Aportes!$A$12:$A$14</c:f>
              <c:strCache>
                <c:ptCount val="1"/>
                <c:pt idx="0">
                  <c:v>Marzo</c:v>
                </c:pt>
              </c:strCache>
            </c:strRef>
          </c:cat>
          <c:val>
            <c:numRef>
              <c:f>Aportes!$B$12:$B$14</c:f>
              <c:numCache>
                <c:formatCode>#,##0</c:formatCode>
                <c:ptCount val="1"/>
                <c:pt idx="0">
                  <c:v>77173</c:v>
                </c:pt>
              </c:numCache>
            </c:numRef>
          </c:val>
          <c:extLst>
            <c:ext xmlns:c16="http://schemas.microsoft.com/office/drawing/2014/chart" uri="{C3380CC4-5D6E-409C-BE32-E72D297353CC}">
              <c16:uniqueId val="{00000005-96C4-4E72-86CD-26E8823546DB}"/>
            </c:ext>
          </c:extLst>
        </c:ser>
        <c:dLbls>
          <c:showLegendKey val="0"/>
          <c:showVal val="1"/>
          <c:showCatName val="0"/>
          <c:showSerName val="0"/>
          <c:showPercent val="0"/>
          <c:showBubbleSize val="0"/>
        </c:dLbls>
        <c:gapWidth val="75"/>
        <c:axId val="1667765120"/>
        <c:axId val="1667765664"/>
      </c:barChart>
      <c:catAx>
        <c:axId val="1667765120"/>
        <c:scaling>
          <c:orientation val="minMax"/>
        </c:scaling>
        <c:delete val="0"/>
        <c:axPos val="b"/>
        <c:numFmt formatCode="General" sourceLinked="0"/>
        <c:majorTickMark val="none"/>
        <c:minorTickMark val="none"/>
        <c:tickLblPos val="nextTo"/>
        <c:crossAx val="1667765664"/>
        <c:crosses val="autoZero"/>
        <c:auto val="1"/>
        <c:lblAlgn val="ctr"/>
        <c:lblOffset val="100"/>
        <c:noMultiLvlLbl val="0"/>
      </c:catAx>
      <c:valAx>
        <c:axId val="1667765664"/>
        <c:scaling>
          <c:orientation val="minMax"/>
        </c:scaling>
        <c:delete val="0"/>
        <c:axPos val="l"/>
        <c:numFmt formatCode="#,##0" sourceLinked="1"/>
        <c:majorTickMark val="none"/>
        <c:minorTickMark val="none"/>
        <c:tickLblPos val="nextTo"/>
        <c:crossAx val="166776512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800">
                <a:solidFill>
                  <a:schemeClr val="accent1">
                    <a:lumMod val="75000"/>
                  </a:schemeClr>
                </a:solidFill>
              </a:rPr>
              <a:t>Distribución de</a:t>
            </a:r>
            <a:r>
              <a:rPr lang="es-ES" sz="800" baseline="0">
                <a:solidFill>
                  <a:schemeClr val="accent1">
                    <a:lumMod val="75000"/>
                  </a:schemeClr>
                </a:solidFill>
              </a:rPr>
              <a:t> Aportes</a:t>
            </a:r>
            <a:endParaRPr lang="es-ES" sz="800">
              <a:solidFill>
                <a:schemeClr val="accent1">
                  <a:lumMod val="75000"/>
                </a:schemeClr>
              </a:solidFill>
            </a:endParaRPr>
          </a:p>
        </c:rich>
      </c:tx>
      <c:layout>
        <c:manualLayout>
          <c:xMode val="edge"/>
          <c:yMode val="edge"/>
          <c:x val="0.36509152799625716"/>
          <c:y val="1.4417744497132913E-2"/>
        </c:manualLayout>
      </c:layout>
      <c:overlay val="0"/>
    </c:title>
    <c:autoTitleDeleted val="0"/>
    <c:plotArea>
      <c:layout/>
      <c:barChart>
        <c:barDir val="col"/>
        <c:grouping val="clustered"/>
        <c:varyColors val="0"/>
        <c:ser>
          <c:idx val="0"/>
          <c:order val="0"/>
          <c:spPr>
            <a:solidFill>
              <a:schemeClr val="bg1">
                <a:lumMod val="75000"/>
              </a:schemeClr>
            </a:solidFill>
            <a:ln>
              <a:solidFill>
                <a:schemeClr val="bg1">
                  <a:lumMod val="75000"/>
                </a:schemeClr>
              </a:solidFill>
            </a:ln>
          </c:spPr>
          <c:invertIfNegative val="0"/>
          <c:dPt>
            <c:idx val="1"/>
            <c:invertIfNegative val="0"/>
            <c:bubble3D val="0"/>
            <c:spPr>
              <a:solidFill>
                <a:schemeClr val="accent3">
                  <a:lumMod val="60000"/>
                  <a:lumOff val="40000"/>
                </a:schemeClr>
              </a:solidFill>
              <a:ln>
                <a:solidFill>
                  <a:schemeClr val="accent3">
                    <a:lumMod val="60000"/>
                    <a:lumOff val="40000"/>
                  </a:schemeClr>
                </a:solidFill>
              </a:ln>
            </c:spPr>
            <c:extLst>
              <c:ext xmlns:c16="http://schemas.microsoft.com/office/drawing/2014/chart" uri="{C3380CC4-5D6E-409C-BE32-E72D297353CC}">
                <c16:uniqueId val="{00000001-D0F6-4354-94C8-98680B44408D}"/>
              </c:ext>
            </c:extLst>
          </c:dPt>
          <c:dPt>
            <c:idx val="2"/>
            <c:invertIfNegative val="0"/>
            <c:bubble3D val="0"/>
            <c:spPr>
              <a:solidFill>
                <a:schemeClr val="accent1">
                  <a:lumMod val="60000"/>
                  <a:lumOff val="40000"/>
                </a:schemeClr>
              </a:solidFill>
              <a:ln>
                <a:solidFill>
                  <a:schemeClr val="accent1">
                    <a:lumMod val="60000"/>
                    <a:lumOff val="40000"/>
                  </a:schemeClr>
                </a:solidFill>
              </a:ln>
            </c:spPr>
            <c:extLst>
              <c:ext xmlns:c16="http://schemas.microsoft.com/office/drawing/2014/chart" uri="{C3380CC4-5D6E-409C-BE32-E72D297353CC}">
                <c16:uniqueId val="{00000003-D0F6-4354-94C8-98680B44408D}"/>
              </c:ext>
            </c:extLst>
          </c:dPt>
          <c:dLbls>
            <c:dLbl>
              <c:idx val="0"/>
              <c:layout>
                <c:manualLayout>
                  <c:x val="-2.7579408140791677E-3"/>
                  <c:y val="0.227768232028614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F6-4354-94C8-98680B44408D}"/>
                </c:ext>
              </c:extLst>
            </c:dLbl>
            <c:dLbl>
              <c:idx val="1"/>
              <c:layout>
                <c:manualLayout>
                  <c:x val="3.645867423629125E-3"/>
                  <c:y val="0.21666027448900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6-4354-94C8-98680B44408D}"/>
                </c:ext>
              </c:extLst>
            </c:dLbl>
            <c:dLbl>
              <c:idx val="2"/>
              <c:layout>
                <c:manualLayout>
                  <c:x val="6.423616493789394E-3"/>
                  <c:y val="0.209249867382357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F6-4354-94C8-98680B44408D}"/>
                </c:ext>
              </c:extLst>
            </c:dLbl>
            <c:spPr>
              <a:noFill/>
              <a:ln>
                <a:noFill/>
              </a:ln>
              <a:effectLst/>
            </c:spPr>
            <c:txPr>
              <a:bodyPr rot="-540000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Aportes!$A$8:$A$10</c:f>
              <c:strCache>
                <c:ptCount val="3"/>
                <c:pt idx="0">
                  <c:v>Junio</c:v>
                </c:pt>
                <c:pt idx="1">
                  <c:v>Mayo</c:v>
                </c:pt>
                <c:pt idx="2">
                  <c:v>Abril</c:v>
                </c:pt>
              </c:strCache>
            </c:strRef>
          </c:cat>
          <c:val>
            <c:numRef>
              <c:f>Aportes!$B$8:$B$10</c:f>
              <c:numCache>
                <c:formatCode>#,##0</c:formatCode>
                <c:ptCount val="3"/>
                <c:pt idx="0">
                  <c:v>77160</c:v>
                </c:pt>
                <c:pt idx="1">
                  <c:v>77155</c:v>
                </c:pt>
                <c:pt idx="2">
                  <c:v>77297</c:v>
                </c:pt>
              </c:numCache>
            </c:numRef>
          </c:val>
          <c:extLst>
            <c:ext xmlns:c16="http://schemas.microsoft.com/office/drawing/2014/chart" uri="{C3380CC4-5D6E-409C-BE32-E72D297353CC}">
              <c16:uniqueId val="{00000005-D0F6-4354-94C8-98680B44408D}"/>
            </c:ext>
          </c:extLst>
        </c:ser>
        <c:dLbls>
          <c:showLegendKey val="0"/>
          <c:showVal val="1"/>
          <c:showCatName val="0"/>
          <c:showSerName val="0"/>
          <c:showPercent val="0"/>
          <c:showBubbleSize val="0"/>
        </c:dLbls>
        <c:gapWidth val="75"/>
        <c:axId val="1667765120"/>
        <c:axId val="1667765664"/>
      </c:barChart>
      <c:catAx>
        <c:axId val="1667765120"/>
        <c:scaling>
          <c:orientation val="minMax"/>
        </c:scaling>
        <c:delete val="0"/>
        <c:axPos val="b"/>
        <c:numFmt formatCode="General" sourceLinked="0"/>
        <c:majorTickMark val="none"/>
        <c:minorTickMark val="none"/>
        <c:tickLblPos val="nextTo"/>
        <c:crossAx val="1667765664"/>
        <c:crosses val="autoZero"/>
        <c:auto val="1"/>
        <c:lblAlgn val="ctr"/>
        <c:lblOffset val="100"/>
        <c:noMultiLvlLbl val="0"/>
      </c:catAx>
      <c:valAx>
        <c:axId val="1667765664"/>
        <c:scaling>
          <c:orientation val="minMax"/>
        </c:scaling>
        <c:delete val="0"/>
        <c:axPos val="l"/>
        <c:numFmt formatCode="#,##0" sourceLinked="1"/>
        <c:majorTickMark val="none"/>
        <c:minorTickMark val="none"/>
        <c:tickLblPos val="nextTo"/>
        <c:crossAx val="166776512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ES" sz="1000">
                <a:solidFill>
                  <a:schemeClr val="accent1">
                    <a:lumMod val="75000"/>
                  </a:schemeClr>
                </a:solidFill>
              </a:rPr>
              <a:t>Cantidad de Traspasos</a:t>
            </a:r>
          </a:p>
        </c:rich>
      </c:tx>
      <c:overlay val="0"/>
    </c:title>
    <c:autoTitleDeleted val="0"/>
    <c:plotArea>
      <c:layout>
        <c:manualLayout>
          <c:layoutTarget val="inner"/>
          <c:xMode val="edge"/>
          <c:yMode val="edge"/>
          <c:x val="0.12016285132106767"/>
          <c:y val="0.18401209406649208"/>
          <c:w val="0.83717921431840892"/>
          <c:h val="0.61610024514896233"/>
        </c:manualLayout>
      </c:layout>
      <c:barChart>
        <c:barDir val="col"/>
        <c:grouping val="clustered"/>
        <c:varyColors val="0"/>
        <c:ser>
          <c:idx val="1"/>
          <c:order val="1"/>
          <c:tx>
            <c:strRef>
              <c:f>Traspaso!$C$7</c:f>
              <c:strCache>
                <c:ptCount val="1"/>
                <c:pt idx="0">
                  <c:v>Cedidos (Reparto a SCI)</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7.6036422311119411E-3"/>
                  <c:y val="-3.014202351868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A7-4275-A789-0D686E766E43}"/>
                </c:ext>
              </c:extLst>
            </c:dLbl>
            <c:dLbl>
              <c:idx val="1"/>
              <c:layout>
                <c:manualLayout>
                  <c:x val="-1.1232343215769955E-2"/>
                  <c:y val="-8.5860068226984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1B-4846-AF71-C6243F490D5B}"/>
                </c:ext>
              </c:extLst>
            </c:dLbl>
            <c:dLbl>
              <c:idx val="2"/>
              <c:layout>
                <c:manualLayout>
                  <c:x val="-3.803055620437082E-3"/>
                  <c:y val="-1.0047341172896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A7-4275-A789-0D686E766E43}"/>
                </c:ext>
              </c:extLst>
            </c:dLbl>
            <c:spPr>
              <a:noFill/>
              <a:ln>
                <a:noFill/>
              </a:ln>
              <a:effectLst/>
            </c:spPr>
            <c:txPr>
              <a:bodyPr rot="-540000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Traspaso!$A$12:$A$14</c:f>
            </c:multiLvlStrRef>
          </c:cat>
          <c:val>
            <c:numRef>
              <c:f>Traspaso!$C$12:$C$14</c:f>
            </c:numRef>
          </c:val>
          <c:extLst>
            <c:ext xmlns:c16="http://schemas.microsoft.com/office/drawing/2014/chart" uri="{C3380CC4-5D6E-409C-BE32-E72D297353CC}">
              <c16:uniqueId val="{00000004-FB1B-4846-AF71-C6243F490D5B}"/>
            </c:ext>
          </c:extLst>
        </c:ser>
        <c:dLbls>
          <c:showLegendKey val="0"/>
          <c:showVal val="0"/>
          <c:showCatName val="0"/>
          <c:showSerName val="0"/>
          <c:showPercent val="0"/>
          <c:showBubbleSize val="0"/>
        </c:dLbls>
        <c:gapWidth val="75"/>
        <c:axId val="1665019632"/>
        <c:axId val="1665020176"/>
      </c:barChart>
      <c:lineChart>
        <c:grouping val="standard"/>
        <c:varyColors val="0"/>
        <c:ser>
          <c:idx val="0"/>
          <c:order val="0"/>
          <c:tx>
            <c:strRef>
              <c:f>Traspaso!$B$7</c:f>
              <c:strCache>
                <c:ptCount val="1"/>
                <c:pt idx="0">
                  <c:v>Recibidos (SCI a Reparto)</c:v>
                </c:pt>
              </c:strCache>
            </c:strRef>
          </c:tx>
          <c:spPr>
            <a:ln>
              <a:solidFill>
                <a:schemeClr val="bg1">
                  <a:lumMod val="75000"/>
                </a:schemeClr>
              </a:solidFill>
            </a:ln>
          </c:spPr>
          <c:dLbls>
            <c:dLbl>
              <c:idx val="0"/>
              <c:layout>
                <c:manualLayout>
                  <c:x val="-6.4523378603867268E-2"/>
                  <c:y val="0.109966962443513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1B-4846-AF71-C6243F490D5B}"/>
                </c:ext>
              </c:extLst>
            </c:dLbl>
            <c:dLbl>
              <c:idx val="1"/>
              <c:layout>
                <c:manualLayout>
                  <c:x val="-5.7008464291933403E-2"/>
                  <c:y val="-7.03313882102758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A7-4275-A789-0D686E766E43}"/>
                </c:ext>
              </c:extLst>
            </c:dLbl>
            <c:dLbl>
              <c:idx val="2"/>
              <c:layout>
                <c:manualLayout>
                  <c:x val="-1.9955719893408847E-2"/>
                  <c:y val="7.0985652080353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1B-4846-AF71-C6243F490D5B}"/>
                </c:ext>
              </c:extLst>
            </c:dLbl>
            <c:spPr>
              <a:noFill/>
              <a:ln>
                <a:noFill/>
              </a:ln>
              <a:effectLst/>
            </c:spPr>
            <c:txPr>
              <a:bodyPr rot="-540000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Traspaso!$A$12:$A$14</c:f>
            </c:multiLvlStrRef>
          </c:cat>
          <c:val>
            <c:numRef>
              <c:f>Traspaso!$B$12:$B$14</c:f>
            </c:numRef>
          </c:val>
          <c:smooth val="0"/>
          <c:extLst>
            <c:ext xmlns:c16="http://schemas.microsoft.com/office/drawing/2014/chart" uri="{C3380CC4-5D6E-409C-BE32-E72D297353CC}">
              <c16:uniqueId val="{00000002-FB1B-4846-AF71-C6243F490D5B}"/>
            </c:ext>
          </c:extLst>
        </c:ser>
        <c:dLbls>
          <c:showLegendKey val="0"/>
          <c:showVal val="1"/>
          <c:showCatName val="0"/>
          <c:showSerName val="0"/>
          <c:showPercent val="0"/>
          <c:showBubbleSize val="0"/>
        </c:dLbls>
        <c:marker val="1"/>
        <c:smooth val="0"/>
        <c:axId val="1862418912"/>
        <c:axId val="1862406848"/>
      </c:lineChart>
      <c:catAx>
        <c:axId val="1665019632"/>
        <c:scaling>
          <c:orientation val="minMax"/>
        </c:scaling>
        <c:delete val="0"/>
        <c:axPos val="b"/>
        <c:numFmt formatCode="General" sourceLinked="0"/>
        <c:majorTickMark val="none"/>
        <c:minorTickMark val="none"/>
        <c:tickLblPos val="nextTo"/>
        <c:crossAx val="1665020176"/>
        <c:crosses val="autoZero"/>
        <c:auto val="1"/>
        <c:lblAlgn val="ctr"/>
        <c:lblOffset val="100"/>
        <c:noMultiLvlLbl val="0"/>
      </c:catAx>
      <c:valAx>
        <c:axId val="1665020176"/>
        <c:scaling>
          <c:orientation val="minMax"/>
        </c:scaling>
        <c:delete val="0"/>
        <c:axPos val="l"/>
        <c:numFmt formatCode="General" sourceLinked="1"/>
        <c:majorTickMark val="none"/>
        <c:minorTickMark val="none"/>
        <c:tickLblPos val="nextTo"/>
        <c:crossAx val="1665019632"/>
        <c:crosses val="autoZero"/>
        <c:crossBetween val="between"/>
      </c:valAx>
      <c:valAx>
        <c:axId val="1862406848"/>
        <c:scaling>
          <c:orientation val="minMax"/>
        </c:scaling>
        <c:delete val="0"/>
        <c:axPos val="r"/>
        <c:numFmt formatCode="General" sourceLinked="1"/>
        <c:majorTickMark val="out"/>
        <c:minorTickMark val="none"/>
        <c:tickLblPos val="nextTo"/>
        <c:crossAx val="1862418912"/>
        <c:crosses val="max"/>
        <c:crossBetween val="between"/>
      </c:valAx>
      <c:catAx>
        <c:axId val="1862418912"/>
        <c:scaling>
          <c:orientation val="minMax"/>
        </c:scaling>
        <c:delete val="1"/>
        <c:axPos val="b"/>
        <c:numFmt formatCode="General" sourceLinked="1"/>
        <c:majorTickMark val="out"/>
        <c:minorTickMark val="none"/>
        <c:tickLblPos val="nextTo"/>
        <c:crossAx val="1862406848"/>
        <c:crosses val="autoZero"/>
        <c:auto val="1"/>
        <c:lblAlgn val="ctr"/>
        <c:lblOffset val="100"/>
        <c:noMultiLvlLbl val="0"/>
      </c:catAx>
    </c:plotArea>
    <c:legend>
      <c:legendPos val="b"/>
      <c:layout>
        <c:manualLayout>
          <c:xMode val="edge"/>
          <c:yMode val="edge"/>
          <c:x val="1.7899037851528927E-2"/>
          <c:y val="0.91418107049277852"/>
          <c:w val="0.97827692204584993"/>
          <c:h val="8.4775034493234272E-2"/>
        </c:manualLayout>
      </c:layout>
      <c:overlay val="0"/>
      <c:txPr>
        <a:bodyPr/>
        <a:lstStyle/>
        <a:p>
          <a:pPr>
            <a:defRPr sz="9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r>
              <a:rPr lang="es-DO" sz="1100" b="1" i="0" u="none" strike="noStrike" kern="1200" baseline="0">
                <a:solidFill>
                  <a:schemeClr val="accent1">
                    <a:lumMod val="75000"/>
                  </a:schemeClr>
                </a:solidFill>
                <a:latin typeface="+mn-lt"/>
                <a:ea typeface="+mn-ea"/>
                <a:cs typeface="+mn-cs"/>
              </a:rPr>
              <a:t>Monto Traspasado</a:t>
            </a:r>
          </a:p>
        </c:rich>
      </c:tx>
      <c:layout>
        <c:manualLayout>
          <c:xMode val="edge"/>
          <c:yMode val="edge"/>
          <c:x val="0.39849932491882706"/>
          <c:y val="3.0018755813179337E-2"/>
        </c:manualLayout>
      </c:layout>
      <c:overlay val="0"/>
      <c:spPr>
        <a:noFill/>
        <a:ln>
          <a:noFill/>
        </a:ln>
        <a:effectLst/>
      </c:spPr>
      <c:txPr>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endParaRPr lang="es-DO"/>
        </a:p>
      </c:txPr>
    </c:title>
    <c:autoTitleDeleted val="0"/>
    <c:plotArea>
      <c:layout/>
      <c:barChart>
        <c:barDir val="col"/>
        <c:grouping val="clustered"/>
        <c:varyColors val="0"/>
        <c:ser>
          <c:idx val="0"/>
          <c:order val="0"/>
          <c:tx>
            <c:strRef>
              <c:f>Traspaso!$A$12</c:f>
              <c:strCache>
                <c:ptCount val="1"/>
                <c:pt idx="0">
                  <c:v>Marzo</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Traspaso!$D$12</c:f>
            </c:numRef>
          </c:val>
          <c:extLst>
            <c:ext xmlns:c16="http://schemas.microsoft.com/office/drawing/2014/chart" uri="{C3380CC4-5D6E-409C-BE32-E72D297353CC}">
              <c16:uniqueId val="{00000000-3626-45AA-AADE-47CA6C4D53AA}"/>
            </c:ext>
          </c:extLst>
        </c:ser>
        <c:ser>
          <c:idx val="1"/>
          <c:order val="1"/>
          <c:tx>
            <c:strRef>
              <c:f>Traspaso!$A$13</c:f>
              <c:strCache>
                <c:ptCount val="1"/>
                <c:pt idx="0">
                  <c:v>Febrero</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Traspaso!$D$13</c:f>
            </c:numRef>
          </c:val>
          <c:extLst>
            <c:ext xmlns:c16="http://schemas.microsoft.com/office/drawing/2014/chart" uri="{C3380CC4-5D6E-409C-BE32-E72D297353CC}">
              <c16:uniqueId val="{00000001-3626-45AA-AADE-47CA6C4D53AA}"/>
            </c:ext>
          </c:extLst>
        </c:ser>
        <c:ser>
          <c:idx val="2"/>
          <c:order val="2"/>
          <c:tx>
            <c:strRef>
              <c:f>Traspaso!$A$14</c:f>
              <c:strCache>
                <c:ptCount val="1"/>
                <c:pt idx="0">
                  <c:v>Enero</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Traspaso!$D$14</c:f>
            </c:numRef>
          </c:val>
          <c:extLst>
            <c:ext xmlns:c16="http://schemas.microsoft.com/office/drawing/2014/chart" uri="{C3380CC4-5D6E-409C-BE32-E72D297353CC}">
              <c16:uniqueId val="{00000002-3626-45AA-AADE-47CA6C4D53AA}"/>
            </c:ext>
          </c:extLst>
        </c:ser>
        <c:dLbls>
          <c:dLblPos val="outEnd"/>
          <c:showLegendKey val="0"/>
          <c:showVal val="1"/>
          <c:showCatName val="0"/>
          <c:showSerName val="0"/>
          <c:showPercent val="0"/>
          <c:showBubbleSize val="0"/>
        </c:dLbls>
        <c:gapWidth val="219"/>
        <c:overlap val="-27"/>
        <c:axId val="204719503"/>
        <c:axId val="204723247"/>
      </c:barChart>
      <c:catAx>
        <c:axId val="204719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DO"/>
          </a:p>
        </c:txPr>
        <c:crossAx val="204723247"/>
        <c:crosses val="autoZero"/>
        <c:auto val="1"/>
        <c:lblAlgn val="ctr"/>
        <c:lblOffset val="100"/>
        <c:noMultiLvlLbl val="0"/>
      </c:catAx>
      <c:valAx>
        <c:axId val="204723247"/>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204719503"/>
        <c:crosses val="autoZero"/>
        <c:crossBetween val="between"/>
      </c:valAx>
      <c:spPr>
        <a:noFill/>
        <a:ln>
          <a:noFill/>
        </a:ln>
        <a:effectLst/>
      </c:spPr>
    </c:plotArea>
    <c:legend>
      <c:legendPos val="b"/>
      <c:layout>
        <c:manualLayout>
          <c:xMode val="edge"/>
          <c:yMode val="edge"/>
          <c:x val="0.24552822872449589"/>
          <c:y val="0.88555290254186381"/>
          <c:w val="0.60496527440242809"/>
          <c:h val="8.4428341644956911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ES" sz="1000">
                <a:solidFill>
                  <a:schemeClr val="accent1">
                    <a:lumMod val="75000"/>
                  </a:schemeClr>
                </a:solidFill>
              </a:rPr>
              <a:t>Cantidad de Traspasos</a:t>
            </a:r>
          </a:p>
        </c:rich>
      </c:tx>
      <c:overlay val="0"/>
    </c:title>
    <c:autoTitleDeleted val="0"/>
    <c:plotArea>
      <c:layout>
        <c:manualLayout>
          <c:layoutTarget val="inner"/>
          <c:xMode val="edge"/>
          <c:yMode val="edge"/>
          <c:x val="0.12016285132106767"/>
          <c:y val="0.18401209406649208"/>
          <c:w val="0.83717921431840892"/>
          <c:h val="0.61610024514896233"/>
        </c:manualLayout>
      </c:layout>
      <c:barChart>
        <c:barDir val="col"/>
        <c:grouping val="clustered"/>
        <c:varyColors val="0"/>
        <c:ser>
          <c:idx val="1"/>
          <c:order val="1"/>
          <c:tx>
            <c:strRef>
              <c:f>Traspaso!$C$7</c:f>
              <c:strCache>
                <c:ptCount val="1"/>
                <c:pt idx="0">
                  <c:v>Cedidos (Reparto a SCI)</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7.6036422311119411E-3"/>
                  <c:y val="-3.014202351868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91-46B1-9810-07F548C260C8}"/>
                </c:ext>
              </c:extLst>
            </c:dLbl>
            <c:dLbl>
              <c:idx val="1"/>
              <c:layout>
                <c:manualLayout>
                  <c:x val="-3.6196754250803313E-3"/>
                  <c:y val="4.56600232908439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91-46B1-9810-07F548C260C8}"/>
                </c:ext>
              </c:extLst>
            </c:dLbl>
            <c:dLbl>
              <c:idx val="2"/>
              <c:layout>
                <c:manualLayout>
                  <c:x val="-3.803055620437082E-3"/>
                  <c:y val="-1.0047341172896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91-46B1-9810-07F548C260C8}"/>
                </c:ext>
              </c:extLst>
            </c:dLbl>
            <c:spPr>
              <a:noFill/>
              <a:ln>
                <a:noFill/>
              </a:ln>
              <a:effectLst/>
            </c:spPr>
            <c:txPr>
              <a:bodyPr rot="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Traspaso!$A$8:$A$10</c:f>
              <c:strCache>
                <c:ptCount val="3"/>
                <c:pt idx="0">
                  <c:v>Junio</c:v>
                </c:pt>
                <c:pt idx="1">
                  <c:v>Mayo</c:v>
                </c:pt>
                <c:pt idx="2">
                  <c:v>Abril</c:v>
                </c:pt>
              </c:strCache>
            </c:strRef>
          </c:cat>
          <c:val>
            <c:numRef>
              <c:f>Traspaso!$C$8:$C$10</c:f>
              <c:numCache>
                <c:formatCode>General</c:formatCode>
                <c:ptCount val="3"/>
                <c:pt idx="0">
                  <c:v>4</c:v>
                </c:pt>
                <c:pt idx="1">
                  <c:v>2</c:v>
                </c:pt>
                <c:pt idx="2">
                  <c:v>5</c:v>
                </c:pt>
              </c:numCache>
            </c:numRef>
          </c:val>
          <c:extLst>
            <c:ext xmlns:c16="http://schemas.microsoft.com/office/drawing/2014/chart" uri="{C3380CC4-5D6E-409C-BE32-E72D297353CC}">
              <c16:uniqueId val="{00000003-4491-46B1-9810-07F548C260C8}"/>
            </c:ext>
          </c:extLst>
        </c:ser>
        <c:dLbls>
          <c:showLegendKey val="0"/>
          <c:showVal val="0"/>
          <c:showCatName val="0"/>
          <c:showSerName val="0"/>
          <c:showPercent val="0"/>
          <c:showBubbleSize val="0"/>
        </c:dLbls>
        <c:gapWidth val="75"/>
        <c:axId val="1665019632"/>
        <c:axId val="1665020176"/>
      </c:barChart>
      <c:lineChart>
        <c:grouping val="standard"/>
        <c:varyColors val="0"/>
        <c:ser>
          <c:idx val="0"/>
          <c:order val="0"/>
          <c:tx>
            <c:strRef>
              <c:f>Traspaso!$B$7</c:f>
              <c:strCache>
                <c:ptCount val="1"/>
                <c:pt idx="0">
                  <c:v>Recibidos (SCI a Reparto)</c:v>
                </c:pt>
              </c:strCache>
            </c:strRef>
          </c:tx>
          <c:spPr>
            <a:ln>
              <a:solidFill>
                <a:schemeClr val="bg1">
                  <a:lumMod val="75000"/>
                </a:schemeClr>
              </a:solidFill>
            </a:ln>
          </c:spPr>
          <c:dLbls>
            <c:dLbl>
              <c:idx val="0"/>
              <c:layout>
                <c:manualLayout>
                  <c:x val="-0.1101290724927043"/>
                  <c:y val="-5.5379045834862855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91-46B1-9810-07F548C260C8}"/>
                </c:ext>
              </c:extLst>
            </c:dLbl>
            <c:dLbl>
              <c:idx val="1"/>
              <c:layout>
                <c:manualLayout>
                  <c:x val="-5.2997289914239513E-2"/>
                  <c:y val="5.5789996259423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91-46B1-9810-07F548C260C8}"/>
                </c:ext>
              </c:extLst>
            </c:dLbl>
            <c:dLbl>
              <c:idx val="2"/>
              <c:layout>
                <c:manualLayout>
                  <c:x val="-8.5497489471106462E-3"/>
                  <c:y val="-2.9487759648612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91-46B1-9810-07F548C260C8}"/>
                </c:ext>
              </c:extLst>
            </c:dLbl>
            <c:spPr>
              <a:noFill/>
              <a:ln>
                <a:noFill/>
              </a:ln>
              <a:effectLst/>
            </c:spPr>
            <c:txPr>
              <a:bodyPr rot="0" vert="horz" anchor="ctr" anchorCtr="0"/>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Traspaso!$A$12:$A$14</c:f>
            </c:multiLvlStrRef>
          </c:cat>
          <c:val>
            <c:numRef>
              <c:f>Traspaso!$B$8:$B$10</c:f>
              <c:numCache>
                <c:formatCode>General</c:formatCode>
                <c:ptCount val="3"/>
                <c:pt idx="0">
                  <c:v>10</c:v>
                </c:pt>
                <c:pt idx="1">
                  <c:v>0</c:v>
                </c:pt>
                <c:pt idx="2">
                  <c:v>0</c:v>
                </c:pt>
              </c:numCache>
            </c:numRef>
          </c:val>
          <c:smooth val="0"/>
          <c:extLst>
            <c:ext xmlns:c16="http://schemas.microsoft.com/office/drawing/2014/chart" uri="{C3380CC4-5D6E-409C-BE32-E72D297353CC}">
              <c16:uniqueId val="{00000007-4491-46B1-9810-07F548C260C8}"/>
            </c:ext>
          </c:extLst>
        </c:ser>
        <c:dLbls>
          <c:showLegendKey val="0"/>
          <c:showVal val="1"/>
          <c:showCatName val="0"/>
          <c:showSerName val="0"/>
          <c:showPercent val="0"/>
          <c:showBubbleSize val="0"/>
        </c:dLbls>
        <c:marker val="1"/>
        <c:smooth val="0"/>
        <c:axId val="1862418912"/>
        <c:axId val="1862406848"/>
      </c:lineChart>
      <c:catAx>
        <c:axId val="1665019632"/>
        <c:scaling>
          <c:orientation val="minMax"/>
        </c:scaling>
        <c:delete val="0"/>
        <c:axPos val="b"/>
        <c:numFmt formatCode="General" sourceLinked="0"/>
        <c:majorTickMark val="none"/>
        <c:minorTickMark val="none"/>
        <c:tickLblPos val="nextTo"/>
        <c:crossAx val="1665020176"/>
        <c:crosses val="autoZero"/>
        <c:auto val="1"/>
        <c:lblAlgn val="ctr"/>
        <c:lblOffset val="100"/>
        <c:noMultiLvlLbl val="0"/>
      </c:catAx>
      <c:valAx>
        <c:axId val="1665020176"/>
        <c:scaling>
          <c:orientation val="minMax"/>
        </c:scaling>
        <c:delete val="0"/>
        <c:axPos val="l"/>
        <c:numFmt formatCode="General" sourceLinked="1"/>
        <c:majorTickMark val="none"/>
        <c:minorTickMark val="none"/>
        <c:tickLblPos val="nextTo"/>
        <c:crossAx val="1665019632"/>
        <c:crosses val="autoZero"/>
        <c:crossBetween val="between"/>
      </c:valAx>
      <c:valAx>
        <c:axId val="1862406848"/>
        <c:scaling>
          <c:orientation val="minMax"/>
        </c:scaling>
        <c:delete val="0"/>
        <c:axPos val="r"/>
        <c:numFmt formatCode="General" sourceLinked="1"/>
        <c:majorTickMark val="out"/>
        <c:minorTickMark val="none"/>
        <c:tickLblPos val="nextTo"/>
        <c:crossAx val="1862418912"/>
        <c:crosses val="max"/>
        <c:crossBetween val="between"/>
      </c:valAx>
      <c:catAx>
        <c:axId val="1862418912"/>
        <c:scaling>
          <c:orientation val="minMax"/>
        </c:scaling>
        <c:delete val="1"/>
        <c:axPos val="b"/>
        <c:numFmt formatCode="General" sourceLinked="1"/>
        <c:majorTickMark val="out"/>
        <c:minorTickMark val="none"/>
        <c:tickLblPos val="nextTo"/>
        <c:crossAx val="1862406848"/>
        <c:crosses val="autoZero"/>
        <c:auto val="1"/>
        <c:lblAlgn val="ctr"/>
        <c:lblOffset val="100"/>
        <c:noMultiLvlLbl val="0"/>
      </c:catAx>
    </c:plotArea>
    <c:legend>
      <c:legendPos val="b"/>
      <c:layout>
        <c:manualLayout>
          <c:xMode val="edge"/>
          <c:yMode val="edge"/>
          <c:x val="1.7899141106128318E-2"/>
          <c:y val="0.87567282828107418"/>
          <c:w val="0.97827692204584993"/>
          <c:h val="8.4775034493234272E-2"/>
        </c:manualLayout>
      </c:layout>
      <c:overlay val="0"/>
      <c:txPr>
        <a:bodyPr/>
        <a:lstStyle/>
        <a:p>
          <a:pPr>
            <a:defRPr sz="9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25862514161201561"/>
          <c:y val="5.1400623701159075E-2"/>
          <c:w val="0.74836611939844222"/>
          <c:h val="0.72112459900845727"/>
        </c:manualLayout>
      </c:layout>
      <c:barChart>
        <c:barDir val="col"/>
        <c:grouping val="clustered"/>
        <c:varyColors val="0"/>
        <c:ser>
          <c:idx val="0"/>
          <c:order val="0"/>
          <c:tx>
            <c:v>Programado</c:v>
          </c:tx>
          <c:spPr>
            <a:solidFill>
              <a:schemeClr val="accent3">
                <a:lumMod val="60000"/>
                <a:lumOff val="40000"/>
              </a:schemeClr>
            </a:solidFill>
            <a:ln>
              <a:solidFill>
                <a:schemeClr val="accent3">
                  <a:lumMod val="60000"/>
                  <a:lumOff val="40000"/>
                </a:schemeClr>
              </a:solidFill>
            </a:ln>
          </c:spPr>
          <c:invertIfNegative val="0"/>
          <c:dPt>
            <c:idx val="1"/>
            <c:invertIfNegative val="0"/>
            <c:bubble3D val="0"/>
            <c:extLst>
              <c:ext xmlns:c16="http://schemas.microsoft.com/office/drawing/2014/chart" uri="{C3380CC4-5D6E-409C-BE32-E72D297353CC}">
                <c16:uniqueId val="{00000000-424B-4172-B7C9-5BBC627FD7AE}"/>
              </c:ext>
            </c:extLst>
          </c:dPt>
          <c:dLbls>
            <c:dLbl>
              <c:idx val="0"/>
              <c:layout>
                <c:manualLayout>
                  <c:x val="-5.8585773409299408E-3"/>
                  <c:y val="-1.1898155420560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4B-4172-B7C9-5BBC627FD7AE}"/>
                </c:ext>
              </c:extLst>
            </c:dLbl>
            <c:dLbl>
              <c:idx val="1"/>
              <c:layout>
                <c:manualLayout>
                  <c:x val="-4.1880482826806599E-3"/>
                  <c:y val="-1.84445068202829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4B-4172-B7C9-5BBC627FD7AE}"/>
                </c:ext>
              </c:extLst>
            </c:dLbl>
            <c:dLbl>
              <c:idx val="2"/>
              <c:layout>
                <c:manualLayout>
                  <c:x val="5.2141662660407338E-3"/>
                  <c:y val="8.31547896489298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4B-4172-B7C9-5BBC627FD7AE}"/>
                </c:ext>
              </c:extLst>
            </c:dLbl>
            <c:spPr>
              <a:noFill/>
              <a:ln>
                <a:noFill/>
              </a:ln>
              <a:effectLst/>
            </c:spPr>
            <c:txPr>
              <a:bodyPr rot="-5400000" vert="horz"/>
              <a:lstStyle/>
              <a:p>
                <a:pPr>
                  <a:defRPr sz="105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Adm.'!$A$11:$A$13</c:f>
              <c:strCache>
                <c:ptCount val="3"/>
                <c:pt idx="0">
                  <c:v>Junio</c:v>
                </c:pt>
                <c:pt idx="1">
                  <c:v>Mayo</c:v>
                </c:pt>
                <c:pt idx="2">
                  <c:v>Abril</c:v>
                </c:pt>
              </c:strCache>
            </c:strRef>
          </c:cat>
          <c:val>
            <c:numRef>
              <c:f>'Presupuesto Adm.'!$B$11:$B$13</c:f>
              <c:numCache>
                <c:formatCode>#,##0.00</c:formatCode>
                <c:ptCount val="3"/>
                <c:pt idx="0">
                  <c:v>40317798.969999999</c:v>
                </c:pt>
                <c:pt idx="1">
                  <c:v>71517798.969999999</c:v>
                </c:pt>
                <c:pt idx="2">
                  <c:v>39817798.969999999</c:v>
                </c:pt>
              </c:numCache>
            </c:numRef>
          </c:val>
          <c:extLst>
            <c:ext xmlns:c16="http://schemas.microsoft.com/office/drawing/2014/chart" uri="{C3380CC4-5D6E-409C-BE32-E72D297353CC}">
              <c16:uniqueId val="{00000003-424B-4172-B7C9-5BBC627FD7AE}"/>
            </c:ext>
          </c:extLst>
        </c:ser>
        <c:ser>
          <c:idx val="1"/>
          <c:order val="1"/>
          <c:tx>
            <c:v>Ejecutado</c:v>
          </c:tx>
          <c:spPr>
            <a:solidFill>
              <a:schemeClr val="bg1">
                <a:lumMod val="75000"/>
              </a:schemeClr>
            </a:solidFill>
          </c:spPr>
          <c:invertIfNegative val="0"/>
          <c:dLbls>
            <c:dLbl>
              <c:idx val="0"/>
              <c:layout>
                <c:manualLayout>
                  <c:x val="-6.304899994037389E-3"/>
                  <c:y val="9.36292094034151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4B-4172-B7C9-5BBC627FD7AE}"/>
                </c:ext>
              </c:extLst>
            </c:dLbl>
            <c:dLbl>
              <c:idx val="1"/>
              <c:layout>
                <c:manualLayout>
                  <c:x val="5.9002407747303046E-4"/>
                  <c:y val="1.0690410401543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4B-4172-B7C9-5BBC627FD7AE}"/>
                </c:ext>
              </c:extLst>
            </c:dLbl>
            <c:dLbl>
              <c:idx val="2"/>
              <c:layout>
                <c:manualLayout>
                  <c:x val="7.8883599600929177E-3"/>
                  <c:y val="1.3130364357873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4B-4172-B7C9-5BBC627FD7AE}"/>
                </c:ext>
              </c:extLst>
            </c:dLbl>
            <c:spPr>
              <a:noFill/>
              <a:ln>
                <a:noFill/>
              </a:ln>
              <a:effectLst/>
            </c:spPr>
            <c:txPr>
              <a:bodyPr rot="-5400000" vert="horz"/>
              <a:lstStyle/>
              <a:p>
                <a:pPr>
                  <a:defRPr sz="1050" b="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Adm.'!$A$11:$A$13</c:f>
              <c:strCache>
                <c:ptCount val="3"/>
                <c:pt idx="0">
                  <c:v>Junio</c:v>
                </c:pt>
                <c:pt idx="1">
                  <c:v>Mayo</c:v>
                </c:pt>
                <c:pt idx="2">
                  <c:v>Abril</c:v>
                </c:pt>
              </c:strCache>
            </c:strRef>
          </c:cat>
          <c:val>
            <c:numRef>
              <c:f>'Presupuesto Adm.'!$C$11:$C$13</c:f>
              <c:numCache>
                <c:formatCode>#,##0.00</c:formatCode>
                <c:ptCount val="3"/>
                <c:pt idx="0">
                  <c:v>42128507.07</c:v>
                </c:pt>
                <c:pt idx="1">
                  <c:v>45057518.359999999</c:v>
                </c:pt>
                <c:pt idx="2">
                  <c:v>59459707.560000002</c:v>
                </c:pt>
              </c:numCache>
            </c:numRef>
          </c:val>
          <c:extLst>
            <c:ext xmlns:c16="http://schemas.microsoft.com/office/drawing/2014/chart" uri="{C3380CC4-5D6E-409C-BE32-E72D297353CC}">
              <c16:uniqueId val="{00000007-424B-4172-B7C9-5BBC627FD7AE}"/>
            </c:ext>
          </c:extLst>
        </c:ser>
        <c:dLbls>
          <c:showLegendKey val="0"/>
          <c:showVal val="1"/>
          <c:showCatName val="0"/>
          <c:showSerName val="0"/>
          <c:showPercent val="0"/>
          <c:showBubbleSize val="0"/>
        </c:dLbls>
        <c:gapWidth val="75"/>
        <c:axId val="1578264528"/>
        <c:axId val="1578266160"/>
      </c:barChart>
      <c:lineChart>
        <c:grouping val="standard"/>
        <c:varyColors val="0"/>
        <c:ser>
          <c:idx val="2"/>
          <c:order val="2"/>
          <c:tx>
            <c:v>Relativo</c:v>
          </c:tx>
          <c:spPr>
            <a:ln>
              <a:solidFill>
                <a:schemeClr val="tx2">
                  <a:lumMod val="60000"/>
                  <a:lumOff val="40000"/>
                </a:schemeClr>
              </a:solidFill>
            </a:ln>
          </c:spPr>
          <c:marker>
            <c:spPr>
              <a:solidFill>
                <a:schemeClr val="tx2">
                  <a:lumMod val="60000"/>
                  <a:lumOff val="40000"/>
                </a:schemeClr>
              </a:solidFill>
              <a:ln>
                <a:solidFill>
                  <a:schemeClr val="accent5">
                    <a:lumMod val="75000"/>
                  </a:schemeClr>
                </a:solidFill>
              </a:ln>
            </c:spPr>
          </c:marker>
          <c:dLbls>
            <c:dLbl>
              <c:idx val="0"/>
              <c:layout>
                <c:manualLayout>
                  <c:x val="-7.6051484029058619E-2"/>
                  <c:y val="-7.93986125095602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4B-4172-B7C9-5BBC627FD7AE}"/>
                </c:ext>
              </c:extLst>
            </c:dLbl>
            <c:dLbl>
              <c:idx val="1"/>
              <c:layout>
                <c:manualLayout>
                  <c:x val="-8.3362293993654801E-2"/>
                  <c:y val="-0.175786128700811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4B-4172-B7C9-5BBC627FD7AE}"/>
                </c:ext>
              </c:extLst>
            </c:dLbl>
            <c:dLbl>
              <c:idx val="2"/>
              <c:layout>
                <c:manualLayout>
                  <c:x val="-6.1115267752427392E-2"/>
                  <c:y val="-6.84278327286024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4B-4172-B7C9-5BBC627FD7AE}"/>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Adm.'!$A$25:$A$30</c:f>
            </c:multiLvlStrRef>
          </c:cat>
          <c:val>
            <c:numRef>
              <c:f>'Presupuesto Adm.'!$D$11:$D$13</c:f>
              <c:numCache>
                <c:formatCode>0.00%</c:formatCode>
                <c:ptCount val="3"/>
                <c:pt idx="0">
                  <c:v>1.0449108866619263</c:v>
                </c:pt>
                <c:pt idx="1">
                  <c:v>0.6300182473302981</c:v>
                </c:pt>
                <c:pt idx="2">
                  <c:v>1.4932946847413351</c:v>
                </c:pt>
              </c:numCache>
            </c:numRef>
          </c:val>
          <c:smooth val="0"/>
          <c:extLst>
            <c:ext xmlns:c16="http://schemas.microsoft.com/office/drawing/2014/chart" uri="{C3380CC4-5D6E-409C-BE32-E72D297353CC}">
              <c16:uniqueId val="{0000000B-424B-4172-B7C9-5BBC627FD7AE}"/>
            </c:ext>
          </c:extLst>
        </c:ser>
        <c:dLbls>
          <c:showLegendKey val="0"/>
          <c:showVal val="1"/>
          <c:showCatName val="0"/>
          <c:showSerName val="0"/>
          <c:showPercent val="0"/>
          <c:showBubbleSize val="0"/>
        </c:dLbls>
        <c:marker val="1"/>
        <c:smooth val="0"/>
        <c:axId val="1578270512"/>
        <c:axId val="1578269424"/>
      </c:lineChart>
      <c:catAx>
        <c:axId val="1578264528"/>
        <c:scaling>
          <c:orientation val="minMax"/>
        </c:scaling>
        <c:delete val="0"/>
        <c:axPos val="b"/>
        <c:numFmt formatCode="General" sourceLinked="0"/>
        <c:majorTickMark val="none"/>
        <c:minorTickMark val="none"/>
        <c:tickLblPos val="nextTo"/>
        <c:crossAx val="1578266160"/>
        <c:crosses val="autoZero"/>
        <c:auto val="1"/>
        <c:lblAlgn val="ctr"/>
        <c:lblOffset val="100"/>
        <c:noMultiLvlLbl val="0"/>
      </c:catAx>
      <c:valAx>
        <c:axId val="1578266160"/>
        <c:scaling>
          <c:orientation val="minMax"/>
          <c:max val="1510000000"/>
        </c:scaling>
        <c:delete val="0"/>
        <c:axPos val="l"/>
        <c:majorGridlines/>
        <c:minorGridlines/>
        <c:numFmt formatCode="#,##0.00" sourceLinked="1"/>
        <c:majorTickMark val="none"/>
        <c:minorTickMark val="none"/>
        <c:tickLblPos val="nextTo"/>
        <c:crossAx val="1578264528"/>
        <c:crosses val="autoZero"/>
        <c:crossBetween val="between"/>
      </c:valAx>
      <c:valAx>
        <c:axId val="1578269424"/>
        <c:scaling>
          <c:orientation val="minMax"/>
          <c:max val="1.9"/>
        </c:scaling>
        <c:delete val="0"/>
        <c:axPos val="r"/>
        <c:numFmt formatCode="0.00%" sourceLinked="1"/>
        <c:majorTickMark val="out"/>
        <c:minorTickMark val="none"/>
        <c:tickLblPos val="nextTo"/>
        <c:crossAx val="1578270512"/>
        <c:crosses val="max"/>
        <c:crossBetween val="between"/>
      </c:valAx>
      <c:catAx>
        <c:axId val="1578270512"/>
        <c:scaling>
          <c:orientation val="minMax"/>
        </c:scaling>
        <c:delete val="1"/>
        <c:axPos val="b"/>
        <c:numFmt formatCode="General" sourceLinked="1"/>
        <c:majorTickMark val="out"/>
        <c:minorTickMark val="none"/>
        <c:tickLblPos val="nextTo"/>
        <c:crossAx val="1578269424"/>
        <c:crosses val="autoZero"/>
        <c:auto val="1"/>
        <c:lblAlgn val="ctr"/>
        <c:lblOffset val="100"/>
        <c:noMultiLvlLbl val="0"/>
      </c:catAx>
    </c:plotArea>
    <c:legend>
      <c:legendPos val="b"/>
      <c:overlay val="0"/>
      <c:txPr>
        <a:bodyPr/>
        <a:lstStyle/>
        <a:p>
          <a:pPr>
            <a:defRPr sz="8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r>
              <a:rPr lang="es-DO" sz="1100" b="1" i="0" u="none" strike="noStrike" kern="1200" baseline="0">
                <a:solidFill>
                  <a:schemeClr val="accent1">
                    <a:lumMod val="75000"/>
                  </a:schemeClr>
                </a:solidFill>
                <a:latin typeface="+mn-lt"/>
                <a:ea typeface="+mn-ea"/>
                <a:cs typeface="+mn-cs"/>
              </a:rPr>
              <a:t>Monto Traspasado</a:t>
            </a:r>
          </a:p>
        </c:rich>
      </c:tx>
      <c:layout>
        <c:manualLayout>
          <c:xMode val="edge"/>
          <c:yMode val="edge"/>
          <c:x val="0.39849932491882706"/>
          <c:y val="3.0018755813179337E-2"/>
        </c:manualLayout>
      </c:layout>
      <c:overlay val="0"/>
      <c:spPr>
        <a:noFill/>
        <a:ln>
          <a:noFill/>
        </a:ln>
        <a:effectLst/>
      </c:spPr>
      <c:txPr>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endParaRPr lang="es-DO"/>
        </a:p>
      </c:txPr>
    </c:title>
    <c:autoTitleDeleted val="0"/>
    <c:plotArea>
      <c:layout>
        <c:manualLayout>
          <c:layoutTarget val="inner"/>
          <c:xMode val="edge"/>
          <c:yMode val="edge"/>
          <c:x val="0.16101123359580052"/>
          <c:y val="0.17726075307682398"/>
          <c:w val="0.80965543307086618"/>
          <c:h val="0.60223454575752644"/>
        </c:manualLayout>
      </c:layout>
      <c:barChart>
        <c:barDir val="col"/>
        <c:grouping val="clustered"/>
        <c:varyColors val="0"/>
        <c:ser>
          <c:idx val="0"/>
          <c:order val="0"/>
          <c:tx>
            <c:strRef>
              <c:f>Traspaso!$A$8</c:f>
              <c:strCache>
                <c:ptCount val="1"/>
                <c:pt idx="0">
                  <c:v>Junio</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Traspaso!$D$8</c:f>
              <c:numCache>
                <c:formatCode>#,##0.00</c:formatCode>
                <c:ptCount val="1"/>
                <c:pt idx="0">
                  <c:v>103000000</c:v>
                </c:pt>
              </c:numCache>
            </c:numRef>
          </c:val>
          <c:extLst>
            <c:ext xmlns:c16="http://schemas.microsoft.com/office/drawing/2014/chart" uri="{C3380CC4-5D6E-409C-BE32-E72D297353CC}">
              <c16:uniqueId val="{00000000-42D5-4C00-A17B-A6FEE811A440}"/>
            </c:ext>
          </c:extLst>
        </c:ser>
        <c:ser>
          <c:idx val="1"/>
          <c:order val="1"/>
          <c:tx>
            <c:strRef>
              <c:f>Traspaso!$A$9</c:f>
              <c:strCache>
                <c:ptCount val="1"/>
                <c:pt idx="0">
                  <c:v>Mayo</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Traspaso!$D$9</c:f>
              <c:numCache>
                <c:formatCode>#,##0.00</c:formatCode>
                <c:ptCount val="1"/>
                <c:pt idx="0">
                  <c:v>0</c:v>
                </c:pt>
              </c:numCache>
            </c:numRef>
          </c:val>
          <c:extLst>
            <c:ext xmlns:c16="http://schemas.microsoft.com/office/drawing/2014/chart" uri="{C3380CC4-5D6E-409C-BE32-E72D297353CC}">
              <c16:uniqueId val="{00000001-42D5-4C00-A17B-A6FEE811A440}"/>
            </c:ext>
          </c:extLst>
        </c:ser>
        <c:ser>
          <c:idx val="2"/>
          <c:order val="2"/>
          <c:tx>
            <c:strRef>
              <c:f>Traspaso!$A$10</c:f>
              <c:strCache>
                <c:ptCount val="1"/>
                <c:pt idx="0">
                  <c:v>Abril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Traspaso!$D$10</c:f>
              <c:numCache>
                <c:formatCode>#,##0.00</c:formatCode>
                <c:ptCount val="1"/>
                <c:pt idx="0">
                  <c:v>5481304.7000000002</c:v>
                </c:pt>
              </c:numCache>
            </c:numRef>
          </c:val>
          <c:extLst>
            <c:ext xmlns:c16="http://schemas.microsoft.com/office/drawing/2014/chart" uri="{C3380CC4-5D6E-409C-BE32-E72D297353CC}">
              <c16:uniqueId val="{00000002-42D5-4C00-A17B-A6FEE811A440}"/>
            </c:ext>
          </c:extLst>
        </c:ser>
        <c:dLbls>
          <c:dLblPos val="outEnd"/>
          <c:showLegendKey val="0"/>
          <c:showVal val="1"/>
          <c:showCatName val="0"/>
          <c:showSerName val="0"/>
          <c:showPercent val="0"/>
          <c:showBubbleSize val="0"/>
        </c:dLbls>
        <c:gapWidth val="219"/>
        <c:overlap val="-27"/>
        <c:axId val="204719503"/>
        <c:axId val="204723247"/>
      </c:barChart>
      <c:catAx>
        <c:axId val="204719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DO"/>
          </a:p>
        </c:txPr>
        <c:crossAx val="204723247"/>
        <c:crosses val="autoZero"/>
        <c:auto val="1"/>
        <c:lblAlgn val="ctr"/>
        <c:lblOffset val="100"/>
        <c:noMultiLvlLbl val="0"/>
      </c:catAx>
      <c:valAx>
        <c:axId val="204723247"/>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204719503"/>
        <c:crosses val="autoZero"/>
        <c:crossBetween val="between"/>
      </c:valAx>
      <c:spPr>
        <a:noFill/>
        <a:ln>
          <a:noFill/>
        </a:ln>
        <a:effectLst/>
      </c:spPr>
    </c:plotArea>
    <c:legend>
      <c:legendPos val="b"/>
      <c:layout>
        <c:manualLayout>
          <c:xMode val="edge"/>
          <c:yMode val="edge"/>
          <c:x val="0.24552822872449589"/>
          <c:y val="0.88555290254186381"/>
          <c:w val="0.60496527440242809"/>
          <c:h val="8.4428341644956911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v>Programación</c:v>
          </c:tx>
          <c:spPr>
            <a:solidFill>
              <a:schemeClr val="accent3">
                <a:lumMod val="60000"/>
                <a:lumOff val="40000"/>
              </a:schemeClr>
            </a:solidFill>
          </c:spPr>
          <c:invertIfNegative val="0"/>
          <c:dLbls>
            <c:dLbl>
              <c:idx val="0"/>
              <c:layout>
                <c:manualLayout>
                  <c:x val="-1.92952976606527E-3"/>
                  <c:y val="0.25725755059451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9C-42CC-B337-D1674F2E4349}"/>
                </c:ext>
              </c:extLst>
            </c:dLbl>
            <c:dLbl>
              <c:idx val="1"/>
              <c:layout>
                <c:manualLayout>
                  <c:x val="-4.5983469432681785E-3"/>
                  <c:y val="0.309953743232112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9C-42CC-B337-D1674F2E4349}"/>
                </c:ext>
              </c:extLst>
            </c:dLbl>
            <c:dLbl>
              <c:idx val="2"/>
              <c:layout>
                <c:manualLayout>
                  <c:x val="-2.5333231539865853E-3"/>
                  <c:y val="0.245984786495415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9C-42CC-B337-D1674F2E4349}"/>
                </c:ext>
              </c:extLst>
            </c:dLbl>
            <c:dLbl>
              <c:idx val="3"/>
              <c:layout>
                <c:manualLayout>
                  <c:x val="2.9317585865322399E-3"/>
                  <c:y val="0.30052233598144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B5-4490-8641-238B14764DB0}"/>
                </c:ext>
              </c:extLst>
            </c:dLbl>
            <c:spPr>
              <a:noFill/>
              <a:ln>
                <a:noFill/>
              </a:ln>
              <a:effectLst/>
            </c:spPr>
            <c:txPr>
              <a:bodyPr rot="-5400000" vert="horz" anchor="ctr" anchorCtr="0"/>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de Pensiones'!$B$10:$B$13</c:f>
            </c:multiLvlStrRef>
          </c:cat>
          <c:val>
            <c:numRef>
              <c:f>'Presupuesto de Pensiones'!$E$10:$E$13</c:f>
            </c:numRef>
          </c:val>
          <c:extLst>
            <c:ext xmlns:c16="http://schemas.microsoft.com/office/drawing/2014/chart" uri="{C3380CC4-5D6E-409C-BE32-E72D297353CC}">
              <c16:uniqueId val="{00000000-1C01-44D8-A584-F0F60B69051B}"/>
            </c:ext>
          </c:extLst>
        </c:ser>
        <c:ser>
          <c:idx val="1"/>
          <c:order val="1"/>
          <c:tx>
            <c:v>Ejecutado</c:v>
          </c:tx>
          <c:spPr>
            <a:solidFill>
              <a:schemeClr val="bg1">
                <a:lumMod val="75000"/>
              </a:schemeClr>
            </a:solidFill>
          </c:spPr>
          <c:invertIfNegative val="0"/>
          <c:dLbls>
            <c:dLbl>
              <c:idx val="0"/>
              <c:layout>
                <c:manualLayout>
                  <c:x val="-2.8056453866434961E-3"/>
                  <c:y val="0.231493656730287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9C-42CC-B337-D1674F2E4349}"/>
                </c:ext>
              </c:extLst>
            </c:dLbl>
            <c:dLbl>
              <c:idx val="1"/>
              <c:layout>
                <c:manualLayout>
                  <c:x val="1.1840428009545826E-3"/>
                  <c:y val="0.24462649558791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9C-42CC-B337-D1674F2E4349}"/>
                </c:ext>
              </c:extLst>
            </c:dLbl>
            <c:dLbl>
              <c:idx val="2"/>
              <c:layout>
                <c:manualLayout>
                  <c:x val="-4.5875252105605285E-3"/>
                  <c:y val="0.23550227135975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9C-42CC-B337-D1674F2E4349}"/>
                </c:ext>
              </c:extLst>
            </c:dLbl>
            <c:dLbl>
              <c:idx val="3"/>
              <c:layout>
                <c:manualLayout>
                  <c:x val="5.8635171730644798E-3"/>
                  <c:y val="0.22360624759032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B5-4490-8641-238B14764DB0}"/>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de Pensiones'!$B$10:$B$13</c:f>
            </c:multiLvlStrRef>
          </c:cat>
          <c:val>
            <c:numRef>
              <c:f>'Presupuesto de Pensiones'!$F$10:$F$13</c:f>
            </c:numRef>
          </c:val>
          <c:extLst>
            <c:ext xmlns:c16="http://schemas.microsoft.com/office/drawing/2014/chart" uri="{C3380CC4-5D6E-409C-BE32-E72D297353CC}">
              <c16:uniqueId val="{00000001-1C01-44D8-A584-F0F60B69051B}"/>
            </c:ext>
          </c:extLst>
        </c:ser>
        <c:dLbls>
          <c:showLegendKey val="0"/>
          <c:showVal val="1"/>
          <c:showCatName val="0"/>
          <c:showSerName val="0"/>
          <c:showPercent val="0"/>
          <c:showBubbleSize val="0"/>
        </c:dLbls>
        <c:gapWidth val="75"/>
        <c:axId val="1665021264"/>
        <c:axId val="1665032144"/>
      </c:barChart>
      <c:lineChart>
        <c:grouping val="standard"/>
        <c:varyColors val="0"/>
        <c:ser>
          <c:idx val="2"/>
          <c:order val="2"/>
          <c:tx>
            <c:v>% Ejecutado</c:v>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Pt>
            <c:idx val="1"/>
            <c:bubble3D val="0"/>
            <c:extLst>
              <c:ext xmlns:c16="http://schemas.microsoft.com/office/drawing/2014/chart" uri="{C3380CC4-5D6E-409C-BE32-E72D297353CC}">
                <c16:uniqueId val="{00000002-1C01-44D8-A584-F0F60B69051B}"/>
              </c:ext>
            </c:extLst>
          </c:dPt>
          <c:dPt>
            <c:idx val="2"/>
            <c:bubble3D val="0"/>
            <c:extLst>
              <c:ext xmlns:c16="http://schemas.microsoft.com/office/drawing/2014/chart" uri="{C3380CC4-5D6E-409C-BE32-E72D297353CC}">
                <c16:uniqueId val="{00000003-1C01-44D8-A584-F0F60B69051B}"/>
              </c:ext>
            </c:extLst>
          </c:dPt>
          <c:dLbls>
            <c:dLbl>
              <c:idx val="0"/>
              <c:layout>
                <c:manualLayout>
                  <c:x val="-4.0998519057577787E-2"/>
                  <c:y val="-4.6174887967261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9C-42CC-B337-D1674F2E4349}"/>
                </c:ext>
              </c:extLst>
            </c:dLbl>
            <c:dLbl>
              <c:idx val="1"/>
              <c:layout>
                <c:manualLayout>
                  <c:x val="-5.3040869830121101E-2"/>
                  <c:y val="-4.7653574677988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01-44D8-A584-F0F60B69051B}"/>
                </c:ext>
              </c:extLst>
            </c:dLbl>
            <c:dLbl>
              <c:idx val="2"/>
              <c:layout>
                <c:manualLayout>
                  <c:x val="-1.3552070694080872E-2"/>
                  <c:y val="-2.14242581113642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01-44D8-A584-F0F60B69051B}"/>
                </c:ext>
              </c:extLst>
            </c:dLbl>
            <c:dLbl>
              <c:idx val="3"/>
              <c:layout>
                <c:manualLayout>
                  <c:x val="-2.0522310105725677E-2"/>
                  <c:y val="-5.13096208367158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A9-4B6E-B63A-43C37AF34B3F}"/>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de Pensiones'!$B$10:$B$13</c:f>
            </c:multiLvlStrRef>
          </c:cat>
          <c:val>
            <c:numRef>
              <c:f>'Presupuesto de Pensiones'!$G$10:$G$13</c:f>
            </c:numRef>
          </c:val>
          <c:smooth val="0"/>
          <c:extLst>
            <c:ext xmlns:c16="http://schemas.microsoft.com/office/drawing/2014/chart" uri="{C3380CC4-5D6E-409C-BE32-E72D297353CC}">
              <c16:uniqueId val="{00000004-1C01-44D8-A584-F0F60B69051B}"/>
            </c:ext>
          </c:extLst>
        </c:ser>
        <c:dLbls>
          <c:showLegendKey val="0"/>
          <c:showVal val="1"/>
          <c:showCatName val="0"/>
          <c:showSerName val="0"/>
          <c:showPercent val="0"/>
          <c:showBubbleSize val="0"/>
        </c:dLbls>
        <c:marker val="1"/>
        <c:smooth val="0"/>
        <c:axId val="1665032688"/>
        <c:axId val="1665026160"/>
      </c:lineChart>
      <c:catAx>
        <c:axId val="1665021264"/>
        <c:scaling>
          <c:orientation val="minMax"/>
        </c:scaling>
        <c:delete val="0"/>
        <c:axPos val="b"/>
        <c:numFmt formatCode="General" sourceLinked="0"/>
        <c:majorTickMark val="none"/>
        <c:minorTickMark val="none"/>
        <c:tickLblPos val="nextTo"/>
        <c:crossAx val="1665032144"/>
        <c:crosses val="autoZero"/>
        <c:auto val="1"/>
        <c:lblAlgn val="ctr"/>
        <c:lblOffset val="100"/>
        <c:noMultiLvlLbl val="0"/>
      </c:catAx>
      <c:valAx>
        <c:axId val="1665032144"/>
        <c:scaling>
          <c:orientation val="minMax"/>
          <c:max val="3045000000"/>
        </c:scaling>
        <c:delete val="0"/>
        <c:axPos val="l"/>
        <c:numFmt formatCode="#,##0" sourceLinked="1"/>
        <c:majorTickMark val="none"/>
        <c:minorTickMark val="none"/>
        <c:tickLblPos val="nextTo"/>
        <c:crossAx val="1665021264"/>
        <c:crosses val="autoZero"/>
        <c:crossBetween val="between"/>
        <c:majorUnit val="20000000"/>
      </c:valAx>
      <c:valAx>
        <c:axId val="1665026160"/>
        <c:scaling>
          <c:orientation val="minMax"/>
          <c:max val="1"/>
          <c:min val="0.96000000000000008"/>
        </c:scaling>
        <c:delete val="0"/>
        <c:axPos val="r"/>
        <c:numFmt formatCode="0%" sourceLinked="1"/>
        <c:majorTickMark val="out"/>
        <c:minorTickMark val="none"/>
        <c:tickLblPos val="nextTo"/>
        <c:crossAx val="1665032688"/>
        <c:crosses val="max"/>
        <c:crossBetween val="between"/>
        <c:majorUnit val="1.0000000000000002E-2"/>
        <c:minorUnit val="5.000000000000001E-3"/>
      </c:valAx>
      <c:catAx>
        <c:axId val="1665032688"/>
        <c:scaling>
          <c:orientation val="minMax"/>
        </c:scaling>
        <c:delete val="1"/>
        <c:axPos val="b"/>
        <c:numFmt formatCode="General" sourceLinked="1"/>
        <c:majorTickMark val="out"/>
        <c:minorTickMark val="none"/>
        <c:tickLblPos val="nextTo"/>
        <c:crossAx val="1665026160"/>
        <c:crosses val="autoZero"/>
        <c:auto val="1"/>
        <c:lblAlgn val="ctr"/>
        <c:lblOffset val="100"/>
        <c:noMultiLvlLbl val="0"/>
      </c:catAx>
    </c:plotArea>
    <c:legend>
      <c:legendPos val="b"/>
      <c:overlay val="0"/>
    </c:legend>
    <c:plotVisOnly val="1"/>
    <c:dispBlanksAs val="gap"/>
    <c:showDLblsOverMax val="0"/>
  </c:chart>
  <c:spPr>
    <a:ln>
      <a:solidFill>
        <a:schemeClr val="bg1"/>
      </a:solidFill>
    </a:ln>
  </c:sp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20623999564905213"/>
          <c:y val="3.0627017206751265E-2"/>
          <c:w val="0.69551387886494986"/>
          <c:h val="0.77230758332827354"/>
        </c:manualLayout>
      </c:layout>
      <c:barChart>
        <c:barDir val="col"/>
        <c:grouping val="clustered"/>
        <c:varyColors val="0"/>
        <c:ser>
          <c:idx val="0"/>
          <c:order val="0"/>
          <c:tx>
            <c:v>Programación</c:v>
          </c:tx>
          <c:spPr>
            <a:solidFill>
              <a:schemeClr val="accent3">
                <a:lumMod val="60000"/>
                <a:lumOff val="40000"/>
              </a:schemeClr>
            </a:solidFill>
          </c:spPr>
          <c:invertIfNegative val="0"/>
          <c:dLbls>
            <c:dLbl>
              <c:idx val="0"/>
              <c:layout>
                <c:manualLayout>
                  <c:x val="-4.6890436814805043E-3"/>
                  <c:y val="0.563003499758975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28-48E8-89DC-63EB21E79D35}"/>
                </c:ext>
              </c:extLst>
            </c:dLbl>
            <c:dLbl>
              <c:idx val="1"/>
              <c:layout>
                <c:manualLayout>
                  <c:x val="-4.5984393899658679E-3"/>
                  <c:y val="0.548151219148961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28-48E8-89DC-63EB21E79D35}"/>
                </c:ext>
              </c:extLst>
            </c:dLbl>
            <c:dLbl>
              <c:idx val="2"/>
              <c:layout>
                <c:manualLayout>
                  <c:x val="-2.5332264622762329E-3"/>
                  <c:y val="0.29931253334736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28-48E8-89DC-63EB21E79D35}"/>
                </c:ext>
              </c:extLst>
            </c:dLbl>
            <c:dLbl>
              <c:idx val="3"/>
              <c:layout>
                <c:manualLayout>
                  <c:x val="2.9317585865322399E-3"/>
                  <c:y val="0.30052233598144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28-48E8-89DC-63EB21E79D35}"/>
                </c:ext>
              </c:extLst>
            </c:dLbl>
            <c:spPr>
              <a:noFill/>
              <a:ln>
                <a:noFill/>
              </a:ln>
              <a:effectLst/>
            </c:spPr>
            <c:txPr>
              <a:bodyPr rot="-5400000" vert="horz" anchor="ctr" anchorCtr="0"/>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Pensiones'!$B$15:$B$17</c:f>
              <c:strCache>
                <c:ptCount val="3"/>
                <c:pt idx="0">
                  <c:v>Junio</c:v>
                </c:pt>
                <c:pt idx="1">
                  <c:v>Mayo</c:v>
                </c:pt>
                <c:pt idx="2">
                  <c:v>Abril</c:v>
                </c:pt>
              </c:strCache>
            </c:strRef>
          </c:cat>
          <c:val>
            <c:numRef>
              <c:f>'Presupuesto de Pensiones'!$E$15:$E$17</c:f>
              <c:numCache>
                <c:formatCode>_(* #,##0.00_);_(* \(#,##0.00\);_(* "-"??_);_(@_)</c:formatCode>
                <c:ptCount val="3"/>
                <c:pt idx="0">
                  <c:v>4106267656.8499999</c:v>
                </c:pt>
                <c:pt idx="1">
                  <c:v>4087398883.75</c:v>
                </c:pt>
                <c:pt idx="2">
                  <c:v>4070986603.7600007</c:v>
                </c:pt>
              </c:numCache>
            </c:numRef>
          </c:val>
          <c:extLst>
            <c:ext xmlns:c16="http://schemas.microsoft.com/office/drawing/2014/chart" uri="{C3380CC4-5D6E-409C-BE32-E72D297353CC}">
              <c16:uniqueId val="{00000004-2A28-48E8-89DC-63EB21E79D35}"/>
            </c:ext>
          </c:extLst>
        </c:ser>
        <c:ser>
          <c:idx val="1"/>
          <c:order val="1"/>
          <c:tx>
            <c:v>Ejecutado</c:v>
          </c:tx>
          <c:spPr>
            <a:solidFill>
              <a:schemeClr val="bg1">
                <a:lumMod val="75000"/>
              </a:schemeClr>
            </a:solidFill>
          </c:spPr>
          <c:invertIfNegative val="0"/>
          <c:dLbls>
            <c:dLbl>
              <c:idx val="0"/>
              <c:layout>
                <c:manualLayout>
                  <c:x val="-4.6279491986300592E-5"/>
                  <c:y val="0.317778444475398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A28-48E8-89DC-63EB21E79D35}"/>
                </c:ext>
              </c:extLst>
            </c:dLbl>
            <c:dLbl>
              <c:idx val="1"/>
              <c:layout>
                <c:manualLayout>
                  <c:x val="1.4054439883868799E-2"/>
                  <c:y val="0.236269898245275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A28-48E8-89DC-63EB21E79D35}"/>
                </c:ext>
              </c:extLst>
            </c:dLbl>
            <c:dLbl>
              <c:idx val="2"/>
              <c:layout>
                <c:manualLayout>
                  <c:x val="-4.5875755660432496E-3"/>
                  <c:y val="0.327937101756149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28-48E8-89DC-63EB21E79D35}"/>
                </c:ext>
              </c:extLst>
            </c:dLbl>
            <c:dLbl>
              <c:idx val="3"/>
              <c:layout>
                <c:manualLayout>
                  <c:x val="5.8635171730644798E-3"/>
                  <c:y val="0.22360624759032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28-48E8-89DC-63EB21E79D35}"/>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Pensiones'!$B$15:$B$17</c:f>
              <c:strCache>
                <c:ptCount val="3"/>
                <c:pt idx="0">
                  <c:v>Junio</c:v>
                </c:pt>
                <c:pt idx="1">
                  <c:v>Mayo</c:v>
                </c:pt>
                <c:pt idx="2">
                  <c:v>Abril</c:v>
                </c:pt>
              </c:strCache>
            </c:strRef>
          </c:cat>
          <c:val>
            <c:numRef>
              <c:f>'Presupuesto de Pensiones'!$F$15:$F$17</c:f>
              <c:numCache>
                <c:formatCode>_(* #,##0.00_);_(* \(#,##0.00\);_(* "-"??_);_(@_)</c:formatCode>
                <c:ptCount val="3"/>
                <c:pt idx="0">
                  <c:v>3934145625.52</c:v>
                </c:pt>
                <c:pt idx="1">
                  <c:v>3881221513.8299999</c:v>
                </c:pt>
                <c:pt idx="2">
                  <c:v>3884543786.0599999</c:v>
                </c:pt>
              </c:numCache>
            </c:numRef>
          </c:val>
          <c:extLst>
            <c:ext xmlns:c16="http://schemas.microsoft.com/office/drawing/2014/chart" uri="{C3380CC4-5D6E-409C-BE32-E72D297353CC}">
              <c16:uniqueId val="{00000009-2A28-48E8-89DC-63EB21E79D35}"/>
            </c:ext>
          </c:extLst>
        </c:ser>
        <c:dLbls>
          <c:showLegendKey val="0"/>
          <c:showVal val="0"/>
          <c:showCatName val="0"/>
          <c:showSerName val="0"/>
          <c:showPercent val="0"/>
          <c:showBubbleSize val="0"/>
        </c:dLbls>
        <c:gapWidth val="43"/>
        <c:axId val="1665021264"/>
        <c:axId val="1665032144"/>
      </c:barChart>
      <c:lineChart>
        <c:grouping val="standard"/>
        <c:varyColors val="0"/>
        <c:ser>
          <c:idx val="2"/>
          <c:order val="2"/>
          <c:tx>
            <c:v>% Ejecutado</c:v>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Pt>
            <c:idx val="1"/>
            <c:bubble3D val="0"/>
            <c:extLst>
              <c:ext xmlns:c16="http://schemas.microsoft.com/office/drawing/2014/chart" uri="{C3380CC4-5D6E-409C-BE32-E72D297353CC}">
                <c16:uniqueId val="{0000000A-2A28-48E8-89DC-63EB21E79D35}"/>
              </c:ext>
            </c:extLst>
          </c:dPt>
          <c:dPt>
            <c:idx val="2"/>
            <c:bubble3D val="0"/>
            <c:extLst>
              <c:ext xmlns:c16="http://schemas.microsoft.com/office/drawing/2014/chart" uri="{C3380CC4-5D6E-409C-BE32-E72D297353CC}">
                <c16:uniqueId val="{0000000B-2A28-48E8-89DC-63EB21E79D35}"/>
              </c:ext>
            </c:extLst>
          </c:dPt>
          <c:dLbls>
            <c:dLbl>
              <c:idx val="0"/>
              <c:layout>
                <c:manualLayout>
                  <c:x val="-5.2036195653992423E-2"/>
                  <c:y val="-7.4616361807109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A28-48E8-89DC-63EB21E79D35}"/>
                </c:ext>
              </c:extLst>
            </c:dLbl>
            <c:dLbl>
              <c:idx val="1"/>
              <c:layout>
                <c:manualLayout>
                  <c:x val="-5.3040869830121101E-2"/>
                  <c:y val="-4.7653574677988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A28-48E8-89DC-63EB21E79D35}"/>
                </c:ext>
              </c:extLst>
            </c:dLbl>
            <c:dLbl>
              <c:idx val="2"/>
              <c:layout>
                <c:manualLayout>
                  <c:x val="-1.3552070694080872E-2"/>
                  <c:y val="-2.14242581113642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A28-48E8-89DC-63EB21E79D35}"/>
                </c:ext>
              </c:extLst>
            </c:dLbl>
            <c:dLbl>
              <c:idx val="3"/>
              <c:layout>
                <c:manualLayout>
                  <c:x val="-2.0522310105725677E-2"/>
                  <c:y val="-5.13096208367158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A28-48E8-89DC-63EB21E79D35}"/>
                </c:ext>
              </c:extLst>
            </c:dLbl>
            <c:numFmt formatCode="0.0%" sourceLinked="0"/>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Pensiones'!$B$15:$B$17</c:f>
              <c:strCache>
                <c:ptCount val="3"/>
                <c:pt idx="0">
                  <c:v>Junio</c:v>
                </c:pt>
                <c:pt idx="1">
                  <c:v>Mayo</c:v>
                </c:pt>
                <c:pt idx="2">
                  <c:v>Abril</c:v>
                </c:pt>
              </c:strCache>
            </c:strRef>
          </c:cat>
          <c:val>
            <c:numRef>
              <c:f>'Presupuesto de Pensiones'!$G$15:$G$17</c:f>
              <c:numCache>
                <c:formatCode>0.00%</c:formatCode>
                <c:ptCount val="3"/>
                <c:pt idx="0">
                  <c:v>0.95808309498703303</c:v>
                </c:pt>
                <c:pt idx="1">
                  <c:v>0.94955780539558154</c:v>
                </c:pt>
                <c:pt idx="2">
                  <c:v>0.95420205570615235</c:v>
                </c:pt>
              </c:numCache>
            </c:numRef>
          </c:val>
          <c:smooth val="0"/>
          <c:extLst>
            <c:ext xmlns:c16="http://schemas.microsoft.com/office/drawing/2014/chart" uri="{C3380CC4-5D6E-409C-BE32-E72D297353CC}">
              <c16:uniqueId val="{0000000E-2A28-48E8-89DC-63EB21E79D35}"/>
            </c:ext>
          </c:extLst>
        </c:ser>
        <c:dLbls>
          <c:showLegendKey val="0"/>
          <c:showVal val="1"/>
          <c:showCatName val="0"/>
          <c:showSerName val="0"/>
          <c:showPercent val="0"/>
          <c:showBubbleSize val="0"/>
        </c:dLbls>
        <c:marker val="1"/>
        <c:smooth val="0"/>
        <c:axId val="1665032688"/>
        <c:axId val="1665026160"/>
      </c:lineChart>
      <c:catAx>
        <c:axId val="1665021264"/>
        <c:scaling>
          <c:orientation val="minMax"/>
        </c:scaling>
        <c:delete val="0"/>
        <c:axPos val="b"/>
        <c:numFmt formatCode="General" sourceLinked="0"/>
        <c:majorTickMark val="out"/>
        <c:minorTickMark val="none"/>
        <c:tickLblPos val="nextTo"/>
        <c:crossAx val="1665032144"/>
        <c:crosses val="autoZero"/>
        <c:auto val="1"/>
        <c:lblAlgn val="ctr"/>
        <c:lblOffset val="100"/>
        <c:noMultiLvlLbl val="0"/>
      </c:catAx>
      <c:valAx>
        <c:axId val="1665032144"/>
        <c:scaling>
          <c:orientation val="minMax"/>
          <c:max val="4200000000"/>
        </c:scaling>
        <c:delete val="0"/>
        <c:axPos val="l"/>
        <c:numFmt formatCode="_(* #,##0.00_);_(* \(#,##0.00\);_(* &quot;-&quot;??_);_(@_)" sourceLinked="1"/>
        <c:majorTickMark val="out"/>
        <c:minorTickMark val="none"/>
        <c:tickLblPos val="nextTo"/>
        <c:crossAx val="1665021264"/>
        <c:crosses val="autoZero"/>
        <c:crossBetween val="between"/>
      </c:valAx>
      <c:valAx>
        <c:axId val="1665026160"/>
        <c:scaling>
          <c:orientation val="minMax"/>
          <c:max val="1.01"/>
          <c:min val="0.96000000000000008"/>
        </c:scaling>
        <c:delete val="0"/>
        <c:axPos val="r"/>
        <c:numFmt formatCode="0.00%" sourceLinked="1"/>
        <c:majorTickMark val="out"/>
        <c:minorTickMark val="none"/>
        <c:tickLblPos val="nextTo"/>
        <c:crossAx val="1665032688"/>
        <c:crosses val="max"/>
        <c:crossBetween val="between"/>
        <c:majorUnit val="1.0000000000000002E-2"/>
        <c:minorUnit val="5.000000000000001E-3"/>
      </c:valAx>
      <c:catAx>
        <c:axId val="1665032688"/>
        <c:scaling>
          <c:orientation val="minMax"/>
        </c:scaling>
        <c:delete val="1"/>
        <c:axPos val="t"/>
        <c:numFmt formatCode="General" sourceLinked="1"/>
        <c:majorTickMark val="out"/>
        <c:minorTickMark val="none"/>
        <c:tickLblPos val="nextTo"/>
        <c:crossAx val="1665026160"/>
        <c:crosses val="max"/>
        <c:auto val="1"/>
        <c:lblAlgn val="ctr"/>
        <c:lblOffset val="100"/>
        <c:noMultiLvlLbl val="0"/>
      </c:catAx>
    </c:plotArea>
    <c:legend>
      <c:legendPos val="b"/>
      <c:overlay val="0"/>
    </c:legend>
    <c:plotVisOnly val="1"/>
    <c:dispBlanksAs val="gap"/>
    <c:showDLblsOverMax val="0"/>
  </c:chart>
  <c:spPr>
    <a:ln>
      <a:solidFill>
        <a:schemeClr val="bg1"/>
      </a:solidFill>
    </a:ln>
    <a:effectLst>
      <a:outerShdw blurRad="50800" dist="50800" dir="5400000" algn="ctr" rotWithShape="0">
        <a:srgbClr val="000000">
          <a:alpha val="9000"/>
        </a:srgbClr>
      </a:outerShdw>
    </a:effectLst>
  </c:sp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1471526098266"/>
          <c:y val="0.13154844993940878"/>
          <c:w val="0.82866557875303415"/>
          <c:h val="0.69190263993496037"/>
        </c:manualLayout>
      </c:layout>
      <c:barChart>
        <c:barDir val="col"/>
        <c:grouping val="clustered"/>
        <c:varyColors val="0"/>
        <c:ser>
          <c:idx val="0"/>
          <c:order val="0"/>
          <c:tx>
            <c:v>PC</c:v>
          </c:tx>
          <c:spPr>
            <a:solidFill>
              <a:schemeClr val="accent3"/>
            </a:solidFill>
          </c:spPr>
          <c:invertIfNegative val="0"/>
          <c:dLbls>
            <c:dLbl>
              <c:idx val="0"/>
              <c:layout>
                <c:manualLayout>
                  <c:x val="2.6166165550448378E-3"/>
                  <c:y val="0.280286959840681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D9-494F-9FD7-D7A98F07ECC5}"/>
                </c:ext>
              </c:extLst>
            </c:dLbl>
            <c:dLbl>
              <c:idx val="1"/>
              <c:layout>
                <c:manualLayout>
                  <c:x val="-1.9338092923303063E-4"/>
                  <c:y val="0.2811533092209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D9-494F-9FD7-D7A98F07ECC5}"/>
                </c:ext>
              </c:extLst>
            </c:dLbl>
            <c:dLbl>
              <c:idx val="2"/>
              <c:layout>
                <c:manualLayout>
                  <c:x val="8.2366115236005497E-3"/>
                  <c:y val="0.279420610460411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D9-494F-9FD7-D7A98F07ECC5}"/>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Nómina!$B$13:$B$15</c:f>
            </c:multiLvlStrRef>
          </c:cat>
          <c:val>
            <c:numRef>
              <c:f>Nómina!$C$13:$C$15</c:f>
            </c:numRef>
          </c:val>
          <c:extLst>
            <c:ext xmlns:c16="http://schemas.microsoft.com/office/drawing/2014/chart" uri="{C3380CC4-5D6E-409C-BE32-E72D297353CC}">
              <c16:uniqueId val="{00000003-53D9-494F-9FD7-D7A98F07ECC5}"/>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D9-494F-9FD7-D7A98F07ECC5}"/>
                </c:ext>
              </c:extLst>
            </c:dLbl>
            <c:dLbl>
              <c:idx val="1"/>
              <c:layout>
                <c:manualLayout>
                  <c:x val="1.66666666666666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D9-494F-9FD7-D7A98F07ECC5}"/>
                </c:ext>
              </c:extLst>
            </c:dLbl>
            <c:dLbl>
              <c:idx val="2"/>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3D9-494F-9FD7-D7A98F07ECC5}"/>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Nómina!$B$13:$B$15</c:f>
            </c:multiLvlStrRef>
          </c:cat>
          <c:val>
            <c:numRef>
              <c:f>Nómina!$F$13:$F$15</c:f>
            </c:numRef>
          </c:val>
          <c:extLst>
            <c:ext xmlns:c16="http://schemas.microsoft.com/office/drawing/2014/chart" uri="{C3380CC4-5D6E-409C-BE32-E72D297353CC}">
              <c16:uniqueId val="{00000007-53D9-494F-9FD7-D7A98F07ECC5}"/>
            </c:ext>
          </c:extLst>
        </c:ser>
        <c:ser>
          <c:idx val="2"/>
          <c:order val="2"/>
          <c:tx>
            <c:v>PN</c:v>
          </c:tx>
          <c:spPr>
            <a:solidFill>
              <a:schemeClr val="tx2">
                <a:lumMod val="60000"/>
                <a:lumOff val="40000"/>
              </a:schemeClr>
            </a:solidFill>
          </c:spPr>
          <c:invertIfNegative val="0"/>
          <c:dLbls>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Nómina!$I$13:$I$15</c:f>
            </c:numRef>
          </c:val>
          <c:extLst>
            <c:ext xmlns:c16="http://schemas.microsoft.com/office/drawing/2014/chart" uri="{C3380CC4-5D6E-409C-BE32-E72D297353CC}">
              <c16:uniqueId val="{00000000-C68F-40C1-B7CC-955B6C3781D2}"/>
            </c:ext>
          </c:extLst>
        </c:ser>
        <c:dLbls>
          <c:showLegendKey val="0"/>
          <c:showVal val="1"/>
          <c:showCatName val="0"/>
          <c:showSerName val="0"/>
          <c:showPercent val="0"/>
          <c:showBubbleSize val="0"/>
        </c:dLbls>
        <c:gapWidth val="75"/>
        <c:axId val="1665033232"/>
        <c:axId val="1665027248"/>
      </c:barChart>
      <c:catAx>
        <c:axId val="1665033232"/>
        <c:scaling>
          <c:orientation val="minMax"/>
        </c:scaling>
        <c:delete val="0"/>
        <c:axPos val="b"/>
        <c:numFmt formatCode="General" sourceLinked="0"/>
        <c:majorTickMark val="none"/>
        <c:minorTickMark val="none"/>
        <c:tickLblPos val="nextTo"/>
        <c:crossAx val="1665027248"/>
        <c:crosses val="autoZero"/>
        <c:auto val="1"/>
        <c:lblAlgn val="ctr"/>
        <c:lblOffset val="100"/>
        <c:noMultiLvlLbl val="0"/>
      </c:catAx>
      <c:valAx>
        <c:axId val="1665027248"/>
        <c:scaling>
          <c:orientation val="minMax"/>
        </c:scaling>
        <c:delete val="0"/>
        <c:axPos val="l"/>
        <c:numFmt formatCode="_(* #,##0_);_(* \(#,##0\);_(* &quot;-&quot;??_);_(@_)" sourceLinked="1"/>
        <c:majorTickMark val="none"/>
        <c:minorTickMark val="none"/>
        <c:tickLblPos val="nextTo"/>
        <c:crossAx val="1665033232"/>
        <c:crosses val="autoZero"/>
        <c:crossBetween val="between"/>
      </c:valAx>
    </c:plotArea>
    <c:legend>
      <c:legendPos val="b"/>
      <c:layout>
        <c:manualLayout>
          <c:xMode val="edge"/>
          <c:yMode val="edge"/>
          <c:x val="0.41335770283434614"/>
          <c:y val="0.93137511312911292"/>
          <c:w val="0.22633816425502665"/>
          <c:h val="6.5109557839156396E-2"/>
        </c:manualLayout>
      </c:layout>
      <c:overlay val="0"/>
    </c:legend>
    <c:plotVisOnly val="1"/>
    <c:dispBlanksAs val="gap"/>
    <c:showDLblsOverMax val="0"/>
  </c:chart>
  <c:spPr>
    <a:ln>
      <a:solidFill>
        <a:schemeClr val="bg1"/>
      </a:solidFill>
    </a:ln>
  </c:spPr>
  <c:printSettings>
    <c:headerFooter/>
    <c:pageMargins b="0.75" l="0.7" r="0.7" t="0.75" header="0.3" footer="0.3"/>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1.8258793274707537E-3"/>
                  <c:y val="0.182871159511427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BD-4A0D-BE09-D21C77B6043E}"/>
                </c:ext>
              </c:extLst>
            </c:dLbl>
            <c:dLbl>
              <c:idx val="1"/>
              <c:layout>
                <c:manualLayout>
                  <c:x val="1.8258793274707537E-3"/>
                  <c:y val="0.188620885267618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BD-4A0D-BE09-D21C77B6043E}"/>
                </c:ext>
              </c:extLst>
            </c:dLbl>
            <c:dLbl>
              <c:idx val="2"/>
              <c:layout>
                <c:manualLayout>
                  <c:x val="-9.5208122101056675E-4"/>
                  <c:y val="0.178241498441914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BD-4A0D-BE09-D21C77B6043E}"/>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Nómina!$B$13:$B$15</c:f>
            </c:multiLvlStrRef>
          </c:cat>
          <c:val>
            <c:numRef>
              <c:f>Nómina!$D$13:$D$15</c:f>
            </c:numRef>
          </c:val>
          <c:extLst>
            <c:ext xmlns:c16="http://schemas.microsoft.com/office/drawing/2014/chart" uri="{C3380CC4-5D6E-409C-BE32-E72D297353CC}">
              <c16:uniqueId val="{00000003-9CBD-4A0D-BE09-D21C77B6043E}"/>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BD-4A0D-BE09-D21C77B6043E}"/>
                </c:ext>
              </c:extLst>
            </c:dLbl>
            <c:dLbl>
              <c:idx val="1"/>
              <c:layout>
                <c:manualLayout>
                  <c:x val="1.30405795883616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BD-4A0D-BE09-D21C77B6043E}"/>
                </c:ext>
              </c:extLst>
            </c:dLbl>
            <c:dLbl>
              <c:idx val="2"/>
              <c:layout>
                <c:manualLayout>
                  <c:x val="-9.5208122101056675E-4"/>
                  <c:y val="1.724917726857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CBD-4A0D-BE09-D21C77B6043E}"/>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Nómina!$B$13:$B$15</c:f>
            </c:multiLvlStrRef>
          </c:cat>
          <c:val>
            <c:numRef>
              <c:f>Nómina!$G$13:$G$15</c:f>
            </c:numRef>
          </c:val>
          <c:extLst>
            <c:ext xmlns:c16="http://schemas.microsoft.com/office/drawing/2014/chart" uri="{C3380CC4-5D6E-409C-BE32-E72D297353CC}">
              <c16:uniqueId val="{00000007-9CBD-4A0D-BE09-D21C77B6043E}"/>
            </c:ext>
          </c:extLst>
        </c:ser>
        <c:ser>
          <c:idx val="2"/>
          <c:order val="2"/>
          <c:tx>
            <c:v>PN</c:v>
          </c:tx>
          <c:spPr>
            <a:solidFill>
              <a:schemeClr val="tx2">
                <a:lumMod val="60000"/>
                <a:lumOff val="40000"/>
              </a:schemeClr>
            </a:solidFill>
          </c:spPr>
          <c:invertIfNegative val="0"/>
          <c:dLbls>
            <c:dLbl>
              <c:idx val="0"/>
              <c:layout>
                <c:manualLayout>
                  <c:x val="-4.6143564425193773E-17"/>
                  <c:y val="5.7497257561908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A7-42AB-9E5A-58FEC411AE86}"/>
                </c:ext>
              </c:extLst>
            </c:dLbl>
            <c:dLbl>
              <c:idx val="1"/>
              <c:layout>
                <c:manualLayout>
                  <c:x val="0"/>
                  <c:y val="5.7497257561907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A7-42AB-9E5A-58FEC411AE86}"/>
                </c:ext>
              </c:extLst>
            </c:dLbl>
            <c:dLbl>
              <c:idx val="2"/>
              <c:layout>
                <c:manualLayout>
                  <c:x val="2.5169507716138687E-3"/>
                  <c:y val="1.7249177268572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A7-42AB-9E5A-58FEC411AE86}"/>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Nómina!$J$13:$J$15</c:f>
            </c:numRef>
          </c:val>
          <c:extLst>
            <c:ext xmlns:c16="http://schemas.microsoft.com/office/drawing/2014/chart" uri="{C3380CC4-5D6E-409C-BE32-E72D297353CC}">
              <c16:uniqueId val="{00000000-B4C7-4C8F-829E-12F6B5EA66FC}"/>
            </c:ext>
          </c:extLst>
        </c:ser>
        <c:dLbls>
          <c:showLegendKey val="0"/>
          <c:showVal val="1"/>
          <c:showCatName val="0"/>
          <c:showSerName val="0"/>
          <c:showPercent val="0"/>
          <c:showBubbleSize val="0"/>
        </c:dLbls>
        <c:gapWidth val="75"/>
        <c:axId val="1665028880"/>
        <c:axId val="1665018544"/>
      </c:barChart>
      <c:catAx>
        <c:axId val="1665028880"/>
        <c:scaling>
          <c:orientation val="minMax"/>
        </c:scaling>
        <c:delete val="0"/>
        <c:axPos val="b"/>
        <c:numFmt formatCode="General" sourceLinked="0"/>
        <c:majorTickMark val="none"/>
        <c:minorTickMark val="none"/>
        <c:tickLblPos val="nextTo"/>
        <c:crossAx val="1665018544"/>
        <c:crosses val="autoZero"/>
        <c:auto val="1"/>
        <c:lblAlgn val="ctr"/>
        <c:lblOffset val="100"/>
        <c:noMultiLvlLbl val="0"/>
      </c:catAx>
      <c:valAx>
        <c:axId val="1665018544"/>
        <c:scaling>
          <c:orientation val="minMax"/>
        </c:scaling>
        <c:delete val="0"/>
        <c:axPos val="l"/>
        <c:numFmt formatCode="_(* #,##0_);_(* \(#,##0\);_(* &quot;-&quot;??_);_(@_)" sourceLinked="1"/>
        <c:majorTickMark val="none"/>
        <c:minorTickMark val="none"/>
        <c:tickLblPos val="nextTo"/>
        <c:crossAx val="1665028880"/>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4.9402791952599815E-3"/>
                  <c:y val="0.192856496451481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B-4ACC-9DB2-E039C3656B7D}"/>
                </c:ext>
              </c:extLst>
            </c:dLbl>
            <c:dLbl>
              <c:idx val="1"/>
              <c:layout>
                <c:manualLayout>
                  <c:x val="-5.5544341463445307E-3"/>
                  <c:y val="0.215137415898894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AB-4ACC-9DB2-E039C3656B7D}"/>
                </c:ext>
              </c:extLst>
            </c:dLbl>
            <c:dLbl>
              <c:idx val="2"/>
              <c:layout>
                <c:manualLayout>
                  <c:x val="-2.8154707518661961E-3"/>
                  <c:y val="0.23723951716480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B-4ACC-9DB2-E039C3656B7D}"/>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Nómina!$B$13:$B$15</c:f>
            </c:multiLvlStrRef>
          </c:cat>
          <c:val>
            <c:numRef>
              <c:f>Nómina!$E$13:$E$15</c:f>
            </c:numRef>
          </c:val>
          <c:extLst>
            <c:ext xmlns:c16="http://schemas.microsoft.com/office/drawing/2014/chart" uri="{C3380CC4-5D6E-409C-BE32-E72D297353CC}">
              <c16:uniqueId val="{00000000-0F53-4019-BFDC-2A350F855EE7}"/>
            </c:ext>
          </c:extLst>
        </c:ser>
        <c:ser>
          <c:idx val="1"/>
          <c:order val="1"/>
          <c:tx>
            <c:v>PS</c:v>
          </c:tx>
          <c:spPr>
            <a:solidFill>
              <a:schemeClr val="accent6">
                <a:lumMod val="60000"/>
                <a:lumOff val="40000"/>
              </a:schemeClr>
            </a:solidFill>
          </c:spPr>
          <c:invertIfNegative val="0"/>
          <c:dLbls>
            <c:dLbl>
              <c:idx val="0"/>
              <c:layout>
                <c:manualLayout>
                  <c:x val="3.7888958688751932E-3"/>
                  <c:y val="1.788181815017594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5C-498E-B306-189846393CDE}"/>
                </c:ext>
              </c:extLst>
            </c:dLbl>
            <c:dLbl>
              <c:idx val="1"/>
              <c:layout>
                <c:manualLayout>
                  <c:x val="9.1129695062634377E-3"/>
                  <c:y val="1.6576575949433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5C-498E-B306-189846393CDE}"/>
                </c:ext>
              </c:extLst>
            </c:dLbl>
            <c:dLbl>
              <c:idx val="2"/>
              <c:layout>
                <c:manualLayout>
                  <c:x val="6.2974987543972412E-3"/>
                  <c:y val="5.5255253164776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5C-498E-B306-189846393CDE}"/>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Nómina!$B$13:$B$15</c:f>
            </c:multiLvlStrRef>
          </c:cat>
          <c:val>
            <c:numRef>
              <c:f>Nómina!$H$13:$H$15</c:f>
            </c:numRef>
          </c:val>
          <c:extLst>
            <c:ext xmlns:c16="http://schemas.microsoft.com/office/drawing/2014/chart" uri="{C3380CC4-5D6E-409C-BE32-E72D297353CC}">
              <c16:uniqueId val="{00000001-0F53-4019-BFDC-2A350F855EE7}"/>
            </c:ext>
          </c:extLst>
        </c:ser>
        <c:ser>
          <c:idx val="2"/>
          <c:order val="2"/>
          <c:tx>
            <c:v>PN</c:v>
          </c:tx>
          <c:spPr>
            <a:solidFill>
              <a:schemeClr val="tx2">
                <a:lumMod val="60000"/>
                <a:lumOff val="40000"/>
              </a:schemeClr>
            </a:solidFill>
          </c:spPr>
          <c:invertIfNegative val="0"/>
          <c:dLbls>
            <c:dLbl>
              <c:idx val="0"/>
              <c:layout>
                <c:manualLayout>
                  <c:x val="7.2952385384117803E-3"/>
                  <c:y val="-2.53250318102610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5C-498E-B306-189846393CDE}"/>
                </c:ext>
              </c:extLst>
            </c:dLbl>
            <c:dLbl>
              <c:idx val="1"/>
              <c:layout>
                <c:manualLayout>
                  <c:x val="4.6332017197177064E-3"/>
                  <c:y val="5.52552531647770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5C-498E-B306-189846393CDE}"/>
                </c:ext>
              </c:extLst>
            </c:dLbl>
            <c:dLbl>
              <c:idx val="2"/>
              <c:layout>
                <c:manualLayout>
                  <c:x val="7.4488820807821271E-3"/>
                  <c:y val="5.52552531647772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5C-498E-B306-189846393CDE}"/>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Nómina!$K$13:$K$15</c:f>
            </c:numRef>
          </c:val>
          <c:extLst>
            <c:ext xmlns:c16="http://schemas.microsoft.com/office/drawing/2014/chart" uri="{C3380CC4-5D6E-409C-BE32-E72D297353CC}">
              <c16:uniqueId val="{00000000-281D-447F-87D6-9DFFE7E603D8}"/>
            </c:ext>
          </c:extLst>
        </c:ser>
        <c:dLbls>
          <c:showLegendKey val="0"/>
          <c:showVal val="1"/>
          <c:showCatName val="0"/>
          <c:showSerName val="0"/>
          <c:showPercent val="0"/>
          <c:showBubbleSize val="0"/>
        </c:dLbls>
        <c:gapWidth val="75"/>
        <c:axId val="1665023984"/>
        <c:axId val="1665028336"/>
      </c:barChart>
      <c:catAx>
        <c:axId val="1665023984"/>
        <c:scaling>
          <c:orientation val="minMax"/>
        </c:scaling>
        <c:delete val="0"/>
        <c:axPos val="b"/>
        <c:numFmt formatCode="General" sourceLinked="0"/>
        <c:majorTickMark val="none"/>
        <c:minorTickMark val="none"/>
        <c:tickLblPos val="nextTo"/>
        <c:crossAx val="1665028336"/>
        <c:crosses val="autoZero"/>
        <c:auto val="1"/>
        <c:lblAlgn val="ctr"/>
        <c:lblOffset val="100"/>
        <c:noMultiLvlLbl val="0"/>
      </c:catAx>
      <c:valAx>
        <c:axId val="1665028336"/>
        <c:scaling>
          <c:orientation val="minMax"/>
        </c:scaling>
        <c:delete val="0"/>
        <c:axPos val="l"/>
        <c:numFmt formatCode="_(* #,##0_);_(* \(#,##0\);_(* &quot;-&quot;??_);_(@_)" sourceLinked="1"/>
        <c:majorTickMark val="none"/>
        <c:minorTickMark val="none"/>
        <c:tickLblPos val="nextTo"/>
        <c:crossAx val="1665023984"/>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a:t>
            </a:r>
            <a:r>
              <a:rPr lang="es-DO" baseline="0"/>
              <a:t> Pagado</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1658-4F4E-82BB-972C8E917EE2}"/>
              </c:ext>
            </c:extLst>
          </c:dPt>
          <c:dPt>
            <c:idx val="1"/>
            <c:bubble3D val="0"/>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1658-4F4E-82BB-972C8E917EE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1658-4F4E-82BB-972C8E917EE2}"/>
              </c:ext>
            </c:extLst>
          </c:dPt>
          <c:dLbls>
            <c:dLbl>
              <c:idx val="0"/>
              <c:tx>
                <c:rich>
                  <a:bodyPr/>
                  <a:lstStyle/>
                  <a:p>
                    <a:r>
                      <a:rPr lang="en-US"/>
                      <a:t>Civiles </a:t>
                    </a:r>
                    <a:fld id="{0DE1874E-31FB-46E3-8446-6F5D20BDC9B8}" type="VALUE">
                      <a:rPr lang="en-US"/>
                      <a:pPr/>
                      <a:t>[VALOR]</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1658-4F4E-82BB-972C8E917EE2}"/>
                </c:ext>
              </c:extLst>
            </c:dLbl>
            <c:dLbl>
              <c:idx val="1"/>
              <c:tx>
                <c:rich>
                  <a:bodyPr/>
                  <a:lstStyle/>
                  <a:p>
                    <a:r>
                      <a:rPr lang="en-US"/>
                      <a:t>Solidarias </a:t>
                    </a:r>
                    <a:fld id="{90257C1E-480E-4FB7-972A-E16E1347AC87}" type="VALUE">
                      <a:rPr lang="en-US"/>
                      <a:pPr/>
                      <a:t>[VALOR]</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1658-4F4E-82BB-972C8E917EE2}"/>
                </c:ext>
              </c:extLst>
            </c:dLbl>
            <c:dLbl>
              <c:idx val="2"/>
              <c:tx>
                <c:rich>
                  <a:bodyPr/>
                  <a:lstStyle/>
                  <a:p>
                    <a:r>
                      <a:rPr lang="en-US"/>
                      <a:t>P.N. </a:t>
                    </a:r>
                    <a:fld id="{903306AE-8C9B-491D-BABF-831CD724B3FC}" type="VALUE">
                      <a:rPr lang="en-US"/>
                      <a:pPr/>
                      <a:t>[VALOR]</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658-4F4E-82BB-972C8E917EE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(Nómina!$E$32,Nómina!$H$32,Nómina!$K$32)</c:f>
              <c:numCache>
                <c:formatCode>0.00%</c:formatCode>
                <c:ptCount val="3"/>
                <c:pt idx="0">
                  <c:v>0.7135749648325187</c:v>
                </c:pt>
                <c:pt idx="1">
                  <c:v>8.2297052324143444E-2</c:v>
                </c:pt>
                <c:pt idx="2">
                  <c:v>0.2041279828433378</c:v>
                </c:pt>
              </c:numCache>
            </c:numRef>
          </c:val>
          <c:extLst>
            <c:ext xmlns:c16="http://schemas.microsoft.com/office/drawing/2014/chart" uri="{C3380CC4-5D6E-409C-BE32-E72D297353CC}">
              <c16:uniqueId val="{00000000-1658-4F4E-82BB-972C8E917EE2}"/>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1471526098266"/>
          <c:y val="0.13154844993940878"/>
          <c:w val="0.82866557875303415"/>
          <c:h val="0.69190263993496037"/>
        </c:manualLayout>
      </c:layout>
      <c:barChart>
        <c:barDir val="col"/>
        <c:grouping val="clustered"/>
        <c:varyColors val="0"/>
        <c:ser>
          <c:idx val="0"/>
          <c:order val="0"/>
          <c:tx>
            <c:v>PC</c:v>
          </c:tx>
          <c:spPr>
            <a:solidFill>
              <a:schemeClr val="accent3"/>
            </a:solidFill>
          </c:spPr>
          <c:invertIfNegative val="0"/>
          <c:dLbls>
            <c:dLbl>
              <c:idx val="0"/>
              <c:layout>
                <c:manualLayout>
                  <c:x val="2.6167004289624389E-3"/>
                  <c:y val="0.461649110325828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E0-4453-855E-B5BA8976592B}"/>
                </c:ext>
              </c:extLst>
            </c:dLbl>
            <c:dLbl>
              <c:idx val="1"/>
              <c:layout>
                <c:manualLayout>
                  <c:x val="-1.9341742336070859E-4"/>
                  <c:y val="0.473507105190047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E0-4453-855E-B5BA8976592B}"/>
                </c:ext>
              </c:extLst>
            </c:dLbl>
            <c:dLbl>
              <c:idx val="2"/>
              <c:layout>
                <c:manualLayout>
                  <c:x val="5.5694137540997848E-3"/>
                  <c:y val="0.477270229171480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E0-4453-855E-B5BA8976592B}"/>
                </c:ext>
              </c:extLst>
            </c:dLbl>
            <c:spPr>
              <a:noFill/>
              <a:ln>
                <a:noFill/>
              </a:ln>
              <a:effectLst/>
            </c:spPr>
            <c:txPr>
              <a:bodyPr rot="-5400000" vert="horz"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Nómina!$B$9:$B$11</c:f>
              <c:strCache>
                <c:ptCount val="3"/>
                <c:pt idx="0">
                  <c:v>Junio</c:v>
                </c:pt>
                <c:pt idx="1">
                  <c:v>Mayo</c:v>
                </c:pt>
                <c:pt idx="2">
                  <c:v>Abril</c:v>
                </c:pt>
              </c:strCache>
            </c:strRef>
          </c:cat>
          <c:val>
            <c:numRef>
              <c:f>Nómina!$C$9:$C$11</c:f>
              <c:numCache>
                <c:formatCode>0_);\(0\)</c:formatCode>
                <c:ptCount val="3"/>
                <c:pt idx="0">
                  <c:v>156779</c:v>
                </c:pt>
                <c:pt idx="1">
                  <c:v>156148</c:v>
                </c:pt>
                <c:pt idx="2">
                  <c:v>155393</c:v>
                </c:pt>
              </c:numCache>
            </c:numRef>
          </c:val>
          <c:extLst>
            <c:ext xmlns:c16="http://schemas.microsoft.com/office/drawing/2014/chart" uri="{C3380CC4-5D6E-409C-BE32-E72D297353CC}">
              <c16:uniqueId val="{00000003-64E0-4453-855E-B5BA8976592B}"/>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E0-4453-855E-B5BA8976592B}"/>
                </c:ext>
              </c:extLst>
            </c:dLbl>
            <c:dLbl>
              <c:idx val="1"/>
              <c:layout>
                <c:manualLayout>
                  <c:x val="5.998250212843071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4E0-4453-855E-B5BA8976592B}"/>
                </c:ext>
              </c:extLst>
            </c:dLbl>
            <c:dLbl>
              <c:idx val="2"/>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4E0-4453-855E-B5BA8976592B}"/>
                </c:ext>
              </c:extLst>
            </c:dLbl>
            <c:spPr>
              <a:noFill/>
              <a:ln>
                <a:noFill/>
              </a:ln>
              <a:effectLst/>
            </c:spPr>
            <c:txPr>
              <a:bodyPr rot="-5400000" vert="horz"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Nómina!$B$9:$B$11</c:f>
              <c:strCache>
                <c:ptCount val="3"/>
                <c:pt idx="0">
                  <c:v>Junio</c:v>
                </c:pt>
                <c:pt idx="1">
                  <c:v>Mayo</c:v>
                </c:pt>
                <c:pt idx="2">
                  <c:v>Abril</c:v>
                </c:pt>
              </c:strCache>
            </c:strRef>
          </c:cat>
          <c:val>
            <c:numRef>
              <c:f>Nómina!$I$9:$I$11</c:f>
              <c:numCache>
                <c:formatCode>0_);\(0\)</c:formatCode>
                <c:ptCount val="3"/>
                <c:pt idx="0">
                  <c:v>26450</c:v>
                </c:pt>
                <c:pt idx="1">
                  <c:v>25640</c:v>
                </c:pt>
                <c:pt idx="2">
                  <c:v>25661</c:v>
                </c:pt>
              </c:numCache>
            </c:numRef>
          </c:val>
          <c:extLst>
            <c:ext xmlns:c16="http://schemas.microsoft.com/office/drawing/2014/chart" uri="{C3380CC4-5D6E-409C-BE32-E72D297353CC}">
              <c16:uniqueId val="{00000007-64E0-4453-855E-B5BA8976592B}"/>
            </c:ext>
          </c:extLst>
        </c:ser>
        <c:ser>
          <c:idx val="2"/>
          <c:order val="2"/>
          <c:tx>
            <c:v>PN</c:v>
          </c:tx>
          <c:spPr>
            <a:solidFill>
              <a:schemeClr val="tx2">
                <a:lumMod val="60000"/>
                <a:lumOff val="40000"/>
              </a:schemeClr>
            </a:solidFill>
          </c:spPr>
          <c:invertIfNegative val="0"/>
          <c:dLbls>
            <c:dLbl>
              <c:idx val="1"/>
              <c:layout>
                <c:manualLayout>
                  <c:x val="-9.7792623615519606E-17"/>
                  <c:y val="2.74791137098706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E0-4453-855E-B5BA8976592B}"/>
                </c:ext>
              </c:extLst>
            </c:dLbl>
            <c:spPr>
              <a:noFill/>
              <a:ln>
                <a:noFill/>
              </a:ln>
              <a:effectLst/>
            </c:spPr>
            <c:txPr>
              <a:bodyPr rot="-5400000" vert="horz"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Nómina!$B$9:$B$11</c:f>
              <c:strCache>
                <c:ptCount val="3"/>
                <c:pt idx="0">
                  <c:v>Junio</c:v>
                </c:pt>
                <c:pt idx="1">
                  <c:v>Mayo</c:v>
                </c:pt>
                <c:pt idx="2">
                  <c:v>Abril</c:v>
                </c:pt>
              </c:strCache>
            </c:strRef>
          </c:cat>
          <c:val>
            <c:numRef>
              <c:f>Nómina!$F$9:$F$11</c:f>
              <c:numCache>
                <c:formatCode>0_);\(0\)</c:formatCode>
                <c:ptCount val="3"/>
                <c:pt idx="0">
                  <c:v>55224</c:v>
                </c:pt>
                <c:pt idx="1">
                  <c:v>52256</c:v>
                </c:pt>
                <c:pt idx="2">
                  <c:v>52018</c:v>
                </c:pt>
              </c:numCache>
            </c:numRef>
          </c:val>
          <c:extLst>
            <c:ext xmlns:c16="http://schemas.microsoft.com/office/drawing/2014/chart" uri="{C3380CC4-5D6E-409C-BE32-E72D297353CC}">
              <c16:uniqueId val="{00000008-64E0-4453-855E-B5BA8976592B}"/>
            </c:ext>
          </c:extLst>
        </c:ser>
        <c:dLbls>
          <c:showLegendKey val="0"/>
          <c:showVal val="1"/>
          <c:showCatName val="0"/>
          <c:showSerName val="0"/>
          <c:showPercent val="0"/>
          <c:showBubbleSize val="0"/>
        </c:dLbls>
        <c:gapWidth val="75"/>
        <c:axId val="1665033232"/>
        <c:axId val="1665027248"/>
      </c:barChart>
      <c:catAx>
        <c:axId val="1665033232"/>
        <c:scaling>
          <c:orientation val="minMax"/>
        </c:scaling>
        <c:delete val="0"/>
        <c:axPos val="b"/>
        <c:numFmt formatCode="General" sourceLinked="0"/>
        <c:majorTickMark val="none"/>
        <c:minorTickMark val="none"/>
        <c:tickLblPos val="nextTo"/>
        <c:crossAx val="1665027248"/>
        <c:crosses val="autoZero"/>
        <c:auto val="1"/>
        <c:lblAlgn val="ctr"/>
        <c:lblOffset val="100"/>
        <c:noMultiLvlLbl val="0"/>
      </c:catAx>
      <c:valAx>
        <c:axId val="1665027248"/>
        <c:scaling>
          <c:orientation val="minMax"/>
          <c:max val="200000"/>
        </c:scaling>
        <c:delete val="0"/>
        <c:axPos val="l"/>
        <c:numFmt formatCode="0_);\(0\)" sourceLinked="1"/>
        <c:majorTickMark val="none"/>
        <c:minorTickMark val="none"/>
        <c:tickLblPos val="nextTo"/>
        <c:crossAx val="1665033232"/>
        <c:crosses val="autoZero"/>
        <c:crossBetween val="between"/>
      </c:valAx>
    </c:plotArea>
    <c:legend>
      <c:legendPos val="b"/>
      <c:layout>
        <c:manualLayout>
          <c:xMode val="edge"/>
          <c:yMode val="edge"/>
          <c:x val="0.41335770283434614"/>
          <c:y val="0.93137511312911292"/>
          <c:w val="0.22633816425502665"/>
          <c:h val="6.5109557839156396E-2"/>
        </c:manualLayout>
      </c:layout>
      <c:overlay val="0"/>
    </c:legend>
    <c:plotVisOnly val="1"/>
    <c:dispBlanksAs val="gap"/>
    <c:showDLblsOverMax val="0"/>
  </c:chart>
  <c:spPr>
    <a:ln>
      <a:solidFill>
        <a:schemeClr val="bg1"/>
      </a:solidFill>
    </a:ln>
  </c:spPr>
  <c:printSettings>
    <c:headerFooter/>
    <c:pageMargins b="0.75" l="0.7" r="0.7" t="0.75" header="0.3" footer="0.3"/>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4.9402791952599815E-3"/>
                  <c:y val="0.192856496451481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83-4DF8-8537-624DC2611582}"/>
                </c:ext>
              </c:extLst>
            </c:dLbl>
            <c:dLbl>
              <c:idx val="1"/>
              <c:layout>
                <c:manualLayout>
                  <c:x val="-5.5544341463445307E-3"/>
                  <c:y val="0.215137415898894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83-4DF8-8537-624DC2611582}"/>
                </c:ext>
              </c:extLst>
            </c:dLbl>
            <c:dLbl>
              <c:idx val="2"/>
              <c:layout>
                <c:manualLayout>
                  <c:x val="-2.8154707518661961E-3"/>
                  <c:y val="0.23723951716480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83-4DF8-8537-624DC2611582}"/>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Nómina!$B$9:$B$11</c:f>
              <c:strCache>
                <c:ptCount val="3"/>
                <c:pt idx="0">
                  <c:v>Junio</c:v>
                </c:pt>
                <c:pt idx="1">
                  <c:v>Mayo</c:v>
                </c:pt>
                <c:pt idx="2">
                  <c:v>Abril</c:v>
                </c:pt>
              </c:strCache>
            </c:strRef>
          </c:cat>
          <c:val>
            <c:numRef>
              <c:f>Nómina!$E$9:$E$11</c:f>
              <c:numCache>
                <c:formatCode>_(* #,##0.00_);_(* \(#,##0.00\);_(* "-"??_);_(@_)</c:formatCode>
                <c:ptCount val="3"/>
                <c:pt idx="0">
                  <c:v>2778253018.48</c:v>
                </c:pt>
                <c:pt idx="1">
                  <c:v>2766289418.5100002</c:v>
                </c:pt>
                <c:pt idx="2">
                  <c:v>2753235662.71</c:v>
                </c:pt>
              </c:numCache>
            </c:numRef>
          </c:val>
          <c:extLst>
            <c:ext xmlns:c16="http://schemas.microsoft.com/office/drawing/2014/chart" uri="{C3380CC4-5D6E-409C-BE32-E72D297353CC}">
              <c16:uniqueId val="{00000003-E183-4DF8-8537-624DC2611582}"/>
            </c:ext>
          </c:extLst>
        </c:ser>
        <c:ser>
          <c:idx val="1"/>
          <c:order val="1"/>
          <c:tx>
            <c:v>PS</c:v>
          </c:tx>
          <c:spPr>
            <a:solidFill>
              <a:schemeClr val="accent6">
                <a:lumMod val="60000"/>
                <a:lumOff val="40000"/>
              </a:schemeClr>
            </a:solidFill>
          </c:spPr>
          <c:invertIfNegative val="0"/>
          <c:dLbls>
            <c:dLbl>
              <c:idx val="0"/>
              <c:layout>
                <c:manualLayout>
                  <c:x val="3.7888958688751932E-3"/>
                  <c:y val="1.788181815017594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83-4DF8-8537-624DC2611582}"/>
                </c:ext>
              </c:extLst>
            </c:dLbl>
            <c:dLbl>
              <c:idx val="1"/>
              <c:layout>
                <c:manualLayout>
                  <c:x val="9.1129695062634377E-3"/>
                  <c:y val="1.6576575949433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83-4DF8-8537-624DC2611582}"/>
                </c:ext>
              </c:extLst>
            </c:dLbl>
            <c:dLbl>
              <c:idx val="2"/>
              <c:layout>
                <c:manualLayout>
                  <c:x val="6.2974987543972412E-3"/>
                  <c:y val="5.5255253164776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83-4DF8-8537-624DC2611582}"/>
                </c:ext>
              </c:extLst>
            </c:dLbl>
            <c:spPr>
              <a:noFill/>
              <a:ln>
                <a:noFill/>
              </a:ln>
              <a:effectLst/>
            </c:spPr>
            <c:txPr>
              <a:bodyPr rot="-5400000" vert="horz" wrap="square" lIns="38100" tIns="19050" rIns="38100" bIns="19050" anchor="ctr">
                <a:spAutoFit/>
              </a:bodyPr>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Nómina!$B$9:$B$11</c:f>
              <c:strCache>
                <c:ptCount val="3"/>
                <c:pt idx="0">
                  <c:v>Junio</c:v>
                </c:pt>
                <c:pt idx="1">
                  <c:v>Mayo</c:v>
                </c:pt>
                <c:pt idx="2">
                  <c:v>Abril</c:v>
                </c:pt>
              </c:strCache>
            </c:strRef>
          </c:cat>
          <c:val>
            <c:numRef>
              <c:f>Nómina!$K$9:$K$11</c:f>
              <c:numCache>
                <c:formatCode>_(* #,##0.00_);_(* \(#,##0.00\);_(* "-"??_);_(@_)</c:formatCode>
                <c:ptCount val="3"/>
                <c:pt idx="0">
                  <c:v>824548607.03999996</c:v>
                </c:pt>
                <c:pt idx="1">
                  <c:v>774576392.75</c:v>
                </c:pt>
                <c:pt idx="2">
                  <c:v>774569130.53999996</c:v>
                </c:pt>
              </c:numCache>
            </c:numRef>
          </c:val>
          <c:extLst>
            <c:ext xmlns:c16="http://schemas.microsoft.com/office/drawing/2014/chart" uri="{C3380CC4-5D6E-409C-BE32-E72D297353CC}">
              <c16:uniqueId val="{00000007-E183-4DF8-8537-624DC2611582}"/>
            </c:ext>
          </c:extLst>
        </c:ser>
        <c:ser>
          <c:idx val="2"/>
          <c:order val="2"/>
          <c:tx>
            <c:v>PN</c:v>
          </c:tx>
          <c:spPr>
            <a:solidFill>
              <a:schemeClr val="tx2">
                <a:lumMod val="60000"/>
                <a:lumOff val="40000"/>
              </a:schemeClr>
            </a:solidFill>
          </c:spPr>
          <c:invertIfNegative val="0"/>
          <c:dLbls>
            <c:dLbl>
              <c:idx val="0"/>
              <c:layout>
                <c:manualLayout>
                  <c:x val="7.2952385384117803E-3"/>
                  <c:y val="-2.53250318102610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83-4DF8-8537-624DC2611582}"/>
                </c:ext>
              </c:extLst>
            </c:dLbl>
            <c:dLbl>
              <c:idx val="1"/>
              <c:layout>
                <c:manualLayout>
                  <c:x val="4.6332017197177064E-3"/>
                  <c:y val="5.52552531647770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183-4DF8-8537-624DC2611582}"/>
                </c:ext>
              </c:extLst>
            </c:dLbl>
            <c:dLbl>
              <c:idx val="2"/>
              <c:layout>
                <c:manualLayout>
                  <c:x val="7.4488820807821271E-3"/>
                  <c:y val="5.52552531647772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83-4DF8-8537-624DC2611582}"/>
                </c:ext>
              </c:extLst>
            </c:dLbl>
            <c:spPr>
              <a:noFill/>
              <a:ln>
                <a:noFill/>
              </a:ln>
              <a:effectLst/>
            </c:spPr>
            <c:txPr>
              <a:bodyPr rot="-5400000" vert="horz" wrap="square" lIns="38100" tIns="19050" rIns="38100" bIns="19050" anchor="ctr">
                <a:spAutoFit/>
              </a:bodyPr>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Nómina!$B$9:$B$11</c:f>
              <c:strCache>
                <c:ptCount val="3"/>
                <c:pt idx="0">
                  <c:v>Junio</c:v>
                </c:pt>
                <c:pt idx="1">
                  <c:v>Mayo</c:v>
                </c:pt>
                <c:pt idx="2">
                  <c:v>Abril</c:v>
                </c:pt>
              </c:strCache>
            </c:strRef>
          </c:cat>
          <c:val>
            <c:numRef>
              <c:f>Nómina!$H$9:$H$11</c:f>
              <c:numCache>
                <c:formatCode>_(* #,##0.00_);_(* \(#,##0.00\);_(* "-"??_);_(@_)</c:formatCode>
                <c:ptCount val="3"/>
                <c:pt idx="0">
                  <c:v>331344000</c:v>
                </c:pt>
                <c:pt idx="1">
                  <c:v>313536000</c:v>
                </c:pt>
                <c:pt idx="2">
                  <c:v>312108000</c:v>
                </c:pt>
              </c:numCache>
            </c:numRef>
          </c:val>
          <c:extLst>
            <c:ext xmlns:c16="http://schemas.microsoft.com/office/drawing/2014/chart" uri="{C3380CC4-5D6E-409C-BE32-E72D297353CC}">
              <c16:uniqueId val="{0000000B-E183-4DF8-8537-624DC2611582}"/>
            </c:ext>
          </c:extLst>
        </c:ser>
        <c:dLbls>
          <c:showLegendKey val="0"/>
          <c:showVal val="1"/>
          <c:showCatName val="0"/>
          <c:showSerName val="0"/>
          <c:showPercent val="0"/>
          <c:showBubbleSize val="0"/>
        </c:dLbls>
        <c:gapWidth val="75"/>
        <c:axId val="1665023984"/>
        <c:axId val="1665028336"/>
      </c:barChart>
      <c:catAx>
        <c:axId val="1665023984"/>
        <c:scaling>
          <c:orientation val="minMax"/>
        </c:scaling>
        <c:delete val="0"/>
        <c:axPos val="b"/>
        <c:numFmt formatCode="General" sourceLinked="0"/>
        <c:majorTickMark val="none"/>
        <c:minorTickMark val="none"/>
        <c:tickLblPos val="nextTo"/>
        <c:crossAx val="1665028336"/>
        <c:crosses val="autoZero"/>
        <c:auto val="1"/>
        <c:lblAlgn val="ctr"/>
        <c:lblOffset val="100"/>
        <c:noMultiLvlLbl val="0"/>
      </c:catAx>
      <c:valAx>
        <c:axId val="1665028336"/>
        <c:scaling>
          <c:orientation val="minMax"/>
          <c:max val="4000000000"/>
        </c:scaling>
        <c:delete val="0"/>
        <c:axPos val="l"/>
        <c:numFmt formatCode="_(* #,##0.00_);_(* \(#,##0.00\);_(* &quot;-&quot;??_);_(@_)" sourceLinked="1"/>
        <c:majorTickMark val="none"/>
        <c:minorTickMark val="none"/>
        <c:tickLblPos val="nextTo"/>
        <c:crossAx val="1665023984"/>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1.8258793274707537E-3"/>
                  <c:y val="0.182871159511427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5A-434D-9DF3-2CAAB91C7ADC}"/>
                </c:ext>
              </c:extLst>
            </c:dLbl>
            <c:dLbl>
              <c:idx val="1"/>
              <c:layout>
                <c:manualLayout>
                  <c:x val="1.8258793274707537E-3"/>
                  <c:y val="0.188620885267618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5A-434D-9DF3-2CAAB91C7ADC}"/>
                </c:ext>
              </c:extLst>
            </c:dLbl>
            <c:dLbl>
              <c:idx val="2"/>
              <c:layout>
                <c:manualLayout>
                  <c:x val="-9.5208122101056675E-4"/>
                  <c:y val="0.178241498441914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5A-434D-9DF3-2CAAB91C7ADC}"/>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Nómina!$B$9:$B$11</c:f>
              <c:strCache>
                <c:ptCount val="3"/>
                <c:pt idx="0">
                  <c:v>Junio</c:v>
                </c:pt>
                <c:pt idx="1">
                  <c:v>Mayo</c:v>
                </c:pt>
                <c:pt idx="2">
                  <c:v>Abril</c:v>
                </c:pt>
              </c:strCache>
            </c:strRef>
          </c:cat>
          <c:val>
            <c:numRef>
              <c:f>Nómina!$D$9:$D$11</c:f>
              <c:numCache>
                <c:formatCode>0_);\(0\)</c:formatCode>
                <c:ptCount val="3"/>
                <c:pt idx="0">
                  <c:v>169570</c:v>
                </c:pt>
                <c:pt idx="1">
                  <c:v>168919</c:v>
                </c:pt>
                <c:pt idx="2">
                  <c:v>168162</c:v>
                </c:pt>
              </c:numCache>
            </c:numRef>
          </c:val>
          <c:extLst>
            <c:ext xmlns:c16="http://schemas.microsoft.com/office/drawing/2014/chart" uri="{C3380CC4-5D6E-409C-BE32-E72D297353CC}">
              <c16:uniqueId val="{00000003-935A-434D-9DF3-2CAAB91C7ADC}"/>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5A-434D-9DF3-2CAAB91C7ADC}"/>
                </c:ext>
              </c:extLst>
            </c:dLbl>
            <c:dLbl>
              <c:idx val="1"/>
              <c:layout>
                <c:manualLayout>
                  <c:x val="1.30405795883616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5A-434D-9DF3-2CAAB91C7ADC}"/>
                </c:ext>
              </c:extLst>
            </c:dLbl>
            <c:dLbl>
              <c:idx val="2"/>
              <c:layout>
                <c:manualLayout>
                  <c:x val="-9.5208122101056675E-4"/>
                  <c:y val="1.724917726857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5A-434D-9DF3-2CAAB91C7ADC}"/>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Nómina!$B$9:$B$11</c:f>
              <c:strCache>
                <c:ptCount val="3"/>
                <c:pt idx="0">
                  <c:v>Junio</c:v>
                </c:pt>
                <c:pt idx="1">
                  <c:v>Mayo</c:v>
                </c:pt>
                <c:pt idx="2">
                  <c:v>Abril</c:v>
                </c:pt>
              </c:strCache>
            </c:strRef>
          </c:cat>
          <c:val>
            <c:numRef>
              <c:f>Nómina!$J$9:$J$11</c:f>
              <c:numCache>
                <c:formatCode>0_);\(0\)</c:formatCode>
                <c:ptCount val="3"/>
                <c:pt idx="0">
                  <c:v>26556</c:v>
                </c:pt>
                <c:pt idx="1">
                  <c:v>25763</c:v>
                </c:pt>
                <c:pt idx="2">
                  <c:v>25754</c:v>
                </c:pt>
              </c:numCache>
            </c:numRef>
          </c:val>
          <c:extLst>
            <c:ext xmlns:c16="http://schemas.microsoft.com/office/drawing/2014/chart" uri="{C3380CC4-5D6E-409C-BE32-E72D297353CC}">
              <c16:uniqueId val="{00000007-935A-434D-9DF3-2CAAB91C7ADC}"/>
            </c:ext>
          </c:extLst>
        </c:ser>
        <c:ser>
          <c:idx val="2"/>
          <c:order val="2"/>
          <c:tx>
            <c:v>PN</c:v>
          </c:tx>
          <c:spPr>
            <a:solidFill>
              <a:schemeClr val="tx2">
                <a:lumMod val="60000"/>
                <a:lumOff val="40000"/>
              </a:schemeClr>
            </a:solidFill>
          </c:spPr>
          <c:invertIfNegative val="0"/>
          <c:dLbls>
            <c:dLbl>
              <c:idx val="0"/>
              <c:layout>
                <c:manualLayout>
                  <c:x val="-4.6143564425193773E-17"/>
                  <c:y val="5.7497257561908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5A-434D-9DF3-2CAAB91C7ADC}"/>
                </c:ext>
              </c:extLst>
            </c:dLbl>
            <c:dLbl>
              <c:idx val="1"/>
              <c:layout>
                <c:manualLayout>
                  <c:x val="0"/>
                  <c:y val="5.7497257561907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5A-434D-9DF3-2CAAB91C7ADC}"/>
                </c:ext>
              </c:extLst>
            </c:dLbl>
            <c:dLbl>
              <c:idx val="2"/>
              <c:layout>
                <c:manualLayout>
                  <c:x val="2.5169507716138687E-3"/>
                  <c:y val="1.7249177268572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5A-434D-9DF3-2CAAB91C7ADC}"/>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Nómina!$B$9:$B$11</c:f>
              <c:strCache>
                <c:ptCount val="3"/>
                <c:pt idx="0">
                  <c:v>Junio</c:v>
                </c:pt>
                <c:pt idx="1">
                  <c:v>Mayo</c:v>
                </c:pt>
                <c:pt idx="2">
                  <c:v>Abril</c:v>
                </c:pt>
              </c:strCache>
            </c:strRef>
          </c:cat>
          <c:val>
            <c:numRef>
              <c:f>Nómina!$G$9:$G$11</c:f>
              <c:numCache>
                <c:formatCode>0_);\(0\)</c:formatCode>
                <c:ptCount val="3"/>
                <c:pt idx="0">
                  <c:v>55224</c:v>
                </c:pt>
                <c:pt idx="1">
                  <c:v>52256</c:v>
                </c:pt>
                <c:pt idx="2">
                  <c:v>52018</c:v>
                </c:pt>
              </c:numCache>
            </c:numRef>
          </c:val>
          <c:extLst>
            <c:ext xmlns:c16="http://schemas.microsoft.com/office/drawing/2014/chart" uri="{C3380CC4-5D6E-409C-BE32-E72D297353CC}">
              <c16:uniqueId val="{0000000B-935A-434D-9DF3-2CAAB91C7ADC}"/>
            </c:ext>
          </c:extLst>
        </c:ser>
        <c:dLbls>
          <c:showLegendKey val="0"/>
          <c:showVal val="1"/>
          <c:showCatName val="0"/>
          <c:showSerName val="0"/>
          <c:showPercent val="0"/>
          <c:showBubbleSize val="0"/>
        </c:dLbls>
        <c:gapWidth val="75"/>
        <c:axId val="1665028880"/>
        <c:axId val="1665018544"/>
      </c:barChart>
      <c:catAx>
        <c:axId val="1665028880"/>
        <c:scaling>
          <c:orientation val="minMax"/>
        </c:scaling>
        <c:delete val="0"/>
        <c:axPos val="b"/>
        <c:numFmt formatCode="General" sourceLinked="0"/>
        <c:majorTickMark val="none"/>
        <c:minorTickMark val="none"/>
        <c:tickLblPos val="nextTo"/>
        <c:crossAx val="1665018544"/>
        <c:crosses val="autoZero"/>
        <c:auto val="1"/>
        <c:lblAlgn val="ctr"/>
        <c:lblOffset val="100"/>
        <c:noMultiLvlLbl val="0"/>
      </c:catAx>
      <c:valAx>
        <c:axId val="1665018544"/>
        <c:scaling>
          <c:orientation val="minMax"/>
          <c:max val="240000"/>
        </c:scaling>
        <c:delete val="0"/>
        <c:axPos val="l"/>
        <c:numFmt formatCode="0_);\(0\)" sourceLinked="1"/>
        <c:majorTickMark val="none"/>
        <c:minorTickMark val="none"/>
        <c:tickLblPos val="nextTo"/>
        <c:crossAx val="1665028880"/>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'Afiliados y Cotizantes'!$B$7</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2.3665036994507917E-17"/>
                  <c:y val="0.22250136602998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54-4B02-BE0A-FF69FF46AF7C}"/>
                </c:ext>
              </c:extLst>
            </c:dLbl>
            <c:dLbl>
              <c:idx val="1"/>
              <c:layout>
                <c:manualLayout>
                  <c:x val="-2.5816702227310574E-3"/>
                  <c:y val="0.477557014024595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54-4B02-BE0A-FF69FF46AF7C}"/>
                </c:ext>
              </c:extLst>
            </c:dLbl>
            <c:dLbl>
              <c:idx val="2"/>
              <c:layout>
                <c:manualLayout>
                  <c:x val="0"/>
                  <c:y val="0.238922704380146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54-4B02-BE0A-FF69FF46AF7C}"/>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Cotizantes'!$B$12:$B$14</c:f>
            </c:numRef>
          </c:val>
          <c:extLst>
            <c:ext xmlns:c16="http://schemas.microsoft.com/office/drawing/2014/chart" uri="{C3380CC4-5D6E-409C-BE32-E72D297353CC}">
              <c16:uniqueId val="{00000003-6854-4B02-BE0A-FF69FF46AF7C}"/>
            </c:ext>
          </c:extLst>
        </c:ser>
        <c:ser>
          <c:idx val="1"/>
          <c:order val="1"/>
          <c:tx>
            <c:strRef>
              <c:f>'Afiliados y Cotizantes'!$C$7</c:f>
              <c:strCache>
                <c:ptCount val="1"/>
                <c:pt idx="0">
                  <c:v>Cotizantes</c:v>
                </c:pt>
              </c:strCache>
            </c:strRef>
          </c:tx>
          <c:spPr>
            <a:solidFill>
              <a:schemeClr val="accent3">
                <a:lumMod val="60000"/>
                <a:lumOff val="40000"/>
              </a:schemeClr>
            </a:solidFill>
          </c:spPr>
          <c:invertIfNegative val="0"/>
          <c:dLbls>
            <c:dLbl>
              <c:idx val="0"/>
              <c:layout>
                <c:manualLayout>
                  <c:x val="-7.75772127423728E-3"/>
                  <c:y val="0.222149164215909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54-4B02-BE0A-FF69FF46AF7C}"/>
                </c:ext>
              </c:extLst>
            </c:dLbl>
            <c:dLbl>
              <c:idx val="1"/>
              <c:layout>
                <c:manualLayout>
                  <c:x val="0"/>
                  <c:y val="0.211532829233089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54-4B02-BE0A-FF69FF46AF7C}"/>
                </c:ext>
              </c:extLst>
            </c:dLbl>
            <c:dLbl>
              <c:idx val="2"/>
              <c:layout>
                <c:manualLayout>
                  <c:x val="2.5859070914124264E-3"/>
                  <c:y val="0.234607996203774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54-4B02-BE0A-FF69FF46AF7C}"/>
                </c:ext>
              </c:extLst>
            </c:dLbl>
            <c:spPr>
              <a:noFill/>
              <a:ln>
                <a:noFill/>
              </a:ln>
              <a:effectLst/>
            </c:spPr>
            <c:txPr>
              <a:bodyPr rot="-5400000" vert="horz"/>
              <a:lstStyle/>
              <a:p>
                <a:pPr>
                  <a:defRPr sz="1050" baseline="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Cotizantes'!$C$12:$C$14</c:f>
            </c:numRef>
          </c:val>
          <c:extLst>
            <c:ext xmlns:c16="http://schemas.microsoft.com/office/drawing/2014/chart" uri="{C3380CC4-5D6E-409C-BE32-E72D297353CC}">
              <c16:uniqueId val="{00000007-6854-4B02-BE0A-FF69FF46AF7C}"/>
            </c:ext>
          </c:extLst>
        </c:ser>
        <c:dLbls>
          <c:showLegendKey val="0"/>
          <c:showVal val="1"/>
          <c:showCatName val="0"/>
          <c:showSerName val="0"/>
          <c:showPercent val="0"/>
          <c:showBubbleSize val="0"/>
        </c:dLbls>
        <c:gapWidth val="75"/>
        <c:axId val="1578271600"/>
        <c:axId val="1578260720"/>
      </c:barChart>
      <c:lineChart>
        <c:grouping val="standard"/>
        <c:varyColors val="0"/>
        <c:ser>
          <c:idx val="2"/>
          <c:order val="2"/>
          <c:tx>
            <c:strRef>
              <c:f>'Afiliados y Cotizantes'!$D$7</c:f>
              <c:strCache>
                <c:ptCount val="1"/>
                <c:pt idx="0">
                  <c:v>%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7.7272093495421197E-3"/>
                  <c:y val="-8.1490126180545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54-4B02-BE0A-FF69FF46AF7C}"/>
                </c:ext>
              </c:extLst>
            </c:dLbl>
            <c:dLbl>
              <c:idx val="1"/>
              <c:layout>
                <c:manualLayout>
                  <c:x val="-2.3235032004579517E-2"/>
                  <c:y val="-0.113737411883746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54-4B02-BE0A-FF69FF46AF7C}"/>
                </c:ext>
              </c:extLst>
            </c:dLbl>
            <c:dLbl>
              <c:idx val="2"/>
              <c:layout>
                <c:manualLayout>
                  <c:x val="-7.7512056028258463E-3"/>
                  <c:y val="-3.9872926910547848E-2"/>
                </c:manualLayout>
              </c:layout>
              <c:spPr>
                <a:noFill/>
                <a:ln>
                  <a:noFill/>
                </a:ln>
                <a:effectLst/>
              </c:spPr>
              <c:txPr>
                <a:bodyPr wrap="square" lIns="38100" tIns="19050" rIns="38100" bIns="19050" anchor="ctr">
                  <a:noAutofit/>
                </a:bodyPr>
                <a:lstStyle/>
                <a:p>
                  <a:pPr>
                    <a:defRPr sz="1050" b="1"/>
                  </a:pPr>
                  <a:endParaRPr lang="es-DO"/>
                </a:p>
              </c:txPr>
              <c:showLegendKey val="0"/>
              <c:showVal val="1"/>
              <c:showCatName val="0"/>
              <c:showSerName val="0"/>
              <c:showPercent val="0"/>
              <c:showBubbleSize val="0"/>
              <c:extLst>
                <c:ext xmlns:c15="http://schemas.microsoft.com/office/drawing/2012/chart" uri="{CE6537A1-D6FC-4f65-9D91-7224C49458BB}">
                  <c15:layout>
                    <c:manualLayout>
                      <c:w val="7.8047766387117218E-2"/>
                      <c:h val="0.17205190387619568"/>
                    </c:manualLayout>
                  </c15:layout>
                </c:ext>
                <c:ext xmlns:c16="http://schemas.microsoft.com/office/drawing/2014/chart" uri="{C3380CC4-5D6E-409C-BE32-E72D297353CC}">
                  <c16:uniqueId val="{0000000A-6854-4B02-BE0A-FF69FF46AF7C}"/>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Cotizantes'!$D$12:$D$14</c:f>
            </c:numRef>
          </c:val>
          <c:smooth val="0"/>
          <c:extLst>
            <c:ext xmlns:c16="http://schemas.microsoft.com/office/drawing/2014/chart" uri="{C3380CC4-5D6E-409C-BE32-E72D297353CC}">
              <c16:uniqueId val="{0000000B-6854-4B02-BE0A-FF69FF46AF7C}"/>
            </c:ext>
          </c:extLst>
        </c:ser>
        <c:dLbls>
          <c:showLegendKey val="0"/>
          <c:showVal val="1"/>
          <c:showCatName val="0"/>
          <c:showSerName val="0"/>
          <c:showPercent val="0"/>
          <c:showBubbleSize val="0"/>
        </c:dLbls>
        <c:marker val="1"/>
        <c:smooth val="0"/>
        <c:axId val="1578262352"/>
        <c:axId val="1578258544"/>
      </c:lineChart>
      <c:catAx>
        <c:axId val="1578271600"/>
        <c:scaling>
          <c:orientation val="minMax"/>
        </c:scaling>
        <c:delete val="0"/>
        <c:axPos val="b"/>
        <c:numFmt formatCode="General" sourceLinked="0"/>
        <c:majorTickMark val="none"/>
        <c:minorTickMark val="none"/>
        <c:tickLblPos val="nextTo"/>
        <c:crossAx val="1578260720"/>
        <c:crosses val="autoZero"/>
        <c:auto val="1"/>
        <c:lblAlgn val="ctr"/>
        <c:lblOffset val="100"/>
        <c:noMultiLvlLbl val="0"/>
      </c:catAx>
      <c:valAx>
        <c:axId val="1578260720"/>
        <c:scaling>
          <c:orientation val="minMax"/>
        </c:scaling>
        <c:delete val="0"/>
        <c:axPos val="l"/>
        <c:numFmt formatCode="#,##0" sourceLinked="1"/>
        <c:majorTickMark val="none"/>
        <c:minorTickMark val="none"/>
        <c:tickLblPos val="nextTo"/>
        <c:crossAx val="1578271600"/>
        <c:crosses val="autoZero"/>
        <c:crossBetween val="between"/>
      </c:valAx>
      <c:valAx>
        <c:axId val="1578258544"/>
        <c:scaling>
          <c:orientation val="minMax"/>
        </c:scaling>
        <c:delete val="0"/>
        <c:axPos val="r"/>
        <c:numFmt formatCode="0%" sourceLinked="1"/>
        <c:majorTickMark val="out"/>
        <c:minorTickMark val="none"/>
        <c:tickLblPos val="nextTo"/>
        <c:crossAx val="1578262352"/>
        <c:crosses val="max"/>
        <c:crossBetween val="between"/>
      </c:valAx>
      <c:catAx>
        <c:axId val="1578262352"/>
        <c:scaling>
          <c:orientation val="minMax"/>
        </c:scaling>
        <c:delete val="1"/>
        <c:axPos val="b"/>
        <c:numFmt formatCode="General" sourceLinked="1"/>
        <c:majorTickMark val="out"/>
        <c:minorTickMark val="none"/>
        <c:tickLblPos val="nextTo"/>
        <c:crossAx val="1578258544"/>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424-447D-B3DB-38CCAC85921B}"/>
              </c:ext>
            </c:extLst>
          </c:dPt>
          <c:dPt>
            <c:idx val="1"/>
            <c:bubble3D val="0"/>
            <c:spPr>
              <a:solidFill>
                <a:schemeClr val="accent6">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424-447D-B3DB-38CCAC85921B}"/>
              </c:ext>
            </c:extLst>
          </c:dPt>
          <c:dPt>
            <c:idx val="2"/>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424-447D-B3DB-38CCAC85921B}"/>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r>
                      <a:rPr lang="en-US"/>
                      <a:t>Civiles </a:t>
                    </a:r>
                    <a:fld id="{0DE1874E-31FB-46E3-8446-6F5D20BDC9B8}" type="VALUE">
                      <a:rPr lang="en-US"/>
                      <a:pPr>
                        <a:defRPr>
                          <a:solidFill>
                            <a:schemeClr val="tx1"/>
                          </a:solidFill>
                        </a:defRPr>
                      </a:pPr>
                      <a:t>[VALOR]</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424-447D-B3DB-38CCAC85921B}"/>
                </c:ext>
              </c:extLst>
            </c:dLbl>
            <c:dLbl>
              <c:idx val="1"/>
              <c:layout>
                <c:manualLayout>
                  <c:x val="2.4409024665433911E-2"/>
                  <c:y val="-1.3888888888888888E-2"/>
                </c:manualLayout>
              </c:layout>
              <c:tx>
                <c:rich>
                  <a:bodyPr rot="0" spcFirstLastPara="1" vertOverflow="ellipsis" vert="horz" wrap="square" lIns="38100" tIns="19050" rIns="38100" bIns="19050" anchor="ctr" anchorCtr="1">
                    <a:spAutoFit/>
                  </a:bodyPr>
                  <a:lstStyle/>
                  <a:p>
                    <a:pPr>
                      <a:defRPr sz="1050" b="1" i="0" u="none" strike="noStrike" kern="1200" spc="0" baseline="0">
                        <a:solidFill>
                          <a:schemeClr val="tx1"/>
                        </a:solidFill>
                        <a:latin typeface="+mn-lt"/>
                        <a:ea typeface="+mn-ea"/>
                        <a:cs typeface="+mn-cs"/>
                      </a:defRPr>
                    </a:pPr>
                    <a:r>
                      <a:rPr lang="en-US" sz="1050"/>
                      <a:t>Solidarias </a:t>
                    </a:r>
                    <a:fld id="{90257C1E-480E-4FB7-972A-E16E1347AC87}" type="VALUE">
                      <a:rPr lang="en-US" sz="1050"/>
                      <a:pPr>
                        <a:defRPr sz="1050">
                          <a:solidFill>
                            <a:schemeClr val="tx1"/>
                          </a:solidFill>
                        </a:defRPr>
                      </a:pPr>
                      <a:t>[VALOR]</a:t>
                    </a:fld>
                    <a:endParaRPr lang="en-US" sz="1050"/>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424-447D-B3DB-38CCAC85921B}"/>
                </c:ext>
              </c:extLst>
            </c:dLbl>
            <c:dLbl>
              <c:idx val="2"/>
              <c:layout>
                <c:manualLayout>
                  <c:x val="4.705067786113299E-2"/>
                  <c:y val="2.1218890680033321E-17"/>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r>
                      <a:rPr lang="en-US"/>
                      <a:t>P.N. </a:t>
                    </a:r>
                    <a:fld id="{903306AE-8C9B-491D-BABF-831CD724B3FC}" type="VALUE">
                      <a:rPr lang="en-US"/>
                      <a:pPr>
                        <a:defRPr>
                          <a:solidFill>
                            <a:schemeClr val="tx1"/>
                          </a:solidFill>
                        </a:defRPr>
                      </a:pPr>
                      <a:t>[VALOR]</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9424-447D-B3DB-38CCAC85921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(Nómina!$E$32,Nómina!$H$32,Nómina!$K$32)</c:f>
              <c:numCache>
                <c:formatCode>0.00%</c:formatCode>
                <c:ptCount val="3"/>
                <c:pt idx="0">
                  <c:v>0.7135749648325187</c:v>
                </c:pt>
                <c:pt idx="1">
                  <c:v>8.2297052324143444E-2</c:v>
                </c:pt>
                <c:pt idx="2">
                  <c:v>0.2041279828433378</c:v>
                </c:pt>
              </c:numCache>
            </c:numRef>
          </c:val>
          <c:extLst>
            <c:ext xmlns:c16="http://schemas.microsoft.com/office/drawing/2014/chart" uri="{C3380CC4-5D6E-409C-BE32-E72D297353CC}">
              <c16:uniqueId val="{00000006-9424-447D-B3DB-38CCAC85921B}"/>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DO"/>
              <a:t>Nóminas Autoseguro</a:t>
            </a:r>
          </a:p>
          <a:p>
            <a:pPr>
              <a:defRPr/>
            </a:pPr>
            <a:endParaRPr lang="es-DO"/>
          </a:p>
        </c:rich>
      </c:tx>
      <c:layout>
        <c:manualLayout>
          <c:xMode val="edge"/>
          <c:yMode val="edge"/>
          <c:x val="0.35253770252053629"/>
          <c:y val="5.6255603585513556E-4"/>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D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823287249937635E-2"/>
          <c:y val="0.34937666470179163"/>
          <c:w val="0.93897689989547006"/>
          <c:h val="0.64884186351706041"/>
        </c:manualLayout>
      </c:layout>
      <c:pie3DChart>
        <c:varyColors val="1"/>
        <c:ser>
          <c:idx val="0"/>
          <c:order val="0"/>
          <c:explosion val="16"/>
          <c:dPt>
            <c:idx val="0"/>
            <c:bubble3D val="0"/>
            <c:explosion val="36"/>
            <c:spPr>
              <a:solidFill>
                <a:schemeClr val="accent6">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226-4742-8E7F-C6FD6D3E0DFF}"/>
              </c:ext>
            </c:extLst>
          </c:dPt>
          <c:dPt>
            <c:idx val="1"/>
            <c:bubble3D val="0"/>
            <c:explosion val="42"/>
            <c:spPr>
              <a:solidFill>
                <a:schemeClr val="accent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226-4742-8E7F-C6FD6D3E0DFF}"/>
              </c:ext>
            </c:extLst>
          </c:dPt>
          <c:dPt>
            <c:idx val="2"/>
            <c:bubble3D val="0"/>
            <c:spPr>
              <a:solidFill>
                <a:schemeClr val="accent3">
                  <a:shade val="86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226-4742-8E7F-C6FD6D3E0DFF}"/>
              </c:ext>
            </c:extLst>
          </c:dPt>
          <c:dPt>
            <c:idx val="3"/>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D226-4742-8E7F-C6FD6D3E0DFF}"/>
              </c:ext>
            </c:extLst>
          </c:dPt>
          <c:dLbls>
            <c:dLbl>
              <c:idx val="0"/>
              <c:layout>
                <c:manualLayout>
                  <c:x val="-5.200158698585397E-2"/>
                  <c:y val="-3.2605790134555353E-17"/>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DECF9C51-46E0-4294-B195-1D220E9FC5C4}" type="PERCENTAGE">
                      <a:rPr lang="en-US"/>
                      <a:pPr>
                        <a:defRPr>
                          <a:solidFill>
                            <a:schemeClr val="tx1"/>
                          </a:solidFill>
                        </a:defRPr>
                      </a:pPr>
                      <a:t>[PORCENTAJE]</a:t>
                    </a:fld>
                    <a:r>
                      <a:rPr lang="en-US"/>
                      <a:t> Discapacidad Civil</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226-4742-8E7F-C6FD6D3E0DFF}"/>
                </c:ext>
              </c:extLst>
            </c:dLbl>
            <c:dLbl>
              <c:idx val="1"/>
              <c:layout>
                <c:manualLayout>
                  <c:x val="1.032263512319764E-2"/>
                  <c:y val="3.248279061221917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ADB0CDDD-8AED-465F-8CB0-AD4C2AA7E6E9}" type="VALUE">
                      <a:rPr lang="en-US"/>
                      <a:pPr>
                        <a:defRPr>
                          <a:solidFill>
                            <a:schemeClr val="tx1"/>
                          </a:solidFill>
                        </a:defRPr>
                      </a:pPr>
                      <a:t>[VALOR]</a:t>
                    </a:fld>
                    <a:r>
                      <a:rPr lang="en-US"/>
                      <a:t> Discapacidad PN</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226-4742-8E7F-C6FD6D3E0DFF}"/>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1231C39E-1E62-4572-8675-95EF26C6BE38}" type="PERCENTAGE">
                      <a:rPr lang="en-US"/>
                      <a:pPr>
                        <a:defRPr>
                          <a:solidFill>
                            <a:schemeClr val="tx1"/>
                          </a:solidFill>
                        </a:defRPr>
                      </a:pPr>
                      <a:t>[PORCENTAJE]</a:t>
                    </a:fld>
                    <a:r>
                      <a:rPr lang="en-US"/>
                      <a:t> Sobrevivencia Civil</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D226-4742-8E7F-C6FD6D3E0DFF}"/>
                </c:ext>
              </c:extLst>
            </c:dLbl>
            <c:dLbl>
              <c:idx val="3"/>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6F7D688D-08E1-4C3E-B88A-5A6FCB65F87E}" type="PERCENTAGE">
                      <a:rPr lang="en-US"/>
                      <a:pPr>
                        <a:defRPr>
                          <a:solidFill>
                            <a:schemeClr val="tx1"/>
                          </a:solidFill>
                        </a:defRPr>
                      </a:pPr>
                      <a:t>[PORCENTAJE]</a:t>
                    </a:fld>
                    <a:r>
                      <a:rPr lang="en-US"/>
                      <a:t> Sobrevivencia PN</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226-4742-8E7F-C6FD6D3E0DF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(Autoseguro!$D$17,Autoseguro!$I$17,Autoseguro!$N$17,Autoseguro!$P$17)</c:f>
              <c:numCache>
                <c:formatCode>0.0%</c:formatCode>
                <c:ptCount val="4"/>
                <c:pt idx="0" formatCode="0%">
                  <c:v>9.7333076964690804E-2</c:v>
                </c:pt>
                <c:pt idx="1">
                  <c:v>9.702433182804174E-4</c:v>
                </c:pt>
                <c:pt idx="2" formatCode="0%">
                  <c:v>0.44645366809106768</c:v>
                </c:pt>
                <c:pt idx="3" formatCode="0%">
                  <c:v>0.45524301162596109</c:v>
                </c:pt>
              </c:numCache>
            </c:numRef>
          </c:val>
          <c:extLst>
            <c:ext xmlns:c16="http://schemas.microsoft.com/office/drawing/2014/chart" uri="{C3380CC4-5D6E-409C-BE32-E72D297353CC}">
              <c16:uniqueId val="{00000000-D226-4742-8E7F-C6FD6D3E0DFF}"/>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9940515670490325E-2"/>
          <c:y val="4.8999027385089912E-2"/>
          <c:w val="0.55326605273997942"/>
          <c:h val="0.83940945825033841"/>
        </c:manualLayout>
      </c:layout>
      <c:barChart>
        <c:barDir val="bar"/>
        <c:grouping val="clustered"/>
        <c:varyColors val="0"/>
        <c:ser>
          <c:idx val="0"/>
          <c:order val="0"/>
          <c:tx>
            <c:v>Inclusiones</c:v>
          </c:tx>
          <c:spPr>
            <a:solidFill>
              <a:schemeClr val="bg1">
                <a:lumMod val="75000"/>
              </a:schemeClr>
            </a:solidFill>
            <a:ln>
              <a:solidFill>
                <a:schemeClr val="bg1">
                  <a:lumMod val="75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Movimientos!$D$9:$D$11</c:f>
              <c:numCache>
                <c:formatCode>0_);\(0\)</c:formatCode>
                <c:ptCount val="3"/>
                <c:pt idx="0">
                  <c:v>4557</c:v>
                </c:pt>
                <c:pt idx="1">
                  <c:v>1457</c:v>
                </c:pt>
                <c:pt idx="2">
                  <c:v>1027</c:v>
                </c:pt>
              </c:numCache>
            </c:numRef>
          </c:val>
          <c:extLst>
            <c:ext xmlns:c16="http://schemas.microsoft.com/office/drawing/2014/chart" uri="{C3380CC4-5D6E-409C-BE32-E72D297353CC}">
              <c16:uniqueId val="{00000000-E282-4033-860E-FF0E9A955014}"/>
            </c:ext>
          </c:extLst>
        </c:ser>
        <c:ser>
          <c:idx val="1"/>
          <c:order val="1"/>
          <c:tx>
            <c:strRef>
              <c:f>Movimientos!$J$7</c:f>
              <c:strCache>
                <c:ptCount val="1"/>
                <c:pt idx="0">
                  <c:v>Ajustes Monto Pensiones</c:v>
                </c:pt>
              </c:strCache>
            </c:strRef>
          </c:tx>
          <c:spPr>
            <a:solidFill>
              <a:schemeClr val="accent3">
                <a:lumMod val="20000"/>
                <a:lumOff val="80000"/>
              </a:schemeClr>
            </a:solidFill>
            <a:ln>
              <a:solidFill>
                <a:schemeClr val="accent3">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Movimientos!$J$9:$J$11</c:f>
              <c:numCache>
                <c:formatCode>General</c:formatCode>
                <c:ptCount val="3"/>
                <c:pt idx="0">
                  <c:v>72</c:v>
                </c:pt>
                <c:pt idx="1">
                  <c:v>27</c:v>
                </c:pt>
                <c:pt idx="2">
                  <c:v>25</c:v>
                </c:pt>
              </c:numCache>
            </c:numRef>
          </c:val>
          <c:extLst>
            <c:ext xmlns:c16="http://schemas.microsoft.com/office/drawing/2014/chart" uri="{C3380CC4-5D6E-409C-BE32-E72D297353CC}">
              <c16:uniqueId val="{00000001-E282-4033-860E-FF0E9A955014}"/>
            </c:ext>
          </c:extLst>
        </c:ser>
        <c:ser>
          <c:idx val="2"/>
          <c:order val="2"/>
          <c:tx>
            <c:v>Exclusiones</c:v>
          </c:tx>
          <c:spPr>
            <a:solidFill>
              <a:schemeClr val="accent1">
                <a:lumMod val="60000"/>
                <a:lumOff val="40000"/>
              </a:schemeClr>
            </a:solidFill>
            <a:ln>
              <a:solidFill>
                <a:schemeClr val="accent1">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Movimientos!$L$9:$L$11</c:f>
              <c:numCache>
                <c:formatCode>General</c:formatCode>
                <c:ptCount val="3"/>
                <c:pt idx="0">
                  <c:v>220</c:v>
                </c:pt>
                <c:pt idx="1">
                  <c:v>718</c:v>
                </c:pt>
                <c:pt idx="2">
                  <c:v>157</c:v>
                </c:pt>
              </c:numCache>
            </c:numRef>
          </c:val>
          <c:extLst>
            <c:ext xmlns:c16="http://schemas.microsoft.com/office/drawing/2014/chart" uri="{C3380CC4-5D6E-409C-BE32-E72D297353CC}">
              <c16:uniqueId val="{00000002-E282-4033-860E-FF0E9A955014}"/>
            </c:ext>
          </c:extLst>
        </c:ser>
        <c:ser>
          <c:idx val="3"/>
          <c:order val="3"/>
          <c:tx>
            <c:v>Suspensiones</c:v>
          </c:tx>
          <c:spPr>
            <a:solidFill>
              <a:schemeClr val="accent6">
                <a:lumMod val="60000"/>
                <a:lumOff val="40000"/>
              </a:schemeClr>
            </a:solidFill>
            <a:ln>
              <a:solidFill>
                <a:schemeClr val="accent6">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Movimientos!$N$9:$N$11</c:f>
              <c:numCache>
                <c:formatCode>General</c:formatCode>
                <c:ptCount val="3"/>
                <c:pt idx="0">
                  <c:v>179</c:v>
                </c:pt>
                <c:pt idx="1">
                  <c:v>117</c:v>
                </c:pt>
                <c:pt idx="2">
                  <c:v>270</c:v>
                </c:pt>
              </c:numCache>
            </c:numRef>
          </c:val>
          <c:extLst>
            <c:ext xmlns:c16="http://schemas.microsoft.com/office/drawing/2014/chart" uri="{C3380CC4-5D6E-409C-BE32-E72D297353CC}">
              <c16:uniqueId val="{00000003-E282-4033-860E-FF0E9A955014}"/>
            </c:ext>
          </c:extLst>
        </c:ser>
        <c:ser>
          <c:idx val="4"/>
          <c:order val="4"/>
          <c:tx>
            <c:v>Sobrevivencia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Movimientos!$F$9:$F$11</c:f>
              <c:numCache>
                <c:formatCode>General</c:formatCode>
                <c:ptCount val="3"/>
                <c:pt idx="0">
                  <c:v>140</c:v>
                </c:pt>
                <c:pt idx="1">
                  <c:v>228</c:v>
                </c:pt>
                <c:pt idx="2">
                  <c:v>127</c:v>
                </c:pt>
              </c:numCache>
            </c:numRef>
          </c:val>
          <c:extLst>
            <c:ext xmlns:c16="http://schemas.microsoft.com/office/drawing/2014/chart" uri="{C3380CC4-5D6E-409C-BE32-E72D297353CC}">
              <c16:uniqueId val="{00000000-116A-4A3F-8F7B-3DBD08485257}"/>
            </c:ext>
          </c:extLst>
        </c:ser>
        <c:ser>
          <c:idx val="5"/>
          <c:order val="5"/>
          <c:tx>
            <c:v>Reinclusión</c:v>
          </c:tx>
          <c:spPr>
            <a:solidFill>
              <a:srgbClr val="FFC000"/>
            </a:solidFill>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Movimientos!$H$9:$H$11</c:f>
              <c:numCache>
                <c:formatCode>General</c:formatCode>
                <c:ptCount val="3"/>
                <c:pt idx="0">
                  <c:v>114</c:v>
                </c:pt>
                <c:pt idx="1">
                  <c:v>161</c:v>
                </c:pt>
                <c:pt idx="2">
                  <c:v>160</c:v>
                </c:pt>
              </c:numCache>
            </c:numRef>
          </c:val>
          <c:extLst>
            <c:ext xmlns:c16="http://schemas.microsoft.com/office/drawing/2014/chart" uri="{C3380CC4-5D6E-409C-BE32-E72D297353CC}">
              <c16:uniqueId val="{00000001-116A-4A3F-8F7B-3DBD08485257}"/>
            </c:ext>
          </c:extLst>
        </c:ser>
        <c:dLbls>
          <c:dLblPos val="inEnd"/>
          <c:showLegendKey val="0"/>
          <c:showVal val="1"/>
          <c:showCatName val="0"/>
          <c:showSerName val="0"/>
          <c:showPercent val="0"/>
          <c:showBubbleSize val="0"/>
        </c:dLbls>
        <c:gapWidth val="150"/>
        <c:axId val="1665022896"/>
        <c:axId val="1665031056"/>
      </c:barChart>
      <c:catAx>
        <c:axId val="1665022896"/>
        <c:scaling>
          <c:orientation val="minMax"/>
        </c:scaling>
        <c:delete val="0"/>
        <c:axPos val="l"/>
        <c:numFmt formatCode="General" sourceLinked="0"/>
        <c:majorTickMark val="none"/>
        <c:minorTickMark val="none"/>
        <c:tickLblPos val="nextTo"/>
        <c:txPr>
          <a:bodyPr/>
          <a:lstStyle/>
          <a:p>
            <a:pPr>
              <a:defRPr b="1"/>
            </a:pPr>
            <a:endParaRPr lang="es-DO"/>
          </a:p>
        </c:txPr>
        <c:crossAx val="1665031056"/>
        <c:crosses val="autoZero"/>
        <c:auto val="1"/>
        <c:lblAlgn val="ctr"/>
        <c:lblOffset val="100"/>
        <c:noMultiLvlLbl val="0"/>
      </c:catAx>
      <c:valAx>
        <c:axId val="1665031056"/>
        <c:scaling>
          <c:logBase val="10"/>
          <c:orientation val="minMax"/>
        </c:scaling>
        <c:delete val="0"/>
        <c:axPos val="b"/>
        <c:numFmt formatCode="0_);\(0\)" sourceLinked="1"/>
        <c:majorTickMark val="none"/>
        <c:minorTickMark val="none"/>
        <c:tickLblPos val="nextTo"/>
        <c:txPr>
          <a:bodyPr/>
          <a:lstStyle/>
          <a:p>
            <a:pPr>
              <a:defRPr b="1"/>
            </a:pPr>
            <a:endParaRPr lang="es-DO"/>
          </a:p>
        </c:txPr>
        <c:crossAx val="1665022896"/>
        <c:crosses val="autoZero"/>
        <c:crossBetween val="between"/>
      </c:valAx>
    </c:plotArea>
    <c:legend>
      <c:legendPos val="r"/>
      <c:layout>
        <c:manualLayout>
          <c:xMode val="edge"/>
          <c:yMode val="edge"/>
          <c:x val="0.57978180499944976"/>
          <c:y val="0.22769345571442065"/>
          <c:w val="0.24086942177129919"/>
          <c:h val="0.49865286954167892"/>
        </c:manualLayout>
      </c:layout>
      <c:overlay val="0"/>
      <c:txPr>
        <a:bodyPr/>
        <a:lstStyle/>
        <a:p>
          <a:pPr>
            <a:defRPr b="1"/>
          </a:pPr>
          <a:endParaRPr lang="es-DO"/>
        </a:p>
      </c:txPr>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780601385279349"/>
          <c:y val="2.1036635775980847E-2"/>
          <c:w val="0.73694651444513781"/>
          <c:h val="0.83128904392609693"/>
        </c:manualLayout>
      </c:layout>
      <c:barChart>
        <c:barDir val="bar"/>
        <c:grouping val="clustered"/>
        <c:varyColors val="0"/>
        <c:ser>
          <c:idx val="0"/>
          <c:order val="0"/>
          <c:tx>
            <c:v>Inclusiones</c:v>
          </c:tx>
          <c:spPr>
            <a:solidFill>
              <a:schemeClr val="bg1">
                <a:lumMod val="75000"/>
              </a:schemeClr>
            </a:solidFill>
            <a:ln>
              <a:solidFill>
                <a:schemeClr val="bg1">
                  <a:lumMod val="75000"/>
                </a:schemeClr>
              </a:solidFill>
            </a:ln>
          </c:spPr>
          <c:invertIfNegative val="0"/>
          <c:dLbls>
            <c:dLbl>
              <c:idx val="0"/>
              <c:layout>
                <c:manualLayout>
                  <c:x val="-0.39366242102242716"/>
                  <c:y val="8.128420649541147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2C-4E6B-BB9F-CA473917CEC3}"/>
                </c:ext>
              </c:extLst>
            </c:dLbl>
            <c:dLbl>
              <c:idx val="1"/>
              <c:layout>
                <c:manualLayout>
                  <c:x val="-0.60250400586729225"/>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75-4BF1-96D1-0E5D4CD269C9}"/>
                </c:ext>
              </c:extLst>
            </c:dLbl>
            <c:dLbl>
              <c:idx val="2"/>
              <c:layout>
                <c:manualLayout>
                  <c:x val="-0.6251176930636125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75-4BF1-96D1-0E5D4CD269C9}"/>
                </c:ext>
              </c:extLst>
            </c:dLbl>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Movimientos!$E$9:$E$11</c:f>
              <c:numCache>
                <c:formatCode>_(* #,##0.00_);_(* \(#,##0.00\);_(* "-"??_);_(@_)</c:formatCode>
                <c:ptCount val="3"/>
                <c:pt idx="0">
                  <c:v>80511776.150000006</c:v>
                </c:pt>
                <c:pt idx="1">
                  <c:v>20497013.800000001</c:v>
                </c:pt>
                <c:pt idx="2">
                  <c:v>14190385.449999999</c:v>
                </c:pt>
              </c:numCache>
            </c:numRef>
          </c:val>
          <c:extLst>
            <c:ext xmlns:c16="http://schemas.microsoft.com/office/drawing/2014/chart" uri="{C3380CC4-5D6E-409C-BE32-E72D297353CC}">
              <c16:uniqueId val="{00000003-8AFF-4828-BAD6-C3A255569C39}"/>
            </c:ext>
          </c:extLst>
        </c:ser>
        <c:ser>
          <c:idx val="1"/>
          <c:order val="1"/>
          <c:tx>
            <c:strRef>
              <c:f>Movimientos!$J$7</c:f>
              <c:strCache>
                <c:ptCount val="1"/>
                <c:pt idx="0">
                  <c:v>Ajustes Monto Pensiones</c:v>
                </c:pt>
              </c:strCache>
            </c:strRef>
          </c:tx>
          <c:spPr>
            <a:solidFill>
              <a:schemeClr val="accent3">
                <a:lumMod val="20000"/>
                <a:lumOff val="80000"/>
              </a:schemeClr>
            </a:solidFill>
            <a:ln>
              <a:solidFill>
                <a:schemeClr val="accent3">
                  <a:lumMod val="60000"/>
                  <a:lumOff val="40000"/>
                </a:schemeClr>
              </a:solidFill>
            </a:ln>
          </c:spPr>
          <c:invertIfNegative val="0"/>
          <c:dLbls>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Movimientos!$K$9:$K$11</c:f>
              <c:numCache>
                <c:formatCode>_(* #,##0.00_);_(* \(#,##0.00\);_(* "-"??_);_(@_)</c:formatCode>
                <c:ptCount val="3"/>
                <c:pt idx="0">
                  <c:v>1409412.57</c:v>
                </c:pt>
                <c:pt idx="1">
                  <c:v>204279.62</c:v>
                </c:pt>
                <c:pt idx="2">
                  <c:v>351677.4</c:v>
                </c:pt>
              </c:numCache>
            </c:numRef>
          </c:val>
          <c:extLst>
            <c:ext xmlns:c16="http://schemas.microsoft.com/office/drawing/2014/chart" uri="{C3380CC4-5D6E-409C-BE32-E72D297353CC}">
              <c16:uniqueId val="{00000007-8AFF-4828-BAD6-C3A255569C39}"/>
            </c:ext>
          </c:extLst>
        </c:ser>
        <c:ser>
          <c:idx val="2"/>
          <c:order val="2"/>
          <c:tx>
            <c:v>Exclusiones</c:v>
          </c:tx>
          <c:spPr>
            <a:solidFill>
              <a:schemeClr val="accent1">
                <a:lumMod val="60000"/>
                <a:lumOff val="40000"/>
              </a:schemeClr>
            </a:solidFill>
            <a:ln>
              <a:solidFill>
                <a:schemeClr val="accent1">
                  <a:lumMod val="60000"/>
                  <a:lumOff val="40000"/>
                </a:schemeClr>
              </a:solidFill>
            </a:ln>
          </c:spPr>
          <c:invertIfNegative val="0"/>
          <c:dLbls>
            <c:dLbl>
              <c:idx val="0"/>
              <c:layout>
                <c:manualLayout>
                  <c:x val="-0.2147734894882381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2C-4E6B-BB9F-CA473917CEC3}"/>
                </c:ext>
              </c:extLst>
            </c:dLbl>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Movimientos!$M$9:$M$11</c:f>
              <c:numCache>
                <c:formatCode>_(* #,##0.00_);_(* \(#,##0.00\);_(* "-"??_);_(@_)</c:formatCode>
                <c:ptCount val="3"/>
                <c:pt idx="0">
                  <c:v>2931143.18</c:v>
                </c:pt>
                <c:pt idx="1">
                  <c:v>9670396.8300000001</c:v>
                </c:pt>
                <c:pt idx="2">
                  <c:v>2068113.88</c:v>
                </c:pt>
              </c:numCache>
            </c:numRef>
          </c:val>
          <c:extLst>
            <c:ext xmlns:c16="http://schemas.microsoft.com/office/drawing/2014/chart" uri="{C3380CC4-5D6E-409C-BE32-E72D297353CC}">
              <c16:uniqueId val="{0000000B-8AFF-4828-BAD6-C3A255569C39}"/>
            </c:ext>
          </c:extLst>
        </c:ser>
        <c:ser>
          <c:idx val="3"/>
          <c:order val="3"/>
          <c:tx>
            <c:v>Suspensiones</c:v>
          </c:tx>
          <c:spPr>
            <a:solidFill>
              <a:schemeClr val="accent6">
                <a:lumMod val="60000"/>
                <a:lumOff val="40000"/>
              </a:schemeClr>
            </a:solidFill>
            <a:ln>
              <a:solidFill>
                <a:schemeClr val="accent6">
                  <a:lumMod val="60000"/>
                  <a:lumOff val="40000"/>
                </a:schemeClr>
              </a:solidFill>
            </a:ln>
          </c:spPr>
          <c:invertIfNegative val="0"/>
          <c:dLbls>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Movimientos!$O$9:$O$11</c:f>
              <c:numCache>
                <c:formatCode>_(* #,##0.00_);_(* \(#,##0.00\);_(* "-"??_);_(@_)</c:formatCode>
                <c:ptCount val="3"/>
                <c:pt idx="0">
                  <c:v>2530693.83</c:v>
                </c:pt>
                <c:pt idx="1">
                  <c:v>1620107.44</c:v>
                </c:pt>
                <c:pt idx="2">
                  <c:v>3625212.4800000004</c:v>
                </c:pt>
              </c:numCache>
            </c:numRef>
          </c:val>
          <c:extLst>
            <c:ext xmlns:c16="http://schemas.microsoft.com/office/drawing/2014/chart" uri="{C3380CC4-5D6E-409C-BE32-E72D297353CC}">
              <c16:uniqueId val="{0000000F-8AFF-4828-BAD6-C3A255569C39}"/>
            </c:ext>
          </c:extLst>
        </c:ser>
        <c:ser>
          <c:idx val="4"/>
          <c:order val="4"/>
          <c:tx>
            <c:v>Sobrevivencia</c:v>
          </c:tx>
          <c:invertIfNegative val="0"/>
          <c:dLbls>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Movimientos!$G$9:$G$11</c:f>
              <c:numCache>
                <c:formatCode>_(* #,##0.00_);_(* \(#,##0.00\);_(* "-"??_);_(@_)</c:formatCode>
                <c:ptCount val="3"/>
                <c:pt idx="0">
                  <c:v>1959438.54</c:v>
                </c:pt>
                <c:pt idx="1">
                  <c:v>3221767.27</c:v>
                </c:pt>
                <c:pt idx="2">
                  <c:v>2184828.31</c:v>
                </c:pt>
              </c:numCache>
            </c:numRef>
          </c:val>
          <c:extLst>
            <c:ext xmlns:c16="http://schemas.microsoft.com/office/drawing/2014/chart" uri="{C3380CC4-5D6E-409C-BE32-E72D297353CC}">
              <c16:uniqueId val="{00000000-4DF2-4EF9-8A5D-162C790AA846}"/>
            </c:ext>
          </c:extLst>
        </c:ser>
        <c:ser>
          <c:idx val="5"/>
          <c:order val="5"/>
          <c:tx>
            <c:v>Reinclusión</c:v>
          </c:tx>
          <c:spPr>
            <a:solidFill>
              <a:srgbClr val="FFC000"/>
            </a:solidFill>
          </c:spPr>
          <c:invertIfNegative val="0"/>
          <c:dLbls>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Movimientos!$C$9:$C$11</c:f>
              <c:strCache>
                <c:ptCount val="3"/>
                <c:pt idx="0">
                  <c:v>Junio</c:v>
                </c:pt>
                <c:pt idx="1">
                  <c:v>Mayo</c:v>
                </c:pt>
                <c:pt idx="2">
                  <c:v>Abril</c:v>
                </c:pt>
              </c:strCache>
            </c:strRef>
          </c:cat>
          <c:val>
            <c:numRef>
              <c:f>Movimientos!$I$9:$I$11</c:f>
              <c:numCache>
                <c:formatCode>_(* #,##0.00_);_(* \(#,##0.00\);_(* "-"??_);_(@_)</c:formatCode>
                <c:ptCount val="3"/>
                <c:pt idx="0">
                  <c:v>1325024.01</c:v>
                </c:pt>
                <c:pt idx="1">
                  <c:v>1856461.59</c:v>
                </c:pt>
                <c:pt idx="2">
                  <c:v>1796150</c:v>
                </c:pt>
              </c:numCache>
            </c:numRef>
          </c:val>
          <c:extLst>
            <c:ext xmlns:c16="http://schemas.microsoft.com/office/drawing/2014/chart" uri="{C3380CC4-5D6E-409C-BE32-E72D297353CC}">
              <c16:uniqueId val="{00000001-4DF2-4EF9-8A5D-162C790AA846}"/>
            </c:ext>
          </c:extLst>
        </c:ser>
        <c:dLbls>
          <c:dLblPos val="inEnd"/>
          <c:showLegendKey val="0"/>
          <c:showVal val="1"/>
          <c:showCatName val="0"/>
          <c:showSerName val="0"/>
          <c:showPercent val="0"/>
          <c:showBubbleSize val="0"/>
        </c:dLbls>
        <c:gapWidth val="112"/>
        <c:overlap val="-24"/>
        <c:axId val="1665025616"/>
        <c:axId val="1670809952"/>
      </c:barChart>
      <c:catAx>
        <c:axId val="1665025616"/>
        <c:scaling>
          <c:orientation val="minMax"/>
        </c:scaling>
        <c:delete val="0"/>
        <c:axPos val="l"/>
        <c:numFmt formatCode="General" sourceLinked="0"/>
        <c:majorTickMark val="none"/>
        <c:minorTickMark val="none"/>
        <c:tickLblPos val="nextTo"/>
        <c:txPr>
          <a:bodyPr/>
          <a:lstStyle/>
          <a:p>
            <a:pPr>
              <a:defRPr b="1"/>
            </a:pPr>
            <a:endParaRPr lang="es-DO"/>
          </a:p>
        </c:txPr>
        <c:crossAx val="1670809952"/>
        <c:crosses val="autoZero"/>
        <c:auto val="1"/>
        <c:lblAlgn val="ctr"/>
        <c:lblOffset val="100"/>
        <c:noMultiLvlLbl val="0"/>
      </c:catAx>
      <c:valAx>
        <c:axId val="1670809952"/>
        <c:scaling>
          <c:logBase val="10"/>
          <c:orientation val="minMax"/>
          <c:min val="50000"/>
        </c:scaling>
        <c:delete val="0"/>
        <c:axPos val="b"/>
        <c:numFmt formatCode="_(* #,##0.00_);_(* \(#,##0.00\);_(* &quot;-&quot;??_);_(@_)" sourceLinked="1"/>
        <c:majorTickMark val="none"/>
        <c:minorTickMark val="none"/>
        <c:tickLblPos val="nextTo"/>
        <c:spPr>
          <a:effectLst/>
        </c:spPr>
        <c:txPr>
          <a:bodyPr rot="0"/>
          <a:lstStyle/>
          <a:p>
            <a:pPr>
              <a:defRPr b="1"/>
            </a:pPr>
            <a:endParaRPr lang="es-DO"/>
          </a:p>
        </c:txPr>
        <c:crossAx val="1665025616"/>
        <c:crosses val="autoZero"/>
        <c:crossBetween val="between"/>
      </c:valAx>
    </c:plotArea>
    <c:legend>
      <c:legendPos val="r"/>
      <c:layout>
        <c:manualLayout>
          <c:xMode val="edge"/>
          <c:yMode val="edge"/>
          <c:x val="0.81468822752419823"/>
          <c:y val="0.25795995727249033"/>
          <c:w val="0.17195035796141289"/>
          <c:h val="0.5223477229823078"/>
        </c:manualLayout>
      </c:layout>
      <c:overlay val="0"/>
      <c:txPr>
        <a:bodyPr/>
        <a:lstStyle/>
        <a:p>
          <a:pPr>
            <a:defRPr b="1"/>
          </a:pPr>
          <a:endParaRPr lang="es-DO"/>
        </a:p>
      </c:txPr>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'Tipo de Pension'!$C$8:$F$8</c:f>
              <c:strCache>
                <c:ptCount val="1"/>
                <c:pt idx="0">
                  <c:v>Trimestre abril-junio
Al 30 de junio 2024</c:v>
                </c:pt>
              </c:strCache>
            </c:strRef>
          </c:tx>
          <c:spPr>
            <a:solidFill>
              <a:schemeClr val="bg1">
                <a:lumMod val="75000"/>
              </a:schemeClr>
            </a:solidFill>
            <a:ln>
              <a:noFill/>
            </a:ln>
            <a:effectLst/>
          </c:spPr>
          <c:invertIfNegative val="0"/>
          <c:cat>
            <c:strRef>
              <c:f>'Tipo de Pension'!$B$10:$B$18</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Pension'!$C$10:$C$18</c:f>
              <c:numCache>
                <c:formatCode>0</c:formatCode>
                <c:ptCount val="9"/>
                <c:pt idx="0">
                  <c:v>33649</c:v>
                </c:pt>
                <c:pt idx="1">
                  <c:v>71175</c:v>
                </c:pt>
                <c:pt idx="2">
                  <c:v>252</c:v>
                </c:pt>
                <c:pt idx="3">
                  <c:v>174</c:v>
                </c:pt>
                <c:pt idx="4">
                  <c:v>227</c:v>
                </c:pt>
                <c:pt idx="5">
                  <c:v>34800</c:v>
                </c:pt>
                <c:pt idx="6">
                  <c:v>25549</c:v>
                </c:pt>
                <c:pt idx="7">
                  <c:v>48335</c:v>
                </c:pt>
                <c:pt idx="8">
                  <c:v>20082</c:v>
                </c:pt>
              </c:numCache>
            </c:numRef>
          </c:val>
          <c:extLst>
            <c:ext xmlns:c16="http://schemas.microsoft.com/office/drawing/2014/chart" uri="{C3380CC4-5D6E-409C-BE32-E72D297353CC}">
              <c16:uniqueId val="{00000000-B4F9-4047-9F40-71C6BD8AD3E7}"/>
            </c:ext>
          </c:extLst>
        </c:ser>
        <c:ser>
          <c:idx val="1"/>
          <c:order val="1"/>
          <c:tx>
            <c:strRef>
              <c:f>'Tipo de Pension'!$G$8:$J$8</c:f>
              <c:strCache>
                <c:ptCount val="1"/>
                <c:pt idx="0">
                  <c:v>Trimestre abril-junio
Al 30 de junio 2025</c:v>
                </c:pt>
              </c:strCache>
            </c:strRef>
          </c:tx>
          <c:spPr>
            <a:solidFill>
              <a:schemeClr val="accent3"/>
            </a:solidFill>
            <a:ln>
              <a:noFill/>
            </a:ln>
            <a:effectLst/>
          </c:spPr>
          <c:invertIfNegative val="0"/>
          <c:cat>
            <c:strRef>
              <c:f>'Tipo de Pension'!$B$10:$B$18</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Pension'!$G$10:$G$18</c:f>
              <c:numCache>
                <c:formatCode>0</c:formatCode>
                <c:ptCount val="9"/>
                <c:pt idx="0">
                  <c:v>39564</c:v>
                </c:pt>
                <c:pt idx="1">
                  <c:v>80555</c:v>
                </c:pt>
                <c:pt idx="2">
                  <c:v>245</c:v>
                </c:pt>
                <c:pt idx="3">
                  <c:v>184</c:v>
                </c:pt>
                <c:pt idx="4">
                  <c:v>218</c:v>
                </c:pt>
                <c:pt idx="5">
                  <c:v>27887</c:v>
                </c:pt>
                <c:pt idx="6">
                  <c:v>26556</c:v>
                </c:pt>
                <c:pt idx="7">
                  <c:v>55224</c:v>
                </c:pt>
                <c:pt idx="8">
                  <c:v>20917</c:v>
                </c:pt>
              </c:numCache>
            </c:numRef>
          </c:val>
          <c:extLst>
            <c:ext xmlns:c16="http://schemas.microsoft.com/office/drawing/2014/chart" uri="{C3380CC4-5D6E-409C-BE32-E72D297353CC}">
              <c16:uniqueId val="{00000001-B4F9-4047-9F40-71C6BD8AD3E7}"/>
            </c:ext>
          </c:extLst>
        </c:ser>
        <c:dLbls>
          <c:showLegendKey val="0"/>
          <c:showVal val="0"/>
          <c:showCatName val="0"/>
          <c:showSerName val="0"/>
          <c:showPercent val="0"/>
          <c:showBubbleSize val="0"/>
        </c:dLbls>
        <c:gapWidth val="50"/>
        <c:overlap val="-10"/>
        <c:axId val="1670801792"/>
        <c:axId val="1670802336"/>
      </c:barChart>
      <c:catAx>
        <c:axId val="167080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2336"/>
        <c:crosses val="autoZero"/>
        <c:auto val="1"/>
        <c:lblAlgn val="ctr"/>
        <c:lblOffset val="100"/>
        <c:noMultiLvlLbl val="0"/>
      </c:catAx>
      <c:valAx>
        <c:axId val="1670802336"/>
        <c:scaling>
          <c:orientation val="minMax"/>
          <c:max val="70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1792"/>
        <c:crosses val="autoZero"/>
        <c:crossBetween val="between"/>
        <c:majorUnit val="10000"/>
      </c:valAx>
      <c:spPr>
        <a:noFill/>
        <a:ln>
          <a:noFill/>
        </a:ln>
        <a:effectLst/>
      </c:spPr>
    </c:plotArea>
    <c:legend>
      <c:legendPos val="b"/>
      <c:layout>
        <c:manualLayout>
          <c:xMode val="edge"/>
          <c:yMode val="edge"/>
          <c:x val="0.20097366905261974"/>
          <c:y val="0.8993319686340091"/>
          <c:w val="0.64265757475713148"/>
          <c:h val="6.82925368111922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Tipo de Pensión</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Pension'!$C$8:$F$8</c:f>
              <c:strCache>
                <c:ptCount val="1"/>
                <c:pt idx="0">
                  <c:v>Trimestre abril-junio
Al 30 de junio 2024</c:v>
                </c:pt>
              </c:strCache>
            </c:strRef>
          </c:tx>
          <c:spPr>
            <a:solidFill>
              <a:schemeClr val="bg1">
                <a:lumMod val="75000"/>
              </a:schemeClr>
            </a:solidFill>
            <a:ln>
              <a:noFill/>
            </a:ln>
            <a:effectLst/>
          </c:spPr>
          <c:invertIfNegative val="0"/>
          <c:cat>
            <c:strRef>
              <c:f>'Tipo de Pension'!$B$10:$B$18</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Pension'!$E$10:$E$18</c:f>
              <c:numCache>
                <c:formatCode>#,##0</c:formatCode>
                <c:ptCount val="9"/>
                <c:pt idx="0" formatCode="#,##0.00">
                  <c:v>1644954259.3399999</c:v>
                </c:pt>
                <c:pt idx="1">
                  <c:v>2186333244.48</c:v>
                </c:pt>
                <c:pt idx="2">
                  <c:v>22670663.25</c:v>
                </c:pt>
                <c:pt idx="3">
                  <c:v>25511201.280000001</c:v>
                </c:pt>
                <c:pt idx="4">
                  <c:v>21655007.200000003</c:v>
                </c:pt>
                <c:pt idx="5">
                  <c:v>3057359275.0799999</c:v>
                </c:pt>
                <c:pt idx="6">
                  <c:v>2219834206.0099998</c:v>
                </c:pt>
                <c:pt idx="7">
                  <c:v>865128000</c:v>
                </c:pt>
                <c:pt idx="8">
                  <c:v>757504394.19000006</c:v>
                </c:pt>
              </c:numCache>
            </c:numRef>
          </c:val>
          <c:extLst>
            <c:ext xmlns:c16="http://schemas.microsoft.com/office/drawing/2014/chart" uri="{C3380CC4-5D6E-409C-BE32-E72D297353CC}">
              <c16:uniqueId val="{00000000-4569-44D0-B52B-F7CCBE23C12D}"/>
            </c:ext>
          </c:extLst>
        </c:ser>
        <c:ser>
          <c:idx val="1"/>
          <c:order val="1"/>
          <c:tx>
            <c:strRef>
              <c:f>'Tipo de Pension'!$G$8:$J$8</c:f>
              <c:strCache>
                <c:ptCount val="1"/>
                <c:pt idx="0">
                  <c:v>Trimestre abril-junio
Al 30 de junio 2025</c:v>
                </c:pt>
              </c:strCache>
            </c:strRef>
          </c:tx>
          <c:spPr>
            <a:solidFill>
              <a:schemeClr val="accent3"/>
            </a:solidFill>
            <a:ln>
              <a:noFill/>
            </a:ln>
            <a:effectLst/>
          </c:spPr>
          <c:invertIfNegative val="0"/>
          <c:cat>
            <c:strRef>
              <c:f>'Tipo de Pension'!$B$10:$B$18</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Pension'!$I$10:$I$18</c:f>
              <c:numCache>
                <c:formatCode>#,##0.00</c:formatCode>
                <c:ptCount val="9"/>
                <c:pt idx="0">
                  <c:v>2487951325.9899998</c:v>
                </c:pt>
                <c:pt idx="1">
                  <c:v>2466031697.7800002</c:v>
                </c:pt>
                <c:pt idx="2">
                  <c:v>22110000</c:v>
                </c:pt>
                <c:pt idx="3">
                  <c:v>27650000</c:v>
                </c:pt>
                <c:pt idx="4">
                  <c:v>21471881.899999999</c:v>
                </c:pt>
                <c:pt idx="5">
                  <c:v>2474293768.6300001</c:v>
                </c:pt>
                <c:pt idx="6">
                  <c:v>2373694130.3299999</c:v>
                </c:pt>
                <c:pt idx="7">
                  <c:v>956988000</c:v>
                </c:pt>
                <c:pt idx="8">
                  <c:v>798269425.39999998</c:v>
                </c:pt>
              </c:numCache>
            </c:numRef>
          </c:val>
          <c:extLst>
            <c:ext xmlns:c16="http://schemas.microsoft.com/office/drawing/2014/chart" uri="{C3380CC4-5D6E-409C-BE32-E72D297353CC}">
              <c16:uniqueId val="{00000001-4569-44D0-B52B-F7CCBE23C12D}"/>
            </c:ext>
          </c:extLst>
        </c:ser>
        <c:dLbls>
          <c:showLegendKey val="0"/>
          <c:showVal val="0"/>
          <c:showCatName val="0"/>
          <c:showSerName val="0"/>
          <c:showPercent val="0"/>
          <c:showBubbleSize val="0"/>
        </c:dLbls>
        <c:gapWidth val="50"/>
        <c:overlap val="-10"/>
        <c:axId val="1670808864"/>
        <c:axId val="1670811040"/>
      </c:barChart>
      <c:catAx>
        <c:axId val="16708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11040"/>
        <c:crosses val="autoZero"/>
        <c:auto val="1"/>
        <c:lblAlgn val="ctr"/>
        <c:lblOffset val="100"/>
        <c:noMultiLvlLbl val="0"/>
      </c:catAx>
      <c:valAx>
        <c:axId val="1670811040"/>
        <c:scaling>
          <c:orientation val="minMax"/>
          <c:max val="2200000000"/>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8864"/>
        <c:crosses val="autoZero"/>
        <c:crossBetween val="between"/>
        <c:majorUnit val="300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Cantidad</a:t>
            </a:r>
            <a:r>
              <a:rPr lang="es-DO" baseline="0"/>
              <a:t> de Pensiones</a:t>
            </a:r>
          </a:p>
          <a:p>
            <a:pPr>
              <a:defRPr/>
            </a:pPr>
            <a:r>
              <a:rPr lang="es-DO" baseline="0"/>
              <a:t>por Monto de Pensión</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Pension'!$C$31:$F$31</c:f>
              <c:strCache>
                <c:ptCount val="1"/>
                <c:pt idx="0">
                  <c:v>Trimestre abril-junio
Al 30 de junio 2023</c:v>
                </c:pt>
              </c:strCache>
            </c:strRef>
          </c:tx>
          <c:spPr>
            <a:solidFill>
              <a:schemeClr val="bg1">
                <a:lumMod val="75000"/>
              </a:schemeClr>
            </a:solidFill>
            <a:ln>
              <a:noFill/>
            </a:ln>
            <a:effectLst/>
          </c:spPr>
          <c:invertIfNegative val="0"/>
          <c:cat>
            <c:multiLvlStrRef>
              <c:f>'Tipo de Pension'!$B$33:$B$45</c:f>
            </c:multiLvlStrRef>
          </c:cat>
          <c:val>
            <c:numRef>
              <c:f>'Tipo de Pension'!$C$33:$C$45</c:f>
            </c:numRef>
          </c:val>
          <c:extLst>
            <c:ext xmlns:c16="http://schemas.microsoft.com/office/drawing/2014/chart" uri="{C3380CC4-5D6E-409C-BE32-E72D297353CC}">
              <c16:uniqueId val="{00000000-C4E5-4C06-ADE3-C67B6B3CDF6E}"/>
            </c:ext>
          </c:extLst>
        </c:ser>
        <c:ser>
          <c:idx val="1"/>
          <c:order val="1"/>
          <c:tx>
            <c:strRef>
              <c:f>'Tipo de Pension'!$G$31:$J$31</c:f>
              <c:strCache>
                <c:ptCount val="1"/>
                <c:pt idx="0">
                  <c:v>Trimestre abril-junio
Al 30 de junio 2024</c:v>
                </c:pt>
              </c:strCache>
            </c:strRef>
          </c:tx>
          <c:spPr>
            <a:solidFill>
              <a:schemeClr val="accent3"/>
            </a:solidFill>
            <a:ln>
              <a:noFill/>
            </a:ln>
            <a:effectLst/>
          </c:spPr>
          <c:invertIfNegative val="0"/>
          <c:cat>
            <c:multiLvlStrRef>
              <c:f>'Tipo de Pension'!$B$33:$B$45</c:f>
            </c:multiLvlStrRef>
          </c:cat>
          <c:val>
            <c:numRef>
              <c:f>'Tipo de Pension'!$G$33:$G$45</c:f>
            </c:numRef>
          </c:val>
          <c:extLst>
            <c:ext xmlns:c16="http://schemas.microsoft.com/office/drawing/2014/chart" uri="{C3380CC4-5D6E-409C-BE32-E72D297353CC}">
              <c16:uniqueId val="{00000001-C4E5-4C06-ADE3-C67B6B3CDF6E}"/>
            </c:ext>
          </c:extLst>
        </c:ser>
        <c:dLbls>
          <c:showLegendKey val="0"/>
          <c:showVal val="0"/>
          <c:showCatName val="0"/>
          <c:showSerName val="0"/>
          <c:showPercent val="0"/>
          <c:showBubbleSize val="0"/>
        </c:dLbls>
        <c:gapWidth val="10"/>
        <c:overlap val="-10"/>
        <c:axId val="1670812128"/>
        <c:axId val="1670796896"/>
      </c:barChart>
      <c:catAx>
        <c:axId val="167081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796896"/>
        <c:crosses val="autoZero"/>
        <c:auto val="1"/>
        <c:lblAlgn val="ctr"/>
        <c:lblOffset val="100"/>
        <c:noMultiLvlLbl val="0"/>
      </c:catAx>
      <c:valAx>
        <c:axId val="1670796896"/>
        <c:scaling>
          <c:orientation val="minMax"/>
          <c:max val="126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12128"/>
        <c:crosses val="autoZero"/>
        <c:crossBetween val="between"/>
        <c:majorUnit val="18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Monto de Pensión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Pension'!$C$31:$F$31</c:f>
              <c:strCache>
                <c:ptCount val="1"/>
                <c:pt idx="0">
                  <c:v>Trimestre abril-junio
Al 30 de junio 2023</c:v>
                </c:pt>
              </c:strCache>
            </c:strRef>
          </c:tx>
          <c:spPr>
            <a:solidFill>
              <a:schemeClr val="bg1">
                <a:lumMod val="75000"/>
              </a:schemeClr>
            </a:solidFill>
            <a:ln>
              <a:noFill/>
            </a:ln>
            <a:effectLst/>
          </c:spPr>
          <c:invertIfNegative val="0"/>
          <c:cat>
            <c:multiLvlStrRef>
              <c:f>'Tipo de Pension'!$B$33:$B$45</c:f>
            </c:multiLvlStrRef>
          </c:cat>
          <c:val>
            <c:numRef>
              <c:f>'Tipo de Pension'!$E$33:$E$45</c:f>
            </c:numRef>
          </c:val>
          <c:extLst>
            <c:ext xmlns:c16="http://schemas.microsoft.com/office/drawing/2014/chart" uri="{C3380CC4-5D6E-409C-BE32-E72D297353CC}">
              <c16:uniqueId val="{00000000-EBA7-44F1-B06B-1E6FB69EDFA2}"/>
            </c:ext>
          </c:extLst>
        </c:ser>
        <c:ser>
          <c:idx val="1"/>
          <c:order val="1"/>
          <c:tx>
            <c:strRef>
              <c:f>'Tipo de Pension'!$G$31:$J$31</c:f>
              <c:strCache>
                <c:ptCount val="1"/>
                <c:pt idx="0">
                  <c:v>Trimestre abril-junio
Al 30 de junio 2024</c:v>
                </c:pt>
              </c:strCache>
            </c:strRef>
          </c:tx>
          <c:spPr>
            <a:solidFill>
              <a:schemeClr val="accent3"/>
            </a:solidFill>
            <a:ln>
              <a:noFill/>
            </a:ln>
            <a:effectLst/>
          </c:spPr>
          <c:invertIfNegative val="0"/>
          <c:cat>
            <c:multiLvlStrRef>
              <c:f>'Tipo de Pension'!$B$33:$B$45</c:f>
            </c:multiLvlStrRef>
          </c:cat>
          <c:val>
            <c:numRef>
              <c:f>'Tipo de Pension'!$I$33:$I$45</c:f>
            </c:numRef>
          </c:val>
          <c:extLst>
            <c:ext xmlns:c16="http://schemas.microsoft.com/office/drawing/2014/chart" uri="{C3380CC4-5D6E-409C-BE32-E72D297353CC}">
              <c16:uniqueId val="{00000001-EBA7-44F1-B06B-1E6FB69EDFA2}"/>
            </c:ext>
          </c:extLst>
        </c:ser>
        <c:dLbls>
          <c:showLegendKey val="0"/>
          <c:showVal val="0"/>
          <c:showCatName val="0"/>
          <c:showSerName val="0"/>
          <c:showPercent val="0"/>
          <c:showBubbleSize val="0"/>
        </c:dLbls>
        <c:gapWidth val="50"/>
        <c:overlap val="-10"/>
        <c:axId val="1670802880"/>
        <c:axId val="1670803968"/>
      </c:barChart>
      <c:catAx>
        <c:axId val="167080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3968"/>
        <c:crosses val="autoZero"/>
        <c:auto val="1"/>
        <c:lblAlgn val="ctr"/>
        <c:lblOffset val="100"/>
        <c:noMultiLvlLbl val="0"/>
      </c:catAx>
      <c:valAx>
        <c:axId val="1670803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28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Cantidad</a:t>
            </a:r>
            <a:r>
              <a:rPr lang="es-DO" baseline="0"/>
              <a:t> de Pensiones</a:t>
            </a:r>
          </a:p>
          <a:p>
            <a:pPr>
              <a:defRPr/>
            </a:pPr>
            <a:r>
              <a:rPr lang="es-DO" baseline="0"/>
              <a:t>por Edad</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Pension'!$C$53:$F$53</c:f>
              <c:strCache>
                <c:ptCount val="1"/>
                <c:pt idx="0">
                  <c:v>Trimestre abril-junio
Al 30 de junio 2023</c:v>
                </c:pt>
              </c:strCache>
            </c:strRef>
          </c:tx>
          <c:spPr>
            <a:solidFill>
              <a:schemeClr val="bg1">
                <a:lumMod val="75000"/>
              </a:schemeClr>
            </a:solidFill>
            <a:ln>
              <a:noFill/>
            </a:ln>
            <a:effectLst/>
          </c:spPr>
          <c:invertIfNegative val="0"/>
          <c:cat>
            <c:multiLvlStrRef>
              <c:f>'Tipo de Pension'!$B$55:$B$66</c:f>
            </c:multiLvlStrRef>
          </c:cat>
          <c:val>
            <c:numRef>
              <c:f>'Tipo de Pension'!$C$56:$C$66</c:f>
            </c:numRef>
          </c:val>
          <c:extLst>
            <c:ext xmlns:c16="http://schemas.microsoft.com/office/drawing/2014/chart" uri="{C3380CC4-5D6E-409C-BE32-E72D297353CC}">
              <c16:uniqueId val="{00000000-3025-4BEB-A242-114DA170D702}"/>
            </c:ext>
          </c:extLst>
        </c:ser>
        <c:ser>
          <c:idx val="1"/>
          <c:order val="1"/>
          <c:tx>
            <c:strRef>
              <c:f>'Tipo de Pension'!$G$53:$J$53</c:f>
              <c:strCache>
                <c:ptCount val="1"/>
                <c:pt idx="0">
                  <c:v>Trimestre abril-junio
Al 30 de junio 2024</c:v>
                </c:pt>
              </c:strCache>
            </c:strRef>
          </c:tx>
          <c:spPr>
            <a:solidFill>
              <a:schemeClr val="accent3"/>
            </a:solidFill>
            <a:ln>
              <a:noFill/>
            </a:ln>
            <a:effectLst/>
          </c:spPr>
          <c:invertIfNegative val="0"/>
          <c:cat>
            <c:multiLvlStrRef>
              <c:f>'Tipo de Pension'!$B$55:$B$66</c:f>
            </c:multiLvlStrRef>
          </c:cat>
          <c:val>
            <c:numRef>
              <c:f>'Tipo de Pension'!$G$56:$G$66</c:f>
            </c:numRef>
          </c:val>
          <c:extLst>
            <c:ext xmlns:c16="http://schemas.microsoft.com/office/drawing/2014/chart" uri="{C3380CC4-5D6E-409C-BE32-E72D297353CC}">
              <c16:uniqueId val="{00000001-3025-4BEB-A242-114DA170D702}"/>
            </c:ext>
          </c:extLst>
        </c:ser>
        <c:dLbls>
          <c:showLegendKey val="0"/>
          <c:showVal val="0"/>
          <c:showCatName val="0"/>
          <c:showSerName val="0"/>
          <c:showPercent val="0"/>
          <c:showBubbleSize val="0"/>
        </c:dLbls>
        <c:gapWidth val="50"/>
        <c:overlap val="-10"/>
        <c:axId val="1670800160"/>
        <c:axId val="1670805600"/>
      </c:barChart>
      <c:catAx>
        <c:axId val="167080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5600"/>
        <c:crosses val="autoZero"/>
        <c:auto val="1"/>
        <c:lblAlgn val="ctr"/>
        <c:lblOffset val="100"/>
        <c:noMultiLvlLbl val="0"/>
      </c:catAx>
      <c:valAx>
        <c:axId val="1670805600"/>
        <c:scaling>
          <c:orientation val="minMax"/>
          <c:max val="55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0160"/>
        <c:crosses val="autoZero"/>
        <c:crossBetween val="between"/>
        <c:majorUnit val="9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Edad de Pensionados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Pension'!$C$53:$F$53</c:f>
              <c:strCache>
                <c:ptCount val="1"/>
                <c:pt idx="0">
                  <c:v>Trimestre abril-junio
Al 30 de junio 2023</c:v>
                </c:pt>
              </c:strCache>
            </c:strRef>
          </c:tx>
          <c:spPr>
            <a:solidFill>
              <a:schemeClr val="bg1">
                <a:lumMod val="75000"/>
              </a:schemeClr>
            </a:solidFill>
            <a:ln>
              <a:noFill/>
            </a:ln>
            <a:effectLst/>
          </c:spPr>
          <c:invertIfNegative val="0"/>
          <c:cat>
            <c:multiLvlStrRef>
              <c:f>'Tipo de Pension'!$B$57:$B$66</c:f>
            </c:multiLvlStrRef>
          </c:cat>
          <c:val>
            <c:numRef>
              <c:f>'Tipo de Pension'!$E$56:$E$66</c:f>
            </c:numRef>
          </c:val>
          <c:extLst>
            <c:ext xmlns:c16="http://schemas.microsoft.com/office/drawing/2014/chart" uri="{C3380CC4-5D6E-409C-BE32-E72D297353CC}">
              <c16:uniqueId val="{00000000-99F1-4C2C-B1C5-95C571BD3EF0}"/>
            </c:ext>
          </c:extLst>
        </c:ser>
        <c:ser>
          <c:idx val="1"/>
          <c:order val="1"/>
          <c:tx>
            <c:strRef>
              <c:f>'Tipo de Pension'!$G$53:$J$53</c:f>
              <c:strCache>
                <c:ptCount val="1"/>
                <c:pt idx="0">
                  <c:v>Trimestre abril-junio
Al 30 de junio 2024</c:v>
                </c:pt>
              </c:strCache>
            </c:strRef>
          </c:tx>
          <c:spPr>
            <a:solidFill>
              <a:schemeClr val="accent3"/>
            </a:solidFill>
            <a:ln>
              <a:noFill/>
            </a:ln>
            <a:effectLst/>
          </c:spPr>
          <c:invertIfNegative val="0"/>
          <c:cat>
            <c:multiLvlStrRef>
              <c:f>'Tipo de Pension'!$B$57:$B$66</c:f>
            </c:multiLvlStrRef>
          </c:cat>
          <c:val>
            <c:numRef>
              <c:f>'Tipo de Pension'!$I$56:$I$66</c:f>
            </c:numRef>
          </c:val>
          <c:extLst>
            <c:ext xmlns:c16="http://schemas.microsoft.com/office/drawing/2014/chart" uri="{C3380CC4-5D6E-409C-BE32-E72D297353CC}">
              <c16:uniqueId val="{00000001-99F1-4C2C-B1C5-95C571BD3EF0}"/>
            </c:ext>
          </c:extLst>
        </c:ser>
        <c:dLbls>
          <c:showLegendKey val="0"/>
          <c:showVal val="0"/>
          <c:showCatName val="0"/>
          <c:showSerName val="0"/>
          <c:showPercent val="0"/>
          <c:showBubbleSize val="0"/>
        </c:dLbls>
        <c:gapWidth val="50"/>
        <c:overlap val="-10"/>
        <c:axId val="1670807232"/>
        <c:axId val="1670799072"/>
      </c:barChart>
      <c:catAx>
        <c:axId val="167080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799072"/>
        <c:crosses val="autoZero"/>
        <c:auto val="1"/>
        <c:lblAlgn val="ctr"/>
        <c:lblOffset val="100"/>
        <c:noMultiLvlLbl val="0"/>
      </c:catAx>
      <c:valAx>
        <c:axId val="1670799072"/>
        <c:scaling>
          <c:orientation val="minMax"/>
          <c:max val="2800000000"/>
          <c:min val="30000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7232"/>
        <c:crosses val="autoZero"/>
        <c:crossBetween val="between"/>
        <c:majorUnit val="450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474892115814746"/>
          <c:y val="0.11479713174635285"/>
          <c:w val="0.78893118039654453"/>
          <c:h val="0.65586379419781204"/>
        </c:manualLayout>
      </c:layout>
      <c:barChart>
        <c:barDir val="col"/>
        <c:grouping val="clustered"/>
        <c:varyColors val="0"/>
        <c:ser>
          <c:idx val="0"/>
          <c:order val="0"/>
          <c:tx>
            <c:strRef>
              <c:f>'Afiliados y Cotizantes'!$B$7</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0"/>
                  <c:y val="0.513687594128621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5C-4406-B71E-65516B4B4A9D}"/>
                </c:ext>
              </c:extLst>
            </c:dLbl>
            <c:dLbl>
              <c:idx val="1"/>
              <c:layout>
                <c:manualLayout>
                  <c:x val="2.5816702227310574E-3"/>
                  <c:y val="0.472334064262240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5C-4406-B71E-65516B4B4A9D}"/>
                </c:ext>
              </c:extLst>
            </c:dLbl>
            <c:dLbl>
              <c:idx val="2"/>
              <c:layout>
                <c:manualLayout>
                  <c:x val="-5.1633404454622094E-3"/>
                  <c:y val="0.478160265843433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5C-4406-B71E-65516B4B4A9D}"/>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Cotizantes'!$B$12:$B$14</c:f>
            </c:numRef>
          </c:val>
          <c:extLst>
            <c:ext xmlns:c16="http://schemas.microsoft.com/office/drawing/2014/chart" uri="{C3380CC4-5D6E-409C-BE32-E72D297353CC}">
              <c16:uniqueId val="{00000003-C75C-4406-B71E-65516B4B4A9D}"/>
            </c:ext>
          </c:extLst>
        </c:ser>
        <c:ser>
          <c:idx val="1"/>
          <c:order val="1"/>
          <c:tx>
            <c:v>No Cotizantes</c:v>
          </c:tx>
          <c:spPr>
            <a:solidFill>
              <a:schemeClr val="accent3">
                <a:lumMod val="60000"/>
                <a:lumOff val="40000"/>
              </a:schemeClr>
            </a:solidFill>
          </c:spPr>
          <c:invertIfNegative val="0"/>
          <c:dLbls>
            <c:dLbl>
              <c:idx val="0"/>
              <c:layout>
                <c:manualLayout>
                  <c:x val="5.1633404454621149E-3"/>
                  <c:y val="0.393979007543447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5C-4406-B71E-65516B4B4A9D}"/>
                </c:ext>
              </c:extLst>
            </c:dLbl>
            <c:dLbl>
              <c:idx val="1"/>
              <c:layout>
                <c:manualLayout>
                  <c:x val="2.5816702227310574E-3"/>
                  <c:y val="0.394030184119631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5C-4406-B71E-65516B4B4A9D}"/>
                </c:ext>
              </c:extLst>
            </c:dLbl>
            <c:dLbl>
              <c:idx val="2"/>
              <c:layout>
                <c:manualLayout>
                  <c:x val="-2.5816702227310574E-3"/>
                  <c:y val="0.393799647736819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5C-4406-B71E-65516B4B4A9D}"/>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'Afiliados y Cotizantes'!$A$12:$A$14</c:f>
            </c:multiLvlStrRef>
          </c:cat>
          <c:val>
            <c:numRef>
              <c:f>'Afiliados y Cotizantes'!$E$12:$E$14</c:f>
            </c:numRef>
          </c:val>
          <c:extLst>
            <c:ext xmlns:c16="http://schemas.microsoft.com/office/drawing/2014/chart" uri="{C3380CC4-5D6E-409C-BE32-E72D297353CC}">
              <c16:uniqueId val="{00000007-C75C-4406-B71E-65516B4B4A9D}"/>
            </c:ext>
          </c:extLst>
        </c:ser>
        <c:dLbls>
          <c:showLegendKey val="0"/>
          <c:showVal val="1"/>
          <c:showCatName val="0"/>
          <c:showSerName val="0"/>
          <c:showPercent val="0"/>
          <c:showBubbleSize val="0"/>
        </c:dLbls>
        <c:gapWidth val="75"/>
        <c:axId val="1667770560"/>
        <c:axId val="1667758048"/>
      </c:barChart>
      <c:lineChart>
        <c:grouping val="standard"/>
        <c:varyColors val="0"/>
        <c:ser>
          <c:idx val="2"/>
          <c:order val="2"/>
          <c:tx>
            <c:strRef>
              <c:f>'Afiliados y Cotizantes'!$F$7</c:f>
              <c:strCache>
                <c:ptCount val="1"/>
                <c:pt idx="0">
                  <c:v>% No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5.6733893883974762E-2"/>
                  <c:y val="-0.498445838110009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5C-4406-B71E-65516B4B4A9D}"/>
                </c:ext>
              </c:extLst>
            </c:dLbl>
            <c:dLbl>
              <c:idx val="1"/>
              <c:layout>
                <c:manualLayout>
                  <c:x val="-6.9705096013738546E-2"/>
                  <c:y val="-0.136842629316782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5C-4406-B71E-65516B4B4A9D}"/>
                </c:ext>
              </c:extLst>
            </c:dLbl>
            <c:dLbl>
              <c:idx val="2"/>
              <c:layout>
                <c:manualLayout>
                  <c:x val="-4.3888393786427976E-2"/>
                  <c:y val="-0.102999609984574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5C-4406-B71E-65516B4B4A9D}"/>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Cotizantes'!$F$12:$F$14</c:f>
            </c:numRef>
          </c:val>
          <c:smooth val="0"/>
          <c:extLst>
            <c:ext xmlns:c16="http://schemas.microsoft.com/office/drawing/2014/chart" uri="{C3380CC4-5D6E-409C-BE32-E72D297353CC}">
              <c16:uniqueId val="{0000000B-C75C-4406-B71E-65516B4B4A9D}"/>
            </c:ext>
          </c:extLst>
        </c:ser>
        <c:dLbls>
          <c:showLegendKey val="0"/>
          <c:showVal val="1"/>
          <c:showCatName val="0"/>
          <c:showSerName val="0"/>
          <c:showPercent val="0"/>
          <c:showBubbleSize val="0"/>
        </c:dLbls>
        <c:marker val="1"/>
        <c:smooth val="0"/>
        <c:axId val="1667766752"/>
        <c:axId val="1667762944"/>
      </c:lineChart>
      <c:catAx>
        <c:axId val="1667770560"/>
        <c:scaling>
          <c:orientation val="minMax"/>
        </c:scaling>
        <c:delete val="0"/>
        <c:axPos val="b"/>
        <c:numFmt formatCode="General" sourceLinked="0"/>
        <c:majorTickMark val="none"/>
        <c:minorTickMark val="none"/>
        <c:tickLblPos val="nextTo"/>
        <c:crossAx val="1667758048"/>
        <c:crosses val="autoZero"/>
        <c:auto val="1"/>
        <c:lblAlgn val="ctr"/>
        <c:lblOffset val="100"/>
        <c:noMultiLvlLbl val="0"/>
      </c:catAx>
      <c:valAx>
        <c:axId val="1667758048"/>
        <c:scaling>
          <c:orientation val="minMax"/>
        </c:scaling>
        <c:delete val="0"/>
        <c:axPos val="l"/>
        <c:numFmt formatCode="#,##0" sourceLinked="1"/>
        <c:majorTickMark val="none"/>
        <c:minorTickMark val="none"/>
        <c:tickLblPos val="nextTo"/>
        <c:crossAx val="1667770560"/>
        <c:crosses val="autoZero"/>
        <c:crossBetween val="between"/>
      </c:valAx>
      <c:valAx>
        <c:axId val="1667762944"/>
        <c:scaling>
          <c:orientation val="minMax"/>
        </c:scaling>
        <c:delete val="0"/>
        <c:axPos val="r"/>
        <c:numFmt formatCode="0%" sourceLinked="1"/>
        <c:majorTickMark val="out"/>
        <c:minorTickMark val="none"/>
        <c:tickLblPos val="nextTo"/>
        <c:crossAx val="1667766752"/>
        <c:crosses val="max"/>
        <c:crossBetween val="between"/>
      </c:valAx>
      <c:catAx>
        <c:axId val="1667766752"/>
        <c:scaling>
          <c:orientation val="minMax"/>
        </c:scaling>
        <c:delete val="1"/>
        <c:axPos val="b"/>
        <c:numFmt formatCode="General" sourceLinked="1"/>
        <c:majorTickMark val="out"/>
        <c:minorTickMark val="none"/>
        <c:tickLblPos val="nextTo"/>
        <c:crossAx val="1667762944"/>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r>
              <a:rPr lang="es-ES" sz="1400">
                <a:solidFill>
                  <a:schemeClr val="accent1"/>
                </a:solidFill>
              </a:rPr>
              <a:t>Porcentaje Modalidad</a:t>
            </a:r>
            <a:r>
              <a:rPr lang="es-ES" sz="1400" baseline="0">
                <a:solidFill>
                  <a:schemeClr val="accent1"/>
                </a:solidFill>
              </a:rPr>
              <a:t> de Pago</a:t>
            </a:r>
            <a:endParaRPr lang="es-ES" sz="1400">
              <a:solidFill>
                <a:schemeClr val="accent1"/>
              </a:solidFill>
            </a:endParaRPr>
          </a:p>
        </c:rich>
      </c:tx>
      <c:layout>
        <c:manualLayout>
          <c:xMode val="edge"/>
          <c:yMode val="edge"/>
          <c:x val="0.24317598335221177"/>
          <c:y val="3.2352237248844695E-3"/>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FBB9-4446-B928-89FA07CFA5CA}"/>
              </c:ext>
            </c:extLst>
          </c:dPt>
          <c:dPt>
            <c:idx val="1"/>
            <c:bubble3D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FBB9-4446-B928-89FA07CFA5CA}"/>
              </c:ext>
            </c:extLst>
          </c:dPt>
          <c:dLbls>
            <c:dLbl>
              <c:idx val="0"/>
              <c:layout>
                <c:manualLayout>
                  <c:x val="-1.8055555555555554E-2"/>
                  <c:y val="-0.35532407407407407"/>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baseline="0">
                        <a:solidFill>
                          <a:schemeClr val="tx1">
                            <a:lumMod val="75000"/>
                            <a:lumOff val="25000"/>
                          </a:schemeClr>
                        </a:solidFill>
                      </a:rPr>
                      <a:t>Electrónico</a:t>
                    </a:r>
                  </a:p>
                  <a:p>
                    <a:pPr>
                      <a:defRPr sz="1000" b="1">
                        <a:solidFill>
                          <a:schemeClr val="tx1">
                            <a:lumMod val="75000"/>
                            <a:lumOff val="25000"/>
                          </a:schemeClr>
                        </a:solidFill>
                      </a:defRPr>
                    </a:pPr>
                    <a:r>
                      <a:rPr lang="en-US" sz="1000" b="1" baseline="0">
                        <a:solidFill>
                          <a:schemeClr val="tx1">
                            <a:lumMod val="75000"/>
                            <a:lumOff val="25000"/>
                          </a:schemeClr>
                        </a:solidFill>
                      </a:rPr>
                      <a:t> </a:t>
                    </a:r>
                    <a:fld id="{6A789905-C907-4699-A041-A6FD64461BF5}" type="VALUE">
                      <a:rPr lang="en-US" sz="1000" b="1" baseline="0">
                        <a:solidFill>
                          <a:schemeClr val="tx1">
                            <a:lumMod val="75000"/>
                            <a:lumOff val="25000"/>
                          </a:schemeClr>
                        </a:solidFill>
                      </a:rPr>
                      <a:pPr>
                        <a:defRPr sz="1000" b="1">
                          <a:solidFill>
                            <a:schemeClr val="tx1">
                              <a:lumMod val="75000"/>
                              <a:lumOff val="25000"/>
                            </a:schemeClr>
                          </a:solidFill>
                        </a:defRPr>
                      </a:pPr>
                      <a:t>[VALOR]</a:t>
                    </a:fld>
                    <a:endParaRPr lang="en-US" sz="1000" b="1" baseline="0">
                      <a:solidFill>
                        <a:schemeClr val="tx1">
                          <a:lumMod val="75000"/>
                          <a:lumOff val="25000"/>
                        </a:schemeClr>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1"/>
              <c:showSerName val="0"/>
              <c:showPercent val="0"/>
              <c:showBubbleSize val="0"/>
              <c:extLst>
                <c:ext xmlns:c15="http://schemas.microsoft.com/office/drawing/2012/chart" uri="{CE6537A1-D6FC-4f65-9D91-7224C49458BB}">
                  <c15:layout>
                    <c:manualLayout>
                      <c:w val="0.23541666666666666"/>
                      <c:h val="0.21064814814814814"/>
                    </c:manualLayout>
                  </c15:layout>
                  <c15:dlblFieldTable/>
                  <c15:showDataLabelsRange val="0"/>
                </c:ext>
                <c:ext xmlns:c16="http://schemas.microsoft.com/office/drawing/2014/chart" uri="{C3380CC4-5D6E-409C-BE32-E72D297353CC}">
                  <c16:uniqueId val="{00000001-FBB9-4446-B928-89FA07CFA5CA}"/>
                </c:ext>
              </c:extLst>
            </c:dLbl>
            <c:dLbl>
              <c:idx val="1"/>
              <c:layout>
                <c:manualLayout>
                  <c:x val="-4.6721964522656895E-2"/>
                  <c:y val="5.2783916405700331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baseline="0">
                        <a:solidFill>
                          <a:schemeClr val="tx1">
                            <a:lumMod val="75000"/>
                            <a:lumOff val="25000"/>
                          </a:schemeClr>
                        </a:solidFill>
                      </a:rPr>
                      <a:t>Cheque</a:t>
                    </a:r>
                  </a:p>
                  <a:p>
                    <a:pPr>
                      <a:defRPr sz="1000" b="1">
                        <a:solidFill>
                          <a:schemeClr val="tx1">
                            <a:lumMod val="75000"/>
                            <a:lumOff val="25000"/>
                          </a:schemeClr>
                        </a:solidFill>
                      </a:defRPr>
                    </a:pPr>
                    <a:r>
                      <a:rPr lang="en-US" sz="1000" b="1" baseline="0">
                        <a:solidFill>
                          <a:schemeClr val="tx1">
                            <a:lumMod val="75000"/>
                            <a:lumOff val="25000"/>
                          </a:schemeClr>
                        </a:solidFill>
                      </a:rPr>
                      <a:t> </a:t>
                    </a:r>
                    <a:fld id="{928CA2D4-AB57-4300-BD4F-83CC6382AA06}" type="VALUE">
                      <a:rPr lang="en-US" sz="1000" b="1" baseline="0">
                        <a:solidFill>
                          <a:schemeClr val="tx1">
                            <a:lumMod val="75000"/>
                            <a:lumOff val="25000"/>
                          </a:schemeClr>
                        </a:solidFill>
                      </a:rPr>
                      <a:pPr>
                        <a:defRPr sz="1000" b="1">
                          <a:solidFill>
                            <a:schemeClr val="tx1">
                              <a:lumMod val="75000"/>
                              <a:lumOff val="25000"/>
                            </a:schemeClr>
                          </a:solidFill>
                        </a:defRPr>
                      </a:pPr>
                      <a:t>[VALOR]</a:t>
                    </a:fld>
                    <a:endParaRPr lang="en-US" sz="1000" b="1" baseline="0">
                      <a:solidFill>
                        <a:schemeClr val="tx1">
                          <a:lumMod val="75000"/>
                          <a:lumOff val="25000"/>
                        </a:schemeClr>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1"/>
              <c:showSerName val="0"/>
              <c:showPercent val="0"/>
              <c:showBubbleSize val="0"/>
              <c:extLst>
                <c:ext xmlns:c15="http://schemas.microsoft.com/office/drawing/2012/chart" uri="{CE6537A1-D6FC-4f65-9D91-7224C49458BB}">
                  <c15:layout>
                    <c:manualLayout>
                      <c:w val="0.18002209762708696"/>
                      <c:h val="0.14416160985114215"/>
                    </c:manualLayout>
                  </c15:layout>
                  <c15:dlblFieldTable/>
                  <c15:showDataLabelsRange val="0"/>
                </c:ext>
                <c:ext xmlns:c16="http://schemas.microsoft.com/office/drawing/2014/chart" uri="{C3380CC4-5D6E-409C-BE32-E72D297353CC}">
                  <c16:uniqueId val="{00000003-FBB9-4446-B928-89FA07CFA5C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DO"/>
              </a:p>
            </c:txPr>
            <c:showLegendKey val="0"/>
            <c:showVal val="0"/>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(Modalidad!$P$8,Modalidad!$R$8)</c:f>
              <c:strCache>
                <c:ptCount val="2"/>
                <c:pt idx="0">
                  <c:v>Monto</c:v>
                </c:pt>
                <c:pt idx="1">
                  <c:v>Monto</c:v>
                </c:pt>
              </c:strCache>
            </c:strRef>
          </c:cat>
          <c:val>
            <c:numRef>
              <c:f>(Modalidad!$P$32,Modalidad!$R$32)</c:f>
              <c:numCache>
                <c:formatCode>0.00%</c:formatCode>
                <c:ptCount val="2"/>
                <c:pt idx="0">
                  <c:v>0.99356771472143512</c:v>
                </c:pt>
                <c:pt idx="1">
                  <c:v>6.4322852785649535E-3</c:v>
                </c:pt>
              </c:numCache>
            </c:numRef>
          </c:val>
          <c:extLst>
            <c:ext xmlns:c16="http://schemas.microsoft.com/office/drawing/2014/chart" uri="{C3380CC4-5D6E-409C-BE32-E72D297353CC}">
              <c16:uniqueId val="{00000004-FBB9-4446-B928-89FA07CFA5C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4501343930274"/>
          <c:y val="4.2299525799253723E-2"/>
          <c:w val="0.65858516691985691"/>
          <c:h val="0.72007785017025605"/>
        </c:manualLayout>
      </c:layout>
      <c:barChart>
        <c:barDir val="col"/>
        <c:grouping val="clustered"/>
        <c:varyColors val="0"/>
        <c:ser>
          <c:idx val="0"/>
          <c:order val="0"/>
          <c:tx>
            <c:v>Pensionados</c:v>
          </c:tx>
          <c:spPr>
            <a:solidFill>
              <a:schemeClr val="accent3">
                <a:lumMod val="60000"/>
                <a:lumOff val="40000"/>
              </a:schemeClr>
            </a:solidFill>
            <a:ln>
              <a:solidFill>
                <a:schemeClr val="accent3">
                  <a:lumMod val="60000"/>
                  <a:lumOff val="40000"/>
                </a:schemeClr>
              </a:solidFill>
            </a:ln>
          </c:spPr>
          <c:invertIfNegative val="0"/>
          <c:dLbls>
            <c:dLbl>
              <c:idx val="0"/>
              <c:layout>
                <c:manualLayout>
                  <c:x val="-3.5085745537489802E-3"/>
                  <c:y val="1.8279804924074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3A-4755-84B1-810054927F90}"/>
                </c:ext>
              </c:extLst>
            </c:dLbl>
            <c:dLbl>
              <c:idx val="1"/>
              <c:layout>
                <c:manualLayout>
                  <c:x val="2.788471476716947E-3"/>
                  <c:y val="0.2117624891955896"/>
                </c:manualLayout>
              </c:layout>
              <c:showLegendKey val="0"/>
              <c:showVal val="1"/>
              <c:showCatName val="0"/>
              <c:showSerName val="0"/>
              <c:showPercent val="0"/>
              <c:showBubbleSize val="0"/>
              <c:extLst>
                <c:ext xmlns:c15="http://schemas.microsoft.com/office/drawing/2012/chart" uri="{CE6537A1-D6FC-4f65-9D91-7224C49458BB}">
                  <c15:layout>
                    <c:manualLayout>
                      <c:w val="6.8806459726581629E-2"/>
                      <c:h val="0.13091299902321105"/>
                    </c:manualLayout>
                  </c15:layout>
                </c:ext>
                <c:ext xmlns:c16="http://schemas.microsoft.com/office/drawing/2014/chart" uri="{C3380CC4-5D6E-409C-BE32-E72D297353CC}">
                  <c16:uniqueId val="{00000001-0F3A-4755-84B1-810054927F90}"/>
                </c:ext>
              </c:extLst>
            </c:dLbl>
            <c:dLbl>
              <c:idx val="2"/>
              <c:layout>
                <c:manualLayout>
                  <c:x val="-1.310969913632988E-4"/>
                  <c:y val="0.21933567809533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3A-4755-84B1-810054927F90}"/>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Retroactivos!$B$9:$B$11</c:f>
              <c:strCache>
                <c:ptCount val="3"/>
                <c:pt idx="0">
                  <c:v>Junio</c:v>
                </c:pt>
                <c:pt idx="1">
                  <c:v>Mayo</c:v>
                </c:pt>
                <c:pt idx="2">
                  <c:v>Abril</c:v>
                </c:pt>
              </c:strCache>
            </c:strRef>
          </c:cat>
          <c:val>
            <c:numRef>
              <c:f>Retroactivos!$I$9:$I$11</c:f>
              <c:numCache>
                <c:formatCode>General</c:formatCode>
                <c:ptCount val="3"/>
                <c:pt idx="0">
                  <c:v>0</c:v>
                </c:pt>
                <c:pt idx="1">
                  <c:v>299</c:v>
                </c:pt>
                <c:pt idx="2">
                  <c:v>333</c:v>
                </c:pt>
              </c:numCache>
            </c:numRef>
          </c:val>
          <c:extLst>
            <c:ext xmlns:c16="http://schemas.microsoft.com/office/drawing/2014/chart" uri="{C3380CC4-5D6E-409C-BE32-E72D297353CC}">
              <c16:uniqueId val="{00000003-0F3A-4755-84B1-810054927F90}"/>
            </c:ext>
          </c:extLst>
        </c:ser>
        <c:ser>
          <c:idx val="1"/>
          <c:order val="1"/>
          <c:tx>
            <c:v>Pensiones</c:v>
          </c:tx>
          <c:spPr>
            <a:solidFill>
              <a:schemeClr val="bg1">
                <a:lumMod val="75000"/>
              </a:schemeClr>
            </a:solidFill>
            <a:ln>
              <a:solidFill>
                <a:schemeClr val="bg1">
                  <a:lumMod val="75000"/>
                </a:schemeClr>
              </a:solidFill>
            </a:ln>
          </c:spPr>
          <c:invertIfNegative val="0"/>
          <c:dLbls>
            <c:dLbl>
              <c:idx val="0"/>
              <c:layout>
                <c:manualLayout>
                  <c:x val="9.1302436748680691E-3"/>
                  <c:y val="1.6973625342214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3A-4755-84B1-810054927F90}"/>
                </c:ext>
              </c:extLst>
            </c:dLbl>
            <c:dLbl>
              <c:idx val="1"/>
              <c:layout>
                <c:manualLayout>
                  <c:x val="-1.4313252250930985E-3"/>
                  <c:y val="0.202366024782453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3A-4755-84B1-810054927F90}"/>
                </c:ext>
              </c:extLst>
            </c:dLbl>
            <c:dLbl>
              <c:idx val="2"/>
              <c:layout>
                <c:manualLayout>
                  <c:x val="5.3043320703023114E-4"/>
                  <c:y val="0.283317990485091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3A-4755-84B1-810054927F90}"/>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Retroactivos!$B$9:$B$11</c:f>
              <c:strCache>
                <c:ptCount val="3"/>
                <c:pt idx="0">
                  <c:v>Junio</c:v>
                </c:pt>
                <c:pt idx="1">
                  <c:v>Mayo</c:v>
                </c:pt>
                <c:pt idx="2">
                  <c:v>Abril</c:v>
                </c:pt>
              </c:strCache>
            </c:strRef>
          </c:cat>
          <c:val>
            <c:numRef>
              <c:f>Retroactivos!$J$9:$J$11</c:f>
              <c:numCache>
                <c:formatCode>General</c:formatCode>
                <c:ptCount val="3"/>
                <c:pt idx="0">
                  <c:v>0</c:v>
                </c:pt>
                <c:pt idx="1">
                  <c:v>316</c:v>
                </c:pt>
                <c:pt idx="2">
                  <c:v>312</c:v>
                </c:pt>
              </c:numCache>
            </c:numRef>
          </c:val>
          <c:extLst>
            <c:ext xmlns:c16="http://schemas.microsoft.com/office/drawing/2014/chart" uri="{C3380CC4-5D6E-409C-BE32-E72D297353CC}">
              <c16:uniqueId val="{00000007-0F3A-4755-84B1-810054927F90}"/>
            </c:ext>
          </c:extLst>
        </c:ser>
        <c:dLbls>
          <c:showLegendKey val="0"/>
          <c:showVal val="1"/>
          <c:showCatName val="0"/>
          <c:showSerName val="0"/>
          <c:showPercent val="0"/>
          <c:showBubbleSize val="0"/>
        </c:dLbls>
        <c:gapWidth val="75"/>
        <c:axId val="1672051440"/>
        <c:axId val="1672050896"/>
      </c:barChart>
      <c:lineChart>
        <c:grouping val="standard"/>
        <c:varyColors val="0"/>
        <c:ser>
          <c:idx val="2"/>
          <c:order val="2"/>
          <c:tx>
            <c:strRef>
              <c:f>[1]Retroactivos!$M$7</c:f>
              <c:strCache>
                <c:ptCount val="1"/>
                <c:pt idx="0">
                  <c:v>Monto</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Pt>
            <c:idx val="0"/>
            <c:bubble3D val="0"/>
            <c:extLst>
              <c:ext xmlns:c16="http://schemas.microsoft.com/office/drawing/2014/chart" uri="{C3380CC4-5D6E-409C-BE32-E72D297353CC}">
                <c16:uniqueId val="{00000008-0F3A-4755-84B1-810054927F90}"/>
              </c:ext>
            </c:extLst>
          </c:dPt>
          <c:dLbls>
            <c:dLbl>
              <c:idx val="0"/>
              <c:layout>
                <c:manualLayout>
                  <c:x val="-8.2359133535238424E-2"/>
                  <c:y val="-9.25415310991335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3A-4755-84B1-810054927F90}"/>
                </c:ext>
              </c:extLst>
            </c:dLbl>
            <c:dLbl>
              <c:idx val="1"/>
              <c:layout>
                <c:manualLayout>
                  <c:x val="-5.2893779432831738E-2"/>
                  <c:y val="-0.32571542375975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3A-4755-84B1-810054927F90}"/>
                </c:ext>
              </c:extLst>
            </c:dLbl>
            <c:dLbl>
              <c:idx val="2"/>
              <c:layout>
                <c:manualLayout>
                  <c:x val="-8.9633781235704743E-2"/>
                  <c:y val="-0.16487877671815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F3A-4755-84B1-810054927F90}"/>
                </c:ext>
              </c:extLst>
            </c:dLbl>
            <c:spPr>
              <a:noFill/>
              <a:ln>
                <a:noFill/>
              </a:ln>
              <a:effectLst/>
            </c:spPr>
            <c:txPr>
              <a:bodyPr wrap="square" lIns="38100" tIns="19050" rIns="38100" bIns="19050" anchor="ctr">
                <a:spAutoFit/>
              </a:bodyPr>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[1]Retroactivos!$A$9:$A$11</c:f>
              <c:strCache>
                <c:ptCount val="3"/>
                <c:pt idx="0">
                  <c:v>Marzo</c:v>
                </c:pt>
                <c:pt idx="1">
                  <c:v>Febrero</c:v>
                </c:pt>
                <c:pt idx="2">
                  <c:v>Enero</c:v>
                </c:pt>
              </c:strCache>
            </c:strRef>
          </c:cat>
          <c:val>
            <c:numRef>
              <c:f>Retroactivos!$K$9:$K$11</c:f>
              <c:numCache>
                <c:formatCode>_(* #,##0.00_);_(* \(#,##0.00\);_(* "-"??_);_(@_)</c:formatCode>
                <c:ptCount val="3"/>
                <c:pt idx="0">
                  <c:v>0</c:v>
                </c:pt>
                <c:pt idx="1">
                  <c:v>26361702.57</c:v>
                </c:pt>
                <c:pt idx="2">
                  <c:v>44159382.350000001</c:v>
                </c:pt>
              </c:numCache>
            </c:numRef>
          </c:val>
          <c:smooth val="0"/>
          <c:extLst>
            <c:ext xmlns:c16="http://schemas.microsoft.com/office/drawing/2014/chart" uri="{C3380CC4-5D6E-409C-BE32-E72D297353CC}">
              <c16:uniqueId val="{0000000B-0F3A-4755-84B1-810054927F90}"/>
            </c:ext>
          </c:extLst>
        </c:ser>
        <c:dLbls>
          <c:showLegendKey val="0"/>
          <c:showVal val="1"/>
          <c:showCatName val="0"/>
          <c:showSerName val="0"/>
          <c:showPercent val="0"/>
          <c:showBubbleSize val="0"/>
        </c:dLbls>
        <c:marker val="1"/>
        <c:smooth val="0"/>
        <c:axId val="1672055792"/>
        <c:axId val="1672053072"/>
      </c:lineChart>
      <c:catAx>
        <c:axId val="1672051440"/>
        <c:scaling>
          <c:orientation val="minMax"/>
        </c:scaling>
        <c:delete val="0"/>
        <c:axPos val="b"/>
        <c:numFmt formatCode="General" sourceLinked="0"/>
        <c:majorTickMark val="none"/>
        <c:minorTickMark val="none"/>
        <c:tickLblPos val="nextTo"/>
        <c:crossAx val="1672050896"/>
        <c:crosses val="autoZero"/>
        <c:auto val="1"/>
        <c:lblAlgn val="ctr"/>
        <c:lblOffset val="100"/>
        <c:noMultiLvlLbl val="0"/>
      </c:catAx>
      <c:valAx>
        <c:axId val="1672050896"/>
        <c:scaling>
          <c:orientation val="minMax"/>
        </c:scaling>
        <c:delete val="0"/>
        <c:axPos val="l"/>
        <c:numFmt formatCode="General" sourceLinked="1"/>
        <c:majorTickMark val="none"/>
        <c:minorTickMark val="none"/>
        <c:tickLblPos val="nextTo"/>
        <c:crossAx val="1672051440"/>
        <c:crosses val="autoZero"/>
        <c:crossBetween val="between"/>
      </c:valAx>
      <c:valAx>
        <c:axId val="1672053072"/>
        <c:scaling>
          <c:orientation val="minMax"/>
          <c:max val="75000000"/>
        </c:scaling>
        <c:delete val="0"/>
        <c:axPos val="r"/>
        <c:numFmt formatCode="_(* #,##0.00_);_(* \(#,##0.00\);_(* &quot;-&quot;??_);_(@_)" sourceLinked="1"/>
        <c:majorTickMark val="out"/>
        <c:minorTickMark val="none"/>
        <c:tickLblPos val="nextTo"/>
        <c:crossAx val="1672055792"/>
        <c:crosses val="max"/>
        <c:crossBetween val="between"/>
        <c:minorUnit val="1000000"/>
      </c:valAx>
      <c:catAx>
        <c:axId val="1672055792"/>
        <c:scaling>
          <c:orientation val="minMax"/>
        </c:scaling>
        <c:delete val="1"/>
        <c:axPos val="b"/>
        <c:numFmt formatCode="General" sourceLinked="1"/>
        <c:majorTickMark val="out"/>
        <c:minorTickMark val="none"/>
        <c:tickLblPos val="nextTo"/>
        <c:crossAx val="1672053072"/>
        <c:crosses val="autoZero"/>
        <c:auto val="1"/>
        <c:lblAlgn val="ctr"/>
        <c:lblOffset val="100"/>
        <c:noMultiLvlLbl val="0"/>
      </c:catAx>
    </c:plotArea>
    <c:legend>
      <c:legendPos val="b"/>
      <c:layout>
        <c:manualLayout>
          <c:xMode val="edge"/>
          <c:yMode val="edge"/>
          <c:x val="0.24932899446490744"/>
          <c:y val="0.87879252468585134"/>
          <c:w val="0.51212458447537823"/>
          <c:h val="8.4031421083945429E-2"/>
        </c:manualLayout>
      </c:layout>
      <c:overlay val="0"/>
      <c:txPr>
        <a:bodyPr/>
        <a:lstStyle/>
        <a:p>
          <a:pPr>
            <a:defRPr sz="9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sz="1100" b="1">
                <a:solidFill>
                  <a:schemeClr val="tx2">
                    <a:lumMod val="60000"/>
                    <a:lumOff val="40000"/>
                  </a:schemeClr>
                </a:solidFill>
              </a:rPr>
              <a:t>Reintegro</a:t>
            </a:r>
            <a:r>
              <a:rPr lang="es-DO" sz="1100" b="1" baseline="0">
                <a:solidFill>
                  <a:schemeClr val="tx2">
                    <a:lumMod val="60000"/>
                    <a:lumOff val="40000"/>
                  </a:schemeClr>
                </a:solidFill>
              </a:rPr>
              <a:t> de Cheques</a:t>
            </a:r>
            <a:endParaRPr lang="es-DO" sz="1100" b="1">
              <a:solidFill>
                <a:schemeClr val="tx2">
                  <a:lumMod val="60000"/>
                  <a:lumOff val="4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Reintegros!$H$7</c:f>
              <c:strCache>
                <c:ptCount val="1"/>
                <c:pt idx="0">
                  <c:v>Cantidad 
de Cheques</c:v>
                </c:pt>
              </c:strCache>
            </c:strRef>
          </c:tx>
          <c:spPr>
            <a:solidFill>
              <a:schemeClr val="bg1">
                <a:lumMod val="65000"/>
              </a:schemeClr>
            </a:solidFill>
            <a:ln>
              <a:noFill/>
            </a:ln>
            <a:effectLst/>
          </c:spPr>
          <c:invertIfNegative val="0"/>
          <c:cat>
            <c:strRef>
              <c:f>Reintegros!$A$8:$A$10</c:f>
              <c:strCache>
                <c:ptCount val="3"/>
                <c:pt idx="0">
                  <c:v>Abril</c:v>
                </c:pt>
                <c:pt idx="1">
                  <c:v>Mayo</c:v>
                </c:pt>
                <c:pt idx="2">
                  <c:v>Junio</c:v>
                </c:pt>
              </c:strCache>
            </c:strRef>
          </c:cat>
          <c:val>
            <c:numRef>
              <c:f>Reintegros!$H$8:$H$10</c:f>
              <c:numCache>
                <c:formatCode>_(* #,##0_);_(* \(#,##0\);_(* "-"??_);_(@_)</c:formatCode>
                <c:ptCount val="3"/>
                <c:pt idx="0">
                  <c:v>0</c:v>
                </c:pt>
                <c:pt idx="1">
                  <c:v>80</c:v>
                </c:pt>
                <c:pt idx="2">
                  <c:v>2996</c:v>
                </c:pt>
              </c:numCache>
            </c:numRef>
          </c:val>
          <c:extLst>
            <c:ext xmlns:c16="http://schemas.microsoft.com/office/drawing/2014/chart" uri="{C3380CC4-5D6E-409C-BE32-E72D297353CC}">
              <c16:uniqueId val="{00000000-8DE3-4894-8909-6FB7CBDC635F}"/>
            </c:ext>
          </c:extLst>
        </c:ser>
        <c:ser>
          <c:idx val="1"/>
          <c:order val="1"/>
          <c:tx>
            <c:strRef>
              <c:f>Reintegros!$I$7</c:f>
              <c:strCache>
                <c:ptCount val="1"/>
                <c:pt idx="0">
                  <c:v>Monto</c:v>
                </c:pt>
              </c:strCache>
            </c:strRef>
          </c:tx>
          <c:spPr>
            <a:solidFill>
              <a:schemeClr val="accent3"/>
            </a:solidFill>
            <a:ln>
              <a:noFill/>
            </a:ln>
            <a:effectLst/>
          </c:spPr>
          <c:invertIfNegative val="0"/>
          <c:cat>
            <c:strRef>
              <c:f>Reintegros!$A$8:$A$10</c:f>
              <c:strCache>
                <c:ptCount val="3"/>
                <c:pt idx="0">
                  <c:v>Abril</c:v>
                </c:pt>
                <c:pt idx="1">
                  <c:v>Mayo</c:v>
                </c:pt>
                <c:pt idx="2">
                  <c:v>Junio</c:v>
                </c:pt>
              </c:strCache>
            </c:strRef>
          </c:cat>
          <c:val>
            <c:numRef>
              <c:f>Reintegros!$I$8:$I$10</c:f>
              <c:numCache>
                <c:formatCode>_(* #,##0.00_);_(* \(#,##0.00\);_(* "-"??_);_(@_)</c:formatCode>
                <c:ptCount val="3"/>
                <c:pt idx="0">
                  <c:v>0</c:v>
                </c:pt>
                <c:pt idx="1">
                  <c:v>797212.89</c:v>
                </c:pt>
                <c:pt idx="2" formatCode="_(* #,##0_);_(* \(#,##0\);_(* &quot;-&quot;??_);_(@_)">
                  <c:v>20744930.620000001</c:v>
                </c:pt>
              </c:numCache>
            </c:numRef>
          </c:val>
          <c:extLst>
            <c:ext xmlns:c16="http://schemas.microsoft.com/office/drawing/2014/chart" uri="{C3380CC4-5D6E-409C-BE32-E72D297353CC}">
              <c16:uniqueId val="{00000001-8DE3-4894-8909-6FB7CBDC635F}"/>
            </c:ext>
          </c:extLst>
        </c:ser>
        <c:dLbls>
          <c:showLegendKey val="0"/>
          <c:showVal val="0"/>
          <c:showCatName val="0"/>
          <c:showSerName val="0"/>
          <c:showPercent val="0"/>
          <c:showBubbleSize val="0"/>
        </c:dLbls>
        <c:gapWidth val="219"/>
        <c:overlap val="-27"/>
        <c:axId val="1672047088"/>
        <c:axId val="1672050352"/>
      </c:barChart>
      <c:catAx>
        <c:axId val="167204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2050352"/>
        <c:crosses val="autoZero"/>
        <c:auto val="1"/>
        <c:lblAlgn val="ctr"/>
        <c:lblOffset val="100"/>
        <c:noMultiLvlLbl val="0"/>
      </c:catAx>
      <c:valAx>
        <c:axId val="1672050352"/>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2047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sz="1100" b="1">
                <a:solidFill>
                  <a:schemeClr val="tx2">
                    <a:lumMod val="60000"/>
                    <a:lumOff val="40000"/>
                  </a:schemeClr>
                </a:solidFill>
              </a:rPr>
              <a:t>Créditos</a:t>
            </a:r>
            <a:r>
              <a:rPr lang="es-DO" sz="1100" b="1" baseline="0">
                <a:solidFill>
                  <a:schemeClr val="tx2">
                    <a:lumMod val="60000"/>
                    <a:lumOff val="40000"/>
                  </a:schemeClr>
                </a:solidFill>
              </a:rPr>
              <a:t> Rechazados</a:t>
            </a:r>
            <a:endParaRPr lang="es-DO" sz="1100" b="1">
              <a:solidFill>
                <a:schemeClr val="tx2">
                  <a:lumMod val="60000"/>
                  <a:lumOff val="4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'Créditos Rechazados'!$H$7</c:f>
              <c:strCache>
                <c:ptCount val="1"/>
                <c:pt idx="0">
                  <c:v>Cantidad 
</c:v>
                </c:pt>
              </c:strCache>
            </c:strRef>
          </c:tx>
          <c:spPr>
            <a:solidFill>
              <a:schemeClr val="bg1">
                <a:lumMod val="75000"/>
              </a:schemeClr>
            </a:solidFill>
            <a:ln>
              <a:solidFill>
                <a:schemeClr val="accent3">
                  <a:lumMod val="60000"/>
                  <a:lumOff val="40000"/>
                </a:schemeClr>
              </a:solidFill>
            </a:ln>
            <a:effectLst/>
          </c:spPr>
          <c:invertIfNegative val="0"/>
          <c:cat>
            <c:strRef>
              <c:f>'Créditos Rechazados'!$A$8:$A$10</c:f>
              <c:strCache>
                <c:ptCount val="3"/>
                <c:pt idx="0">
                  <c:v>Abril</c:v>
                </c:pt>
                <c:pt idx="1">
                  <c:v>Mayo</c:v>
                </c:pt>
                <c:pt idx="2">
                  <c:v>Junio</c:v>
                </c:pt>
              </c:strCache>
            </c:strRef>
          </c:cat>
          <c:val>
            <c:numRef>
              <c:f>'Créditos Rechazados'!$H$8:$H$10</c:f>
              <c:numCache>
                <c:formatCode>_(* #,##0_);_(* \(#,##0\);_(* "-"??_);_(@_)</c:formatCode>
                <c:ptCount val="3"/>
                <c:pt idx="0">
                  <c:v>0</c:v>
                </c:pt>
                <c:pt idx="1">
                  <c:v>40</c:v>
                </c:pt>
                <c:pt idx="2">
                  <c:v>142</c:v>
                </c:pt>
              </c:numCache>
            </c:numRef>
          </c:val>
          <c:extLst>
            <c:ext xmlns:c16="http://schemas.microsoft.com/office/drawing/2014/chart" uri="{C3380CC4-5D6E-409C-BE32-E72D297353CC}">
              <c16:uniqueId val="{00000000-1AA9-4FB4-B4A2-1D086BEA9BB5}"/>
            </c:ext>
          </c:extLst>
        </c:ser>
        <c:ser>
          <c:idx val="1"/>
          <c:order val="1"/>
          <c:tx>
            <c:strRef>
              <c:f>'Créditos Rechazados'!$I$7</c:f>
              <c:strCache>
                <c:ptCount val="1"/>
                <c:pt idx="0">
                  <c:v>Monto</c:v>
                </c:pt>
              </c:strCache>
            </c:strRef>
          </c:tx>
          <c:spPr>
            <a:solidFill>
              <a:schemeClr val="accent3"/>
            </a:solidFill>
            <a:ln>
              <a:noFill/>
            </a:ln>
            <a:effectLst/>
          </c:spPr>
          <c:invertIfNegative val="0"/>
          <c:cat>
            <c:strRef>
              <c:f>'Créditos Rechazados'!$A$8:$A$10</c:f>
              <c:strCache>
                <c:ptCount val="3"/>
                <c:pt idx="0">
                  <c:v>Abril</c:v>
                </c:pt>
                <c:pt idx="1">
                  <c:v>Mayo</c:v>
                </c:pt>
                <c:pt idx="2">
                  <c:v>Junio</c:v>
                </c:pt>
              </c:strCache>
            </c:strRef>
          </c:cat>
          <c:val>
            <c:numRef>
              <c:f>'Créditos Rechazados'!$I$8:$I$10</c:f>
              <c:numCache>
                <c:formatCode>_(* #,##0.00_);_(* \(#,##0.00\);_(* "-"??_);_(@_)</c:formatCode>
                <c:ptCount val="3"/>
                <c:pt idx="0">
                  <c:v>0</c:v>
                </c:pt>
                <c:pt idx="1">
                  <c:v>414032.22</c:v>
                </c:pt>
                <c:pt idx="2" formatCode="_(* #,##0_);_(* \(#,##0\);_(* &quot;-&quot;??_);_(@_)">
                  <c:v>1591442.78</c:v>
                </c:pt>
              </c:numCache>
            </c:numRef>
          </c:val>
          <c:extLst>
            <c:ext xmlns:c16="http://schemas.microsoft.com/office/drawing/2014/chart" uri="{C3380CC4-5D6E-409C-BE32-E72D297353CC}">
              <c16:uniqueId val="{00000001-1AA9-4FB4-B4A2-1D086BEA9BB5}"/>
            </c:ext>
          </c:extLst>
        </c:ser>
        <c:dLbls>
          <c:showLegendKey val="0"/>
          <c:showVal val="0"/>
          <c:showCatName val="0"/>
          <c:showSerName val="0"/>
          <c:showPercent val="0"/>
          <c:showBubbleSize val="0"/>
        </c:dLbls>
        <c:gapWidth val="219"/>
        <c:overlap val="-27"/>
        <c:axId val="1672047632"/>
        <c:axId val="1672049264"/>
      </c:barChart>
      <c:catAx>
        <c:axId val="167204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2049264"/>
        <c:crosses val="autoZero"/>
        <c:auto val="1"/>
        <c:lblAlgn val="ctr"/>
        <c:lblOffset val="100"/>
        <c:noMultiLvlLbl val="0"/>
      </c:catAx>
      <c:valAx>
        <c:axId val="1672049264"/>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2047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16805319017807"/>
          <c:y val="0.1147686611742301"/>
          <c:w val="0.71680195964278259"/>
          <c:h val="0.69625725323778975"/>
        </c:manualLayout>
      </c:layout>
      <c:barChart>
        <c:barDir val="col"/>
        <c:grouping val="clustered"/>
        <c:varyColors val="0"/>
        <c:ser>
          <c:idx val="0"/>
          <c:order val="0"/>
          <c:tx>
            <c:strRef>
              <c:f>'Recuperación Fondos'!$D$6</c:f>
              <c:strCache>
                <c:ptCount val="1"/>
                <c:pt idx="0">
                  <c:v>Monto 
Recuperado años anteriores
(RD$)</c:v>
                </c:pt>
              </c:strCache>
            </c:strRef>
          </c:tx>
          <c:spPr>
            <a:solidFill>
              <a:schemeClr val="bg1">
                <a:lumMod val="75000"/>
              </a:schemeClr>
            </a:solidFill>
            <a:ln>
              <a:solidFill>
                <a:schemeClr val="bg1">
                  <a:lumMod val="75000"/>
                </a:schemeClr>
              </a:solidFill>
            </a:ln>
          </c:spPr>
          <c:invertIfNegative val="0"/>
          <c:dLbls>
            <c:delete val="1"/>
          </c:dLbls>
          <c:cat>
            <c:strRef>
              <c:f>'Recuperación Fondos'!$B$7:$B$9</c:f>
              <c:strCache>
                <c:ptCount val="3"/>
                <c:pt idx="0">
                  <c:v>Junio</c:v>
                </c:pt>
                <c:pt idx="1">
                  <c:v>Mayo</c:v>
                </c:pt>
                <c:pt idx="2">
                  <c:v>Abril</c:v>
                </c:pt>
              </c:strCache>
            </c:strRef>
          </c:cat>
          <c:val>
            <c:numRef>
              <c:f>'Recuperación Fondos'!$D$7:$D$9</c:f>
              <c:numCache>
                <c:formatCode>_(* #,##0.00_);_(* \(#,##0.00\);_(* "-"??_);_(@_)</c:formatCode>
                <c:ptCount val="3"/>
                <c:pt idx="0">
                  <c:v>2391121.96</c:v>
                </c:pt>
                <c:pt idx="1">
                  <c:v>6349797.9399999995</c:v>
                </c:pt>
                <c:pt idx="2">
                  <c:v>3507008.4299999997</c:v>
                </c:pt>
              </c:numCache>
            </c:numRef>
          </c:val>
          <c:extLst>
            <c:ext xmlns:c16="http://schemas.microsoft.com/office/drawing/2014/chart" uri="{C3380CC4-5D6E-409C-BE32-E72D297353CC}">
              <c16:uniqueId val="{00000003-0E88-4E2F-9F0B-5DDC4BE0FCFF}"/>
            </c:ext>
          </c:extLst>
        </c:ser>
        <c:ser>
          <c:idx val="1"/>
          <c:order val="1"/>
          <c:tx>
            <c:strRef>
              <c:f>'Recuperación Fondos'!$G$6</c:f>
              <c:strCache>
                <c:ptCount val="1"/>
                <c:pt idx="0">
                  <c:v>Total 
Recuperado
(RD$)</c:v>
                </c:pt>
              </c:strCache>
            </c:strRef>
          </c:tx>
          <c:spPr>
            <a:solidFill>
              <a:schemeClr val="accent3">
                <a:lumMod val="60000"/>
                <a:lumOff val="40000"/>
              </a:schemeClr>
            </a:solidFill>
            <a:ln>
              <a:solidFill>
                <a:schemeClr val="accent3">
                  <a:lumMod val="60000"/>
                  <a:lumOff val="40000"/>
                </a:schemeClr>
              </a:solidFill>
            </a:ln>
          </c:spPr>
          <c:invertIfNegative val="0"/>
          <c:dLbls>
            <c:delete val="1"/>
          </c:dLbls>
          <c:cat>
            <c:strRef>
              <c:f>'Recuperación Fondos'!$B$7:$B$9</c:f>
              <c:strCache>
                <c:ptCount val="3"/>
                <c:pt idx="0">
                  <c:v>Junio</c:v>
                </c:pt>
                <c:pt idx="1">
                  <c:v>Mayo</c:v>
                </c:pt>
                <c:pt idx="2">
                  <c:v>Abril</c:v>
                </c:pt>
              </c:strCache>
            </c:strRef>
          </c:cat>
          <c:val>
            <c:numRef>
              <c:f>'Recuperación Fondos'!$G$7:$G$9</c:f>
              <c:numCache>
                <c:formatCode>_(* #,##0.00_);_(* \(#,##0.00\);_(* "-"??_);_(@_)</c:formatCode>
                <c:ptCount val="3"/>
                <c:pt idx="0" formatCode="_(* #,##0_);_(* \(#,##0\);_(* &quot;-&quot;??_);_(@_)">
                  <c:v>1537651.09</c:v>
                </c:pt>
                <c:pt idx="1">
                  <c:v>48980</c:v>
                </c:pt>
                <c:pt idx="2">
                  <c:v>7766733.6799999997</c:v>
                </c:pt>
              </c:numCache>
            </c:numRef>
          </c:val>
          <c:extLst>
            <c:ext xmlns:c16="http://schemas.microsoft.com/office/drawing/2014/chart" uri="{C3380CC4-5D6E-409C-BE32-E72D297353CC}">
              <c16:uniqueId val="{00000007-0E88-4E2F-9F0B-5DDC4BE0FCFF}"/>
            </c:ext>
          </c:extLst>
        </c:ser>
        <c:dLbls>
          <c:showLegendKey val="0"/>
          <c:showVal val="1"/>
          <c:showCatName val="0"/>
          <c:showSerName val="0"/>
          <c:showPercent val="0"/>
          <c:showBubbleSize val="0"/>
        </c:dLbls>
        <c:gapWidth val="75"/>
        <c:axId val="1672048720"/>
        <c:axId val="1672045456"/>
      </c:barChart>
      <c:lineChart>
        <c:grouping val="standard"/>
        <c:varyColors val="0"/>
        <c:ser>
          <c:idx val="2"/>
          <c:order val="2"/>
          <c:tx>
            <c:strRef>
              <c:f>'Recuperación Fondos'!$H$6</c:f>
              <c:strCache>
                <c:ptCount val="1"/>
                <c:pt idx="0">
                  <c:v>% Recuperado</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0.1065692148344429"/>
                  <c:y val="-5.9700380291103083E-2"/>
                </c:manualLayout>
              </c:layout>
              <c:spPr>
                <a:noFill/>
                <a:ln>
                  <a:noFill/>
                </a:ln>
                <a:effectLst/>
              </c:spPr>
              <c:txPr>
                <a:bodyPr wrap="square" lIns="38100" tIns="19050" rIns="38100" bIns="19050" anchor="ctr">
                  <a:noAutofit/>
                </a:bodyPr>
                <a:lstStyle/>
                <a:p>
                  <a:pPr>
                    <a:defRPr sz="1050" b="1"/>
                  </a:pPr>
                  <a:endParaRPr lang="es-DO"/>
                </a:p>
              </c:txPr>
              <c:showLegendKey val="0"/>
              <c:showVal val="1"/>
              <c:showCatName val="0"/>
              <c:showSerName val="0"/>
              <c:showPercent val="0"/>
              <c:showBubbleSize val="0"/>
              <c:extLst>
                <c:ext xmlns:c15="http://schemas.microsoft.com/office/drawing/2012/chart" uri="{CE6537A1-D6FC-4f65-9D91-7224C49458BB}">
                  <c15:layout>
                    <c:manualLayout>
                      <c:w val="0.18845559341553544"/>
                      <c:h val="7.819151767496052E-2"/>
                    </c:manualLayout>
                  </c15:layout>
                </c:ext>
                <c:ext xmlns:c16="http://schemas.microsoft.com/office/drawing/2014/chart" uri="{C3380CC4-5D6E-409C-BE32-E72D297353CC}">
                  <c16:uniqueId val="{00000008-0E88-4E2F-9F0B-5DDC4BE0FCFF}"/>
                </c:ext>
              </c:extLst>
            </c:dLbl>
            <c:dLbl>
              <c:idx val="1"/>
              <c:layout>
                <c:manualLayout>
                  <c:x val="-1.4355130968119342E-2"/>
                  <c:y val="-8.6542396839384667E-2"/>
                </c:manualLayout>
              </c:layout>
              <c:spPr>
                <a:noFill/>
                <a:ln>
                  <a:noFill/>
                </a:ln>
                <a:effectLst/>
              </c:spPr>
              <c:txPr>
                <a:bodyPr wrap="square" lIns="38100" tIns="19050" rIns="38100" bIns="19050" anchor="ctr">
                  <a:noAutofit/>
                </a:bodyPr>
                <a:lstStyle/>
                <a:p>
                  <a:pPr>
                    <a:defRPr sz="1050" b="1"/>
                  </a:pPr>
                  <a:endParaRPr lang="es-DO"/>
                </a:p>
              </c:txPr>
              <c:showLegendKey val="0"/>
              <c:showVal val="1"/>
              <c:showCatName val="0"/>
              <c:showSerName val="0"/>
              <c:showPercent val="0"/>
              <c:showBubbleSize val="0"/>
              <c:extLst>
                <c:ext xmlns:c15="http://schemas.microsoft.com/office/drawing/2012/chart" uri="{CE6537A1-D6FC-4f65-9D91-7224C49458BB}">
                  <c15:layout>
                    <c:manualLayout>
                      <c:w val="0.19857335787928806"/>
                      <c:h val="5.9413535524393636E-2"/>
                    </c:manualLayout>
                  </c15:layout>
                </c:ext>
                <c:ext xmlns:c16="http://schemas.microsoft.com/office/drawing/2014/chart" uri="{C3380CC4-5D6E-409C-BE32-E72D297353CC}">
                  <c16:uniqueId val="{00000009-0E88-4E2F-9F0B-5DDC4BE0FCFF}"/>
                </c:ext>
              </c:extLst>
            </c:dLbl>
            <c:dLbl>
              <c:idx val="2"/>
              <c:layout>
                <c:manualLayout>
                  <c:x val="-1.9030230582906038E-2"/>
                  <c:y val="-4.2445041134131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88-4E2F-9F0B-5DDC4BE0FCFF}"/>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'Recuperación Fondos'!$B$7:$B$9</c:f>
              <c:strCache>
                <c:ptCount val="3"/>
                <c:pt idx="0">
                  <c:v>Junio</c:v>
                </c:pt>
                <c:pt idx="1">
                  <c:v>Mayo</c:v>
                </c:pt>
                <c:pt idx="2">
                  <c:v>Abril</c:v>
                </c:pt>
              </c:strCache>
            </c:strRef>
          </c:cat>
          <c:val>
            <c:numRef>
              <c:f>'Recuperación Fondos'!$H$7:$H$9</c:f>
              <c:numCache>
                <c:formatCode>0.00%</c:formatCode>
                <c:ptCount val="3"/>
                <c:pt idx="0">
                  <c:v>0.64306677606691387</c:v>
                </c:pt>
                <c:pt idx="1">
                  <c:v>7.7136312781631603E-3</c:v>
                </c:pt>
                <c:pt idx="2">
                  <c:v>2.2146321672799631</c:v>
                </c:pt>
              </c:numCache>
            </c:numRef>
          </c:val>
          <c:smooth val="0"/>
          <c:extLst>
            <c:ext xmlns:c16="http://schemas.microsoft.com/office/drawing/2014/chart" uri="{C3380CC4-5D6E-409C-BE32-E72D297353CC}">
              <c16:uniqueId val="{0000000B-0E88-4E2F-9F0B-5DDC4BE0FCFF}"/>
            </c:ext>
          </c:extLst>
        </c:ser>
        <c:dLbls>
          <c:showLegendKey val="0"/>
          <c:showVal val="1"/>
          <c:showCatName val="0"/>
          <c:showSerName val="0"/>
          <c:showPercent val="0"/>
          <c:showBubbleSize val="0"/>
        </c:dLbls>
        <c:marker val="1"/>
        <c:smooth val="0"/>
        <c:axId val="1672048176"/>
        <c:axId val="1672052528"/>
      </c:lineChart>
      <c:valAx>
        <c:axId val="1672052528"/>
        <c:scaling>
          <c:orientation val="minMax"/>
        </c:scaling>
        <c:delete val="0"/>
        <c:axPos val="r"/>
        <c:numFmt formatCode="0.00%" sourceLinked="1"/>
        <c:majorTickMark val="none"/>
        <c:minorTickMark val="none"/>
        <c:tickLblPos val="nextTo"/>
        <c:crossAx val="1672048176"/>
        <c:crosses val="max"/>
        <c:crossBetween val="between"/>
      </c:valAx>
      <c:catAx>
        <c:axId val="1672048176"/>
        <c:scaling>
          <c:orientation val="minMax"/>
        </c:scaling>
        <c:delete val="0"/>
        <c:axPos val="b"/>
        <c:numFmt formatCode="General" sourceLinked="0"/>
        <c:majorTickMark val="none"/>
        <c:minorTickMark val="none"/>
        <c:tickLblPos val="nextTo"/>
        <c:crossAx val="1672052528"/>
        <c:crosses val="autoZero"/>
        <c:auto val="1"/>
        <c:lblAlgn val="ctr"/>
        <c:lblOffset val="100"/>
        <c:noMultiLvlLbl val="0"/>
      </c:catAx>
      <c:valAx>
        <c:axId val="1672045456"/>
        <c:scaling>
          <c:orientation val="minMax"/>
          <c:max val="5500000"/>
          <c:min val="0"/>
        </c:scaling>
        <c:delete val="0"/>
        <c:axPos val="l"/>
        <c:numFmt formatCode="_(* #,##0.00_);_(* \(#,##0.00\);_(* &quot;-&quot;??_);_(@_)" sourceLinked="1"/>
        <c:majorTickMark val="out"/>
        <c:minorTickMark val="none"/>
        <c:tickLblPos val="nextTo"/>
        <c:crossAx val="1672048720"/>
        <c:crosses val="autoZero"/>
        <c:crossBetween val="between"/>
        <c:majorUnit val="500000"/>
      </c:valAx>
      <c:catAx>
        <c:axId val="1672048720"/>
        <c:scaling>
          <c:orientation val="minMax"/>
        </c:scaling>
        <c:delete val="1"/>
        <c:axPos val="b"/>
        <c:numFmt formatCode="General" sourceLinked="1"/>
        <c:majorTickMark val="out"/>
        <c:minorTickMark val="none"/>
        <c:tickLblPos val="nextTo"/>
        <c:crossAx val="1672045456"/>
        <c:crosses val="autoZero"/>
        <c:auto val="1"/>
        <c:lblAlgn val="ctr"/>
        <c:lblOffset val="100"/>
        <c:noMultiLvlLbl val="0"/>
      </c:catAx>
    </c:plotArea>
    <c:legend>
      <c:legendPos val="b"/>
      <c:layout>
        <c:manualLayout>
          <c:xMode val="edge"/>
          <c:yMode val="edge"/>
          <c:x val="5.3993875765529317E-2"/>
          <c:y val="0.88255888804797156"/>
          <c:w val="0.93908317128375152"/>
          <c:h val="0.11552609543110062"/>
        </c:manualLayout>
      </c:layout>
      <c:overlay val="0"/>
      <c:txPr>
        <a:bodyPr/>
        <a:lstStyle/>
        <a:p>
          <a:pPr>
            <a:defRPr sz="800" baseline="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1"/>
          <c:order val="0"/>
          <c:tx>
            <c:strRef>
              <c:f>Servicios!$M$10</c:f>
              <c:strCache>
                <c:ptCount val="1"/>
                <c:pt idx="0">
                  <c:v>Recibidas</c:v>
                </c:pt>
              </c:strCache>
            </c:strRef>
          </c:tx>
          <c:spPr>
            <a:solidFill>
              <a:schemeClr val="bg1">
                <a:lumMod val="65000"/>
              </a:schemeClr>
            </a:solidFill>
            <a:ln>
              <a:solidFill>
                <a:schemeClr val="bg1">
                  <a:lumMod val="65000"/>
                </a:schemeClr>
              </a:solidFill>
            </a:ln>
          </c:spPr>
          <c:invertIfNegative val="0"/>
          <c:cat>
            <c:strRef>
              <c:f>Servicios!$C$11:$C$23</c:f>
              <c:strCache>
                <c:ptCount val="13"/>
                <c:pt idx="0">
                  <c:v>Modificación Datos Críticos</c:v>
                </c:pt>
                <c:pt idx="1">
                  <c:v>Pensión por sobrevivencia</c:v>
                </c:pt>
                <c:pt idx="2">
                  <c:v>Registro de Poderes</c:v>
                </c:pt>
                <c:pt idx="3">
                  <c:v>Solicitud Aplicación/Suspensión de Descuento 2%</c:v>
                </c:pt>
                <c:pt idx="4">
                  <c:v>Solicitud Pago Único Compensatorio</c:v>
                </c:pt>
                <c:pt idx="5">
                  <c:v>Solicitud Pensión</c:v>
                </c:pt>
                <c:pt idx="6">
                  <c:v>Solicitud Re-activación/Re-inclusión Pensión</c:v>
                </c:pt>
                <c:pt idx="7">
                  <c:v>Solicitud Traspaso</c:v>
                </c:pt>
                <c:pt idx="8">
                  <c:v>Solicitud de Exclusión</c:v>
                </c:pt>
                <c:pt idx="9">
                  <c:v>Solicitud de Inclusión a Nómina</c:v>
                </c:pt>
                <c:pt idx="10">
                  <c:v>Solicitud de Reajuste de Pensión</c:v>
                </c:pt>
                <c:pt idx="11">
                  <c:v>Solicitud de Reclamación de Deuda</c:v>
                </c:pt>
                <c:pt idx="12">
                  <c:v>Solicitud de actualización de datos  Pensionados</c:v>
                </c:pt>
              </c:strCache>
            </c:strRef>
          </c:cat>
          <c:val>
            <c:numRef>
              <c:f>Servicios!$M$11:$M$23</c:f>
              <c:numCache>
                <c:formatCode>0</c:formatCode>
                <c:ptCount val="13"/>
                <c:pt idx="0">
                  <c:v>14</c:v>
                </c:pt>
                <c:pt idx="1">
                  <c:v>473</c:v>
                </c:pt>
                <c:pt idx="2">
                  <c:v>123</c:v>
                </c:pt>
                <c:pt idx="3">
                  <c:v>535</c:v>
                </c:pt>
                <c:pt idx="4">
                  <c:v>79</c:v>
                </c:pt>
                <c:pt idx="5">
                  <c:v>556</c:v>
                </c:pt>
                <c:pt idx="6">
                  <c:v>272</c:v>
                </c:pt>
                <c:pt idx="7">
                  <c:v>17</c:v>
                </c:pt>
                <c:pt idx="8">
                  <c:v>828</c:v>
                </c:pt>
                <c:pt idx="9">
                  <c:v>10025</c:v>
                </c:pt>
                <c:pt idx="10">
                  <c:v>22</c:v>
                </c:pt>
                <c:pt idx="11">
                  <c:v>124</c:v>
                </c:pt>
                <c:pt idx="12">
                  <c:v>18682</c:v>
                </c:pt>
              </c:numCache>
            </c:numRef>
          </c:val>
          <c:extLst>
            <c:ext xmlns:c16="http://schemas.microsoft.com/office/drawing/2014/chart" uri="{C3380CC4-5D6E-409C-BE32-E72D297353CC}">
              <c16:uniqueId val="{00000000-87CC-45A1-A6C8-669D4A3C48EA}"/>
            </c:ext>
          </c:extLst>
        </c:ser>
        <c:ser>
          <c:idx val="22"/>
          <c:order val="1"/>
          <c:tx>
            <c:strRef>
              <c:f>Servicios!$N$10</c:f>
              <c:strCache>
                <c:ptCount val="1"/>
                <c:pt idx="0">
                  <c:v>Procesadas</c:v>
                </c:pt>
              </c:strCache>
            </c:strRef>
          </c:tx>
          <c:spPr>
            <a:solidFill>
              <a:schemeClr val="accent3">
                <a:lumMod val="60000"/>
                <a:lumOff val="40000"/>
              </a:schemeClr>
            </a:solidFill>
            <a:ln>
              <a:solidFill>
                <a:schemeClr val="accent3">
                  <a:lumMod val="60000"/>
                  <a:lumOff val="40000"/>
                </a:schemeClr>
              </a:solidFill>
            </a:ln>
          </c:spPr>
          <c:invertIfNegative val="0"/>
          <c:cat>
            <c:strRef>
              <c:f>Servicios!$C$11:$C$23</c:f>
              <c:strCache>
                <c:ptCount val="13"/>
                <c:pt idx="0">
                  <c:v>Modificación Datos Críticos</c:v>
                </c:pt>
                <c:pt idx="1">
                  <c:v>Pensión por sobrevivencia</c:v>
                </c:pt>
                <c:pt idx="2">
                  <c:v>Registro de Poderes</c:v>
                </c:pt>
                <c:pt idx="3">
                  <c:v>Solicitud Aplicación/Suspensión de Descuento 2%</c:v>
                </c:pt>
                <c:pt idx="4">
                  <c:v>Solicitud Pago Único Compensatorio</c:v>
                </c:pt>
                <c:pt idx="5">
                  <c:v>Solicitud Pensión</c:v>
                </c:pt>
                <c:pt idx="6">
                  <c:v>Solicitud Re-activación/Re-inclusión Pensión</c:v>
                </c:pt>
                <c:pt idx="7">
                  <c:v>Solicitud Traspaso</c:v>
                </c:pt>
                <c:pt idx="8">
                  <c:v>Solicitud de Exclusión</c:v>
                </c:pt>
                <c:pt idx="9">
                  <c:v>Solicitud de Inclusión a Nómina</c:v>
                </c:pt>
                <c:pt idx="10">
                  <c:v>Solicitud de Reajuste de Pensión</c:v>
                </c:pt>
                <c:pt idx="11">
                  <c:v>Solicitud de Reclamación de Deuda</c:v>
                </c:pt>
                <c:pt idx="12">
                  <c:v>Solicitud de actualización de datos  Pensionados</c:v>
                </c:pt>
              </c:strCache>
            </c:strRef>
          </c:cat>
          <c:val>
            <c:numRef>
              <c:f>Servicios!$N$11:$N$23</c:f>
              <c:numCache>
                <c:formatCode>0</c:formatCode>
                <c:ptCount val="13"/>
                <c:pt idx="0">
                  <c:v>12</c:v>
                </c:pt>
                <c:pt idx="1">
                  <c:v>465</c:v>
                </c:pt>
                <c:pt idx="2">
                  <c:v>56</c:v>
                </c:pt>
                <c:pt idx="3">
                  <c:v>534</c:v>
                </c:pt>
                <c:pt idx="4">
                  <c:v>73</c:v>
                </c:pt>
                <c:pt idx="5">
                  <c:v>528</c:v>
                </c:pt>
                <c:pt idx="6">
                  <c:v>267</c:v>
                </c:pt>
                <c:pt idx="7">
                  <c:v>17</c:v>
                </c:pt>
                <c:pt idx="8">
                  <c:v>820</c:v>
                </c:pt>
                <c:pt idx="9">
                  <c:v>9967</c:v>
                </c:pt>
                <c:pt idx="10">
                  <c:v>22</c:v>
                </c:pt>
                <c:pt idx="11">
                  <c:v>122</c:v>
                </c:pt>
                <c:pt idx="12">
                  <c:v>18637</c:v>
                </c:pt>
              </c:numCache>
            </c:numRef>
          </c:val>
          <c:extLst>
            <c:ext xmlns:c16="http://schemas.microsoft.com/office/drawing/2014/chart" uri="{C3380CC4-5D6E-409C-BE32-E72D297353CC}">
              <c16:uniqueId val="{00000001-87CC-45A1-A6C8-669D4A3C48EA}"/>
            </c:ext>
          </c:extLst>
        </c:ser>
        <c:dLbls>
          <c:showLegendKey val="0"/>
          <c:showVal val="0"/>
          <c:showCatName val="0"/>
          <c:showSerName val="0"/>
          <c:showPercent val="0"/>
          <c:showBubbleSize val="0"/>
        </c:dLbls>
        <c:gapWidth val="50"/>
        <c:axId val="1672055248"/>
        <c:axId val="1672041104"/>
      </c:barChart>
      <c:lineChart>
        <c:grouping val="standard"/>
        <c:varyColors val="0"/>
        <c:ser>
          <c:idx val="23"/>
          <c:order val="2"/>
          <c:tx>
            <c:strRef>
              <c:f>Servicios!$O$10</c:f>
              <c:strCache>
                <c:ptCount val="1"/>
                <c:pt idx="0">
                  <c:v>% Eficiencia</c:v>
                </c:pt>
              </c:strCache>
            </c:strRef>
          </c:tx>
          <c:spPr>
            <a:ln>
              <a:solidFill>
                <a:schemeClr val="accent1"/>
              </a:solidFill>
            </a:ln>
          </c:spPr>
          <c:marker>
            <c:symbol val="triangle"/>
            <c:size val="7"/>
            <c:spPr>
              <a:solidFill>
                <a:schemeClr val="accent1"/>
              </a:solidFill>
              <a:ln>
                <a:solidFill>
                  <a:schemeClr val="accent1"/>
                </a:solidFill>
              </a:ln>
            </c:spPr>
          </c:marker>
          <c:cat>
            <c:strRef>
              <c:f>Servicios!$C$11:$C$23</c:f>
              <c:strCache>
                <c:ptCount val="13"/>
                <c:pt idx="0">
                  <c:v>Modificación Datos Críticos</c:v>
                </c:pt>
                <c:pt idx="1">
                  <c:v>Pensión por sobrevivencia</c:v>
                </c:pt>
                <c:pt idx="2">
                  <c:v>Registro de Poderes</c:v>
                </c:pt>
                <c:pt idx="3">
                  <c:v>Solicitud Aplicación/Suspensión de Descuento 2%</c:v>
                </c:pt>
                <c:pt idx="4">
                  <c:v>Solicitud Pago Único Compensatorio</c:v>
                </c:pt>
                <c:pt idx="5">
                  <c:v>Solicitud Pensión</c:v>
                </c:pt>
                <c:pt idx="6">
                  <c:v>Solicitud Re-activación/Re-inclusión Pensión</c:v>
                </c:pt>
                <c:pt idx="7">
                  <c:v>Solicitud Traspaso</c:v>
                </c:pt>
                <c:pt idx="8">
                  <c:v>Solicitud de Exclusión</c:v>
                </c:pt>
                <c:pt idx="9">
                  <c:v>Solicitud de Inclusión a Nómina</c:v>
                </c:pt>
                <c:pt idx="10">
                  <c:v>Solicitud de Reajuste de Pensión</c:v>
                </c:pt>
                <c:pt idx="11">
                  <c:v>Solicitud de Reclamación de Deuda</c:v>
                </c:pt>
                <c:pt idx="12">
                  <c:v>Solicitud de actualización de datos  Pensionados</c:v>
                </c:pt>
              </c:strCache>
            </c:strRef>
          </c:cat>
          <c:val>
            <c:numRef>
              <c:f>Servicios!$O$11:$O$23</c:f>
              <c:numCache>
                <c:formatCode>0.00%</c:formatCode>
                <c:ptCount val="13"/>
                <c:pt idx="0">
                  <c:v>0.8571428571428571</c:v>
                </c:pt>
                <c:pt idx="1">
                  <c:v>0.9830866807610994</c:v>
                </c:pt>
                <c:pt idx="2">
                  <c:v>0.45528455284552843</c:v>
                </c:pt>
                <c:pt idx="3">
                  <c:v>0.9981308411214953</c:v>
                </c:pt>
                <c:pt idx="4">
                  <c:v>0.92405063291139244</c:v>
                </c:pt>
                <c:pt idx="5">
                  <c:v>0.94964028776978415</c:v>
                </c:pt>
                <c:pt idx="6">
                  <c:v>0.98161764705882348</c:v>
                </c:pt>
                <c:pt idx="7">
                  <c:v>1</c:v>
                </c:pt>
                <c:pt idx="8">
                  <c:v>0.99033816425120769</c:v>
                </c:pt>
                <c:pt idx="9">
                  <c:v>0.99421446384039902</c:v>
                </c:pt>
                <c:pt idx="10">
                  <c:v>1</c:v>
                </c:pt>
                <c:pt idx="11">
                  <c:v>0.9838709677419355</c:v>
                </c:pt>
                <c:pt idx="12">
                  <c:v>0.99759126431859546</c:v>
                </c:pt>
              </c:numCache>
            </c:numRef>
          </c:val>
          <c:smooth val="0"/>
          <c:extLst>
            <c:ext xmlns:c16="http://schemas.microsoft.com/office/drawing/2014/chart" uri="{C3380CC4-5D6E-409C-BE32-E72D297353CC}">
              <c16:uniqueId val="{00000002-87CC-45A1-A6C8-669D4A3C48EA}"/>
            </c:ext>
          </c:extLst>
        </c:ser>
        <c:dLbls>
          <c:showLegendKey val="0"/>
          <c:showVal val="0"/>
          <c:showCatName val="0"/>
          <c:showSerName val="0"/>
          <c:showPercent val="0"/>
          <c:showBubbleSize val="0"/>
        </c:dLbls>
        <c:marker val="1"/>
        <c:smooth val="0"/>
        <c:axId val="1672042192"/>
        <c:axId val="1672041648"/>
      </c:lineChart>
      <c:catAx>
        <c:axId val="1672055248"/>
        <c:scaling>
          <c:orientation val="minMax"/>
        </c:scaling>
        <c:delete val="0"/>
        <c:axPos val="b"/>
        <c:numFmt formatCode="General" sourceLinked="0"/>
        <c:majorTickMark val="out"/>
        <c:minorTickMark val="none"/>
        <c:tickLblPos val="nextTo"/>
        <c:crossAx val="1672041104"/>
        <c:crosses val="autoZero"/>
        <c:auto val="1"/>
        <c:lblAlgn val="ctr"/>
        <c:lblOffset val="100"/>
        <c:noMultiLvlLbl val="0"/>
      </c:catAx>
      <c:valAx>
        <c:axId val="1672041104"/>
        <c:scaling>
          <c:logBase val="10"/>
          <c:orientation val="minMax"/>
        </c:scaling>
        <c:delete val="0"/>
        <c:axPos val="l"/>
        <c:majorGridlines>
          <c:spPr>
            <a:ln>
              <a:noFill/>
            </a:ln>
          </c:spPr>
        </c:majorGridlines>
        <c:numFmt formatCode="0" sourceLinked="1"/>
        <c:majorTickMark val="out"/>
        <c:minorTickMark val="none"/>
        <c:tickLblPos val="nextTo"/>
        <c:crossAx val="1672055248"/>
        <c:crosses val="autoZero"/>
        <c:crossBetween val="between"/>
      </c:valAx>
      <c:valAx>
        <c:axId val="1672041648"/>
        <c:scaling>
          <c:orientation val="minMax"/>
          <c:max val="1"/>
          <c:min val="0.60000000000000009"/>
        </c:scaling>
        <c:delete val="0"/>
        <c:axPos val="r"/>
        <c:numFmt formatCode="0.00%" sourceLinked="1"/>
        <c:majorTickMark val="out"/>
        <c:minorTickMark val="none"/>
        <c:tickLblPos val="nextTo"/>
        <c:crossAx val="1672042192"/>
        <c:crosses val="max"/>
        <c:crossBetween val="between"/>
        <c:majorUnit val="0.1"/>
        <c:minorUnit val="5.000000000000001E-2"/>
      </c:valAx>
      <c:catAx>
        <c:axId val="1672042192"/>
        <c:scaling>
          <c:orientation val="minMax"/>
        </c:scaling>
        <c:delete val="1"/>
        <c:axPos val="b"/>
        <c:numFmt formatCode="General" sourceLinked="1"/>
        <c:majorTickMark val="out"/>
        <c:minorTickMark val="none"/>
        <c:tickLblPos val="nextTo"/>
        <c:crossAx val="1672041648"/>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1"/>
          <c:order val="0"/>
          <c:tx>
            <c:strRef>
              <c:f>Servicios!$M$10</c:f>
              <c:strCache>
                <c:ptCount val="1"/>
                <c:pt idx="0">
                  <c:v>Recibidas</c:v>
                </c:pt>
              </c:strCache>
            </c:strRef>
          </c:tx>
          <c:spPr>
            <a:solidFill>
              <a:schemeClr val="bg1">
                <a:lumMod val="65000"/>
              </a:schemeClr>
            </a:solidFill>
            <a:ln>
              <a:solidFill>
                <a:schemeClr val="bg1">
                  <a:lumMod val="65000"/>
                </a:schemeClr>
              </a:solidFill>
            </a:ln>
          </c:spPr>
          <c:invertIfNegative val="0"/>
          <c:cat>
            <c:strRef>
              <c:f>Servicios!$C$33:$C$51</c:f>
              <c:strCache>
                <c:ptCount val="15"/>
                <c:pt idx="0">
                  <c:v>Solicitud de aplicacion de Descuento ADL</c:v>
                </c:pt>
                <c:pt idx="1">
                  <c:v>Pensión por Sobrevivencia Concubina</c:v>
                </c:pt>
                <c:pt idx="2">
                  <c:v>Pensión por Sobrevivencia Conyugue</c:v>
                </c:pt>
                <c:pt idx="3">
                  <c:v>Pensión por Sobrevivencia Menor</c:v>
                </c:pt>
                <c:pt idx="4">
                  <c:v>Pensión por Sobrevivencia Padres</c:v>
                </c:pt>
                <c:pt idx="5">
                  <c:v>PensiOn por Sobrevivencia Estudiante PN</c:v>
                </c:pt>
                <c:pt idx="6">
                  <c:v>Pensión por Sobrevivencia Hijo Discapacitado PN</c:v>
                </c:pt>
                <c:pt idx="7">
                  <c:v>Reactivacion</c:v>
                </c:pt>
                <c:pt idx="8">
                  <c:v>Reembolso - RE</c:v>
                </c:pt>
                <c:pt idx="9">
                  <c:v>Reinclusion</c:v>
                </c:pt>
                <c:pt idx="10">
                  <c:v>Retroactivo – RT</c:v>
                </c:pt>
                <c:pt idx="11">
                  <c:v>Retroactivo – RTI</c:v>
                </c:pt>
                <c:pt idx="12">
                  <c:v>Solicitud de Inclusión a Nómina</c:v>
                </c:pt>
                <c:pt idx="13">
                  <c:v>Solicitud de Suspension de Descuento SDL</c:v>
                </c:pt>
                <c:pt idx="14">
                  <c:v>Solicitud Modificación Monto Pensión</c:v>
                </c:pt>
              </c:strCache>
            </c:strRef>
          </c:cat>
          <c:val>
            <c:numRef>
              <c:f>Servicios!$M$33:$M$51</c:f>
              <c:numCache>
                <c:formatCode>0</c:formatCode>
                <c:ptCount val="15"/>
                <c:pt idx="0">
                  <c:v>23</c:v>
                </c:pt>
                <c:pt idx="1">
                  <c:v>58</c:v>
                </c:pt>
                <c:pt idx="2">
                  <c:v>310</c:v>
                </c:pt>
                <c:pt idx="3">
                  <c:v>26</c:v>
                </c:pt>
                <c:pt idx="4">
                  <c:v>5</c:v>
                </c:pt>
                <c:pt idx="5">
                  <c:v>9</c:v>
                </c:pt>
                <c:pt idx="6">
                  <c:v>0</c:v>
                </c:pt>
                <c:pt idx="7">
                  <c:v>127</c:v>
                </c:pt>
                <c:pt idx="8">
                  <c:v>18</c:v>
                </c:pt>
                <c:pt idx="9">
                  <c:v>184</c:v>
                </c:pt>
                <c:pt idx="10">
                  <c:v>88</c:v>
                </c:pt>
                <c:pt idx="11">
                  <c:v>1080</c:v>
                </c:pt>
                <c:pt idx="12">
                  <c:v>10482</c:v>
                </c:pt>
                <c:pt idx="13">
                  <c:v>90</c:v>
                </c:pt>
                <c:pt idx="14">
                  <c:v>560</c:v>
                </c:pt>
              </c:numCache>
            </c:numRef>
          </c:val>
          <c:extLst>
            <c:ext xmlns:c16="http://schemas.microsoft.com/office/drawing/2014/chart" uri="{C3380CC4-5D6E-409C-BE32-E72D297353CC}">
              <c16:uniqueId val="{00000000-06E3-4EA1-A621-3A7FC20B75EF}"/>
            </c:ext>
          </c:extLst>
        </c:ser>
        <c:ser>
          <c:idx val="22"/>
          <c:order val="1"/>
          <c:tx>
            <c:strRef>
              <c:f>Servicios!$N$10</c:f>
              <c:strCache>
                <c:ptCount val="1"/>
                <c:pt idx="0">
                  <c:v>Procesadas</c:v>
                </c:pt>
              </c:strCache>
            </c:strRef>
          </c:tx>
          <c:spPr>
            <a:solidFill>
              <a:schemeClr val="accent3">
                <a:lumMod val="60000"/>
                <a:lumOff val="40000"/>
              </a:schemeClr>
            </a:solidFill>
            <a:ln>
              <a:solidFill>
                <a:schemeClr val="accent3">
                  <a:lumMod val="60000"/>
                  <a:lumOff val="40000"/>
                </a:schemeClr>
              </a:solidFill>
            </a:ln>
          </c:spPr>
          <c:invertIfNegative val="0"/>
          <c:cat>
            <c:strRef>
              <c:f>Servicios!$C$33:$C$51</c:f>
              <c:strCache>
                <c:ptCount val="15"/>
                <c:pt idx="0">
                  <c:v>Solicitud de aplicacion de Descuento ADL</c:v>
                </c:pt>
                <c:pt idx="1">
                  <c:v>Pensión por Sobrevivencia Concubina</c:v>
                </c:pt>
                <c:pt idx="2">
                  <c:v>Pensión por Sobrevivencia Conyugue</c:v>
                </c:pt>
                <c:pt idx="3">
                  <c:v>Pensión por Sobrevivencia Menor</c:v>
                </c:pt>
                <c:pt idx="4">
                  <c:v>Pensión por Sobrevivencia Padres</c:v>
                </c:pt>
                <c:pt idx="5">
                  <c:v>PensiOn por Sobrevivencia Estudiante PN</c:v>
                </c:pt>
                <c:pt idx="6">
                  <c:v>Pensión por Sobrevivencia Hijo Discapacitado PN</c:v>
                </c:pt>
                <c:pt idx="7">
                  <c:v>Reactivacion</c:v>
                </c:pt>
                <c:pt idx="8">
                  <c:v>Reembolso - RE</c:v>
                </c:pt>
                <c:pt idx="9">
                  <c:v>Reinclusion</c:v>
                </c:pt>
                <c:pt idx="10">
                  <c:v>Retroactivo – RT</c:v>
                </c:pt>
                <c:pt idx="11">
                  <c:v>Retroactivo – RTI</c:v>
                </c:pt>
                <c:pt idx="12">
                  <c:v>Solicitud de Inclusión a Nómina</c:v>
                </c:pt>
                <c:pt idx="13">
                  <c:v>Solicitud de Suspension de Descuento SDL</c:v>
                </c:pt>
                <c:pt idx="14">
                  <c:v>Solicitud Modificación Monto Pensión</c:v>
                </c:pt>
              </c:strCache>
            </c:strRef>
          </c:cat>
          <c:val>
            <c:numRef>
              <c:f>Servicios!$N$33:$N$51</c:f>
              <c:numCache>
                <c:formatCode>0</c:formatCode>
                <c:ptCount val="15"/>
                <c:pt idx="0">
                  <c:v>23</c:v>
                </c:pt>
                <c:pt idx="1">
                  <c:v>56</c:v>
                </c:pt>
                <c:pt idx="2">
                  <c:v>308</c:v>
                </c:pt>
                <c:pt idx="3">
                  <c:v>26</c:v>
                </c:pt>
                <c:pt idx="4">
                  <c:v>5</c:v>
                </c:pt>
                <c:pt idx="5">
                  <c:v>9</c:v>
                </c:pt>
                <c:pt idx="6">
                  <c:v>0</c:v>
                </c:pt>
                <c:pt idx="7">
                  <c:v>91</c:v>
                </c:pt>
                <c:pt idx="8">
                  <c:v>18</c:v>
                </c:pt>
                <c:pt idx="9">
                  <c:v>146</c:v>
                </c:pt>
                <c:pt idx="10">
                  <c:v>72</c:v>
                </c:pt>
                <c:pt idx="11">
                  <c:v>778</c:v>
                </c:pt>
                <c:pt idx="12">
                  <c:v>8925</c:v>
                </c:pt>
                <c:pt idx="13">
                  <c:v>90</c:v>
                </c:pt>
                <c:pt idx="14">
                  <c:v>560</c:v>
                </c:pt>
              </c:numCache>
            </c:numRef>
          </c:val>
          <c:extLst>
            <c:ext xmlns:c16="http://schemas.microsoft.com/office/drawing/2014/chart" uri="{C3380CC4-5D6E-409C-BE32-E72D297353CC}">
              <c16:uniqueId val="{00000001-06E3-4EA1-A621-3A7FC20B75EF}"/>
            </c:ext>
          </c:extLst>
        </c:ser>
        <c:dLbls>
          <c:showLegendKey val="0"/>
          <c:showVal val="0"/>
          <c:showCatName val="0"/>
          <c:showSerName val="0"/>
          <c:showPercent val="0"/>
          <c:showBubbleSize val="0"/>
        </c:dLbls>
        <c:gapWidth val="50"/>
        <c:axId val="1672043824"/>
        <c:axId val="1672044368"/>
      </c:barChart>
      <c:lineChart>
        <c:grouping val="standard"/>
        <c:varyColors val="0"/>
        <c:ser>
          <c:idx val="23"/>
          <c:order val="2"/>
          <c:tx>
            <c:strRef>
              <c:f>Servicios!$O$10</c:f>
              <c:strCache>
                <c:ptCount val="1"/>
                <c:pt idx="0">
                  <c:v>% Eficiencia</c:v>
                </c:pt>
              </c:strCache>
            </c:strRef>
          </c:tx>
          <c:spPr>
            <a:ln>
              <a:solidFill>
                <a:schemeClr val="accent1"/>
              </a:solidFill>
            </a:ln>
          </c:spPr>
          <c:marker>
            <c:symbol val="triangle"/>
            <c:size val="7"/>
            <c:spPr>
              <a:solidFill>
                <a:schemeClr val="accent1"/>
              </a:solidFill>
              <a:ln>
                <a:solidFill>
                  <a:schemeClr val="accent1"/>
                </a:solidFill>
              </a:ln>
            </c:spPr>
          </c:marker>
          <c:cat>
            <c:strRef>
              <c:f>Servicios!$C$33:$C$51</c:f>
              <c:strCache>
                <c:ptCount val="15"/>
                <c:pt idx="0">
                  <c:v>Solicitud de aplicacion de Descuento ADL</c:v>
                </c:pt>
                <c:pt idx="1">
                  <c:v>Pensión por Sobrevivencia Concubina</c:v>
                </c:pt>
                <c:pt idx="2">
                  <c:v>Pensión por Sobrevivencia Conyugue</c:v>
                </c:pt>
                <c:pt idx="3">
                  <c:v>Pensión por Sobrevivencia Menor</c:v>
                </c:pt>
                <c:pt idx="4">
                  <c:v>Pensión por Sobrevivencia Padres</c:v>
                </c:pt>
                <c:pt idx="5">
                  <c:v>PensiOn por Sobrevivencia Estudiante PN</c:v>
                </c:pt>
                <c:pt idx="6">
                  <c:v>Pensión por Sobrevivencia Hijo Discapacitado PN</c:v>
                </c:pt>
                <c:pt idx="7">
                  <c:v>Reactivacion</c:v>
                </c:pt>
                <c:pt idx="8">
                  <c:v>Reembolso - RE</c:v>
                </c:pt>
                <c:pt idx="9">
                  <c:v>Reinclusion</c:v>
                </c:pt>
                <c:pt idx="10">
                  <c:v>Retroactivo – RT</c:v>
                </c:pt>
                <c:pt idx="11">
                  <c:v>Retroactivo – RTI</c:v>
                </c:pt>
                <c:pt idx="12">
                  <c:v>Solicitud de Inclusión a Nómina</c:v>
                </c:pt>
                <c:pt idx="13">
                  <c:v>Solicitud de Suspension de Descuento SDL</c:v>
                </c:pt>
                <c:pt idx="14">
                  <c:v>Solicitud Modificación Monto Pensión</c:v>
                </c:pt>
              </c:strCache>
            </c:strRef>
          </c:cat>
          <c:val>
            <c:numRef>
              <c:f>Servicios!$O$33:$O$51</c:f>
              <c:numCache>
                <c:formatCode>0.00%</c:formatCode>
                <c:ptCount val="15"/>
                <c:pt idx="0">
                  <c:v>1</c:v>
                </c:pt>
                <c:pt idx="1">
                  <c:v>0.96551724137931039</c:v>
                </c:pt>
                <c:pt idx="2">
                  <c:v>0.99354838709677418</c:v>
                </c:pt>
                <c:pt idx="3">
                  <c:v>1</c:v>
                </c:pt>
                <c:pt idx="4">
                  <c:v>1</c:v>
                </c:pt>
                <c:pt idx="5">
                  <c:v>1</c:v>
                </c:pt>
                <c:pt idx="6">
                  <c:v>0</c:v>
                </c:pt>
                <c:pt idx="7">
                  <c:v>0.71653543307086609</c:v>
                </c:pt>
                <c:pt idx="8">
                  <c:v>1</c:v>
                </c:pt>
                <c:pt idx="9">
                  <c:v>0.79347826086956519</c:v>
                </c:pt>
                <c:pt idx="10">
                  <c:v>0.81818181818181823</c:v>
                </c:pt>
                <c:pt idx="11">
                  <c:v>0.72037037037037033</c:v>
                </c:pt>
                <c:pt idx="12">
                  <c:v>0.85145964510589578</c:v>
                </c:pt>
                <c:pt idx="13">
                  <c:v>1</c:v>
                </c:pt>
                <c:pt idx="14">
                  <c:v>1</c:v>
                </c:pt>
              </c:numCache>
            </c:numRef>
          </c:val>
          <c:smooth val="0"/>
          <c:extLst>
            <c:ext xmlns:c16="http://schemas.microsoft.com/office/drawing/2014/chart" uri="{C3380CC4-5D6E-409C-BE32-E72D297353CC}">
              <c16:uniqueId val="{00000002-06E3-4EA1-A621-3A7FC20B75EF}"/>
            </c:ext>
          </c:extLst>
        </c:ser>
        <c:dLbls>
          <c:showLegendKey val="0"/>
          <c:showVal val="0"/>
          <c:showCatName val="0"/>
          <c:showSerName val="0"/>
          <c:showPercent val="0"/>
          <c:showBubbleSize val="0"/>
        </c:dLbls>
        <c:marker val="1"/>
        <c:smooth val="0"/>
        <c:axId val="1672377216"/>
        <c:axId val="1672046544"/>
      </c:lineChart>
      <c:catAx>
        <c:axId val="1672043824"/>
        <c:scaling>
          <c:orientation val="minMax"/>
        </c:scaling>
        <c:delete val="0"/>
        <c:axPos val="b"/>
        <c:numFmt formatCode="General" sourceLinked="0"/>
        <c:majorTickMark val="out"/>
        <c:minorTickMark val="none"/>
        <c:tickLblPos val="nextTo"/>
        <c:crossAx val="1672044368"/>
        <c:crosses val="autoZero"/>
        <c:auto val="1"/>
        <c:lblAlgn val="ctr"/>
        <c:lblOffset val="100"/>
        <c:noMultiLvlLbl val="0"/>
      </c:catAx>
      <c:valAx>
        <c:axId val="1672044368"/>
        <c:scaling>
          <c:logBase val="10"/>
          <c:orientation val="minMax"/>
          <c:max val="10000"/>
          <c:min val="1"/>
        </c:scaling>
        <c:delete val="0"/>
        <c:axPos val="l"/>
        <c:majorGridlines>
          <c:spPr>
            <a:ln>
              <a:noFill/>
            </a:ln>
          </c:spPr>
        </c:majorGridlines>
        <c:numFmt formatCode="#,##0" sourceLinked="0"/>
        <c:majorTickMark val="out"/>
        <c:minorTickMark val="none"/>
        <c:tickLblPos val="nextTo"/>
        <c:crossAx val="1672043824"/>
        <c:crosses val="autoZero"/>
        <c:crossBetween val="between"/>
        <c:majorUnit val="10"/>
      </c:valAx>
      <c:valAx>
        <c:axId val="1672046544"/>
        <c:scaling>
          <c:orientation val="minMax"/>
          <c:max val="1.1000000000000001"/>
        </c:scaling>
        <c:delete val="0"/>
        <c:axPos val="r"/>
        <c:numFmt formatCode="0.00%" sourceLinked="0"/>
        <c:majorTickMark val="out"/>
        <c:minorTickMark val="none"/>
        <c:tickLblPos val="nextTo"/>
        <c:crossAx val="1672377216"/>
        <c:crosses val="max"/>
        <c:crossBetween val="between"/>
        <c:majorUnit val="0.2"/>
      </c:valAx>
      <c:catAx>
        <c:axId val="1672377216"/>
        <c:scaling>
          <c:orientation val="minMax"/>
        </c:scaling>
        <c:delete val="1"/>
        <c:axPos val="b"/>
        <c:numFmt formatCode="General" sourceLinked="1"/>
        <c:majorTickMark val="out"/>
        <c:minorTickMark val="none"/>
        <c:tickLblPos val="nextTo"/>
        <c:crossAx val="1672046544"/>
        <c:crosses val="autoZero"/>
        <c:auto val="1"/>
        <c:lblAlgn val="ctr"/>
        <c:lblOffset val="100"/>
        <c:noMultiLvlLbl val="0"/>
      </c:catAx>
    </c:plotArea>
    <c:legend>
      <c:legendPos val="b"/>
      <c:overlay val="0"/>
    </c:legend>
    <c:plotVisOnly val="1"/>
    <c:dispBlanksAs val="gap"/>
    <c:showDLblsOverMax val="0"/>
  </c:chart>
  <c:spPr>
    <a:noFill/>
    <a:ln>
      <a:noFill/>
    </a:ln>
  </c:spPr>
  <c:txPr>
    <a:bodyPr/>
    <a:lstStyle/>
    <a:p>
      <a:pPr>
        <a:defRPr sz="800"/>
      </a:pPr>
      <a:endParaRPr lang="es-DO"/>
    </a:p>
  </c:txPr>
  <c:printSettings>
    <c:headerFooter/>
    <c:pageMargins b="0.75" l="0.7" r="0.7" t="0.75" header="0.3" footer="0.3"/>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1"/>
          <c:order val="0"/>
          <c:tx>
            <c:strRef>
              <c:f>Servicios!$M$65</c:f>
              <c:strCache>
                <c:ptCount val="1"/>
                <c:pt idx="0">
                  <c:v>Recibidas</c:v>
                </c:pt>
              </c:strCache>
            </c:strRef>
          </c:tx>
          <c:spPr>
            <a:solidFill>
              <a:schemeClr val="bg1">
                <a:lumMod val="65000"/>
              </a:schemeClr>
            </a:solidFill>
            <a:ln>
              <a:solidFill>
                <a:schemeClr val="bg1">
                  <a:lumMod val="65000"/>
                </a:schemeClr>
              </a:solidFill>
            </a:ln>
          </c:spPr>
          <c:invertIfNegative val="0"/>
          <c:cat>
            <c:strRef>
              <c:f>Servicios!$C$66:$C$69</c:f>
              <c:strCache>
                <c:ptCount val="4"/>
                <c:pt idx="0">
                  <c:v>Sobrevivencia Civil</c:v>
                </c:pt>
                <c:pt idx="1">
                  <c:v>Sobrevivencia Policía Nacional</c:v>
                </c:pt>
                <c:pt idx="2">
                  <c:v>Discapacidad Civil</c:v>
                </c:pt>
                <c:pt idx="3">
                  <c:v>Discapacidad Policía Nacional</c:v>
                </c:pt>
              </c:strCache>
            </c:strRef>
          </c:cat>
          <c:val>
            <c:numRef>
              <c:f>Servicios!$M$66:$M$69</c:f>
              <c:numCache>
                <c:formatCode>#,##0</c:formatCode>
                <c:ptCount val="4"/>
                <c:pt idx="0">
                  <c:v>18</c:v>
                </c:pt>
                <c:pt idx="1">
                  <c:v>17</c:v>
                </c:pt>
                <c:pt idx="2">
                  <c:v>6</c:v>
                </c:pt>
                <c:pt idx="3">
                  <c:v>0</c:v>
                </c:pt>
              </c:numCache>
            </c:numRef>
          </c:val>
          <c:extLst>
            <c:ext xmlns:c16="http://schemas.microsoft.com/office/drawing/2014/chart" uri="{C3380CC4-5D6E-409C-BE32-E72D297353CC}">
              <c16:uniqueId val="{00000000-B77A-4E09-8178-945075FB79EC}"/>
            </c:ext>
          </c:extLst>
        </c:ser>
        <c:ser>
          <c:idx val="22"/>
          <c:order val="1"/>
          <c:tx>
            <c:strRef>
              <c:f>Servicios!$N$65</c:f>
              <c:strCache>
                <c:ptCount val="1"/>
                <c:pt idx="0">
                  <c:v>Otorgadas</c:v>
                </c:pt>
              </c:strCache>
            </c:strRef>
          </c:tx>
          <c:spPr>
            <a:solidFill>
              <a:schemeClr val="accent3">
                <a:lumMod val="60000"/>
                <a:lumOff val="40000"/>
              </a:schemeClr>
            </a:solidFill>
            <a:ln>
              <a:solidFill>
                <a:schemeClr val="accent3">
                  <a:lumMod val="60000"/>
                  <a:lumOff val="40000"/>
                </a:schemeClr>
              </a:solidFill>
            </a:ln>
          </c:spPr>
          <c:invertIfNegative val="0"/>
          <c:cat>
            <c:strRef>
              <c:f>Servicios!$C$66:$C$69</c:f>
              <c:strCache>
                <c:ptCount val="4"/>
                <c:pt idx="0">
                  <c:v>Sobrevivencia Civil</c:v>
                </c:pt>
                <c:pt idx="1">
                  <c:v>Sobrevivencia Policía Nacional</c:v>
                </c:pt>
                <c:pt idx="2">
                  <c:v>Discapacidad Civil</c:v>
                </c:pt>
                <c:pt idx="3">
                  <c:v>Discapacidad Policía Nacional</c:v>
                </c:pt>
              </c:strCache>
            </c:strRef>
          </c:cat>
          <c:val>
            <c:numRef>
              <c:f>Servicios!$N$66:$N$69</c:f>
              <c:numCache>
                <c:formatCode>#,##0</c:formatCode>
                <c:ptCount val="4"/>
                <c:pt idx="0">
                  <c:v>26</c:v>
                </c:pt>
                <c:pt idx="1">
                  <c:v>24</c:v>
                </c:pt>
                <c:pt idx="2">
                  <c:v>12</c:v>
                </c:pt>
                <c:pt idx="3">
                  <c:v>0</c:v>
                </c:pt>
              </c:numCache>
            </c:numRef>
          </c:val>
          <c:extLst>
            <c:ext xmlns:c16="http://schemas.microsoft.com/office/drawing/2014/chart" uri="{C3380CC4-5D6E-409C-BE32-E72D297353CC}">
              <c16:uniqueId val="{00000001-B77A-4E09-8178-945075FB79EC}"/>
            </c:ext>
          </c:extLst>
        </c:ser>
        <c:dLbls>
          <c:showLegendKey val="0"/>
          <c:showVal val="0"/>
          <c:showCatName val="0"/>
          <c:showSerName val="0"/>
          <c:showPercent val="0"/>
          <c:showBubbleSize val="0"/>
        </c:dLbls>
        <c:gapWidth val="50"/>
        <c:axId val="1672055248"/>
        <c:axId val="1672041104"/>
      </c:barChart>
      <c:catAx>
        <c:axId val="1672055248"/>
        <c:scaling>
          <c:orientation val="minMax"/>
        </c:scaling>
        <c:delete val="0"/>
        <c:axPos val="b"/>
        <c:numFmt formatCode="General" sourceLinked="0"/>
        <c:majorTickMark val="out"/>
        <c:minorTickMark val="none"/>
        <c:tickLblPos val="nextTo"/>
        <c:crossAx val="1672041104"/>
        <c:crosses val="autoZero"/>
        <c:auto val="1"/>
        <c:lblAlgn val="ctr"/>
        <c:lblOffset val="100"/>
        <c:noMultiLvlLbl val="0"/>
      </c:catAx>
      <c:valAx>
        <c:axId val="1672041104"/>
        <c:scaling>
          <c:orientation val="minMax"/>
          <c:max val="30"/>
        </c:scaling>
        <c:delete val="0"/>
        <c:axPos val="l"/>
        <c:majorGridlines>
          <c:spPr>
            <a:ln>
              <a:noFill/>
            </a:ln>
          </c:spPr>
        </c:majorGridlines>
        <c:numFmt formatCode="#,##0" sourceLinked="1"/>
        <c:majorTickMark val="out"/>
        <c:minorTickMark val="none"/>
        <c:tickLblPos val="nextTo"/>
        <c:crossAx val="1672055248"/>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1100" b="1">
                <a:solidFill>
                  <a:schemeClr val="accent1"/>
                </a:solidFill>
              </a:rPr>
              <a:t>Afiliados Policia Nacional</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DO"/>
        </a:p>
      </c:txPr>
    </c:title>
    <c:autoTitleDeleted val="0"/>
    <c:plotArea>
      <c:layout/>
      <c:barChart>
        <c:barDir val="col"/>
        <c:grouping val="clustered"/>
        <c:varyColors val="0"/>
        <c:ser>
          <c:idx val="0"/>
          <c:order val="0"/>
          <c:tx>
            <c:strRef>
              <c:f>'Afiliados y Cotizantes'!$G$7</c:f>
              <c:strCache>
                <c:ptCount val="1"/>
                <c:pt idx="0">
                  <c:v>Afiliados Policia Nacional</c:v>
                </c:pt>
              </c:strCache>
            </c:strRef>
          </c:tx>
          <c:spPr>
            <a:solidFill>
              <a:schemeClr val="bg1">
                <a:lumMod val="75000"/>
              </a:schemeClr>
            </a:solidFill>
            <a:ln>
              <a:noFill/>
            </a:ln>
            <a:effectLst>
              <a:outerShdw blurRad="76200" dir="18900000" sy="23000" kx="-1200000" algn="bl" rotWithShape="0">
                <a:prstClr val="black">
                  <a:alpha val="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'Afiliados y Cotizantes'!$A$12:$A$14</c:f>
            </c:multiLvlStrRef>
          </c:cat>
          <c:val>
            <c:numRef>
              <c:f>'Afiliados y Cotizantes'!$G$12:$G$14</c:f>
            </c:numRef>
          </c:val>
          <c:extLst>
            <c:ext xmlns:c16="http://schemas.microsoft.com/office/drawing/2014/chart" uri="{C3380CC4-5D6E-409C-BE32-E72D297353CC}">
              <c16:uniqueId val="{00000000-7C7C-4C5D-AA0A-07EE66F30F81}"/>
            </c:ext>
          </c:extLst>
        </c:ser>
        <c:dLbls>
          <c:dLblPos val="inEnd"/>
          <c:showLegendKey val="0"/>
          <c:showVal val="1"/>
          <c:showCatName val="0"/>
          <c:showSerName val="0"/>
          <c:showPercent val="0"/>
          <c:showBubbleSize val="0"/>
        </c:dLbls>
        <c:gapWidth val="41"/>
        <c:axId val="509055728"/>
        <c:axId val="509058352"/>
      </c:barChart>
      <c:catAx>
        <c:axId val="509055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dk1">
                    <a:lumMod val="65000"/>
                    <a:lumOff val="35000"/>
                  </a:schemeClr>
                </a:solidFill>
                <a:effectLst/>
                <a:latin typeface="+mn-lt"/>
                <a:ea typeface="+mn-ea"/>
                <a:cs typeface="+mn-cs"/>
              </a:defRPr>
            </a:pPr>
            <a:endParaRPr lang="es-DO"/>
          </a:p>
        </c:txPr>
        <c:crossAx val="509058352"/>
        <c:crosses val="autoZero"/>
        <c:auto val="1"/>
        <c:lblAlgn val="ctr"/>
        <c:lblOffset val="100"/>
        <c:noMultiLvlLbl val="0"/>
      </c:catAx>
      <c:valAx>
        <c:axId val="509058352"/>
        <c:scaling>
          <c:orientation val="minMax"/>
        </c:scaling>
        <c:delete val="1"/>
        <c:axPos val="l"/>
        <c:numFmt formatCode="_(* #,##0_);_(* \(#,##0\);_(* &quot;-&quot;??_);_(@_)" sourceLinked="1"/>
        <c:majorTickMark val="none"/>
        <c:minorTickMark val="none"/>
        <c:tickLblPos val="nextTo"/>
        <c:crossAx val="509055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DO"/>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'Afiliados y Cotizantes'!$B$7</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4.5543077687332418E-4"/>
                  <c:y val="0.273766439733349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31-4DD5-A172-124F91BB1E3C}"/>
                </c:ext>
              </c:extLst>
            </c:dLbl>
            <c:dLbl>
              <c:idx val="1"/>
              <c:layout>
                <c:manualLayout>
                  <c:x val="-9.0204995828106153E-3"/>
                  <c:y val="0.272496247056063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31-4DD5-A172-124F91BB1E3C}"/>
                </c:ext>
              </c:extLst>
            </c:dLbl>
            <c:dLbl>
              <c:idx val="2"/>
              <c:layout>
                <c:manualLayout>
                  <c:x val="-9.2786595286142946E-3"/>
                  <c:y val="0.29018789612227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31-4DD5-A172-124F91BB1E3C}"/>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Junio*</c:v>
                </c:pt>
                <c:pt idx="1">
                  <c:v>Mayo</c:v>
                </c:pt>
                <c:pt idx="2">
                  <c:v>Abril</c:v>
                </c:pt>
              </c:strCache>
            </c:strRef>
          </c:cat>
          <c:val>
            <c:numRef>
              <c:f>'Afiliados y Cotizantes'!$B$8:$B$10</c:f>
              <c:numCache>
                <c:formatCode>#,##0_);\(#,##0\)</c:formatCode>
                <c:ptCount val="3"/>
                <c:pt idx="0">
                  <c:v>92553</c:v>
                </c:pt>
                <c:pt idx="1">
                  <c:v>92196</c:v>
                </c:pt>
                <c:pt idx="2">
                  <c:v>92199</c:v>
                </c:pt>
              </c:numCache>
            </c:numRef>
          </c:val>
          <c:extLst>
            <c:ext xmlns:c16="http://schemas.microsoft.com/office/drawing/2014/chart" uri="{C3380CC4-5D6E-409C-BE32-E72D297353CC}">
              <c16:uniqueId val="{00000003-A831-4DD5-A172-124F91BB1E3C}"/>
            </c:ext>
          </c:extLst>
        </c:ser>
        <c:ser>
          <c:idx val="1"/>
          <c:order val="1"/>
          <c:tx>
            <c:strRef>
              <c:f>'Afiliados y Cotizantes'!$C$7</c:f>
              <c:strCache>
                <c:ptCount val="1"/>
                <c:pt idx="0">
                  <c:v>Cotizantes</c:v>
                </c:pt>
              </c:strCache>
            </c:strRef>
          </c:tx>
          <c:spPr>
            <a:solidFill>
              <a:schemeClr val="accent3">
                <a:lumMod val="60000"/>
                <a:lumOff val="40000"/>
              </a:schemeClr>
            </a:solidFill>
          </c:spPr>
          <c:invertIfNegative val="0"/>
          <c:dLbls>
            <c:dLbl>
              <c:idx val="0"/>
              <c:layout>
                <c:manualLayout>
                  <c:x val="-4.614206816561146E-3"/>
                  <c:y val="0.102530383484265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31-4DD5-A172-124F91BB1E3C}"/>
                </c:ext>
              </c:extLst>
            </c:dLbl>
            <c:dLbl>
              <c:idx val="1"/>
              <c:layout>
                <c:manualLayout>
                  <c:x val="0"/>
                  <c:y val="0.10900244574882383"/>
                </c:manualLayout>
              </c:layout>
              <c:spPr>
                <a:noFill/>
                <a:ln>
                  <a:noFill/>
                </a:ln>
                <a:effectLst/>
              </c:spPr>
              <c:txPr>
                <a:bodyPr rot="-5400000" vert="horz"/>
                <a:lstStyle/>
                <a:p>
                  <a:pPr>
                    <a:defRPr sz="1050" b="0" baseline="0"/>
                  </a:pPr>
                  <a:endParaRPr lang="es-D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31-4DD5-A172-124F91BB1E3C}"/>
                </c:ext>
              </c:extLst>
            </c:dLbl>
            <c:dLbl>
              <c:idx val="2"/>
              <c:layout>
                <c:manualLayout>
                  <c:x val="2.586054759115484E-3"/>
                  <c:y val="9.2204685808960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31-4DD5-A172-124F91BB1E3C}"/>
                </c:ext>
              </c:extLst>
            </c:dLbl>
            <c:spPr>
              <a:noFill/>
              <a:ln>
                <a:noFill/>
              </a:ln>
              <a:effectLst/>
            </c:spPr>
            <c:txPr>
              <a:bodyPr rot="-5400000" vert="horz"/>
              <a:lstStyle/>
              <a:p>
                <a:pPr>
                  <a:defRPr sz="1050" baseline="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Junio*</c:v>
                </c:pt>
                <c:pt idx="1">
                  <c:v>Mayo</c:v>
                </c:pt>
                <c:pt idx="2">
                  <c:v>Abril</c:v>
                </c:pt>
              </c:strCache>
            </c:strRef>
          </c:cat>
          <c:val>
            <c:numRef>
              <c:f>'Afiliados y Cotizantes'!$C$8:$C$10</c:f>
              <c:numCache>
                <c:formatCode>#,##0_);\(#,##0\)</c:formatCode>
                <c:ptCount val="3"/>
                <c:pt idx="0">
                  <c:v>23604</c:v>
                </c:pt>
                <c:pt idx="1">
                  <c:v>23790</c:v>
                </c:pt>
                <c:pt idx="2">
                  <c:v>23604</c:v>
                </c:pt>
              </c:numCache>
            </c:numRef>
          </c:val>
          <c:extLst>
            <c:ext xmlns:c16="http://schemas.microsoft.com/office/drawing/2014/chart" uri="{C3380CC4-5D6E-409C-BE32-E72D297353CC}">
              <c16:uniqueId val="{00000007-A831-4DD5-A172-124F91BB1E3C}"/>
            </c:ext>
          </c:extLst>
        </c:ser>
        <c:dLbls>
          <c:showLegendKey val="0"/>
          <c:showVal val="1"/>
          <c:showCatName val="0"/>
          <c:showSerName val="0"/>
          <c:showPercent val="0"/>
          <c:showBubbleSize val="0"/>
        </c:dLbls>
        <c:gapWidth val="75"/>
        <c:axId val="1578271600"/>
        <c:axId val="1578260720"/>
      </c:barChart>
      <c:lineChart>
        <c:grouping val="standard"/>
        <c:varyColors val="0"/>
        <c:ser>
          <c:idx val="2"/>
          <c:order val="2"/>
          <c:tx>
            <c:strRef>
              <c:f>'Afiliados y Cotizantes'!$D$7</c:f>
              <c:strCache>
                <c:ptCount val="1"/>
                <c:pt idx="0">
                  <c:v>%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6.7560538839129894E-2"/>
                  <c:y val="-0.423258071128098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31-4DD5-A172-124F91BB1E3C}"/>
                </c:ext>
              </c:extLst>
            </c:dLbl>
            <c:dLbl>
              <c:idx val="1"/>
              <c:layout>
                <c:manualLayout>
                  <c:x val="-3.5201781996576781E-2"/>
                  <c:y val="-0.142218073962709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31-4DD5-A172-124F91BB1E3C}"/>
                </c:ext>
              </c:extLst>
            </c:dLbl>
            <c:dLbl>
              <c:idx val="2"/>
              <c:layout>
                <c:manualLayout>
                  <c:x val="-1.0742790673351148E-2"/>
                  <c:y val="-0.35885634219493062"/>
                </c:manualLayout>
              </c:layout>
              <c:spPr>
                <a:noFill/>
                <a:ln>
                  <a:noFill/>
                </a:ln>
                <a:effectLst/>
              </c:spPr>
              <c:txPr>
                <a:bodyPr wrap="square" lIns="38100" tIns="19050" rIns="38100" bIns="19050" anchor="ctr">
                  <a:noAutofit/>
                </a:bodyPr>
                <a:lstStyle/>
                <a:p>
                  <a:pPr>
                    <a:defRPr sz="1050" b="1"/>
                  </a:pPr>
                  <a:endParaRPr lang="es-DO"/>
                </a:p>
              </c:txPr>
              <c:showLegendKey val="0"/>
              <c:showVal val="1"/>
              <c:showCatName val="0"/>
              <c:showSerName val="0"/>
              <c:showPercent val="0"/>
              <c:showBubbleSize val="0"/>
              <c:extLst>
                <c:ext xmlns:c15="http://schemas.microsoft.com/office/drawing/2012/chart" uri="{CE6537A1-D6FC-4f65-9D91-7224C49458BB}">
                  <c15:layout>
                    <c:manualLayout>
                      <c:w val="7.8047766387117218E-2"/>
                      <c:h val="0.17205190387619568"/>
                    </c:manualLayout>
                  </c15:layout>
                </c:ext>
                <c:ext xmlns:c16="http://schemas.microsoft.com/office/drawing/2014/chart" uri="{C3380CC4-5D6E-409C-BE32-E72D297353CC}">
                  <c16:uniqueId val="{0000000A-A831-4DD5-A172-124F91BB1E3C}"/>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Junio*</c:v>
                </c:pt>
                <c:pt idx="1">
                  <c:v>Mayo</c:v>
                </c:pt>
                <c:pt idx="2">
                  <c:v>Abril</c:v>
                </c:pt>
              </c:strCache>
            </c:strRef>
          </c:cat>
          <c:val>
            <c:numRef>
              <c:f>'Afiliados y Cotizantes'!$D$8:$D$10</c:f>
              <c:numCache>
                <c:formatCode>0%</c:formatCode>
                <c:ptCount val="3"/>
                <c:pt idx="0">
                  <c:v>0.25503225179086575</c:v>
                </c:pt>
                <c:pt idx="1">
                  <c:v>0.2580372250423012</c:v>
                </c:pt>
                <c:pt idx="2">
                  <c:v>0.25601145348648036</c:v>
                </c:pt>
              </c:numCache>
            </c:numRef>
          </c:val>
          <c:smooth val="0"/>
          <c:extLst>
            <c:ext xmlns:c16="http://schemas.microsoft.com/office/drawing/2014/chart" uri="{C3380CC4-5D6E-409C-BE32-E72D297353CC}">
              <c16:uniqueId val="{0000000B-A831-4DD5-A172-124F91BB1E3C}"/>
            </c:ext>
          </c:extLst>
        </c:ser>
        <c:dLbls>
          <c:showLegendKey val="0"/>
          <c:showVal val="1"/>
          <c:showCatName val="0"/>
          <c:showSerName val="0"/>
          <c:showPercent val="0"/>
          <c:showBubbleSize val="0"/>
        </c:dLbls>
        <c:marker val="1"/>
        <c:smooth val="0"/>
        <c:axId val="1578262352"/>
        <c:axId val="1578258544"/>
      </c:lineChart>
      <c:catAx>
        <c:axId val="1578271600"/>
        <c:scaling>
          <c:orientation val="minMax"/>
        </c:scaling>
        <c:delete val="0"/>
        <c:axPos val="b"/>
        <c:numFmt formatCode="General" sourceLinked="0"/>
        <c:majorTickMark val="none"/>
        <c:minorTickMark val="none"/>
        <c:tickLblPos val="nextTo"/>
        <c:crossAx val="1578260720"/>
        <c:crosses val="autoZero"/>
        <c:auto val="1"/>
        <c:lblAlgn val="ctr"/>
        <c:lblOffset val="100"/>
        <c:noMultiLvlLbl val="0"/>
      </c:catAx>
      <c:valAx>
        <c:axId val="1578260720"/>
        <c:scaling>
          <c:orientation val="minMax"/>
        </c:scaling>
        <c:delete val="0"/>
        <c:axPos val="l"/>
        <c:numFmt formatCode="#,##0_);\(#,##0\)" sourceLinked="1"/>
        <c:majorTickMark val="none"/>
        <c:minorTickMark val="none"/>
        <c:tickLblPos val="nextTo"/>
        <c:crossAx val="1578271600"/>
        <c:crosses val="autoZero"/>
        <c:crossBetween val="between"/>
      </c:valAx>
      <c:valAx>
        <c:axId val="1578258544"/>
        <c:scaling>
          <c:orientation val="minMax"/>
        </c:scaling>
        <c:delete val="0"/>
        <c:axPos val="r"/>
        <c:numFmt formatCode="0%" sourceLinked="1"/>
        <c:majorTickMark val="out"/>
        <c:minorTickMark val="none"/>
        <c:tickLblPos val="nextTo"/>
        <c:crossAx val="1578262352"/>
        <c:crosses val="max"/>
        <c:crossBetween val="between"/>
      </c:valAx>
      <c:catAx>
        <c:axId val="1578262352"/>
        <c:scaling>
          <c:orientation val="minMax"/>
        </c:scaling>
        <c:delete val="1"/>
        <c:axPos val="b"/>
        <c:numFmt formatCode="General" sourceLinked="1"/>
        <c:majorTickMark val="out"/>
        <c:minorTickMark val="none"/>
        <c:tickLblPos val="nextTo"/>
        <c:crossAx val="1578258544"/>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474892115814746"/>
          <c:y val="0.11479713174635285"/>
          <c:w val="0.78893118039654453"/>
          <c:h val="0.65586379419781204"/>
        </c:manualLayout>
      </c:layout>
      <c:barChart>
        <c:barDir val="col"/>
        <c:grouping val="clustered"/>
        <c:varyColors val="0"/>
        <c:ser>
          <c:idx val="0"/>
          <c:order val="0"/>
          <c:tx>
            <c:strRef>
              <c:f>'Afiliados y Cotizantes'!$B$7</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2.7176332025445854E-3"/>
                  <c:y val="0.519397127250657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2E-43E1-B9A8-BA03370DCA78}"/>
                </c:ext>
              </c:extLst>
            </c:dLbl>
            <c:dLbl>
              <c:idx val="1"/>
              <c:layout>
                <c:manualLayout>
                  <c:x val="-1.3588166012722802E-4"/>
                  <c:y val="0.500881605862386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2E-43E1-B9A8-BA03370DCA78}"/>
                </c:ext>
              </c:extLst>
            </c:dLbl>
            <c:dLbl>
              <c:idx val="2"/>
              <c:layout>
                <c:manualLayout>
                  <c:x val="-5.1633404454622094E-3"/>
                  <c:y val="0.478160265843433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2E-43E1-B9A8-BA03370DCA78}"/>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Junio*</c:v>
                </c:pt>
                <c:pt idx="1">
                  <c:v>Mayo</c:v>
                </c:pt>
                <c:pt idx="2">
                  <c:v>Abril</c:v>
                </c:pt>
              </c:strCache>
            </c:strRef>
          </c:cat>
          <c:val>
            <c:numRef>
              <c:f>'Afiliados y Cotizantes'!$B$8:$B$10</c:f>
              <c:numCache>
                <c:formatCode>#,##0_);\(#,##0\)</c:formatCode>
                <c:ptCount val="3"/>
                <c:pt idx="0">
                  <c:v>92553</c:v>
                </c:pt>
                <c:pt idx="1">
                  <c:v>92196</c:v>
                </c:pt>
                <c:pt idx="2">
                  <c:v>92199</c:v>
                </c:pt>
              </c:numCache>
            </c:numRef>
          </c:val>
          <c:extLst>
            <c:ext xmlns:c16="http://schemas.microsoft.com/office/drawing/2014/chart" uri="{C3380CC4-5D6E-409C-BE32-E72D297353CC}">
              <c16:uniqueId val="{00000003-D92E-43E1-B9A8-BA03370DCA78}"/>
            </c:ext>
          </c:extLst>
        </c:ser>
        <c:ser>
          <c:idx val="1"/>
          <c:order val="1"/>
          <c:tx>
            <c:strRef>
              <c:f>'Afiliados y Cotizantes'!$F$7</c:f>
              <c:strCache>
                <c:ptCount val="1"/>
                <c:pt idx="0">
                  <c:v>% No Cotizantes</c:v>
                </c:pt>
              </c:strCache>
            </c:strRef>
          </c:tx>
          <c:spPr>
            <a:solidFill>
              <a:schemeClr val="accent3">
                <a:lumMod val="60000"/>
                <a:lumOff val="40000"/>
              </a:schemeClr>
            </a:solidFill>
          </c:spPr>
          <c:invertIfNegative val="0"/>
          <c:dLbls>
            <c:dLbl>
              <c:idx val="0"/>
              <c:layout>
                <c:manualLayout>
                  <c:x val="5.1633404454621149E-3"/>
                  <c:y val="0.393979007543447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2E-43E1-B9A8-BA03370DCA78}"/>
                </c:ext>
              </c:extLst>
            </c:dLbl>
            <c:dLbl>
              <c:idx val="1"/>
              <c:layout>
                <c:manualLayout>
                  <c:x val="2.5816702227310574E-3"/>
                  <c:y val="0.394030184119631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2E-43E1-B9A8-BA03370DCA78}"/>
                </c:ext>
              </c:extLst>
            </c:dLbl>
            <c:dLbl>
              <c:idx val="2"/>
              <c:layout>
                <c:manualLayout>
                  <c:x val="-2.5816702227310574E-3"/>
                  <c:y val="0.393799647736819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2E-43E1-B9A8-BA03370DCA78}"/>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'Afiliados y Cotizantes'!$A$8:$A$10</c:f>
              <c:strCache>
                <c:ptCount val="3"/>
                <c:pt idx="0">
                  <c:v>Junio*</c:v>
                </c:pt>
                <c:pt idx="1">
                  <c:v>Mayo</c:v>
                </c:pt>
                <c:pt idx="2">
                  <c:v>Abril</c:v>
                </c:pt>
              </c:strCache>
            </c:strRef>
          </c:cat>
          <c:val>
            <c:numRef>
              <c:f>'Afiliados y Cotizantes'!$E$8:$E$10</c:f>
              <c:numCache>
                <c:formatCode>#,##0</c:formatCode>
                <c:ptCount val="3"/>
                <c:pt idx="0">
                  <c:v>68588</c:v>
                </c:pt>
                <c:pt idx="1">
                  <c:v>68406</c:v>
                </c:pt>
                <c:pt idx="2">
                  <c:v>68595</c:v>
                </c:pt>
              </c:numCache>
            </c:numRef>
          </c:val>
          <c:extLst>
            <c:ext xmlns:c16="http://schemas.microsoft.com/office/drawing/2014/chart" uri="{C3380CC4-5D6E-409C-BE32-E72D297353CC}">
              <c16:uniqueId val="{00000007-D92E-43E1-B9A8-BA03370DCA78}"/>
            </c:ext>
          </c:extLst>
        </c:ser>
        <c:dLbls>
          <c:showLegendKey val="0"/>
          <c:showVal val="1"/>
          <c:showCatName val="0"/>
          <c:showSerName val="0"/>
          <c:showPercent val="0"/>
          <c:showBubbleSize val="0"/>
        </c:dLbls>
        <c:gapWidth val="75"/>
        <c:axId val="1667770560"/>
        <c:axId val="1667758048"/>
      </c:barChart>
      <c:lineChart>
        <c:grouping val="standard"/>
        <c:varyColors val="0"/>
        <c:ser>
          <c:idx val="2"/>
          <c:order val="2"/>
          <c:tx>
            <c:strRef>
              <c:f>'Afiliados y Cotizantes'!$F$7</c:f>
              <c:strCache>
                <c:ptCount val="1"/>
                <c:pt idx="0">
                  <c:v>% No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9.8035169563652047E-2"/>
                  <c:y val="-0.389964708791332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2E-43E1-B9A8-BA03370DCA78}"/>
                </c:ext>
              </c:extLst>
            </c:dLbl>
            <c:dLbl>
              <c:idx val="1"/>
              <c:layout>
                <c:manualLayout>
                  <c:x val="-8.3761165986008967E-2"/>
                  <c:y val="-0.298864387349113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2E-43E1-B9A8-BA03370DCA78}"/>
                </c:ext>
              </c:extLst>
            </c:dLbl>
            <c:dLbl>
              <c:idx val="2"/>
              <c:layout>
                <c:manualLayout>
                  <c:x val="-7.9826106868700328E-2"/>
                  <c:y val="-0.102999527951985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2E-43E1-B9A8-BA03370DCA78}"/>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Junio*</c:v>
                </c:pt>
                <c:pt idx="1">
                  <c:v>Mayo</c:v>
                </c:pt>
                <c:pt idx="2">
                  <c:v>Abril</c:v>
                </c:pt>
              </c:strCache>
            </c:strRef>
          </c:cat>
          <c:val>
            <c:numRef>
              <c:f>'Afiliados y Cotizantes'!$F$8:$F$10</c:f>
              <c:numCache>
                <c:formatCode>0%</c:formatCode>
                <c:ptCount val="3"/>
                <c:pt idx="0">
                  <c:v>0.74106728036908587</c:v>
                </c:pt>
                <c:pt idx="1">
                  <c:v>0.7419627749576988</c:v>
                </c:pt>
                <c:pt idx="2">
                  <c:v>0.74398854651351964</c:v>
                </c:pt>
              </c:numCache>
            </c:numRef>
          </c:val>
          <c:smooth val="0"/>
          <c:extLst>
            <c:ext xmlns:c16="http://schemas.microsoft.com/office/drawing/2014/chart" uri="{C3380CC4-5D6E-409C-BE32-E72D297353CC}">
              <c16:uniqueId val="{0000000B-D92E-43E1-B9A8-BA03370DCA78}"/>
            </c:ext>
          </c:extLst>
        </c:ser>
        <c:dLbls>
          <c:showLegendKey val="0"/>
          <c:showVal val="1"/>
          <c:showCatName val="0"/>
          <c:showSerName val="0"/>
          <c:showPercent val="0"/>
          <c:showBubbleSize val="0"/>
        </c:dLbls>
        <c:marker val="1"/>
        <c:smooth val="0"/>
        <c:axId val="1667766752"/>
        <c:axId val="1667762944"/>
      </c:lineChart>
      <c:catAx>
        <c:axId val="1667770560"/>
        <c:scaling>
          <c:orientation val="minMax"/>
        </c:scaling>
        <c:delete val="0"/>
        <c:axPos val="b"/>
        <c:numFmt formatCode="General" sourceLinked="0"/>
        <c:majorTickMark val="none"/>
        <c:minorTickMark val="none"/>
        <c:tickLblPos val="nextTo"/>
        <c:crossAx val="1667758048"/>
        <c:crosses val="autoZero"/>
        <c:auto val="1"/>
        <c:lblAlgn val="ctr"/>
        <c:lblOffset val="100"/>
        <c:noMultiLvlLbl val="0"/>
      </c:catAx>
      <c:valAx>
        <c:axId val="1667758048"/>
        <c:scaling>
          <c:orientation val="minMax"/>
        </c:scaling>
        <c:delete val="0"/>
        <c:axPos val="l"/>
        <c:numFmt formatCode="#,##0_);\(#,##0\)" sourceLinked="1"/>
        <c:majorTickMark val="none"/>
        <c:minorTickMark val="none"/>
        <c:tickLblPos val="nextTo"/>
        <c:crossAx val="1667770560"/>
        <c:crosses val="autoZero"/>
        <c:crossBetween val="between"/>
      </c:valAx>
      <c:valAx>
        <c:axId val="1667762944"/>
        <c:scaling>
          <c:orientation val="minMax"/>
        </c:scaling>
        <c:delete val="0"/>
        <c:axPos val="r"/>
        <c:numFmt formatCode="0%" sourceLinked="1"/>
        <c:majorTickMark val="out"/>
        <c:minorTickMark val="none"/>
        <c:tickLblPos val="nextTo"/>
        <c:crossAx val="1667766752"/>
        <c:crosses val="max"/>
        <c:crossBetween val="between"/>
      </c:valAx>
      <c:catAx>
        <c:axId val="1667766752"/>
        <c:scaling>
          <c:orientation val="minMax"/>
        </c:scaling>
        <c:delete val="1"/>
        <c:axPos val="b"/>
        <c:numFmt formatCode="General" sourceLinked="1"/>
        <c:majorTickMark val="out"/>
        <c:minorTickMark val="none"/>
        <c:tickLblPos val="nextTo"/>
        <c:crossAx val="1667762944"/>
        <c:crosses val="autoZero"/>
        <c:auto val="1"/>
        <c:lblAlgn val="ctr"/>
        <c:lblOffset val="100"/>
        <c:noMultiLvlLbl val="0"/>
      </c:catAx>
    </c:plotArea>
    <c:legend>
      <c:legendPos val="b"/>
      <c:layout>
        <c:manualLayout>
          <c:xMode val="edge"/>
          <c:yMode val="edge"/>
          <c:x val="2.3107547662018914E-2"/>
          <c:y val="0.76781711511228001"/>
          <c:w val="0.91580180266513356"/>
          <c:h val="0.23218272348309402"/>
        </c:manualLayout>
      </c:layout>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1100" b="1">
                <a:solidFill>
                  <a:schemeClr val="accent1"/>
                </a:solidFill>
              </a:rPr>
              <a:t>Afiliados Policia Nacional</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DO"/>
        </a:p>
      </c:txPr>
    </c:title>
    <c:autoTitleDeleted val="0"/>
    <c:plotArea>
      <c:layout>
        <c:manualLayout>
          <c:layoutTarget val="inner"/>
          <c:xMode val="edge"/>
          <c:yMode val="edge"/>
          <c:x val="2.2158035646521756E-2"/>
          <c:y val="0.15470529868772639"/>
          <c:w val="0.93906540197206523"/>
          <c:h val="0.72936219924709977"/>
        </c:manualLayout>
      </c:layout>
      <c:barChart>
        <c:barDir val="col"/>
        <c:grouping val="clustered"/>
        <c:varyColors val="0"/>
        <c:ser>
          <c:idx val="0"/>
          <c:order val="0"/>
          <c:tx>
            <c:strRef>
              <c:f>'Afiliados y Cotizantes'!$G$7</c:f>
              <c:strCache>
                <c:ptCount val="1"/>
                <c:pt idx="0">
                  <c:v>Afiliados Policia Nacional</c:v>
                </c:pt>
              </c:strCache>
            </c:strRef>
          </c:tx>
          <c:spPr>
            <a:solidFill>
              <a:schemeClr val="bg1">
                <a:lumMod val="75000"/>
              </a:schemeClr>
            </a:solidFill>
            <a:ln>
              <a:noFill/>
            </a:ln>
            <a:effectLst>
              <a:outerShdw blurRad="76200" dir="18900000" sy="23000" kx="-1200000" algn="bl" rotWithShape="0">
                <a:prstClr val="black">
                  <a:alpha val="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'Afiliados y Cotizantes'!$A$8:$A$10</c:f>
              <c:strCache>
                <c:ptCount val="3"/>
                <c:pt idx="0">
                  <c:v>Junio*</c:v>
                </c:pt>
                <c:pt idx="1">
                  <c:v>Mayo</c:v>
                </c:pt>
                <c:pt idx="2">
                  <c:v>Abril</c:v>
                </c:pt>
              </c:strCache>
            </c:strRef>
          </c:cat>
          <c:val>
            <c:numRef>
              <c:f>'Afiliados y Cotizantes'!$G$8:$G$10</c:f>
              <c:numCache>
                <c:formatCode>#,##0_);\(#,##0\)</c:formatCode>
                <c:ptCount val="3"/>
                <c:pt idx="0">
                  <c:v>59827</c:v>
                </c:pt>
                <c:pt idx="1">
                  <c:v>59767</c:v>
                </c:pt>
                <c:pt idx="2">
                  <c:v>59681</c:v>
                </c:pt>
              </c:numCache>
            </c:numRef>
          </c:val>
          <c:extLst>
            <c:ext xmlns:c16="http://schemas.microsoft.com/office/drawing/2014/chart" uri="{C3380CC4-5D6E-409C-BE32-E72D297353CC}">
              <c16:uniqueId val="{00000000-2045-460B-884F-92E629733855}"/>
            </c:ext>
          </c:extLst>
        </c:ser>
        <c:dLbls>
          <c:dLblPos val="inEnd"/>
          <c:showLegendKey val="0"/>
          <c:showVal val="1"/>
          <c:showCatName val="0"/>
          <c:showSerName val="0"/>
          <c:showPercent val="0"/>
          <c:showBubbleSize val="0"/>
        </c:dLbls>
        <c:gapWidth val="41"/>
        <c:axId val="509055728"/>
        <c:axId val="509058352"/>
      </c:barChart>
      <c:catAx>
        <c:axId val="509055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dk1">
                    <a:lumMod val="65000"/>
                    <a:lumOff val="35000"/>
                  </a:schemeClr>
                </a:solidFill>
                <a:effectLst/>
                <a:latin typeface="+mn-lt"/>
                <a:ea typeface="+mn-ea"/>
                <a:cs typeface="+mn-cs"/>
              </a:defRPr>
            </a:pPr>
            <a:endParaRPr lang="es-DO"/>
          </a:p>
        </c:txPr>
        <c:crossAx val="509058352"/>
        <c:crosses val="autoZero"/>
        <c:auto val="1"/>
        <c:lblAlgn val="ctr"/>
        <c:lblOffset val="100"/>
        <c:noMultiLvlLbl val="0"/>
      </c:catAx>
      <c:valAx>
        <c:axId val="509058352"/>
        <c:scaling>
          <c:orientation val="minMax"/>
        </c:scaling>
        <c:delete val="1"/>
        <c:axPos val="l"/>
        <c:numFmt formatCode="#,##0_);\(#,##0\)" sourceLinked="1"/>
        <c:majorTickMark val="none"/>
        <c:minorTickMark val="none"/>
        <c:tickLblPos val="nextTo"/>
        <c:crossAx val="509055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DO"/>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sz="1100">
                <a:solidFill>
                  <a:schemeClr val="accent1"/>
                </a:solidFill>
              </a:rPr>
              <a:t>Porcentaje de Cotizantes</a:t>
            </a:r>
            <a:r>
              <a:rPr lang="es-ES" sz="1100" baseline="0">
                <a:solidFill>
                  <a:schemeClr val="accent1"/>
                </a:solidFill>
              </a:rPr>
              <a:t> y No Cotizantes</a:t>
            </a:r>
            <a:endParaRPr lang="es-ES" sz="1100">
              <a:solidFill>
                <a:schemeClr val="accent1"/>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25"/>
          <c:dPt>
            <c:idx val="0"/>
            <c:bubble3D val="0"/>
            <c:explosion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284E-4ADE-AB0C-3A09AA13D1E1}"/>
              </c:ext>
            </c:extLst>
          </c:dPt>
          <c:dPt>
            <c:idx val="1"/>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284E-4ADE-AB0C-3A09AA13D1E1}"/>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4E-4ADE-AB0C-3A09AA13D1E1}"/>
                </c:ext>
              </c:extLst>
            </c:dLbl>
            <c:dLbl>
              <c:idx val="1"/>
              <c:layout>
                <c:manualLayout>
                  <c:x val="0.21927088801399824"/>
                  <c:y val="-0.22681211723534558"/>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22395822397200349"/>
                      <c:h val="0.12689814814814815"/>
                    </c:manualLayout>
                  </c15:layout>
                </c:ext>
                <c:ext xmlns:c16="http://schemas.microsoft.com/office/drawing/2014/chart" uri="{C3380CC4-5D6E-409C-BE32-E72D297353CC}">
                  <c16:uniqueId val="{00000003-284E-4ADE-AB0C-3A09AA13D1E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Cotizantes'!$D$7,'Afiliados y Cotizantes'!$F$7)</c:f>
              <c:strCache>
                <c:ptCount val="2"/>
                <c:pt idx="0">
                  <c:v>% Cotizantes</c:v>
                </c:pt>
                <c:pt idx="1">
                  <c:v>% No Cotizantes</c:v>
                </c:pt>
              </c:strCache>
            </c:strRef>
          </c:cat>
          <c:val>
            <c:numRef>
              <c:f>('Afiliados y Cotizantes'!$D$8,'Afiliados y Cotizantes'!$F$8)</c:f>
              <c:numCache>
                <c:formatCode>0%</c:formatCode>
                <c:ptCount val="2"/>
                <c:pt idx="0">
                  <c:v>0.25503225179086575</c:v>
                </c:pt>
                <c:pt idx="1">
                  <c:v>0.74106728036908587</c:v>
                </c:pt>
              </c:numCache>
            </c:numRef>
          </c:val>
          <c:extLst>
            <c:ext xmlns:c16="http://schemas.microsoft.com/office/drawing/2014/chart" uri="{C3380CC4-5D6E-409C-BE32-E72D297353CC}">
              <c16:uniqueId val="{00000004-284E-4ADE-AB0C-3A09AA13D1E1}"/>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1367-44D4-8F31-B74EE93527D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1367-44D4-8F31-B74EE93527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Cotizantes'!$D$7,'Afiliados y Cotizantes'!$F$7)</c:f>
              <c:strCache>
                <c:ptCount val="2"/>
                <c:pt idx="0">
                  <c:v>% Cotizantes</c:v>
                </c:pt>
                <c:pt idx="1">
                  <c:v>% No Cotizantes</c:v>
                </c:pt>
              </c:strCache>
            </c:strRef>
          </c:cat>
          <c:val>
            <c:numRef>
              <c:f>('Afiliados y Cotizantes'!$D$9,'Afiliados y Cotizantes'!$F$9)</c:f>
              <c:numCache>
                <c:formatCode>0%</c:formatCode>
                <c:ptCount val="2"/>
                <c:pt idx="0">
                  <c:v>0.2580372250423012</c:v>
                </c:pt>
                <c:pt idx="1">
                  <c:v>0.7419627749576988</c:v>
                </c:pt>
              </c:numCache>
            </c:numRef>
          </c:val>
          <c:extLst>
            <c:ext xmlns:c16="http://schemas.microsoft.com/office/drawing/2014/chart" uri="{C3380CC4-5D6E-409C-BE32-E72D297353CC}">
              <c16:uniqueId val="{00000005-284E-4ADE-AB0C-3A09AA13D1E1}"/>
            </c:ext>
          </c:extLst>
        </c:ser>
        <c:ser>
          <c:idx val="2"/>
          <c:order val="2"/>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1367-44D4-8F31-B74EE93527D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1367-44D4-8F31-B74EE93527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Cotizantes'!$D$7,'Afiliados y Cotizantes'!$F$7)</c:f>
              <c:strCache>
                <c:ptCount val="2"/>
                <c:pt idx="0">
                  <c:v>% Cotizantes</c:v>
                </c:pt>
                <c:pt idx="1">
                  <c:v>% No Cotizantes</c:v>
                </c:pt>
              </c:strCache>
            </c:strRef>
          </c:cat>
          <c:val>
            <c:numRef>
              <c:f>('Afiliados y Cotizantes'!$D$10,'Afiliados y Cotizantes'!$F$10)</c:f>
              <c:numCache>
                <c:formatCode>0%</c:formatCode>
                <c:ptCount val="2"/>
                <c:pt idx="0">
                  <c:v>0.25601145348648036</c:v>
                </c:pt>
                <c:pt idx="1">
                  <c:v>0.74398854651351964</c:v>
                </c:pt>
              </c:numCache>
            </c:numRef>
          </c:val>
          <c:extLst>
            <c:ext xmlns:c16="http://schemas.microsoft.com/office/drawing/2014/chart" uri="{C3380CC4-5D6E-409C-BE32-E72D297353CC}">
              <c16:uniqueId val="{00000006-284E-4ADE-AB0C-3A09AA13D1E1}"/>
            </c:ext>
          </c:extLst>
        </c:ser>
        <c:ser>
          <c:idx val="3"/>
          <c:order val="3"/>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1367-44D4-8F31-B74EE93527D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1367-44D4-8F31-B74EE93527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Cotizantes'!$D$7,'Afiliados y Cotizantes'!$F$7)</c:f>
              <c:strCache>
                <c:ptCount val="2"/>
                <c:pt idx="0">
                  <c:v>% Cotizantes</c:v>
                </c:pt>
                <c:pt idx="1">
                  <c:v>% No Cotizantes</c:v>
                </c:pt>
              </c:strCache>
            </c:strRef>
          </c:cat>
          <c:val>
            <c:numRef>
              <c:f>('Afiliados y Cotizantes'!$D$11,'Afiliados y Cotizantes'!$F$11)</c:f>
              <c:numCache>
                <c:formatCode>0%</c:formatCode>
                <c:ptCount val="2"/>
                <c:pt idx="0">
                  <c:v>0.25636031010654908</c:v>
                </c:pt>
                <c:pt idx="1">
                  <c:v>0.7423395339467681</c:v>
                </c:pt>
              </c:numCache>
            </c:numRef>
          </c:val>
          <c:extLst>
            <c:ext xmlns:c16="http://schemas.microsoft.com/office/drawing/2014/chart" uri="{C3380CC4-5D6E-409C-BE32-E72D297353CC}">
              <c16:uniqueId val="{00000007-284E-4ADE-AB0C-3A09AA13D1E1}"/>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3">
  <a:schemeClr val="accent3"/>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 id="16">
  <a:schemeClr val="accent3"/>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6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7.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chart" Target="../charts/chart21.xml"/><Relationship Id="rId4"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5.xml"/><Relationship Id="rId7" Type="http://schemas.openxmlformats.org/officeDocument/2006/relationships/chart" Target="../charts/chart27.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6.xml"/><Relationship Id="rId5" Type="http://schemas.openxmlformats.org/officeDocument/2006/relationships/image" Target="../media/image4.png"/><Relationship Id="rId10" Type="http://schemas.openxmlformats.org/officeDocument/2006/relationships/chart" Target="../charts/chart30.xml"/><Relationship Id="rId4" Type="http://schemas.openxmlformats.org/officeDocument/2006/relationships/image" Target="../media/image1.png"/><Relationship Id="rId9"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image" Target="../media/image1.png"/><Relationship Id="rId1" Type="http://schemas.openxmlformats.org/officeDocument/2006/relationships/chart" Target="../charts/chart32.xml"/><Relationship Id="rId4" Type="http://schemas.openxmlformats.org/officeDocument/2006/relationships/image" Target="../media/image8.png"/></Relationships>
</file>

<file path=xl/drawings/_rels/drawing17.xml.rels><?xml version="1.0" encoding="UTF-8" standalone="yes"?>
<Relationships xmlns="http://schemas.openxmlformats.org/package/2006/relationships"><Relationship Id="rId8" Type="http://schemas.openxmlformats.org/officeDocument/2006/relationships/chart" Target="../charts/chart39.xml"/><Relationship Id="rId3" Type="http://schemas.openxmlformats.org/officeDocument/2006/relationships/chart" Target="../charts/chart34.xml"/><Relationship Id="rId7" Type="http://schemas.openxmlformats.org/officeDocument/2006/relationships/chart" Target="../charts/chart38.xml"/><Relationship Id="rId2" Type="http://schemas.openxmlformats.org/officeDocument/2006/relationships/image" Target="../media/image1.png"/><Relationship Id="rId1" Type="http://schemas.openxmlformats.org/officeDocument/2006/relationships/image" Target="../media/image9.png"/><Relationship Id="rId6" Type="http://schemas.openxmlformats.org/officeDocument/2006/relationships/chart" Target="../charts/chart37.xml"/><Relationship Id="rId5" Type="http://schemas.openxmlformats.org/officeDocument/2006/relationships/chart" Target="../charts/chart36.xml"/><Relationship Id="rId4" Type="http://schemas.openxmlformats.org/officeDocument/2006/relationships/chart" Target="../charts/chart35.xml"/><Relationship Id="rId9"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image" Target="../media/image8.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chart" Target="../charts/chart7.xml"/><Relationship Id="rId2" Type="http://schemas.openxmlformats.org/officeDocument/2006/relationships/image" Target="../media/image1.png"/><Relationship Id="rId1" Type="http://schemas.openxmlformats.org/officeDocument/2006/relationships/chart" Target="../charts/chart3.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image" Target="../media/image3.png"/><Relationship Id="rId9" Type="http://schemas.openxmlformats.org/officeDocument/2006/relationships/chart" Target="../charts/chart9.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image" Target="../media/image8.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chart" Target="../charts/chart47.xml"/><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0.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674810</xdr:colOff>
      <xdr:row>56</xdr:row>
      <xdr:rowOff>155331</xdr:rowOff>
    </xdr:from>
    <xdr:to>
      <xdr:col>5</xdr:col>
      <xdr:colOff>253512</xdr:colOff>
      <xdr:row>73</xdr:row>
      <xdr:rowOff>23447</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293585</xdr:colOff>
      <xdr:row>2</xdr:row>
      <xdr:rowOff>43961</xdr:rowOff>
    </xdr:from>
    <xdr:to>
      <xdr:col>1</xdr:col>
      <xdr:colOff>352391</xdr:colOff>
      <xdr:row>5</xdr:row>
      <xdr:rowOff>7327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93585" y="234461"/>
          <a:ext cx="850114" cy="534866"/>
        </a:xfrm>
        <a:prstGeom prst="rect">
          <a:avLst/>
        </a:prstGeom>
      </xdr:spPr>
    </xdr:pic>
    <xdr:clientData/>
  </xdr:twoCellAnchor>
  <xdr:twoCellAnchor editAs="oneCell">
    <xdr:from>
      <xdr:col>4</xdr:col>
      <xdr:colOff>400050</xdr:colOff>
      <xdr:row>2</xdr:row>
      <xdr:rowOff>19050</xdr:rowOff>
    </xdr:from>
    <xdr:to>
      <xdr:col>6</xdr:col>
      <xdr:colOff>193813</xdr:colOff>
      <xdr:row>5</xdr:row>
      <xdr:rowOff>9525</xdr:rowOff>
    </xdr:to>
    <xdr:pic>
      <xdr:nvPicPr>
        <xdr:cNvPr id="7" name="Picture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86200" y="209550"/>
          <a:ext cx="1657350" cy="561975"/>
        </a:xfrm>
        <a:prstGeom prst="rect">
          <a:avLst/>
        </a:prstGeom>
      </xdr:spPr>
    </xdr:pic>
    <xdr:clientData/>
  </xdr:twoCellAnchor>
  <xdr:twoCellAnchor>
    <xdr:from>
      <xdr:col>0</xdr:col>
      <xdr:colOff>400326</xdr:colOff>
      <xdr:row>37</xdr:row>
      <xdr:rowOff>41965</xdr:rowOff>
    </xdr:from>
    <xdr:to>
      <xdr:col>4</xdr:col>
      <xdr:colOff>929941</xdr:colOff>
      <xdr:row>53</xdr:row>
      <xdr:rowOff>100581</xdr:rowOff>
    </xdr:to>
    <xdr:graphicFrame macro="">
      <xdr:nvGraphicFramePr>
        <xdr:cNvPr id="6" name="2 Gráfico">
          <a:extLst>
            <a:ext uri="{FF2B5EF4-FFF2-40B4-BE49-F238E27FC236}">
              <a16:creationId xmlns:a16="http://schemas.microsoft.com/office/drawing/2014/main" id="{1A0C5000-25F2-4CD1-AB0A-115A5C00C6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901212</xdr:colOff>
      <xdr:row>35</xdr:row>
      <xdr:rowOff>122008</xdr:rowOff>
    </xdr:from>
    <xdr:to>
      <xdr:col>3</xdr:col>
      <xdr:colOff>628841</xdr:colOff>
      <xdr:row>36</xdr:row>
      <xdr:rowOff>180623</xdr:rowOff>
    </xdr:to>
    <xdr:sp macro="" textlink="">
      <xdr:nvSpPr>
        <xdr:cNvPr id="4" name="CuadroTexto 3">
          <a:extLst>
            <a:ext uri="{FF2B5EF4-FFF2-40B4-BE49-F238E27FC236}">
              <a16:creationId xmlns:a16="http://schemas.microsoft.com/office/drawing/2014/main" id="{D505F560-0670-97A6-6B39-0A52AC835241}"/>
            </a:ext>
          </a:extLst>
        </xdr:cNvPr>
        <xdr:cNvSpPr txBox="1"/>
      </xdr:nvSpPr>
      <xdr:spPr>
        <a:xfrm>
          <a:off x="1679777" y="2474269"/>
          <a:ext cx="1665760" cy="249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ES" sz="1100" b="1" i="0" baseline="0">
              <a:solidFill>
                <a:schemeClr val="accent1"/>
              </a:solidFill>
              <a:effectLst/>
              <a:latin typeface="+mn-lt"/>
              <a:ea typeface="+mn-ea"/>
              <a:cs typeface="+mn-cs"/>
            </a:rPr>
            <a:t>Programado vs Ejecutado</a:t>
          </a:r>
          <a:endParaRPr lang="es-DO">
            <a:solidFill>
              <a:schemeClr val="accent1"/>
            </a:solidFill>
            <a:effectLst/>
          </a:endParaRPr>
        </a:p>
        <a:p>
          <a:endParaRPr lang="es-DO" sz="1100">
            <a:solidFill>
              <a:schemeClr val="accent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282575</xdr:colOff>
      <xdr:row>48</xdr:row>
      <xdr:rowOff>7082</xdr:rowOff>
    </xdr:from>
    <xdr:to>
      <xdr:col>2</xdr:col>
      <xdr:colOff>1155700</xdr:colOff>
      <xdr:row>61</xdr:row>
      <xdr:rowOff>58614</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236294</xdr:colOff>
      <xdr:row>2</xdr:row>
      <xdr:rowOff>28696</xdr:rowOff>
    </xdr:from>
    <xdr:to>
      <xdr:col>0</xdr:col>
      <xdr:colOff>815121</xdr:colOff>
      <xdr:row>4</xdr:row>
      <xdr:rowOff>11876</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236294" y="409696"/>
          <a:ext cx="578827" cy="364180"/>
        </a:xfrm>
        <a:prstGeom prst="rect">
          <a:avLst/>
        </a:prstGeom>
      </xdr:spPr>
    </xdr:pic>
    <xdr:clientData/>
  </xdr:twoCellAnchor>
  <xdr:twoCellAnchor editAs="oneCell">
    <xdr:from>
      <xdr:col>2</xdr:col>
      <xdr:colOff>1356093</xdr:colOff>
      <xdr:row>1</xdr:row>
      <xdr:rowOff>134327</xdr:rowOff>
    </xdr:from>
    <xdr:to>
      <xdr:col>4</xdr:col>
      <xdr:colOff>145194</xdr:colOff>
      <xdr:row>3</xdr:row>
      <xdr:rowOff>163499</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24656" y="324827"/>
          <a:ext cx="1646601" cy="410172"/>
        </a:xfrm>
        <a:prstGeom prst="rect">
          <a:avLst/>
        </a:prstGeom>
      </xdr:spPr>
    </xdr:pic>
    <xdr:clientData/>
  </xdr:twoCellAnchor>
  <xdr:twoCellAnchor>
    <xdr:from>
      <xdr:col>3</xdr:col>
      <xdr:colOff>433387</xdr:colOff>
      <xdr:row>48</xdr:row>
      <xdr:rowOff>103188</xdr:rowOff>
    </xdr:from>
    <xdr:to>
      <xdr:col>8</xdr:col>
      <xdr:colOff>652462</xdr:colOff>
      <xdr:row>61</xdr:row>
      <xdr:rowOff>165101</xdr:rowOff>
    </xdr:to>
    <xdr:graphicFrame macro="">
      <xdr:nvGraphicFramePr>
        <xdr:cNvPr id="4" name="Gráfico 3">
          <a:extLst>
            <a:ext uri="{FF2B5EF4-FFF2-40B4-BE49-F238E27FC236}">
              <a16:creationId xmlns:a16="http://schemas.microsoft.com/office/drawing/2014/main" id="{77BBF88E-78EE-4615-A07B-EE21FD6649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343441</xdr:colOff>
      <xdr:row>32</xdr:row>
      <xdr:rowOff>1</xdr:rowOff>
    </xdr:from>
    <xdr:to>
      <xdr:col>2</xdr:col>
      <xdr:colOff>1101588</xdr:colOff>
      <xdr:row>45</xdr:row>
      <xdr:rowOff>140804</xdr:rowOff>
    </xdr:to>
    <xdr:graphicFrame macro="">
      <xdr:nvGraphicFramePr>
        <xdr:cNvPr id="2" name="2 Gráfico">
          <a:extLst>
            <a:ext uri="{FF2B5EF4-FFF2-40B4-BE49-F238E27FC236}">
              <a16:creationId xmlns:a16="http://schemas.microsoft.com/office/drawing/2014/main" id="{E1E93BF7-7D2F-4596-A762-57483736C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468149</xdr:colOff>
      <xdr:row>33</xdr:row>
      <xdr:rowOff>10948</xdr:rowOff>
    </xdr:from>
    <xdr:to>
      <xdr:col>8</xdr:col>
      <xdr:colOff>82826</xdr:colOff>
      <xdr:row>45</xdr:row>
      <xdr:rowOff>124239</xdr:rowOff>
    </xdr:to>
    <xdr:graphicFrame macro="">
      <xdr:nvGraphicFramePr>
        <xdr:cNvPr id="6" name="Gráfico 5">
          <a:extLst>
            <a:ext uri="{FF2B5EF4-FFF2-40B4-BE49-F238E27FC236}">
              <a16:creationId xmlns:a16="http://schemas.microsoft.com/office/drawing/2014/main" id="{D4A3A4F3-3E2E-4230-9973-1A8352DD6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163767</xdr:colOff>
      <xdr:row>71</xdr:row>
      <xdr:rowOff>148168</xdr:rowOff>
    </xdr:from>
    <xdr:to>
      <xdr:col>7</xdr:col>
      <xdr:colOff>707619</xdr:colOff>
      <xdr:row>92</xdr:row>
      <xdr:rowOff>80432</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301325</xdr:colOff>
      <xdr:row>1</xdr:row>
      <xdr:rowOff>109903</xdr:rowOff>
    </xdr:from>
    <xdr:to>
      <xdr:col>2</xdr:col>
      <xdr:colOff>262279</xdr:colOff>
      <xdr:row>4</xdr:row>
      <xdr:rowOff>58615</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301325" y="300403"/>
          <a:ext cx="826824" cy="520212"/>
        </a:xfrm>
        <a:prstGeom prst="rect">
          <a:avLst/>
        </a:prstGeom>
      </xdr:spPr>
    </xdr:pic>
    <xdr:clientData/>
  </xdr:twoCellAnchor>
  <xdr:twoCellAnchor editAs="oneCell">
    <xdr:from>
      <xdr:col>6</xdr:col>
      <xdr:colOff>696058</xdr:colOff>
      <xdr:row>1</xdr:row>
      <xdr:rowOff>7326</xdr:rowOff>
    </xdr:from>
    <xdr:to>
      <xdr:col>8</xdr:col>
      <xdr:colOff>827546</xdr:colOff>
      <xdr:row>3</xdr:row>
      <xdr:rowOff>184264</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22077" y="197826"/>
          <a:ext cx="2246436" cy="557938"/>
        </a:xfrm>
        <a:prstGeom prst="rect">
          <a:avLst/>
        </a:prstGeom>
      </xdr:spPr>
    </xdr:pic>
    <xdr:clientData/>
  </xdr:twoCellAnchor>
  <xdr:twoCellAnchor>
    <xdr:from>
      <xdr:col>1</xdr:col>
      <xdr:colOff>853407</xdr:colOff>
      <xdr:row>63</xdr:row>
      <xdr:rowOff>48987</xdr:rowOff>
    </xdr:from>
    <xdr:to>
      <xdr:col>7</xdr:col>
      <xdr:colOff>87406</xdr:colOff>
      <xdr:row>80</xdr:row>
      <xdr:rowOff>170331</xdr:rowOff>
    </xdr:to>
    <xdr:graphicFrame macro="">
      <xdr:nvGraphicFramePr>
        <xdr:cNvPr id="4" name="1 Gráfico">
          <a:extLst>
            <a:ext uri="{FF2B5EF4-FFF2-40B4-BE49-F238E27FC236}">
              <a16:creationId xmlns:a16="http://schemas.microsoft.com/office/drawing/2014/main" id="{F9F111A3-5B70-420B-B6C6-FF837AD885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655494</xdr:colOff>
      <xdr:row>61</xdr:row>
      <xdr:rowOff>8711</xdr:rowOff>
    </xdr:from>
    <xdr:to>
      <xdr:col>5</xdr:col>
      <xdr:colOff>450196</xdr:colOff>
      <xdr:row>62</xdr:row>
      <xdr:rowOff>51106</xdr:rowOff>
    </xdr:to>
    <xdr:sp macro="" textlink="">
      <xdr:nvSpPr>
        <xdr:cNvPr id="8" name="CuadroTexto 7">
          <a:extLst>
            <a:ext uri="{FF2B5EF4-FFF2-40B4-BE49-F238E27FC236}">
              <a16:creationId xmlns:a16="http://schemas.microsoft.com/office/drawing/2014/main" id="{58508CB0-2E01-459C-8A10-2C7A8EE58F31}"/>
            </a:ext>
          </a:extLst>
        </xdr:cNvPr>
        <xdr:cNvSpPr txBox="1"/>
      </xdr:nvSpPr>
      <xdr:spPr>
        <a:xfrm>
          <a:off x="2750994" y="4094936"/>
          <a:ext cx="2214052" cy="232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solidFill>
                <a:schemeClr val="accent1"/>
              </a:solidFill>
            </a:rPr>
            <a:t>Programado Total vs Ejecutado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238781</xdr:colOff>
      <xdr:row>76</xdr:row>
      <xdr:rowOff>75581</xdr:rowOff>
    </xdr:from>
    <xdr:to>
      <xdr:col>7</xdr:col>
      <xdr:colOff>103532</xdr:colOff>
      <xdr:row>88</xdr:row>
      <xdr:rowOff>100427</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407987</xdr:colOff>
      <xdr:row>90</xdr:row>
      <xdr:rowOff>18324</xdr:rowOff>
    </xdr:from>
    <xdr:to>
      <xdr:col>7</xdr:col>
      <xdr:colOff>792184</xdr:colOff>
      <xdr:row>101</xdr:row>
      <xdr:rowOff>131625</xdr:rowOff>
    </xdr:to>
    <xdr:graphicFrame macro="">
      <xdr:nvGraphicFramePr>
        <xdr:cNvPr id="3" name="2 Gráfico">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145981</xdr:colOff>
      <xdr:row>75</xdr:row>
      <xdr:rowOff>108710</xdr:rowOff>
    </xdr:from>
    <xdr:to>
      <xdr:col>14</xdr:col>
      <xdr:colOff>130452</xdr:colOff>
      <xdr:row>87</xdr:row>
      <xdr:rowOff>121134</xdr:rowOff>
    </xdr:to>
    <xdr:graphicFrame macro="">
      <xdr:nvGraphicFramePr>
        <xdr:cNvPr id="4" name="3 Gráfico">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145359</xdr:colOff>
      <xdr:row>51</xdr:row>
      <xdr:rowOff>136901</xdr:rowOff>
    </xdr:from>
    <xdr:to>
      <xdr:col>4</xdr:col>
      <xdr:colOff>1106887</xdr:colOff>
      <xdr:row>52</xdr:row>
      <xdr:rowOff>155951</xdr:rowOff>
    </xdr:to>
    <xdr:sp macro="" textlink="">
      <xdr:nvSpPr>
        <xdr:cNvPr id="5" name="4 CuadroTexto">
          <a:extLst>
            <a:ext uri="{FF2B5EF4-FFF2-40B4-BE49-F238E27FC236}">
              <a16:creationId xmlns:a16="http://schemas.microsoft.com/office/drawing/2014/main" id="{00000000-0008-0000-0700-000005000000}"/>
            </a:ext>
          </a:extLst>
        </xdr:cNvPr>
        <xdr:cNvSpPr txBox="1"/>
      </xdr:nvSpPr>
      <xdr:spPr>
        <a:xfrm>
          <a:off x="2455172" y="6994901"/>
          <a:ext cx="961528" cy="209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accent5">
                  <a:lumMod val="75000"/>
                </a:schemeClr>
              </a:solidFill>
            </a:rPr>
            <a:t>Pensiones</a:t>
          </a:r>
        </a:p>
      </xdr:txBody>
    </xdr:sp>
    <xdr:clientData/>
  </xdr:twoCellAnchor>
  <xdr:twoCellAnchor>
    <xdr:from>
      <xdr:col>9</xdr:col>
      <xdr:colOff>218449</xdr:colOff>
      <xdr:row>36</xdr:row>
      <xdr:rowOff>32716</xdr:rowOff>
    </xdr:from>
    <xdr:to>
      <xdr:col>14</xdr:col>
      <xdr:colOff>363032</xdr:colOff>
      <xdr:row>36</xdr:row>
      <xdr:rowOff>86928</xdr:rowOff>
    </xdr:to>
    <xdr:sp macro="" textlink="">
      <xdr:nvSpPr>
        <xdr:cNvPr id="11" name="1 CuadroTexto">
          <a:extLst>
            <a:ext uri="{FF2B5EF4-FFF2-40B4-BE49-F238E27FC236}">
              <a16:creationId xmlns:a16="http://schemas.microsoft.com/office/drawing/2014/main" id="{00000000-0008-0000-0700-00000B000000}"/>
            </a:ext>
          </a:extLst>
        </xdr:cNvPr>
        <xdr:cNvSpPr txBox="1"/>
      </xdr:nvSpPr>
      <xdr:spPr>
        <a:xfrm>
          <a:off x="7162174" y="3271216"/>
          <a:ext cx="4383208" cy="5421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DO" sz="1100" b="1">
              <a:solidFill>
                <a:schemeClr val="accent5">
                  <a:lumMod val="75000"/>
                </a:schemeClr>
              </a:solidFill>
            </a:rPr>
            <a:t>Monto</a:t>
          </a:r>
        </a:p>
      </xdr:txBody>
    </xdr:sp>
    <xdr:clientData/>
  </xdr:twoCellAnchor>
  <xdr:twoCellAnchor editAs="oneCell">
    <xdr:from>
      <xdr:col>3</xdr:col>
      <xdr:colOff>446942</xdr:colOff>
      <xdr:row>1</xdr:row>
      <xdr:rowOff>36635</xdr:rowOff>
    </xdr:from>
    <xdr:to>
      <xdr:col>4</xdr:col>
      <xdr:colOff>536503</xdr:colOff>
      <xdr:row>4</xdr:row>
      <xdr:rowOff>87923</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4"/>
        <a:stretch>
          <a:fillRect/>
        </a:stretch>
      </xdr:blipFill>
      <xdr:spPr>
        <a:xfrm>
          <a:off x="2154115" y="227135"/>
          <a:ext cx="989857" cy="622788"/>
        </a:xfrm>
        <a:prstGeom prst="rect">
          <a:avLst/>
        </a:prstGeom>
      </xdr:spPr>
    </xdr:pic>
    <xdr:clientData/>
  </xdr:twoCellAnchor>
  <xdr:twoCellAnchor editAs="oneCell">
    <xdr:from>
      <xdr:col>10</xdr:col>
      <xdr:colOff>140805</xdr:colOff>
      <xdr:row>0</xdr:row>
      <xdr:rowOff>124240</xdr:rowOff>
    </xdr:from>
    <xdr:to>
      <xdr:col>13</xdr:col>
      <xdr:colOff>88921</xdr:colOff>
      <xdr:row>3</xdr:row>
      <xdr:rowOff>110678</xdr:rowOff>
    </xdr:to>
    <xdr:pic>
      <xdr:nvPicPr>
        <xdr:cNvPr id="14" name="Picture 13">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205870" y="124240"/>
          <a:ext cx="2246436" cy="557938"/>
        </a:xfrm>
        <a:prstGeom prst="rect">
          <a:avLst/>
        </a:prstGeom>
      </xdr:spPr>
    </xdr:pic>
    <xdr:clientData/>
  </xdr:twoCellAnchor>
  <xdr:twoCellAnchor>
    <xdr:from>
      <xdr:col>8</xdr:col>
      <xdr:colOff>381000</xdr:colOff>
      <xdr:row>87</xdr:row>
      <xdr:rowOff>104774</xdr:rowOff>
    </xdr:from>
    <xdr:to>
      <xdr:col>14</xdr:col>
      <xdr:colOff>185738</xdr:colOff>
      <xdr:row>101</xdr:row>
      <xdr:rowOff>180974</xdr:rowOff>
    </xdr:to>
    <xdr:graphicFrame macro="">
      <xdr:nvGraphicFramePr>
        <xdr:cNvPr id="7" name="Gráfico 6">
          <a:extLst>
            <a:ext uri="{FF2B5EF4-FFF2-40B4-BE49-F238E27FC236}">
              <a16:creationId xmlns:a16="http://schemas.microsoft.com/office/drawing/2014/main" id="{A42BF6BF-17CA-41F1-AC5B-7C97748ADB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623889</xdr:colOff>
      <xdr:row>36</xdr:row>
      <xdr:rowOff>90487</xdr:rowOff>
    </xdr:from>
    <xdr:to>
      <xdr:col>7</xdr:col>
      <xdr:colOff>488640</xdr:colOff>
      <xdr:row>48</xdr:row>
      <xdr:rowOff>115333</xdr:rowOff>
    </xdr:to>
    <xdr:graphicFrame macro="">
      <xdr:nvGraphicFramePr>
        <xdr:cNvPr id="6" name="1 Gráfico">
          <a:extLst>
            <a:ext uri="{FF2B5EF4-FFF2-40B4-BE49-F238E27FC236}">
              <a16:creationId xmlns:a16="http://schemas.microsoft.com/office/drawing/2014/main" id="{B8779DCD-71A6-4AD6-B258-C5D46B28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428625</xdr:colOff>
      <xdr:row>37</xdr:row>
      <xdr:rowOff>119062</xdr:rowOff>
    </xdr:from>
    <xdr:to>
      <xdr:col>14</xdr:col>
      <xdr:colOff>413096</xdr:colOff>
      <xdr:row>49</xdr:row>
      <xdr:rowOff>131486</xdr:rowOff>
    </xdr:to>
    <xdr:graphicFrame macro="">
      <xdr:nvGraphicFramePr>
        <xdr:cNvPr id="8" name="3 Gráfico">
          <a:extLst>
            <a:ext uri="{FF2B5EF4-FFF2-40B4-BE49-F238E27FC236}">
              <a16:creationId xmlns:a16="http://schemas.microsoft.com/office/drawing/2014/main" id="{3B93A0B1-E3C2-49F9-B0A0-72EB4066F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452438</xdr:colOff>
      <xdr:row>53</xdr:row>
      <xdr:rowOff>119063</xdr:rowOff>
    </xdr:from>
    <xdr:to>
      <xdr:col>7</xdr:col>
      <xdr:colOff>836635</xdr:colOff>
      <xdr:row>65</xdr:row>
      <xdr:rowOff>41864</xdr:rowOff>
    </xdr:to>
    <xdr:graphicFrame macro="">
      <xdr:nvGraphicFramePr>
        <xdr:cNvPr id="9" name="2 Gráfico">
          <a:extLst>
            <a:ext uri="{FF2B5EF4-FFF2-40B4-BE49-F238E27FC236}">
              <a16:creationId xmlns:a16="http://schemas.microsoft.com/office/drawing/2014/main" id="{CEB296AD-AD40-42C9-B99C-3EE9C7E46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180975</xdr:colOff>
      <xdr:row>52</xdr:row>
      <xdr:rowOff>171450</xdr:rowOff>
    </xdr:from>
    <xdr:to>
      <xdr:col>14</xdr:col>
      <xdr:colOff>57149</xdr:colOff>
      <xdr:row>63</xdr:row>
      <xdr:rowOff>152399</xdr:rowOff>
    </xdr:to>
    <xdr:graphicFrame macro="">
      <xdr:nvGraphicFramePr>
        <xdr:cNvPr id="12" name="Gráfico 11">
          <a:extLst>
            <a:ext uri="{FF2B5EF4-FFF2-40B4-BE49-F238E27FC236}">
              <a16:creationId xmlns:a16="http://schemas.microsoft.com/office/drawing/2014/main" id="{94D01AE7-30DB-4FBD-8086-E33D01ECF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0.30281</cdr:x>
      <cdr:y>0</cdr:y>
    </cdr:from>
    <cdr:to>
      <cdr:x>0.71115</cdr:x>
      <cdr:y>0.09722</cdr:y>
    </cdr:to>
    <cdr:sp macro="" textlink="">
      <cdr:nvSpPr>
        <cdr:cNvPr id="2" name="1 CuadroTexto"/>
        <cdr:cNvSpPr txBox="1"/>
      </cdr:nvSpPr>
      <cdr:spPr>
        <a:xfrm xmlns:a="http://schemas.openxmlformats.org/drawingml/2006/main">
          <a:off x="1631919" y="0"/>
          <a:ext cx="2200646" cy="253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DO" sz="1100" b="1">
              <a:solidFill>
                <a:schemeClr val="accent5">
                  <a:lumMod val="75000"/>
                </a:schemeClr>
              </a:solidFill>
            </a:rPr>
            <a:t>Pensionados</a:t>
          </a:r>
        </a:p>
      </cdr:txBody>
    </cdr:sp>
  </cdr:relSizeAnchor>
</c:userShapes>
</file>

<file path=xl/drawings/drawing14.xml><?xml version="1.0" encoding="utf-8"?>
<c:userShapes xmlns:c="http://schemas.openxmlformats.org/drawingml/2006/chart">
  <cdr:relSizeAnchor xmlns:cdr="http://schemas.openxmlformats.org/drawingml/2006/chartDrawing">
    <cdr:from>
      <cdr:x>0.30281</cdr:x>
      <cdr:y>0</cdr:y>
    </cdr:from>
    <cdr:to>
      <cdr:x>0.71115</cdr:x>
      <cdr:y>0.09722</cdr:y>
    </cdr:to>
    <cdr:sp macro="" textlink="">
      <cdr:nvSpPr>
        <cdr:cNvPr id="2" name="1 CuadroTexto"/>
        <cdr:cNvSpPr txBox="1"/>
      </cdr:nvSpPr>
      <cdr:spPr>
        <a:xfrm xmlns:a="http://schemas.openxmlformats.org/drawingml/2006/main">
          <a:off x="1631919" y="0"/>
          <a:ext cx="2200646" cy="253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DO" sz="1100" b="1">
              <a:solidFill>
                <a:schemeClr val="accent5">
                  <a:lumMod val="75000"/>
                </a:schemeClr>
              </a:solidFill>
            </a:rPr>
            <a:t>Pensionados</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3</xdr:col>
      <xdr:colOff>446942</xdr:colOff>
      <xdr:row>1</xdr:row>
      <xdr:rowOff>36635</xdr:rowOff>
    </xdr:from>
    <xdr:to>
      <xdr:col>4</xdr:col>
      <xdr:colOff>458715</xdr:colOff>
      <xdr:row>4</xdr:row>
      <xdr:rowOff>87923</xdr:rowOff>
    </xdr:to>
    <xdr:pic>
      <xdr:nvPicPr>
        <xdr:cNvPr id="2" name="Picture 7">
          <a:extLst>
            <a:ext uri="{FF2B5EF4-FFF2-40B4-BE49-F238E27FC236}">
              <a16:creationId xmlns:a16="http://schemas.microsoft.com/office/drawing/2014/main" id="{E942B9E2-F9D1-4E35-8E7F-20E9BC51523D}"/>
            </a:ext>
          </a:extLst>
        </xdr:cNvPr>
        <xdr:cNvPicPr>
          <a:picLocks noChangeAspect="1"/>
        </xdr:cNvPicPr>
      </xdr:nvPicPr>
      <xdr:blipFill>
        <a:blip xmlns:r="http://schemas.openxmlformats.org/officeDocument/2006/relationships" r:embed="rId1"/>
        <a:stretch>
          <a:fillRect/>
        </a:stretch>
      </xdr:blipFill>
      <xdr:spPr>
        <a:xfrm>
          <a:off x="2409092" y="227135"/>
          <a:ext cx="987658" cy="622788"/>
        </a:xfrm>
        <a:prstGeom prst="rect">
          <a:avLst/>
        </a:prstGeom>
      </xdr:spPr>
    </xdr:pic>
    <xdr:clientData/>
  </xdr:twoCellAnchor>
  <xdr:twoCellAnchor editAs="oneCell">
    <xdr:from>
      <xdr:col>15</xdr:col>
      <xdr:colOff>133350</xdr:colOff>
      <xdr:row>1</xdr:row>
      <xdr:rowOff>9525</xdr:rowOff>
    </xdr:from>
    <xdr:to>
      <xdr:col>17</xdr:col>
      <xdr:colOff>542323</xdr:colOff>
      <xdr:row>4</xdr:row>
      <xdr:rowOff>7169</xdr:rowOff>
    </xdr:to>
    <xdr:pic>
      <xdr:nvPicPr>
        <xdr:cNvPr id="3" name="Picture 8">
          <a:extLst>
            <a:ext uri="{FF2B5EF4-FFF2-40B4-BE49-F238E27FC236}">
              <a16:creationId xmlns:a16="http://schemas.microsoft.com/office/drawing/2014/main" id="{F0EDD90A-9281-44E9-A447-233166329F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44025" y="200025"/>
          <a:ext cx="2259569" cy="557938"/>
        </a:xfrm>
        <a:prstGeom prst="rect">
          <a:avLst/>
        </a:prstGeom>
      </xdr:spPr>
    </xdr:pic>
    <xdr:clientData/>
  </xdr:twoCellAnchor>
  <xdr:twoCellAnchor>
    <xdr:from>
      <xdr:col>4</xdr:col>
      <xdr:colOff>216702</xdr:colOff>
      <xdr:row>19</xdr:row>
      <xdr:rowOff>522406</xdr:rowOff>
    </xdr:from>
    <xdr:to>
      <xdr:col>11</xdr:col>
      <xdr:colOff>156424</xdr:colOff>
      <xdr:row>27</xdr:row>
      <xdr:rowOff>58482</xdr:rowOff>
    </xdr:to>
    <xdr:graphicFrame macro="">
      <xdr:nvGraphicFramePr>
        <xdr:cNvPr id="6" name="Gráfico 5">
          <a:extLst>
            <a:ext uri="{FF2B5EF4-FFF2-40B4-BE49-F238E27FC236}">
              <a16:creationId xmlns:a16="http://schemas.microsoft.com/office/drawing/2014/main" id="{E89759A0-5C3E-1BAD-FEDD-D69933DC8E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190500</xdr:colOff>
      <xdr:row>33</xdr:row>
      <xdr:rowOff>143915</xdr:rowOff>
    </xdr:from>
    <xdr:to>
      <xdr:col>20</xdr:col>
      <xdr:colOff>646043</xdr:colOff>
      <xdr:row>48</xdr:row>
      <xdr:rowOff>49696</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674077</xdr:colOff>
      <xdr:row>2</xdr:row>
      <xdr:rowOff>0</xdr:rowOff>
    </xdr:from>
    <xdr:to>
      <xdr:col>6</xdr:col>
      <xdr:colOff>147971</xdr:colOff>
      <xdr:row>5</xdr:row>
      <xdr:rowOff>51288</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a:stretch>
          <a:fillRect/>
        </a:stretch>
      </xdr:blipFill>
      <xdr:spPr>
        <a:xfrm>
          <a:off x="2198077" y="381000"/>
          <a:ext cx="989857" cy="622788"/>
        </a:xfrm>
        <a:prstGeom prst="rect">
          <a:avLst/>
        </a:prstGeom>
      </xdr:spPr>
    </xdr:pic>
    <xdr:clientData/>
  </xdr:twoCellAnchor>
  <xdr:twoCellAnchor>
    <xdr:from>
      <xdr:col>2</xdr:col>
      <xdr:colOff>111401</xdr:colOff>
      <xdr:row>33</xdr:row>
      <xdr:rowOff>102013</xdr:rowOff>
    </xdr:from>
    <xdr:to>
      <xdr:col>10</xdr:col>
      <xdr:colOff>372717</xdr:colOff>
      <xdr:row>46</xdr:row>
      <xdr:rowOff>165653</xdr:rowOff>
    </xdr:to>
    <xdr:graphicFrame macro="">
      <xdr:nvGraphicFramePr>
        <xdr:cNvPr id="9" name="1 Gráfico">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865187</xdr:colOff>
      <xdr:row>1</xdr:row>
      <xdr:rowOff>119062</xdr:rowOff>
    </xdr:from>
    <xdr:to>
      <xdr:col>16</xdr:col>
      <xdr:colOff>394495</xdr:colOff>
      <xdr:row>4</xdr:row>
      <xdr:rowOff>105500</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11875" y="309562"/>
          <a:ext cx="2246436" cy="557938"/>
        </a:xfrm>
        <a:prstGeom prst="rect">
          <a:avLst/>
        </a:prstGeom>
      </xdr:spPr>
    </xdr:pic>
    <xdr:clientData/>
  </xdr:twoCellAnchor>
  <xdr:twoCellAnchor>
    <xdr:from>
      <xdr:col>13</xdr:col>
      <xdr:colOff>372718</xdr:colOff>
      <xdr:row>32</xdr:row>
      <xdr:rowOff>67917</xdr:rowOff>
    </xdr:from>
    <xdr:to>
      <xdr:col>15</xdr:col>
      <xdr:colOff>124239</xdr:colOff>
      <xdr:row>34</xdr:row>
      <xdr:rowOff>8283</xdr:rowOff>
    </xdr:to>
    <xdr:sp macro="" textlink="">
      <xdr:nvSpPr>
        <xdr:cNvPr id="3" name="CuadroTexto 2">
          <a:extLst>
            <a:ext uri="{FF2B5EF4-FFF2-40B4-BE49-F238E27FC236}">
              <a16:creationId xmlns:a16="http://schemas.microsoft.com/office/drawing/2014/main" id="{CCE4496F-D8FC-CEEB-BE14-D5023697E9AC}"/>
            </a:ext>
          </a:extLst>
        </xdr:cNvPr>
        <xdr:cNvSpPr txBox="1"/>
      </xdr:nvSpPr>
      <xdr:spPr>
        <a:xfrm>
          <a:off x="6949109" y="3107634"/>
          <a:ext cx="894521" cy="321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tx2">
                  <a:lumMod val="60000"/>
                  <a:lumOff val="40000"/>
                </a:schemeClr>
              </a:solidFill>
            </a:rPr>
            <a:t>PENSIONES</a:t>
          </a:r>
        </a:p>
      </xdr:txBody>
    </xdr:sp>
    <xdr:clientData/>
  </xdr:twoCellAnchor>
  <xdr:twoCellAnchor>
    <xdr:from>
      <xdr:col>4</xdr:col>
      <xdr:colOff>434009</xdr:colOff>
      <xdr:row>32</xdr:row>
      <xdr:rowOff>36444</xdr:rowOff>
    </xdr:from>
    <xdr:to>
      <xdr:col>5</xdr:col>
      <xdr:colOff>273328</xdr:colOff>
      <xdr:row>33</xdr:row>
      <xdr:rowOff>86140</xdr:rowOff>
    </xdr:to>
    <xdr:sp macro="" textlink="">
      <xdr:nvSpPr>
        <xdr:cNvPr id="4" name="CuadroTexto 3">
          <a:extLst>
            <a:ext uri="{FF2B5EF4-FFF2-40B4-BE49-F238E27FC236}">
              <a16:creationId xmlns:a16="http://schemas.microsoft.com/office/drawing/2014/main" id="{725675C8-07B1-4698-AACB-19A6DB968645}"/>
            </a:ext>
          </a:extLst>
        </xdr:cNvPr>
        <xdr:cNvSpPr txBox="1"/>
      </xdr:nvSpPr>
      <xdr:spPr>
        <a:xfrm>
          <a:off x="2090531" y="2844248"/>
          <a:ext cx="733840" cy="240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tx2">
                  <a:lumMod val="60000"/>
                  <a:lumOff val="40000"/>
                </a:schemeClr>
              </a:solidFill>
            </a:rPr>
            <a:t>MONTO</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499965</xdr:colOff>
      <xdr:row>5</xdr:row>
      <xdr:rowOff>106479</xdr:rowOff>
    </xdr:from>
    <xdr:to>
      <xdr:col>18</xdr:col>
      <xdr:colOff>965641</xdr:colOff>
      <xdr:row>7</xdr:row>
      <xdr:rowOff>266099</xdr:rowOff>
    </xdr:to>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90878" y="868479"/>
          <a:ext cx="2238155" cy="548903"/>
        </a:xfrm>
        <a:prstGeom prst="rect">
          <a:avLst/>
        </a:prstGeom>
      </xdr:spPr>
    </xdr:pic>
    <xdr:clientData/>
  </xdr:twoCellAnchor>
  <xdr:oneCellAnchor>
    <xdr:from>
      <xdr:col>2</xdr:col>
      <xdr:colOff>198783</xdr:colOff>
      <xdr:row>0</xdr:row>
      <xdr:rowOff>82827</xdr:rowOff>
    </xdr:from>
    <xdr:ext cx="989857" cy="622788"/>
    <xdr:pic>
      <xdr:nvPicPr>
        <xdr:cNvPr id="12" name="Picture 9">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a:stretch>
          <a:fillRect/>
        </a:stretch>
      </xdr:blipFill>
      <xdr:spPr>
        <a:xfrm>
          <a:off x="9433892" y="82827"/>
          <a:ext cx="989857" cy="622788"/>
        </a:xfrm>
        <a:prstGeom prst="rect">
          <a:avLst/>
        </a:prstGeom>
      </xdr:spPr>
    </xdr:pic>
    <xdr:clientData/>
  </xdr:oneCellAnchor>
  <xdr:twoCellAnchor>
    <xdr:from>
      <xdr:col>14</xdr:col>
      <xdr:colOff>792079</xdr:colOff>
      <xdr:row>7</xdr:row>
      <xdr:rowOff>349233</xdr:rowOff>
    </xdr:from>
    <xdr:to>
      <xdr:col>19</xdr:col>
      <xdr:colOff>1021772</xdr:colOff>
      <xdr:row>71</xdr:row>
      <xdr:rowOff>70184</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451184</xdr:colOff>
      <xdr:row>7</xdr:row>
      <xdr:rowOff>375727</xdr:rowOff>
    </xdr:from>
    <xdr:to>
      <xdr:col>25</xdr:col>
      <xdr:colOff>221371</xdr:colOff>
      <xdr:row>71</xdr:row>
      <xdr:rowOff>150394</xdr:rowOff>
    </xdr:to>
    <xdr:graphicFrame macro="">
      <xdr:nvGraphicFramePr>
        <xdr:cNvPr id="14" name="Gráfico 13">
          <a:extLst>
            <a:ext uri="{FF2B5EF4-FFF2-40B4-BE49-F238E27FC236}">
              <a16:creationId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752257</xdr:colOff>
      <xdr:row>31</xdr:row>
      <xdr:rowOff>234350</xdr:rowOff>
    </xdr:from>
    <xdr:to>
      <xdr:col>20</xdr:col>
      <xdr:colOff>295252</xdr:colOff>
      <xdr:row>46</xdr:row>
      <xdr:rowOff>108845</xdr:rowOff>
    </xdr:to>
    <xdr:graphicFrame macro="">
      <xdr:nvGraphicFramePr>
        <xdr:cNvPr id="16" name="Gráfico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840441</xdr:colOff>
      <xdr:row>32</xdr:row>
      <xdr:rowOff>5243</xdr:rowOff>
    </xdr:from>
    <xdr:to>
      <xdr:col>25</xdr:col>
      <xdr:colOff>674078</xdr:colOff>
      <xdr:row>46</xdr:row>
      <xdr:rowOff>29306</xdr:rowOff>
    </xdr:to>
    <xdr:graphicFrame macro="">
      <xdr:nvGraphicFramePr>
        <xdr:cNvPr id="17" name="Gráfico 16">
          <a:extLst>
            <a:ext uri="{FF2B5EF4-FFF2-40B4-BE49-F238E27FC236}">
              <a16:creationId xmlns:a16="http://schemas.microsoft.com/office/drawing/2014/main" id="{00000000-0008-0000-09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62723</xdr:colOff>
      <xdr:row>51</xdr:row>
      <xdr:rowOff>169062</xdr:rowOff>
    </xdr:from>
    <xdr:to>
      <xdr:col>19</xdr:col>
      <xdr:colOff>995248</xdr:colOff>
      <xdr:row>67</xdr:row>
      <xdr:rowOff>2143</xdr:rowOff>
    </xdr:to>
    <xdr:graphicFrame macro="">
      <xdr:nvGraphicFramePr>
        <xdr:cNvPr id="18" name="Gráfico 17">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165562</xdr:colOff>
      <xdr:row>52</xdr:row>
      <xdr:rowOff>43432</xdr:rowOff>
    </xdr:from>
    <xdr:to>
      <xdr:col>26</xdr:col>
      <xdr:colOff>221591</xdr:colOff>
      <xdr:row>67</xdr:row>
      <xdr:rowOff>78219</xdr:rowOff>
    </xdr:to>
    <xdr:graphicFrame macro="">
      <xdr:nvGraphicFramePr>
        <xdr:cNvPr id="19" name="Gráfico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21</xdr:col>
      <xdr:colOff>744862</xdr:colOff>
      <xdr:row>5</xdr:row>
      <xdr:rowOff>170527</xdr:rowOff>
    </xdr:from>
    <xdr:to>
      <xdr:col>23</xdr:col>
      <xdr:colOff>897569</xdr:colOff>
      <xdr:row>7</xdr:row>
      <xdr:rowOff>330147</xdr:rowOff>
    </xdr:to>
    <xdr:pic>
      <xdr:nvPicPr>
        <xdr:cNvPr id="10" name="Picture 10">
          <a:extLst>
            <a:ext uri="{FF2B5EF4-FFF2-40B4-BE49-F238E27FC236}">
              <a16:creationId xmlns:a16="http://schemas.microsoft.com/office/drawing/2014/main" id="{B8825771-E97A-4C02-BE46-B46CB47933B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0937862" y="932527"/>
          <a:ext cx="2231642" cy="548903"/>
        </a:xfrm>
        <a:prstGeom prst="rect">
          <a:avLst/>
        </a:prstGeom>
      </xdr:spPr>
    </xdr:pic>
    <xdr:clientData/>
  </xdr:twoCellAnchor>
  <xdr:twoCellAnchor editAs="oneCell">
    <xdr:from>
      <xdr:col>9</xdr:col>
      <xdr:colOff>530173</xdr:colOff>
      <xdr:row>0</xdr:row>
      <xdr:rowOff>0</xdr:rowOff>
    </xdr:from>
    <xdr:to>
      <xdr:col>12</xdr:col>
      <xdr:colOff>762207</xdr:colOff>
      <xdr:row>2</xdr:row>
      <xdr:rowOff>170826</xdr:rowOff>
    </xdr:to>
    <xdr:pic>
      <xdr:nvPicPr>
        <xdr:cNvPr id="13" name="Picture 10">
          <a:extLst>
            <a:ext uri="{FF2B5EF4-FFF2-40B4-BE49-F238E27FC236}">
              <a16:creationId xmlns:a16="http://schemas.microsoft.com/office/drawing/2014/main" id="{25D078B7-007D-43F3-B3A7-90E4A3740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0055" y="0"/>
          <a:ext cx="2236206" cy="55182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109904</xdr:colOff>
      <xdr:row>1</xdr:row>
      <xdr:rowOff>73270</xdr:rowOff>
    </xdr:from>
    <xdr:to>
      <xdr:col>5</xdr:col>
      <xdr:colOff>638487</xdr:colOff>
      <xdr:row>4</xdr:row>
      <xdr:rowOff>124558</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2718289" y="263770"/>
          <a:ext cx="989857" cy="622788"/>
        </a:xfrm>
        <a:prstGeom prst="rect">
          <a:avLst/>
        </a:prstGeom>
      </xdr:spPr>
    </xdr:pic>
    <xdr:clientData/>
  </xdr:twoCellAnchor>
  <xdr:twoCellAnchor editAs="oneCell">
    <xdr:from>
      <xdr:col>12</xdr:col>
      <xdr:colOff>476250</xdr:colOff>
      <xdr:row>1</xdr:row>
      <xdr:rowOff>38100</xdr:rowOff>
    </xdr:from>
    <xdr:to>
      <xdr:col>15</xdr:col>
      <xdr:colOff>795500</xdr:colOff>
      <xdr:row>4</xdr:row>
      <xdr:rowOff>24538</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39275" y="228600"/>
          <a:ext cx="2246436" cy="557938"/>
        </a:xfrm>
        <a:prstGeom prst="rect">
          <a:avLst/>
        </a:prstGeom>
      </xdr:spPr>
    </xdr:pic>
    <xdr:clientData/>
  </xdr:twoCellAnchor>
  <xdr:twoCellAnchor>
    <xdr:from>
      <xdr:col>6</xdr:col>
      <xdr:colOff>161925</xdr:colOff>
      <xdr:row>37</xdr:row>
      <xdr:rowOff>0</xdr:rowOff>
    </xdr:from>
    <xdr:to>
      <xdr:col>13</xdr:col>
      <xdr:colOff>46131</xdr:colOff>
      <xdr:row>55</xdr:row>
      <xdr:rowOff>121583</xdr:rowOff>
    </xdr:to>
    <xdr:graphicFrame macro="">
      <xdr:nvGraphicFramePr>
        <xdr:cNvPr id="4" name="Gráfico 3">
          <a:extLst>
            <a:ext uri="{FF2B5EF4-FFF2-40B4-BE49-F238E27FC236}">
              <a16:creationId xmlns:a16="http://schemas.microsoft.com/office/drawing/2014/main" id="{91CDAAE1-585E-4BD1-BB2C-E1468C36E4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721230</xdr:colOff>
      <xdr:row>33</xdr:row>
      <xdr:rowOff>124435</xdr:rowOff>
    </xdr:from>
    <xdr:to>
      <xdr:col>7</xdr:col>
      <xdr:colOff>455314</xdr:colOff>
      <xdr:row>35</xdr:row>
      <xdr:rowOff>7204</xdr:rowOff>
    </xdr:to>
    <xdr:sp macro="" textlink="">
      <xdr:nvSpPr>
        <xdr:cNvPr id="4" name="3 CuadroTexto">
          <a:extLst>
            <a:ext uri="{FF2B5EF4-FFF2-40B4-BE49-F238E27FC236}">
              <a16:creationId xmlns:a16="http://schemas.microsoft.com/office/drawing/2014/main" id="{00000000-0008-0000-0C00-000004000000}"/>
            </a:ext>
          </a:extLst>
        </xdr:cNvPr>
        <xdr:cNvSpPr txBox="1"/>
      </xdr:nvSpPr>
      <xdr:spPr>
        <a:xfrm>
          <a:off x="2245230" y="3121147"/>
          <a:ext cx="3763892" cy="26376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tx2">
                  <a:lumMod val="60000"/>
                  <a:lumOff val="40000"/>
                </a:schemeClr>
              </a:solidFill>
            </a:rPr>
            <a:t>Pago de Retroactivos</a:t>
          </a:r>
        </a:p>
      </xdr:txBody>
    </xdr:sp>
    <xdr:clientData/>
  </xdr:twoCellAnchor>
  <xdr:twoCellAnchor editAs="oneCell">
    <xdr:from>
      <xdr:col>2</xdr:col>
      <xdr:colOff>718038</xdr:colOff>
      <xdr:row>1</xdr:row>
      <xdr:rowOff>65942</xdr:rowOff>
    </xdr:from>
    <xdr:to>
      <xdr:col>4</xdr:col>
      <xdr:colOff>372484</xdr:colOff>
      <xdr:row>4</xdr:row>
      <xdr:rowOff>117230</xdr:rowOff>
    </xdr:to>
    <xdr:pic>
      <xdr:nvPicPr>
        <xdr:cNvPr id="12"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1480038" y="256442"/>
          <a:ext cx="989857" cy="622788"/>
        </a:xfrm>
        <a:prstGeom prst="rect">
          <a:avLst/>
        </a:prstGeom>
      </xdr:spPr>
    </xdr:pic>
    <xdr:clientData/>
  </xdr:twoCellAnchor>
  <xdr:twoCellAnchor editAs="oneCell">
    <xdr:from>
      <xdr:col>7</xdr:col>
      <xdr:colOff>223631</xdr:colOff>
      <xdr:row>0</xdr:row>
      <xdr:rowOff>157370</xdr:rowOff>
    </xdr:from>
    <xdr:to>
      <xdr:col>10</xdr:col>
      <xdr:colOff>104652</xdr:colOff>
      <xdr:row>3</xdr:row>
      <xdr:rowOff>143808</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0718" y="157370"/>
          <a:ext cx="2246436" cy="557938"/>
        </a:xfrm>
        <a:prstGeom prst="rect">
          <a:avLst/>
        </a:prstGeom>
      </xdr:spPr>
    </xdr:pic>
    <xdr:clientData/>
  </xdr:twoCellAnchor>
  <xdr:twoCellAnchor>
    <xdr:from>
      <xdr:col>1</xdr:col>
      <xdr:colOff>728382</xdr:colOff>
      <xdr:row>34</xdr:row>
      <xdr:rowOff>123265</xdr:rowOff>
    </xdr:from>
    <xdr:to>
      <xdr:col>8</xdr:col>
      <xdr:colOff>659925</xdr:colOff>
      <xdr:row>49</xdr:row>
      <xdr:rowOff>97688</xdr:rowOff>
    </xdr:to>
    <xdr:graphicFrame macro="">
      <xdr:nvGraphicFramePr>
        <xdr:cNvPr id="15" name="6 Gráfico">
          <a:extLst>
            <a:ext uri="{FF2B5EF4-FFF2-40B4-BE49-F238E27FC236}">
              <a16:creationId xmlns:a16="http://schemas.microsoft.com/office/drawing/2014/main" id="{5764D4A6-A412-4894-B9AB-770947AF7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418632</xdr:colOff>
      <xdr:row>47</xdr:row>
      <xdr:rowOff>108284</xdr:rowOff>
    </xdr:from>
    <xdr:to>
      <xdr:col>5</xdr:col>
      <xdr:colOff>505888</xdr:colOff>
      <xdr:row>59</xdr:row>
      <xdr:rowOff>51867</xdr:rowOff>
    </xdr:to>
    <xdr:graphicFrame macro="">
      <xdr:nvGraphicFramePr>
        <xdr:cNvPr id="2" name="10 Gráfico">
          <a:extLst>
            <a:ext uri="{FF2B5EF4-FFF2-40B4-BE49-F238E27FC236}">
              <a16:creationId xmlns:a16="http://schemas.microsoft.com/office/drawing/2014/main" id="{7412F171-EEEB-49E2-966D-2F1CACD4A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732967</xdr:colOff>
      <xdr:row>30</xdr:row>
      <xdr:rowOff>109362</xdr:rowOff>
    </xdr:from>
    <xdr:to>
      <xdr:col>10</xdr:col>
      <xdr:colOff>317531</xdr:colOff>
      <xdr:row>31</xdr:row>
      <xdr:rowOff>185562</xdr:rowOff>
    </xdr:to>
    <xdr:sp macro="" textlink="">
      <xdr:nvSpPr>
        <xdr:cNvPr id="4" name="2 CuadroTexto">
          <a:extLst>
            <a:ext uri="{FF2B5EF4-FFF2-40B4-BE49-F238E27FC236}">
              <a16:creationId xmlns:a16="http://schemas.microsoft.com/office/drawing/2014/main" id="{1641605F-E6E2-484F-A7BE-C823C39B7978}"/>
            </a:ext>
          </a:extLst>
        </xdr:cNvPr>
        <xdr:cNvSpPr txBox="1"/>
      </xdr:nvSpPr>
      <xdr:spPr>
        <a:xfrm>
          <a:off x="7190917" y="3024012"/>
          <a:ext cx="1870564" cy="266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accent1"/>
              </a:solidFill>
            </a:rPr>
            <a:t>Afiliados/No Cotizantes</a:t>
          </a:r>
        </a:p>
      </xdr:txBody>
    </xdr:sp>
    <xdr:clientData/>
  </xdr:twoCellAnchor>
  <xdr:oneCellAnchor>
    <xdr:from>
      <xdr:col>0</xdr:col>
      <xdr:colOff>270708</xdr:colOff>
      <xdr:row>2</xdr:row>
      <xdr:rowOff>161924</xdr:rowOff>
    </xdr:from>
    <xdr:ext cx="719537" cy="453537"/>
    <xdr:pic>
      <xdr:nvPicPr>
        <xdr:cNvPr id="5" name="Picture 8">
          <a:extLst>
            <a:ext uri="{FF2B5EF4-FFF2-40B4-BE49-F238E27FC236}">
              <a16:creationId xmlns:a16="http://schemas.microsoft.com/office/drawing/2014/main" id="{4DD5A5D0-8A9D-405C-BF51-D9919A6643E5}"/>
            </a:ext>
          </a:extLst>
        </xdr:cNvPr>
        <xdr:cNvPicPr>
          <a:picLocks noChangeAspect="1"/>
        </xdr:cNvPicPr>
      </xdr:nvPicPr>
      <xdr:blipFill>
        <a:blip xmlns:r="http://schemas.openxmlformats.org/officeDocument/2006/relationships" r:embed="rId2"/>
        <a:stretch>
          <a:fillRect/>
        </a:stretch>
      </xdr:blipFill>
      <xdr:spPr>
        <a:xfrm>
          <a:off x="270708" y="352424"/>
          <a:ext cx="719537" cy="453537"/>
        </a:xfrm>
        <a:prstGeom prst="rect">
          <a:avLst/>
        </a:prstGeom>
      </xdr:spPr>
    </xdr:pic>
    <xdr:clientData/>
  </xdr:oneCellAnchor>
  <xdr:twoCellAnchor>
    <xdr:from>
      <xdr:col>5</xdr:col>
      <xdr:colOff>860287</xdr:colOff>
      <xdr:row>46</xdr:row>
      <xdr:rowOff>127302</xdr:rowOff>
    </xdr:from>
    <xdr:to>
      <xdr:col>11</xdr:col>
      <xdr:colOff>663298</xdr:colOff>
      <xdr:row>58</xdr:row>
      <xdr:rowOff>65652</xdr:rowOff>
    </xdr:to>
    <xdr:graphicFrame macro="">
      <xdr:nvGraphicFramePr>
        <xdr:cNvPr id="6" name="10 Gráfico">
          <a:extLst>
            <a:ext uri="{FF2B5EF4-FFF2-40B4-BE49-F238E27FC236}">
              <a16:creationId xmlns:a16="http://schemas.microsoft.com/office/drawing/2014/main" id="{3C96AE7C-3C81-42F8-9061-2945E252F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4</xdr:col>
      <xdr:colOff>285749</xdr:colOff>
      <xdr:row>2</xdr:row>
      <xdr:rowOff>96152</xdr:rowOff>
    </xdr:from>
    <xdr:ext cx="1906053" cy="476439"/>
    <xdr:pic>
      <xdr:nvPicPr>
        <xdr:cNvPr id="8" name="Picture 9">
          <a:extLst>
            <a:ext uri="{FF2B5EF4-FFF2-40B4-BE49-F238E27FC236}">
              <a16:creationId xmlns:a16="http://schemas.microsoft.com/office/drawing/2014/main" id="{F8AF9267-88C4-44C4-A567-EB0184EBA8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67074" y="286652"/>
          <a:ext cx="1906053" cy="476439"/>
        </a:xfrm>
        <a:prstGeom prst="rect">
          <a:avLst/>
        </a:prstGeom>
      </xdr:spPr>
    </xdr:pic>
    <xdr:clientData/>
  </xdr:oneCellAnchor>
  <xdr:twoCellAnchor>
    <xdr:from>
      <xdr:col>2</xdr:col>
      <xdr:colOff>228600</xdr:colOff>
      <xdr:row>30</xdr:row>
      <xdr:rowOff>62012</xdr:rowOff>
    </xdr:from>
    <xdr:to>
      <xdr:col>4</xdr:col>
      <xdr:colOff>173649</xdr:colOff>
      <xdr:row>31</xdr:row>
      <xdr:rowOff>138212</xdr:rowOff>
    </xdr:to>
    <xdr:sp macro="" textlink="">
      <xdr:nvSpPr>
        <xdr:cNvPr id="9" name="1 CuadroTexto">
          <a:extLst>
            <a:ext uri="{FF2B5EF4-FFF2-40B4-BE49-F238E27FC236}">
              <a16:creationId xmlns:a16="http://schemas.microsoft.com/office/drawing/2014/main" id="{53C8BA23-7508-4CB1-81D8-368BB9F6EE14}"/>
            </a:ext>
          </a:extLst>
        </xdr:cNvPr>
        <xdr:cNvSpPr txBox="1"/>
      </xdr:nvSpPr>
      <xdr:spPr>
        <a:xfrm>
          <a:off x="1876425" y="2786162"/>
          <a:ext cx="1630974" cy="266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accent1"/>
              </a:solidFill>
            </a:rPr>
            <a:t>Afiliados/Cotizantes</a:t>
          </a:r>
        </a:p>
      </xdr:txBody>
    </xdr:sp>
    <xdr:clientData/>
  </xdr:twoCellAnchor>
  <xdr:twoCellAnchor>
    <xdr:from>
      <xdr:col>12</xdr:col>
      <xdr:colOff>634403</xdr:colOff>
      <xdr:row>44</xdr:row>
      <xdr:rowOff>101870</xdr:rowOff>
    </xdr:from>
    <xdr:to>
      <xdr:col>18</xdr:col>
      <xdr:colOff>652740</xdr:colOff>
      <xdr:row>58</xdr:row>
      <xdr:rowOff>179191</xdr:rowOff>
    </xdr:to>
    <xdr:graphicFrame macro="">
      <xdr:nvGraphicFramePr>
        <xdr:cNvPr id="13" name="Gráfico 12">
          <a:extLst>
            <a:ext uri="{FF2B5EF4-FFF2-40B4-BE49-F238E27FC236}">
              <a16:creationId xmlns:a16="http://schemas.microsoft.com/office/drawing/2014/main" id="{FB5FE624-4100-C68A-BE51-0D04822C9B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333375</xdr:colOff>
      <xdr:row>32</xdr:row>
      <xdr:rowOff>19050</xdr:rowOff>
    </xdr:from>
    <xdr:to>
      <xdr:col>5</xdr:col>
      <xdr:colOff>533400</xdr:colOff>
      <xdr:row>61</xdr:row>
      <xdr:rowOff>133350</xdr:rowOff>
    </xdr:to>
    <xdr:graphicFrame macro="">
      <xdr:nvGraphicFramePr>
        <xdr:cNvPr id="10" name="10 Gráfico">
          <a:extLst>
            <a:ext uri="{FF2B5EF4-FFF2-40B4-BE49-F238E27FC236}">
              <a16:creationId xmlns:a16="http://schemas.microsoft.com/office/drawing/2014/main" id="{3553C151-FF51-4B48-A33C-0BB739263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809624</xdr:colOff>
      <xdr:row>31</xdr:row>
      <xdr:rowOff>123825</xdr:rowOff>
    </xdr:from>
    <xdr:to>
      <xdr:col>11</xdr:col>
      <xdr:colOff>714374</xdr:colOff>
      <xdr:row>61</xdr:row>
      <xdr:rowOff>9525</xdr:rowOff>
    </xdr:to>
    <xdr:graphicFrame macro="">
      <xdr:nvGraphicFramePr>
        <xdr:cNvPr id="11" name="10 Gráfico">
          <a:extLst>
            <a:ext uri="{FF2B5EF4-FFF2-40B4-BE49-F238E27FC236}">
              <a16:creationId xmlns:a16="http://schemas.microsoft.com/office/drawing/2014/main" id="{1B634670-15A7-498B-83C9-A2BD7941BE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269553</xdr:colOff>
      <xdr:row>61</xdr:row>
      <xdr:rowOff>75130</xdr:rowOff>
    </xdr:from>
    <xdr:to>
      <xdr:col>4</xdr:col>
      <xdr:colOff>609601</xdr:colOff>
      <xdr:row>71</xdr:row>
      <xdr:rowOff>123825</xdr:rowOff>
    </xdr:to>
    <xdr:graphicFrame macro="">
      <xdr:nvGraphicFramePr>
        <xdr:cNvPr id="12" name="Gráfico 11">
          <a:extLst>
            <a:ext uri="{FF2B5EF4-FFF2-40B4-BE49-F238E27FC236}">
              <a16:creationId xmlns:a16="http://schemas.microsoft.com/office/drawing/2014/main" id="{2B384E77-B361-4F9B-B8B4-CD24BB733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209549</xdr:colOff>
      <xdr:row>60</xdr:row>
      <xdr:rowOff>171450</xdr:rowOff>
    </xdr:from>
    <xdr:to>
      <xdr:col>11</xdr:col>
      <xdr:colOff>371474</xdr:colOff>
      <xdr:row>76</xdr:row>
      <xdr:rowOff>104775</xdr:rowOff>
    </xdr:to>
    <xdr:graphicFrame macro="">
      <xdr:nvGraphicFramePr>
        <xdr:cNvPr id="3" name="Gráfico 2">
          <a:extLst>
            <a:ext uri="{FF2B5EF4-FFF2-40B4-BE49-F238E27FC236}">
              <a16:creationId xmlns:a16="http://schemas.microsoft.com/office/drawing/2014/main" id="{66E15D21-1862-40B9-8ADD-7453D2B60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222738</xdr:colOff>
      <xdr:row>1</xdr:row>
      <xdr:rowOff>46892</xdr:rowOff>
    </xdr:from>
    <xdr:to>
      <xdr:col>2</xdr:col>
      <xdr:colOff>677730</xdr:colOff>
      <xdr:row>4</xdr:row>
      <xdr:rowOff>98180</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984738" y="237392"/>
          <a:ext cx="1188417" cy="622788"/>
        </a:xfrm>
        <a:prstGeom prst="rect">
          <a:avLst/>
        </a:prstGeom>
      </xdr:spPr>
    </xdr:pic>
    <xdr:clientData/>
  </xdr:twoCellAnchor>
  <xdr:twoCellAnchor editAs="oneCell">
    <xdr:from>
      <xdr:col>6</xdr:col>
      <xdr:colOff>219808</xdr:colOff>
      <xdr:row>1</xdr:row>
      <xdr:rowOff>14654</xdr:rowOff>
    </xdr:from>
    <xdr:to>
      <xdr:col>9</xdr:col>
      <xdr:colOff>261573</xdr:colOff>
      <xdr:row>4</xdr:row>
      <xdr:rowOff>1092</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25233" y="205154"/>
          <a:ext cx="2242040" cy="557938"/>
        </a:xfrm>
        <a:prstGeom prst="rect">
          <a:avLst/>
        </a:prstGeom>
      </xdr:spPr>
    </xdr:pic>
    <xdr:clientData/>
  </xdr:twoCellAnchor>
  <xdr:twoCellAnchor>
    <xdr:from>
      <xdr:col>9</xdr:col>
      <xdr:colOff>247650</xdr:colOff>
      <xdr:row>1</xdr:row>
      <xdr:rowOff>185737</xdr:rowOff>
    </xdr:from>
    <xdr:to>
      <xdr:col>14</xdr:col>
      <xdr:colOff>971550</xdr:colOff>
      <xdr:row>29</xdr:row>
      <xdr:rowOff>14287</xdr:rowOff>
    </xdr:to>
    <xdr:graphicFrame macro="">
      <xdr:nvGraphicFramePr>
        <xdr:cNvPr id="6" name="Chart 5">
          <a:extLst>
            <a:ext uri="{FF2B5EF4-FFF2-40B4-BE49-F238E27FC236}">
              <a16:creationId xmlns:a16="http://schemas.microsoft.com/office/drawing/2014/main" id="{00000000-0008-0000-0D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498230</xdr:colOff>
      <xdr:row>2</xdr:row>
      <xdr:rowOff>109903</xdr:rowOff>
    </xdr:from>
    <xdr:to>
      <xdr:col>13</xdr:col>
      <xdr:colOff>747345</xdr:colOff>
      <xdr:row>3</xdr:row>
      <xdr:rowOff>183172</xdr:rowOff>
    </xdr:to>
    <xdr:sp macro="" textlink="">
      <xdr:nvSpPr>
        <xdr:cNvPr id="3" name="3 CuadroTexto">
          <a:extLst>
            <a:ext uri="{FF2B5EF4-FFF2-40B4-BE49-F238E27FC236}">
              <a16:creationId xmlns:a16="http://schemas.microsoft.com/office/drawing/2014/main" id="{00000000-0008-0000-0E00-000003000000}"/>
            </a:ext>
          </a:extLst>
        </xdr:cNvPr>
        <xdr:cNvSpPr txBox="1"/>
      </xdr:nvSpPr>
      <xdr:spPr>
        <a:xfrm>
          <a:off x="10137530" y="490903"/>
          <a:ext cx="1792165" cy="26376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tx2">
                  <a:lumMod val="60000"/>
                  <a:lumOff val="40000"/>
                </a:schemeClr>
              </a:solidFill>
            </a:rPr>
            <a:t>Créditos</a:t>
          </a:r>
          <a:r>
            <a:rPr lang="es-DO" sz="1100" b="1" baseline="0">
              <a:solidFill>
                <a:schemeClr val="tx2">
                  <a:lumMod val="60000"/>
                  <a:lumOff val="40000"/>
                </a:schemeClr>
              </a:solidFill>
            </a:rPr>
            <a:t> Rechazados</a:t>
          </a:r>
          <a:endParaRPr lang="es-DO" sz="1100" b="1">
            <a:solidFill>
              <a:schemeClr val="tx2">
                <a:lumMod val="60000"/>
                <a:lumOff val="40000"/>
              </a:schemeClr>
            </a:solidFill>
          </a:endParaRPr>
        </a:p>
      </xdr:txBody>
    </xdr:sp>
    <xdr:clientData/>
  </xdr:twoCellAnchor>
  <xdr:twoCellAnchor editAs="oneCell">
    <xdr:from>
      <xdr:col>1</xdr:col>
      <xdr:colOff>365613</xdr:colOff>
      <xdr:row>0</xdr:row>
      <xdr:rowOff>189767</xdr:rowOff>
    </xdr:from>
    <xdr:to>
      <xdr:col>2</xdr:col>
      <xdr:colOff>820605</xdr:colOff>
      <xdr:row>4</xdr:row>
      <xdr:rowOff>50555</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1127613" y="189767"/>
          <a:ext cx="1188417" cy="622788"/>
        </a:xfrm>
        <a:prstGeom prst="rect">
          <a:avLst/>
        </a:prstGeom>
      </xdr:spPr>
    </xdr:pic>
    <xdr:clientData/>
  </xdr:twoCellAnchor>
  <xdr:twoCellAnchor editAs="oneCell">
    <xdr:from>
      <xdr:col>6</xdr:col>
      <xdr:colOff>0</xdr:colOff>
      <xdr:row>1</xdr:row>
      <xdr:rowOff>43962</xdr:rowOff>
    </xdr:from>
    <xdr:to>
      <xdr:col>8</xdr:col>
      <xdr:colOff>908540</xdr:colOff>
      <xdr:row>4</xdr:row>
      <xdr:rowOff>30400</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5425" y="234462"/>
          <a:ext cx="2242040" cy="557938"/>
        </a:xfrm>
        <a:prstGeom prst="rect">
          <a:avLst/>
        </a:prstGeom>
      </xdr:spPr>
    </xdr:pic>
    <xdr:clientData/>
  </xdr:twoCellAnchor>
  <xdr:twoCellAnchor>
    <xdr:from>
      <xdr:col>9</xdr:col>
      <xdr:colOff>285750</xdr:colOff>
      <xdr:row>2</xdr:row>
      <xdr:rowOff>119062</xdr:rowOff>
    </xdr:from>
    <xdr:to>
      <xdr:col>14</xdr:col>
      <xdr:colOff>1009650</xdr:colOff>
      <xdr:row>28</xdr:row>
      <xdr:rowOff>138112</xdr:rowOff>
    </xdr:to>
    <xdr:graphicFrame macro="">
      <xdr:nvGraphicFramePr>
        <xdr:cNvPr id="6" name="Chart 5">
          <a:extLst>
            <a:ext uri="{FF2B5EF4-FFF2-40B4-BE49-F238E27FC236}">
              <a16:creationId xmlns:a16="http://schemas.microsoft.com/office/drawing/2014/main" id="{00000000-0008-0000-0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0</xdr:colOff>
      <xdr:row>2</xdr:row>
      <xdr:rowOff>32397</xdr:rowOff>
    </xdr:from>
    <xdr:to>
      <xdr:col>4</xdr:col>
      <xdr:colOff>142875</xdr:colOff>
      <xdr:row>4</xdr:row>
      <xdr:rowOff>125747</xdr:rowOff>
    </xdr:to>
    <xdr:pic>
      <xdr:nvPicPr>
        <xdr:cNvPr id="2" name="Picture 1">
          <a:extLst>
            <a:ext uri="{FF2B5EF4-FFF2-40B4-BE49-F238E27FC236}">
              <a16:creationId xmlns:a16="http://schemas.microsoft.com/office/drawing/2014/main" id="{261DBFDE-CAF1-41FD-ACC8-A9576AF7DD17}"/>
            </a:ext>
          </a:extLst>
        </xdr:cNvPr>
        <xdr:cNvPicPr>
          <a:picLocks noChangeAspect="1"/>
        </xdr:cNvPicPr>
      </xdr:nvPicPr>
      <xdr:blipFill>
        <a:blip xmlns:r="http://schemas.openxmlformats.org/officeDocument/2006/relationships" r:embed="rId1"/>
        <a:stretch>
          <a:fillRect/>
        </a:stretch>
      </xdr:blipFill>
      <xdr:spPr>
        <a:xfrm>
          <a:off x="2190750" y="413397"/>
          <a:ext cx="752475" cy="474350"/>
        </a:xfrm>
        <a:prstGeom prst="rect">
          <a:avLst/>
        </a:prstGeom>
      </xdr:spPr>
    </xdr:pic>
    <xdr:clientData/>
  </xdr:twoCellAnchor>
  <xdr:twoCellAnchor editAs="oneCell">
    <xdr:from>
      <xdr:col>6</xdr:col>
      <xdr:colOff>505718</xdr:colOff>
      <xdr:row>1</xdr:row>
      <xdr:rowOff>85725</xdr:rowOff>
    </xdr:from>
    <xdr:to>
      <xdr:col>9</xdr:col>
      <xdr:colOff>339114</xdr:colOff>
      <xdr:row>4</xdr:row>
      <xdr:rowOff>72163</xdr:rowOff>
    </xdr:to>
    <xdr:pic>
      <xdr:nvPicPr>
        <xdr:cNvPr id="3" name="Picture 2">
          <a:extLst>
            <a:ext uri="{FF2B5EF4-FFF2-40B4-BE49-F238E27FC236}">
              <a16:creationId xmlns:a16="http://schemas.microsoft.com/office/drawing/2014/main" id="{4F0B8752-D73D-4BDD-98CD-966B780C1B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6818" y="276225"/>
          <a:ext cx="2224171" cy="55793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oneCellAnchor>
    <xdr:from>
      <xdr:col>1</xdr:col>
      <xdr:colOff>373674</xdr:colOff>
      <xdr:row>1</xdr:row>
      <xdr:rowOff>87923</xdr:rowOff>
    </xdr:from>
    <xdr:ext cx="989857" cy="622788"/>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373674" y="7193573"/>
          <a:ext cx="989857" cy="622788"/>
        </a:xfrm>
        <a:prstGeom prst="rect">
          <a:avLst/>
        </a:prstGeom>
      </xdr:spPr>
    </xdr:pic>
    <xdr:clientData/>
  </xdr:oneCellAnchor>
  <xdr:twoCellAnchor editAs="oneCell">
    <xdr:from>
      <xdr:col>5</xdr:col>
      <xdr:colOff>571501</xdr:colOff>
      <xdr:row>0</xdr:row>
      <xdr:rowOff>153865</xdr:rowOff>
    </xdr:from>
    <xdr:to>
      <xdr:col>8</xdr:col>
      <xdr:colOff>180245</xdr:colOff>
      <xdr:row>3</xdr:row>
      <xdr:rowOff>140303</xdr:rowOff>
    </xdr:to>
    <xdr:pic>
      <xdr:nvPicPr>
        <xdr:cNvPr id="5" name="Picture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8424" y="153865"/>
          <a:ext cx="2246436" cy="557938"/>
        </a:xfrm>
        <a:prstGeom prst="rect">
          <a:avLst/>
        </a:prstGeom>
      </xdr:spPr>
    </xdr:pic>
    <xdr:clientData/>
  </xdr:twoCellAnchor>
  <xdr:twoCellAnchor>
    <xdr:from>
      <xdr:col>3</xdr:col>
      <xdr:colOff>65019</xdr:colOff>
      <xdr:row>40</xdr:row>
      <xdr:rowOff>88625</xdr:rowOff>
    </xdr:from>
    <xdr:to>
      <xdr:col>6</xdr:col>
      <xdr:colOff>195884</xdr:colOff>
      <xdr:row>42</xdr:row>
      <xdr:rowOff>163168</xdr:rowOff>
    </xdr:to>
    <xdr:sp macro="" textlink="">
      <xdr:nvSpPr>
        <xdr:cNvPr id="3" name="CuadroTexto 2">
          <a:extLst>
            <a:ext uri="{FF2B5EF4-FFF2-40B4-BE49-F238E27FC236}">
              <a16:creationId xmlns:a16="http://schemas.microsoft.com/office/drawing/2014/main" id="{53CF2A34-922B-238A-7CE5-F0C850928E51}"/>
            </a:ext>
          </a:extLst>
        </xdr:cNvPr>
        <xdr:cNvSpPr txBox="1"/>
      </xdr:nvSpPr>
      <xdr:spPr>
        <a:xfrm>
          <a:off x="1817619" y="2812775"/>
          <a:ext cx="2759765" cy="455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r>
            <a:rPr lang="es-ES" sz="1100" b="1" i="0" baseline="0">
              <a:solidFill>
                <a:schemeClr val="accent1"/>
              </a:solidFill>
              <a:effectLst/>
              <a:latin typeface="+mn-lt"/>
              <a:ea typeface="+mn-ea"/>
              <a:cs typeface="+mn-cs"/>
            </a:rPr>
            <a:t>Recuperación de Fondos</a:t>
          </a:r>
          <a:endParaRPr lang="es-DO" sz="1100" b="1" i="0" baseline="0">
            <a:solidFill>
              <a:schemeClr val="accent1"/>
            </a:solidFill>
            <a:effectLst/>
            <a:latin typeface="+mn-lt"/>
            <a:ea typeface="+mn-ea"/>
            <a:cs typeface="+mn-cs"/>
          </a:endParaRPr>
        </a:p>
        <a:p>
          <a:pPr marL="0" indent="0" algn="ctr" rtl="0"/>
          <a:r>
            <a:rPr lang="es-ES" sz="1100" b="1" i="0" baseline="0">
              <a:solidFill>
                <a:schemeClr val="accent1"/>
              </a:solidFill>
              <a:effectLst/>
              <a:latin typeface="+mn-lt"/>
              <a:ea typeface="+mn-ea"/>
              <a:cs typeface="+mn-cs"/>
            </a:rPr>
            <a:t>Monto solicitado / Total Recuperado</a:t>
          </a:r>
          <a:endParaRPr lang="es-DO" sz="1100" b="1" i="0" baseline="0">
            <a:solidFill>
              <a:schemeClr val="accent1"/>
            </a:solidFill>
            <a:effectLst/>
            <a:latin typeface="+mn-lt"/>
            <a:ea typeface="+mn-ea"/>
            <a:cs typeface="+mn-cs"/>
          </a:endParaRPr>
        </a:p>
        <a:p>
          <a:pPr algn="ctr"/>
          <a:endParaRPr lang="es-DO" sz="1100">
            <a:solidFill>
              <a:schemeClr val="accent1"/>
            </a:solidFill>
          </a:endParaRPr>
        </a:p>
      </xdr:txBody>
    </xdr:sp>
    <xdr:clientData/>
  </xdr:twoCellAnchor>
  <xdr:twoCellAnchor>
    <xdr:from>
      <xdr:col>2</xdr:col>
      <xdr:colOff>200025</xdr:colOff>
      <xdr:row>43</xdr:row>
      <xdr:rowOff>104775</xdr:rowOff>
    </xdr:from>
    <xdr:to>
      <xdr:col>7</xdr:col>
      <xdr:colOff>304800</xdr:colOff>
      <xdr:row>62</xdr:row>
      <xdr:rowOff>180974</xdr:rowOff>
    </xdr:to>
    <xdr:graphicFrame macro="">
      <xdr:nvGraphicFramePr>
        <xdr:cNvPr id="6" name="7 Gráfico">
          <a:extLst>
            <a:ext uri="{FF2B5EF4-FFF2-40B4-BE49-F238E27FC236}">
              <a16:creationId xmlns:a16="http://schemas.microsoft.com/office/drawing/2014/main" id="{39409961-1378-4CF9-BE55-0452D2CF9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571425</xdr:colOff>
      <xdr:row>9</xdr:row>
      <xdr:rowOff>149048</xdr:rowOff>
    </xdr:from>
    <xdr:to>
      <xdr:col>22</xdr:col>
      <xdr:colOff>400050</xdr:colOff>
      <xdr:row>23</xdr:row>
      <xdr:rowOff>171450</xdr:rowOff>
    </xdr:to>
    <xdr:graphicFrame macro="">
      <xdr:nvGraphicFramePr>
        <xdr:cNvPr id="5" name="4 Gráfico">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577923</xdr:colOff>
      <xdr:row>31</xdr:row>
      <xdr:rowOff>83912</xdr:rowOff>
    </xdr:from>
    <xdr:to>
      <xdr:col>22</xdr:col>
      <xdr:colOff>600075</xdr:colOff>
      <xdr:row>45</xdr:row>
      <xdr:rowOff>171450</xdr:rowOff>
    </xdr:to>
    <xdr:graphicFrame macro="">
      <xdr:nvGraphicFramePr>
        <xdr:cNvPr id="6" name="5 Gráfico">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123825</xdr:colOff>
      <xdr:row>3</xdr:row>
      <xdr:rowOff>0</xdr:rowOff>
    </xdr:from>
    <xdr:to>
      <xdr:col>2</xdr:col>
      <xdr:colOff>1113682</xdr:colOff>
      <xdr:row>6</xdr:row>
      <xdr:rowOff>51288</xdr:rowOff>
    </xdr:to>
    <xdr:pic>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3"/>
        <a:stretch>
          <a:fillRect/>
        </a:stretch>
      </xdr:blipFill>
      <xdr:spPr>
        <a:xfrm>
          <a:off x="885825" y="571500"/>
          <a:ext cx="989857" cy="622788"/>
        </a:xfrm>
        <a:prstGeom prst="rect">
          <a:avLst/>
        </a:prstGeom>
      </xdr:spPr>
    </xdr:pic>
    <xdr:clientData/>
  </xdr:twoCellAnchor>
  <xdr:twoCellAnchor editAs="oneCell">
    <xdr:from>
      <xdr:col>12</xdr:col>
      <xdr:colOff>419100</xdr:colOff>
      <xdr:row>2</xdr:row>
      <xdr:rowOff>133350</xdr:rowOff>
    </xdr:from>
    <xdr:to>
      <xdr:col>13</xdr:col>
      <xdr:colOff>951036</xdr:colOff>
      <xdr:row>5</xdr:row>
      <xdr:rowOff>119788</xdr:rowOff>
    </xdr:to>
    <xdr:pic>
      <xdr:nvPicPr>
        <xdr:cNvPr id="8" name="Picture 7">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19575" y="514350"/>
          <a:ext cx="2246436" cy="557938"/>
        </a:xfrm>
        <a:prstGeom prst="rect">
          <a:avLst/>
        </a:prstGeom>
      </xdr:spPr>
    </xdr:pic>
    <xdr:clientData/>
  </xdr:twoCellAnchor>
  <xdr:twoCellAnchor>
    <xdr:from>
      <xdr:col>15</xdr:col>
      <xdr:colOff>695325</xdr:colOff>
      <xdr:row>63</xdr:row>
      <xdr:rowOff>9525</xdr:rowOff>
    </xdr:from>
    <xdr:to>
      <xdr:col>21</xdr:col>
      <xdr:colOff>200025</xdr:colOff>
      <xdr:row>73</xdr:row>
      <xdr:rowOff>85725</xdr:rowOff>
    </xdr:to>
    <xdr:graphicFrame macro="">
      <xdr:nvGraphicFramePr>
        <xdr:cNvPr id="2" name="4 Gráfico">
          <a:extLst>
            <a:ext uri="{FF2B5EF4-FFF2-40B4-BE49-F238E27FC236}">
              <a16:creationId xmlns:a16="http://schemas.microsoft.com/office/drawing/2014/main" id="{DA6E1867-A5C0-43B4-8F05-07CBBFBFDE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4.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5.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6.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248479</xdr:colOff>
      <xdr:row>50</xdr:row>
      <xdr:rowOff>47595</xdr:rowOff>
    </xdr:from>
    <xdr:to>
      <xdr:col>5</xdr:col>
      <xdr:colOff>740604</xdr:colOff>
      <xdr:row>62</xdr:row>
      <xdr:rowOff>104010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141832</xdr:colOff>
      <xdr:row>1</xdr:row>
      <xdr:rowOff>87924</xdr:rowOff>
    </xdr:from>
    <xdr:to>
      <xdr:col>1</xdr:col>
      <xdr:colOff>206650</xdr:colOff>
      <xdr:row>4</xdr:row>
      <xdr:rowOff>80596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41832" y="278424"/>
          <a:ext cx="896694" cy="564172"/>
        </a:xfrm>
        <a:prstGeom prst="rect">
          <a:avLst/>
        </a:prstGeom>
      </xdr:spPr>
    </xdr:pic>
    <xdr:clientData/>
  </xdr:twoCellAnchor>
  <xdr:twoCellAnchor editAs="oneCell">
    <xdr:from>
      <xdr:col>3</xdr:col>
      <xdr:colOff>534866</xdr:colOff>
      <xdr:row>1</xdr:row>
      <xdr:rowOff>58616</xdr:rowOff>
    </xdr:from>
    <xdr:to>
      <xdr:col>5</xdr:col>
      <xdr:colOff>801758</xdr:colOff>
      <xdr:row>4</xdr:row>
      <xdr:rowOff>45054</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91962" y="249116"/>
          <a:ext cx="2246436" cy="557938"/>
        </a:xfrm>
        <a:prstGeom prst="rect">
          <a:avLst/>
        </a:prstGeom>
      </xdr:spPr>
    </xdr:pic>
    <xdr:clientData/>
  </xdr:twoCellAnchor>
  <xdr:oneCellAnchor>
    <xdr:from>
      <xdr:col>0</xdr:col>
      <xdr:colOff>0</xdr:colOff>
      <xdr:row>30</xdr:row>
      <xdr:rowOff>82827</xdr:rowOff>
    </xdr:from>
    <xdr:ext cx="2898914" cy="298174"/>
    <xdr:sp macro="" textlink="">
      <xdr:nvSpPr>
        <xdr:cNvPr id="2" name="CuadroTexto 1">
          <a:extLst>
            <a:ext uri="{FF2B5EF4-FFF2-40B4-BE49-F238E27FC236}">
              <a16:creationId xmlns:a16="http://schemas.microsoft.com/office/drawing/2014/main" id="{708D513B-E3E0-7594-8479-50134A15EED6}"/>
            </a:ext>
          </a:extLst>
        </xdr:cNvPr>
        <xdr:cNvSpPr txBox="1"/>
      </xdr:nvSpPr>
      <xdr:spPr>
        <a:xfrm>
          <a:off x="0" y="2816088"/>
          <a:ext cx="2898914" cy="298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a:r>
            <a:rPr lang="es-ES" sz="1100" b="1" i="0" baseline="0">
              <a:solidFill>
                <a:srgbClr val="0070C0"/>
              </a:solidFill>
              <a:effectLst/>
              <a:latin typeface="+mn-lt"/>
              <a:ea typeface="+mn-ea"/>
              <a:cs typeface="+mn-cs"/>
            </a:rPr>
            <a:t>Cantidad de cotizantes por tipo de empleador</a:t>
          </a:r>
          <a:endParaRPr lang="es-DO">
            <a:solidFill>
              <a:srgbClr val="0070C0"/>
            </a:solidFill>
            <a:effectLst/>
          </a:endParaRPr>
        </a:p>
        <a:p>
          <a:endParaRPr lang="es-DO" sz="1100"/>
        </a:p>
      </xdr:txBody>
    </xdr:sp>
    <xdr:clientData/>
  </xdr:oneCellAnchor>
  <xdr:twoCellAnchor>
    <xdr:from>
      <xdr:col>0</xdr:col>
      <xdr:colOff>66262</xdr:colOff>
      <xdr:row>31</xdr:row>
      <xdr:rowOff>173936</xdr:rowOff>
    </xdr:from>
    <xdr:to>
      <xdr:col>4</xdr:col>
      <xdr:colOff>496957</xdr:colOff>
      <xdr:row>41</xdr:row>
      <xdr:rowOff>16566</xdr:rowOff>
    </xdr:to>
    <xdr:graphicFrame macro="">
      <xdr:nvGraphicFramePr>
        <xdr:cNvPr id="7" name="3 Gráfico">
          <a:extLst>
            <a:ext uri="{FF2B5EF4-FFF2-40B4-BE49-F238E27FC236}">
              <a16:creationId xmlns:a16="http://schemas.microsoft.com/office/drawing/2014/main" id="{4F17FD6F-61F5-4855-BE0D-C283BD563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546653</xdr:colOff>
      <xdr:row>30</xdr:row>
      <xdr:rowOff>91108</xdr:rowOff>
    </xdr:from>
    <xdr:to>
      <xdr:col>9</xdr:col>
      <xdr:colOff>16565</xdr:colOff>
      <xdr:row>41</xdr:row>
      <xdr:rowOff>140804</xdr:rowOff>
    </xdr:to>
    <xdr:graphicFrame macro="">
      <xdr:nvGraphicFramePr>
        <xdr:cNvPr id="8" name="Gráfico 7">
          <a:extLst>
            <a:ext uri="{FF2B5EF4-FFF2-40B4-BE49-F238E27FC236}">
              <a16:creationId xmlns:a16="http://schemas.microsoft.com/office/drawing/2014/main" id="{0651A71E-FBF3-460C-A4E4-8B34A0DAC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80597</xdr:colOff>
      <xdr:row>2</xdr:row>
      <xdr:rowOff>36634</xdr:rowOff>
    </xdr:from>
    <xdr:to>
      <xdr:col>0</xdr:col>
      <xdr:colOff>639575</xdr:colOff>
      <xdr:row>4</xdr:row>
      <xdr:rowOff>7326</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80597" y="608134"/>
          <a:ext cx="558978" cy="351692"/>
        </a:xfrm>
        <a:prstGeom prst="rect">
          <a:avLst/>
        </a:prstGeom>
      </xdr:spPr>
    </xdr:pic>
    <xdr:clientData/>
  </xdr:twoCellAnchor>
  <xdr:twoCellAnchor editAs="oneCell">
    <xdr:from>
      <xdr:col>2</xdr:col>
      <xdr:colOff>1215029</xdr:colOff>
      <xdr:row>1</xdr:row>
      <xdr:rowOff>171554</xdr:rowOff>
    </xdr:from>
    <xdr:to>
      <xdr:col>4</xdr:col>
      <xdr:colOff>217035</xdr:colOff>
      <xdr:row>4</xdr:row>
      <xdr:rowOff>10226</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95181" y="362054"/>
          <a:ext cx="1652441" cy="410172"/>
        </a:xfrm>
        <a:prstGeom prst="rect">
          <a:avLst/>
        </a:prstGeom>
      </xdr:spPr>
    </xdr:pic>
    <xdr:clientData/>
  </xdr:twoCellAnchor>
  <xdr:oneCellAnchor>
    <xdr:from>
      <xdr:col>1</xdr:col>
      <xdr:colOff>612913</xdr:colOff>
      <xdr:row>31</xdr:row>
      <xdr:rowOff>149087</xdr:rowOff>
    </xdr:from>
    <xdr:ext cx="2319131" cy="233205"/>
    <xdr:sp macro="" textlink="">
      <xdr:nvSpPr>
        <xdr:cNvPr id="2" name="CuadroTexto 1">
          <a:extLst>
            <a:ext uri="{FF2B5EF4-FFF2-40B4-BE49-F238E27FC236}">
              <a16:creationId xmlns:a16="http://schemas.microsoft.com/office/drawing/2014/main" id="{9B39AD29-2384-4E02-BB57-597CDEA51294}"/>
            </a:ext>
          </a:extLst>
        </xdr:cNvPr>
        <xdr:cNvSpPr txBox="1"/>
      </xdr:nvSpPr>
      <xdr:spPr>
        <a:xfrm>
          <a:off x="1391478" y="2816087"/>
          <a:ext cx="23191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DO" sz="900" b="1">
              <a:solidFill>
                <a:schemeClr val="accent1"/>
              </a:solidFill>
            </a:rPr>
            <a:t>Aportes por empleador Público Vs Privado</a:t>
          </a:r>
        </a:p>
      </xdr:txBody>
    </xdr:sp>
    <xdr:clientData/>
  </xdr:oneCellAnchor>
  <xdr:twoCellAnchor>
    <xdr:from>
      <xdr:col>0</xdr:col>
      <xdr:colOff>372717</xdr:colOff>
      <xdr:row>33</xdr:row>
      <xdr:rowOff>99392</xdr:rowOff>
    </xdr:from>
    <xdr:to>
      <xdr:col>4</xdr:col>
      <xdr:colOff>49695</xdr:colOff>
      <xdr:row>45</xdr:row>
      <xdr:rowOff>99392</xdr:rowOff>
    </xdr:to>
    <xdr:graphicFrame macro="">
      <xdr:nvGraphicFramePr>
        <xdr:cNvPr id="4" name="4 Gráfico">
          <a:extLst>
            <a:ext uri="{FF2B5EF4-FFF2-40B4-BE49-F238E27FC236}">
              <a16:creationId xmlns:a16="http://schemas.microsoft.com/office/drawing/2014/main" id="{4051458B-5699-4FA4-9F6F-034B73DDB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969065</xdr:colOff>
      <xdr:row>32</xdr:row>
      <xdr:rowOff>82826</xdr:rowOff>
    </xdr:from>
    <xdr:to>
      <xdr:col>8</xdr:col>
      <xdr:colOff>573412</xdr:colOff>
      <xdr:row>43</xdr:row>
      <xdr:rowOff>150233</xdr:rowOff>
    </xdr:to>
    <xdr:graphicFrame macro="">
      <xdr:nvGraphicFramePr>
        <xdr:cNvPr id="5" name="Chart 2">
          <a:extLst>
            <a:ext uri="{FF2B5EF4-FFF2-40B4-BE49-F238E27FC236}">
              <a16:creationId xmlns:a16="http://schemas.microsoft.com/office/drawing/2014/main" id="{89D92D4D-D5BA-4E8A-9308-325481D61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446942</xdr:colOff>
      <xdr:row>44</xdr:row>
      <xdr:rowOff>109987</xdr:rowOff>
    </xdr:from>
    <xdr:to>
      <xdr:col>3</xdr:col>
      <xdr:colOff>47069</xdr:colOff>
      <xdr:row>56</xdr:row>
      <xdr:rowOff>109904</xdr:rowOff>
    </xdr:to>
    <xdr:graphicFrame macro="">
      <xdr:nvGraphicFramePr>
        <xdr:cNvPr id="3" name="2 Gráfico">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554935</xdr:colOff>
      <xdr:row>2</xdr:row>
      <xdr:rowOff>87883</xdr:rowOff>
    </xdr:from>
    <xdr:to>
      <xdr:col>1</xdr:col>
      <xdr:colOff>182621</xdr:colOff>
      <xdr:row>5</xdr:row>
      <xdr:rowOff>1275</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554935" y="468883"/>
          <a:ext cx="770686" cy="484892"/>
        </a:xfrm>
        <a:prstGeom prst="rect">
          <a:avLst/>
        </a:prstGeom>
      </xdr:spPr>
    </xdr:pic>
    <xdr:clientData/>
  </xdr:twoCellAnchor>
  <xdr:twoCellAnchor editAs="oneCell">
    <xdr:from>
      <xdr:col>2</xdr:col>
      <xdr:colOff>461596</xdr:colOff>
      <xdr:row>1</xdr:row>
      <xdr:rowOff>7327</xdr:rowOff>
    </xdr:from>
    <xdr:to>
      <xdr:col>4</xdr:col>
      <xdr:colOff>187570</xdr:colOff>
      <xdr:row>3</xdr:row>
      <xdr:rowOff>184265</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16923" y="197827"/>
          <a:ext cx="2246436" cy="557938"/>
        </a:xfrm>
        <a:prstGeom prst="rect">
          <a:avLst/>
        </a:prstGeom>
      </xdr:spPr>
    </xdr:pic>
    <xdr:clientData/>
  </xdr:twoCellAnchor>
  <xdr:twoCellAnchor>
    <xdr:from>
      <xdr:col>0</xdr:col>
      <xdr:colOff>432289</xdr:colOff>
      <xdr:row>31</xdr:row>
      <xdr:rowOff>14653</xdr:rowOff>
    </xdr:from>
    <xdr:to>
      <xdr:col>3</xdr:col>
      <xdr:colOff>329712</xdr:colOff>
      <xdr:row>43</xdr:row>
      <xdr:rowOff>21980</xdr:rowOff>
    </xdr:to>
    <xdr:graphicFrame macro="">
      <xdr:nvGraphicFramePr>
        <xdr:cNvPr id="2" name="2 Gráfico">
          <a:extLst>
            <a:ext uri="{FF2B5EF4-FFF2-40B4-BE49-F238E27FC236}">
              <a16:creationId xmlns:a16="http://schemas.microsoft.com/office/drawing/2014/main" id="{DB91C356-1ADB-40D5-9708-86727D3A8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fsadfs1\PLANIFICACION%20Y%20DESARROLLO\PLANIFICACION\7.%20Estad&#237;sticas\Bolet&#237;n%20Estad&#237;stico%202023\T1\Matriz%20Estad&#237;stica%20Boleti&#769;n%20Trimestral%20OAI%20T1%20Prelimin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fsadfs1\COMPARTIDO%20PENSIONES\PLANIFICACION%20Y%20DESARROLLO\PLANIFICACION\7.%20Estad&#237;sticas\Bolet&#237;n%20Estad&#237;stico%202024\T2\Insumos\Metabase%20DMP%20T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Adm."/>
      <sheetName val="Afiliados y Cotizantes"/>
      <sheetName val="Cotizantes"/>
      <sheetName val="Empleador"/>
      <sheetName val="Aportes"/>
      <sheetName val="Traspaso"/>
      <sheetName val="Presupuesto de Pensiones"/>
      <sheetName val="Nómina"/>
      <sheetName val="Autoseguro"/>
      <sheetName val="Movimientos"/>
      <sheetName val="Hoja1"/>
      <sheetName val="Tipo de Pension"/>
      <sheetName val="Modalidad"/>
      <sheetName val="Retroactivos"/>
      <sheetName val="Reintegros"/>
      <sheetName val="Créditos Rechazados"/>
      <sheetName val="Recuperación Fondos"/>
      <sheetName val="Servic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M7" t="str">
            <v>Monto</v>
          </cell>
        </row>
        <row r="9">
          <cell r="A9" t="str">
            <v>Marzo</v>
          </cell>
        </row>
        <row r="10">
          <cell r="A10" t="str">
            <v>Febrero</v>
          </cell>
        </row>
        <row r="11">
          <cell r="A11" t="str">
            <v>Enero</v>
          </cell>
        </row>
      </sheetData>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Consolidado"/>
      <sheetName val="Abril"/>
      <sheetName val="Pv Abril"/>
      <sheetName val="Mayo"/>
      <sheetName val="Pv Mayo"/>
      <sheetName val="Junio"/>
      <sheetName val="pv Junio"/>
    </sheetNames>
    <sheetDataSet>
      <sheetData sheetId="0"/>
      <sheetData sheetId="1"/>
      <sheetData sheetId="2"/>
      <sheetData sheetId="3">
        <row r="8">
          <cell r="A8" t="str">
            <v>Pensión por Sobrevivencia Concubina</v>
          </cell>
          <cell r="B8">
            <v>21</v>
          </cell>
          <cell r="C8">
            <v>21</v>
          </cell>
        </row>
        <row r="9">
          <cell r="A9" t="str">
            <v>Pensión por Sobrevivencia Conyugue</v>
          </cell>
          <cell r="B9">
            <v>90</v>
          </cell>
          <cell r="C9">
            <v>89</v>
          </cell>
        </row>
        <row r="10">
          <cell r="A10" t="str">
            <v>Pension por Sobrevivencia Estudiante PN</v>
          </cell>
          <cell r="B10">
            <v>2</v>
          </cell>
          <cell r="C10">
            <v>2</v>
          </cell>
        </row>
        <row r="11">
          <cell r="A11" t="str">
            <v>Pensión por Sobrevivencia Menor</v>
          </cell>
          <cell r="B11">
            <v>19</v>
          </cell>
          <cell r="C11">
            <v>19</v>
          </cell>
        </row>
        <row r="12">
          <cell r="A12" t="str">
            <v>Pensión por Sobrevivencia Padres</v>
          </cell>
          <cell r="B12">
            <v>4</v>
          </cell>
          <cell r="C12">
            <v>4</v>
          </cell>
        </row>
        <row r="13">
          <cell r="A13" t="str">
            <v>Reactivacion</v>
          </cell>
          <cell r="B13">
            <v>93</v>
          </cell>
          <cell r="C13">
            <v>72</v>
          </cell>
        </row>
        <row r="14">
          <cell r="A14" t="str">
            <v>Reembolso - RE</v>
          </cell>
          <cell r="B14">
            <v>21</v>
          </cell>
          <cell r="C14">
            <v>18</v>
          </cell>
        </row>
        <row r="15">
          <cell r="A15" t="str">
            <v>Reinclusion</v>
          </cell>
          <cell r="B15">
            <v>13</v>
          </cell>
          <cell r="C15">
            <v>9</v>
          </cell>
        </row>
        <row r="16">
          <cell r="A16" t="str">
            <v>Retroactivo – RT</v>
          </cell>
          <cell r="B16">
            <v>269</v>
          </cell>
          <cell r="C16">
            <v>260</v>
          </cell>
        </row>
        <row r="17">
          <cell r="A17" t="str">
            <v>Retroactivo – RTI</v>
          </cell>
          <cell r="B17">
            <v>94</v>
          </cell>
          <cell r="C17">
            <v>76</v>
          </cell>
        </row>
        <row r="18">
          <cell r="A18" t="str">
            <v>Solicitud de aplicacion de Descuento ADL</v>
          </cell>
          <cell r="B18">
            <v>15</v>
          </cell>
          <cell r="C18">
            <v>15</v>
          </cell>
        </row>
        <row r="19">
          <cell r="A19" t="str">
            <v>Solicitud de Inclusión a Nómina</v>
          </cell>
          <cell r="B19">
            <v>2410</v>
          </cell>
          <cell r="C19">
            <v>1802</v>
          </cell>
        </row>
        <row r="20">
          <cell r="A20" t="str">
            <v>Solicitud de Suspension de Descuento SDL</v>
          </cell>
          <cell r="B20">
            <v>31</v>
          </cell>
          <cell r="C20">
            <v>31</v>
          </cell>
        </row>
        <row r="21">
          <cell r="A21" t="str">
            <v>Solicitud Modificación Monto Pensión</v>
          </cell>
          <cell r="B21">
            <v>241</v>
          </cell>
          <cell r="C21">
            <v>241</v>
          </cell>
        </row>
      </sheetData>
      <sheetData sheetId="4"/>
      <sheetData sheetId="5">
        <row r="7">
          <cell r="A7" t="str">
            <v>Pensión por Sobrevivencia Concubina</v>
          </cell>
          <cell r="B7">
            <v>14</v>
          </cell>
          <cell r="C7">
            <v>14</v>
          </cell>
        </row>
        <row r="8">
          <cell r="A8" t="str">
            <v>Pensión por Sobrevivencia Conyugue</v>
          </cell>
          <cell r="B8">
            <v>104</v>
          </cell>
          <cell r="C8">
            <v>101</v>
          </cell>
        </row>
        <row r="9">
          <cell r="A9" t="str">
            <v>Pension por Sobrevivencia Estudiante PN</v>
          </cell>
          <cell r="B9">
            <v>1</v>
          </cell>
          <cell r="C9">
            <v>1</v>
          </cell>
        </row>
        <row r="10">
          <cell r="A10" t="str">
            <v>Pensión por Sobrevivencia Menor</v>
          </cell>
          <cell r="B10">
            <v>13</v>
          </cell>
          <cell r="C10">
            <v>13</v>
          </cell>
        </row>
        <row r="11">
          <cell r="A11" t="str">
            <v>Reactivacion</v>
          </cell>
          <cell r="B11">
            <v>78</v>
          </cell>
          <cell r="C11">
            <v>57</v>
          </cell>
        </row>
        <row r="12">
          <cell r="A12" t="str">
            <v>Reembolso - RE</v>
          </cell>
          <cell r="B12">
            <v>26</v>
          </cell>
          <cell r="C12">
            <v>23</v>
          </cell>
        </row>
        <row r="13">
          <cell r="A13" t="str">
            <v>Reinclusion</v>
          </cell>
          <cell r="B13">
            <v>12</v>
          </cell>
          <cell r="C13">
            <v>8</v>
          </cell>
        </row>
        <row r="14">
          <cell r="A14" t="str">
            <v>Retroactivo – RT</v>
          </cell>
          <cell r="B14">
            <v>265</v>
          </cell>
          <cell r="C14">
            <v>256</v>
          </cell>
        </row>
        <row r="15">
          <cell r="A15" t="str">
            <v>Retroactivo – RTI</v>
          </cell>
          <cell r="B15">
            <v>165</v>
          </cell>
          <cell r="C15">
            <v>147</v>
          </cell>
        </row>
        <row r="16">
          <cell r="A16" t="str">
            <v>Solicitud de aplicacion de Descuento ADL</v>
          </cell>
          <cell r="B16">
            <v>11</v>
          </cell>
          <cell r="C16">
            <v>11</v>
          </cell>
        </row>
        <row r="17">
          <cell r="A17" t="str">
            <v>Solicitud de Inclusión a Nómina</v>
          </cell>
          <cell r="B17">
            <v>2466</v>
          </cell>
          <cell r="C17">
            <v>1860</v>
          </cell>
        </row>
        <row r="18">
          <cell r="A18" t="str">
            <v>Solicitud de Suspension de Descuento SDL</v>
          </cell>
          <cell r="B18">
            <v>22</v>
          </cell>
          <cell r="C18">
            <v>22</v>
          </cell>
        </row>
        <row r="19">
          <cell r="A19" t="str">
            <v>Solicitud Modificación Monto Pensión</v>
          </cell>
          <cell r="B19">
            <v>73</v>
          </cell>
          <cell r="C19">
            <v>73</v>
          </cell>
        </row>
        <row r="20">
          <cell r="A20" t="str">
            <v>Pensión por Sobrevivencia Hijo Discapacitado PN</v>
          </cell>
          <cell r="B20">
            <v>1</v>
          </cell>
          <cell r="C20">
            <v>1</v>
          </cell>
        </row>
        <row r="21">
          <cell r="A21" t="str">
            <v>Pensión por Sobrevivencia Padres</v>
          </cell>
          <cell r="B21">
            <v>1</v>
          </cell>
          <cell r="C21">
            <v>1</v>
          </cell>
        </row>
      </sheetData>
      <sheetData sheetId="6"/>
      <sheetData sheetId="7">
        <row r="7">
          <cell r="A7" t="str">
            <v>Pensión por Sobrevivencia Concubina</v>
          </cell>
          <cell r="B7">
            <v>14</v>
          </cell>
          <cell r="C7">
            <v>10</v>
          </cell>
        </row>
        <row r="8">
          <cell r="A8" t="str">
            <v>Pensión por Sobrevivencia Conyugue</v>
          </cell>
          <cell r="B8">
            <v>72</v>
          </cell>
          <cell r="C8">
            <v>63</v>
          </cell>
        </row>
        <row r="9">
          <cell r="A9" t="str">
            <v>Pension por Sobrevivencia Estudiante PN</v>
          </cell>
          <cell r="B9">
            <v>1</v>
          </cell>
          <cell r="C9">
            <v>1</v>
          </cell>
        </row>
        <row r="10">
          <cell r="A10" t="str">
            <v>Pensión por Sobrevivencia Menor</v>
          </cell>
          <cell r="B10">
            <v>3</v>
          </cell>
          <cell r="C10">
            <v>3</v>
          </cell>
        </row>
        <row r="11">
          <cell r="A11" t="str">
            <v>Reactivacion</v>
          </cell>
          <cell r="B11">
            <v>71</v>
          </cell>
          <cell r="C11">
            <v>33</v>
          </cell>
        </row>
        <row r="12">
          <cell r="A12" t="str">
            <v>Reembolso - RE</v>
          </cell>
          <cell r="B12">
            <v>6</v>
          </cell>
          <cell r="C12">
            <v>3</v>
          </cell>
        </row>
        <row r="13">
          <cell r="A13" t="str">
            <v>Reinclusion</v>
          </cell>
          <cell r="B13">
            <v>21</v>
          </cell>
          <cell r="C13">
            <v>10</v>
          </cell>
        </row>
        <row r="14">
          <cell r="A14" t="str">
            <v>Retroactivo – RT</v>
          </cell>
          <cell r="B14">
            <v>203</v>
          </cell>
          <cell r="C14">
            <v>194</v>
          </cell>
        </row>
        <row r="15">
          <cell r="A15" t="str">
            <v>Retroactivo – RTI</v>
          </cell>
          <cell r="B15">
            <v>75</v>
          </cell>
          <cell r="C15">
            <v>49</v>
          </cell>
        </row>
        <row r="16">
          <cell r="A16" t="str">
            <v>Solicitud de aplicacion de Descuento ADL</v>
          </cell>
          <cell r="B16">
            <v>21</v>
          </cell>
          <cell r="C16">
            <v>21</v>
          </cell>
        </row>
        <row r="17">
          <cell r="A17" t="str">
            <v>Solicitud de Inclusión a Nómina</v>
          </cell>
          <cell r="B17">
            <v>1860</v>
          </cell>
          <cell r="C17">
            <v>1083</v>
          </cell>
        </row>
        <row r="18">
          <cell r="A18" t="str">
            <v>Solicitud de Suspension de Descuento SDL</v>
          </cell>
          <cell r="B18">
            <v>28</v>
          </cell>
          <cell r="C18">
            <v>28</v>
          </cell>
        </row>
        <row r="19">
          <cell r="A19" t="str">
            <v>Solicitud Modificación Monto Pensión</v>
          </cell>
          <cell r="B19">
            <v>157</v>
          </cell>
          <cell r="C19">
            <v>157</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H73"/>
  <sheetViews>
    <sheetView showGridLines="0" tabSelected="1" zoomScale="115" zoomScaleNormal="115" workbookViewId="0">
      <selection activeCell="M13" sqref="M13"/>
    </sheetView>
  </sheetViews>
  <sheetFormatPr baseColWidth="10" defaultColWidth="11.42578125" defaultRowHeight="15" x14ac:dyDescent="0.25"/>
  <cols>
    <col min="1" max="1" width="11.7109375" style="1" customWidth="1"/>
    <col min="2" max="2" width="15.42578125" style="1" customWidth="1"/>
    <col min="3" max="3" width="13.7109375" style="1" bestFit="1" customWidth="1"/>
    <col min="4" max="4" width="11.42578125" style="1" bestFit="1" customWidth="1"/>
    <col min="5" max="5" width="14.28515625" style="1" customWidth="1"/>
    <col min="6" max="6" width="13.7109375" style="1" bestFit="1" customWidth="1"/>
    <col min="7" max="16384" width="11.42578125" style="1"/>
  </cols>
  <sheetData>
    <row r="2" spans="1:8" x14ac:dyDescent="0.25">
      <c r="A2" s="536" t="s">
        <v>0</v>
      </c>
      <c r="B2" s="536"/>
      <c r="C2" s="536"/>
      <c r="D2" s="536"/>
      <c r="E2" s="536"/>
      <c r="F2" s="536"/>
    </row>
    <row r="3" spans="1:8" x14ac:dyDescent="0.25">
      <c r="A3" s="536" t="s">
        <v>1</v>
      </c>
      <c r="B3" s="536"/>
      <c r="C3" s="536"/>
      <c r="D3" s="536"/>
      <c r="E3" s="536"/>
      <c r="F3" s="536"/>
    </row>
    <row r="4" spans="1:8" x14ac:dyDescent="0.25">
      <c r="A4" s="536" t="s">
        <v>2</v>
      </c>
      <c r="B4" s="536"/>
      <c r="C4" s="536"/>
      <c r="D4" s="536"/>
      <c r="E4" s="536"/>
      <c r="F4" s="536"/>
    </row>
    <row r="5" spans="1:8" x14ac:dyDescent="0.25">
      <c r="A5" s="536" t="s">
        <v>3</v>
      </c>
      <c r="B5" s="536"/>
      <c r="C5" s="536"/>
      <c r="D5" s="536"/>
      <c r="E5" s="536"/>
      <c r="F5" s="536"/>
    </row>
    <row r="6" spans="1:8" x14ac:dyDescent="0.25">
      <c r="A6" s="536" t="s">
        <v>4</v>
      </c>
      <c r="B6" s="536"/>
      <c r="C6" s="536"/>
      <c r="D6" s="536"/>
      <c r="E6" s="536"/>
      <c r="F6" s="536"/>
    </row>
    <row r="7" spans="1:8" x14ac:dyDescent="0.25">
      <c r="A7" s="535" t="s">
        <v>5</v>
      </c>
      <c r="B7" s="535" t="s">
        <v>6</v>
      </c>
      <c r="C7" s="535" t="s">
        <v>7</v>
      </c>
      <c r="D7" s="535"/>
      <c r="E7" s="535" t="s">
        <v>8</v>
      </c>
      <c r="F7" s="535"/>
    </row>
    <row r="8" spans="1:8" ht="11.25" customHeight="1" x14ac:dyDescent="0.25">
      <c r="A8" s="535"/>
      <c r="B8" s="535"/>
      <c r="C8" s="535"/>
      <c r="D8" s="535"/>
      <c r="E8" s="535"/>
      <c r="F8" s="535"/>
    </row>
    <row r="9" spans="1:8" ht="14.25" customHeight="1" x14ac:dyDescent="0.25">
      <c r="A9" s="98"/>
      <c r="B9" s="99" t="s">
        <v>9</v>
      </c>
      <c r="C9" s="99" t="s">
        <v>10</v>
      </c>
      <c r="D9" s="99" t="s">
        <v>11</v>
      </c>
      <c r="E9" s="99" t="s">
        <v>10</v>
      </c>
      <c r="F9" s="113" t="s">
        <v>11</v>
      </c>
      <c r="G9"/>
      <c r="H9"/>
    </row>
    <row r="10" spans="1:8" ht="14.25" hidden="1" customHeight="1" x14ac:dyDescent="0.25">
      <c r="A10" s="135" t="s">
        <v>12</v>
      </c>
      <c r="B10" s="100"/>
      <c r="C10" s="100"/>
      <c r="D10" s="136" t="e">
        <f>C10/B10</f>
        <v>#DIV/0!</v>
      </c>
      <c r="E10" s="150">
        <f>B10-C10</f>
        <v>0</v>
      </c>
      <c r="F10" s="455" t="e">
        <f>E10/B10</f>
        <v>#DIV/0!</v>
      </c>
      <c r="G10"/>
      <c r="H10"/>
    </row>
    <row r="11" spans="1:8" ht="14.25" customHeight="1" x14ac:dyDescent="0.25">
      <c r="A11" s="74" t="s">
        <v>13</v>
      </c>
      <c r="B11" s="388">
        <v>40317798.969999999</v>
      </c>
      <c r="C11" s="402">
        <v>42128507.07</v>
      </c>
      <c r="D11" s="358">
        <f>+C11/B11</f>
        <v>1.0449108866619263</v>
      </c>
      <c r="E11" s="105">
        <f>+B11-C11</f>
        <v>-1810708.1000000015</v>
      </c>
      <c r="F11" s="453">
        <f t="shared" ref="F11:F18" si="0">(E11/B11)</f>
        <v>-4.4910886661926365E-2</v>
      </c>
      <c r="G11"/>
      <c r="H11"/>
    </row>
    <row r="12" spans="1:8" ht="14.25" customHeight="1" x14ac:dyDescent="0.25">
      <c r="A12" s="74" t="s">
        <v>14</v>
      </c>
      <c r="B12" s="388">
        <v>71517798.969999999</v>
      </c>
      <c r="C12" s="389">
        <v>45057518.359999999</v>
      </c>
      <c r="D12" s="358">
        <f>+C12/B12</f>
        <v>0.6300182473302981</v>
      </c>
      <c r="E12" s="105">
        <f>+B12-C12</f>
        <v>26460280.609999999</v>
      </c>
      <c r="F12" s="453">
        <f t="shared" si="0"/>
        <v>0.3699817526697019</v>
      </c>
      <c r="G12"/>
      <c r="H12"/>
    </row>
    <row r="13" spans="1:8" ht="14.25" customHeight="1" x14ac:dyDescent="0.25">
      <c r="A13" s="74" t="s">
        <v>15</v>
      </c>
      <c r="B13" s="388">
        <v>39817798.969999999</v>
      </c>
      <c r="C13" s="402">
        <v>59459707.560000002</v>
      </c>
      <c r="D13" s="358">
        <f>+C13/B13</f>
        <v>1.4932946847413351</v>
      </c>
      <c r="E13" s="105">
        <f>+B13-C13</f>
        <v>-19641908.590000004</v>
      </c>
      <c r="F13" s="453">
        <f t="shared" si="0"/>
        <v>-0.49329468474133503</v>
      </c>
      <c r="G13"/>
      <c r="H13"/>
    </row>
    <row r="14" spans="1:8" ht="13.5" customHeight="1" x14ac:dyDescent="0.25">
      <c r="A14" s="318" t="s">
        <v>16</v>
      </c>
      <c r="B14" s="390">
        <f>SUM(B11:B13)</f>
        <v>151653396.91</v>
      </c>
      <c r="C14" s="390">
        <f>SUM(C11:C13)</f>
        <v>146645732.99000001</v>
      </c>
      <c r="D14" s="391">
        <f>(C14/B14)</f>
        <v>0.96697954663704744</v>
      </c>
      <c r="E14" s="392">
        <f>SUM(E11:E13)</f>
        <v>5007663.9199999943</v>
      </c>
      <c r="F14" s="456">
        <f>(E14/B14)</f>
        <v>3.3020453362952597E-2</v>
      </c>
      <c r="G14" s="64"/>
      <c r="H14"/>
    </row>
    <row r="15" spans="1:8" ht="14.25" hidden="1" customHeight="1" x14ac:dyDescent="0.25">
      <c r="A15" s="74" t="s">
        <v>17</v>
      </c>
      <c r="B15" s="109">
        <v>37653391.100000001</v>
      </c>
      <c r="C15" s="109">
        <v>38913006.759999998</v>
      </c>
      <c r="D15" s="175">
        <f>+C15/B15</f>
        <v>1.0334529141520004</v>
      </c>
      <c r="E15" s="151">
        <f>+B15-C15</f>
        <v>-1259615.6599999964</v>
      </c>
      <c r="F15" s="4">
        <f t="shared" si="0"/>
        <v>-3.3452914152000413E-2</v>
      </c>
      <c r="G15"/>
      <c r="H15"/>
    </row>
    <row r="16" spans="1:8" ht="14.25" hidden="1" customHeight="1" x14ac:dyDescent="0.25">
      <c r="A16" s="74" t="s">
        <v>18</v>
      </c>
      <c r="B16" s="109">
        <v>33544691.100000001</v>
      </c>
      <c r="C16" s="109">
        <v>33205275.879999999</v>
      </c>
      <c r="D16" s="175">
        <f>+C16/B16</f>
        <v>0.9898817008334293</v>
      </c>
      <c r="E16" s="151">
        <f>+B16-C16</f>
        <v>339415.22000000253</v>
      </c>
      <c r="F16" s="4">
        <f t="shared" si="0"/>
        <v>1.0118299166570728E-2</v>
      </c>
      <c r="G16"/>
      <c r="H16"/>
    </row>
    <row r="17" spans="1:8" ht="14.25" hidden="1" customHeight="1" x14ac:dyDescent="0.25">
      <c r="A17" s="74" t="s">
        <v>19</v>
      </c>
      <c r="B17" s="109">
        <v>33294691.100000001</v>
      </c>
      <c r="C17" s="109">
        <v>32763928.640000001</v>
      </c>
      <c r="D17" s="175">
        <f>+C17/B17</f>
        <v>0.98405864591427306</v>
      </c>
      <c r="E17" s="151">
        <f>+B17-C17</f>
        <v>530762.46000000089</v>
      </c>
      <c r="F17" s="4">
        <f t="shared" si="0"/>
        <v>1.5941354085726923E-2</v>
      </c>
      <c r="G17"/>
      <c r="H17"/>
    </row>
    <row r="18" spans="1:8" hidden="1" x14ac:dyDescent="0.25">
      <c r="A18" s="102" t="s">
        <v>20</v>
      </c>
      <c r="B18" s="8">
        <f>SUM(B10:B17)</f>
        <v>407799567.12000006</v>
      </c>
      <c r="C18" s="8">
        <f>SUM(C10:C17)</f>
        <v>398173677.25999999</v>
      </c>
      <c r="D18" s="181">
        <f>(C18/B18)</f>
        <v>0.9763955368369297</v>
      </c>
      <c r="E18" s="152">
        <f>SUM(E10:E17)</f>
        <v>9625889.8599999957</v>
      </c>
      <c r="F18" s="180">
        <f t="shared" si="0"/>
        <v>2.3604463163070154E-2</v>
      </c>
      <c r="G18"/>
      <c r="H18"/>
    </row>
    <row r="19" spans="1:8" hidden="1" x14ac:dyDescent="0.25">
      <c r="A19" s="74" t="s">
        <v>15</v>
      </c>
      <c r="B19" s="103"/>
      <c r="C19" s="104"/>
      <c r="D19" s="2" t="e">
        <f t="shared" ref="D19:D30" si="1">+C19/B19</f>
        <v>#DIV/0!</v>
      </c>
      <c r="E19" s="105"/>
      <c r="F19" s="4" t="e">
        <f t="shared" ref="F19:F30" si="2">(E19/B19)</f>
        <v>#DIV/0!</v>
      </c>
      <c r="G19"/>
      <c r="H19"/>
    </row>
    <row r="20" spans="1:8" hidden="1" x14ac:dyDescent="0.25">
      <c r="A20" s="74" t="s">
        <v>14</v>
      </c>
      <c r="B20" s="103"/>
      <c r="C20" s="104"/>
      <c r="D20" s="2" t="e">
        <f t="shared" si="1"/>
        <v>#DIV/0!</v>
      </c>
      <c r="E20" s="105"/>
      <c r="F20" s="4" t="e">
        <f t="shared" si="2"/>
        <v>#DIV/0!</v>
      </c>
      <c r="G20"/>
      <c r="H20"/>
    </row>
    <row r="21" spans="1:8" hidden="1" x14ac:dyDescent="0.25">
      <c r="A21" s="74" t="s">
        <v>13</v>
      </c>
      <c r="B21" s="103"/>
      <c r="C21" s="104"/>
      <c r="D21" s="2" t="e">
        <f t="shared" si="1"/>
        <v>#DIV/0!</v>
      </c>
      <c r="E21" s="105"/>
      <c r="F21" s="4" t="e">
        <f t="shared" si="2"/>
        <v>#DIV/0!</v>
      </c>
      <c r="G21"/>
      <c r="H21"/>
    </row>
    <row r="22" spans="1:8" hidden="1" x14ac:dyDescent="0.25">
      <c r="A22" s="102" t="s">
        <v>16</v>
      </c>
      <c r="B22" s="8">
        <f>SUM(B19:B21)</f>
        <v>0</v>
      </c>
      <c r="C22" s="8">
        <f>SUM(C19:C21)</f>
        <v>0</v>
      </c>
      <c r="D22" s="3" t="e">
        <f>(C22/B22)</f>
        <v>#DIV/0!</v>
      </c>
      <c r="E22" s="9">
        <f>SUM(E19:E21)</f>
        <v>0</v>
      </c>
      <c r="F22" s="5" t="e">
        <f>(E22/B22)</f>
        <v>#DIV/0!</v>
      </c>
      <c r="G22"/>
      <c r="H22"/>
    </row>
    <row r="23" spans="1:8" hidden="1" x14ac:dyDescent="0.25">
      <c r="A23" s="74" t="s">
        <v>21</v>
      </c>
      <c r="B23" s="103"/>
      <c r="C23" s="104"/>
      <c r="D23" s="2" t="e">
        <f t="shared" si="1"/>
        <v>#DIV/0!</v>
      </c>
      <c r="E23" s="105"/>
      <c r="F23" s="4" t="e">
        <f t="shared" si="2"/>
        <v>#DIV/0!</v>
      </c>
      <c r="G23"/>
      <c r="H23"/>
    </row>
    <row r="24" spans="1:8" hidden="1" x14ac:dyDescent="0.25">
      <c r="A24" s="74" t="s">
        <v>22</v>
      </c>
      <c r="B24" s="103"/>
      <c r="C24" s="104"/>
      <c r="D24" s="2" t="e">
        <f t="shared" si="1"/>
        <v>#DIV/0!</v>
      </c>
      <c r="E24" s="105"/>
      <c r="F24" s="4" t="e">
        <f t="shared" si="2"/>
        <v>#DIV/0!</v>
      </c>
      <c r="G24"/>
      <c r="H24"/>
    </row>
    <row r="25" spans="1:8" hidden="1" x14ac:dyDescent="0.25">
      <c r="A25" s="74" t="s">
        <v>23</v>
      </c>
      <c r="B25" s="103"/>
      <c r="C25" s="104"/>
      <c r="D25" s="2" t="e">
        <f t="shared" si="1"/>
        <v>#DIV/0!</v>
      </c>
      <c r="E25" s="105"/>
      <c r="F25" s="4" t="e">
        <f t="shared" si="2"/>
        <v>#DIV/0!</v>
      </c>
      <c r="G25"/>
      <c r="H25"/>
    </row>
    <row r="26" spans="1:8" hidden="1" x14ac:dyDescent="0.25">
      <c r="A26" s="102" t="s">
        <v>24</v>
      </c>
      <c r="B26" s="8">
        <f>SUM(B23:B25)</f>
        <v>0</v>
      </c>
      <c r="C26" s="8">
        <f>SUM(C23:C25)</f>
        <v>0</v>
      </c>
      <c r="D26" s="3" t="e">
        <f>(C26/B26)</f>
        <v>#DIV/0!</v>
      </c>
      <c r="E26" s="9">
        <f>SUM(E23:E25)</f>
        <v>0</v>
      </c>
      <c r="F26" s="5" t="e">
        <f>(E26/B26)</f>
        <v>#DIV/0!</v>
      </c>
      <c r="G26"/>
      <c r="H26"/>
    </row>
    <row r="27" spans="1:8" hidden="1" x14ac:dyDescent="0.25">
      <c r="A27" s="74" t="s">
        <v>25</v>
      </c>
      <c r="B27" s="103"/>
      <c r="C27" s="104"/>
      <c r="D27" s="2" t="e">
        <f t="shared" si="1"/>
        <v>#DIV/0!</v>
      </c>
      <c r="E27" s="105"/>
      <c r="F27" s="4" t="e">
        <f t="shared" si="2"/>
        <v>#DIV/0!</v>
      </c>
      <c r="G27"/>
      <c r="H27"/>
    </row>
    <row r="28" spans="1:8" hidden="1" x14ac:dyDescent="0.25">
      <c r="A28" s="74" t="s">
        <v>26</v>
      </c>
      <c r="B28" s="103"/>
      <c r="C28" s="104"/>
      <c r="D28" s="2" t="e">
        <f t="shared" si="1"/>
        <v>#DIV/0!</v>
      </c>
      <c r="E28" s="105"/>
      <c r="F28" s="4" t="e">
        <f t="shared" si="2"/>
        <v>#DIV/0!</v>
      </c>
      <c r="G28"/>
      <c r="H28"/>
    </row>
    <row r="29" spans="1:8" hidden="1" x14ac:dyDescent="0.25">
      <c r="A29" s="74" t="s">
        <v>27</v>
      </c>
      <c r="B29" s="103"/>
      <c r="C29" s="104"/>
      <c r="D29" s="2" t="e">
        <f t="shared" si="1"/>
        <v>#DIV/0!</v>
      </c>
      <c r="E29" s="105"/>
      <c r="F29" s="4" t="e">
        <f t="shared" si="2"/>
        <v>#DIV/0!</v>
      </c>
      <c r="G29"/>
      <c r="H29"/>
    </row>
    <row r="30" spans="1:8" hidden="1" x14ac:dyDescent="0.25">
      <c r="A30" s="74" t="s">
        <v>12</v>
      </c>
      <c r="B30" s="103"/>
      <c r="C30" s="104"/>
      <c r="D30" s="2" t="e">
        <f t="shared" si="1"/>
        <v>#DIV/0!</v>
      </c>
      <c r="E30" s="105"/>
      <c r="F30" s="4" t="e">
        <f t="shared" si="2"/>
        <v>#DIV/0!</v>
      </c>
      <c r="G30"/>
      <c r="H30"/>
    </row>
    <row r="31" spans="1:8" hidden="1" x14ac:dyDescent="0.25">
      <c r="A31" s="102" t="s">
        <v>28</v>
      </c>
      <c r="B31" s="8">
        <f>SUM(B27:B30)</f>
        <v>0</v>
      </c>
      <c r="C31" s="8">
        <f>SUM(C27:C30)</f>
        <v>0</v>
      </c>
      <c r="D31" s="3" t="e">
        <f>(C31/B31)</f>
        <v>#DIV/0!</v>
      </c>
      <c r="E31" s="9">
        <f>SUM(E27:E30)</f>
        <v>0</v>
      </c>
      <c r="F31" s="5" t="e">
        <f>(E31/B31)</f>
        <v>#DIV/0!</v>
      </c>
      <c r="G31"/>
      <c r="H31"/>
    </row>
    <row r="32" spans="1:8" hidden="1" x14ac:dyDescent="0.25">
      <c r="A32" s="106" t="s">
        <v>29</v>
      </c>
      <c r="B32" s="10">
        <f>+B18+B22+B26+B31</f>
        <v>407799567.12000006</v>
      </c>
      <c r="C32" s="10">
        <f>+C18+C22+C26+C31</f>
        <v>398173677.25999999</v>
      </c>
      <c r="D32" s="7">
        <f>(C32/B32)</f>
        <v>0.9763955368369297</v>
      </c>
      <c r="E32" s="11">
        <f>+E18+E22+E26+E31</f>
        <v>9625889.8599999957</v>
      </c>
      <c r="F32" s="6">
        <f>(E32/B32)</f>
        <v>2.3604463163070154E-2</v>
      </c>
      <c r="G32"/>
      <c r="H32"/>
    </row>
    <row r="33" spans="1:8" ht="15.75" hidden="1" customHeight="1" x14ac:dyDescent="0.25">
      <c r="A33" s="531"/>
      <c r="B33" s="532"/>
      <c r="C33" s="532"/>
      <c r="D33" s="532"/>
      <c r="E33" s="532"/>
      <c r="F33" s="532"/>
      <c r="G33"/>
      <c r="H33"/>
    </row>
    <row r="34" spans="1:8" ht="15.75" customHeight="1" x14ac:dyDescent="0.25">
      <c r="A34" s="533" t="s">
        <v>30</v>
      </c>
      <c r="B34" s="534"/>
      <c r="C34" s="534"/>
      <c r="D34" s="534"/>
      <c r="E34" s="534"/>
      <c r="F34" s="534"/>
      <c r="G34"/>
      <c r="H34"/>
    </row>
    <row r="35" spans="1:8" ht="12.75" customHeight="1" x14ac:dyDescent="0.2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row r="50" spans="1:8" x14ac:dyDescent="0.25">
      <c r="A50"/>
      <c r="B50"/>
      <c r="C50"/>
      <c r="D50"/>
      <c r="E50"/>
      <c r="F50"/>
      <c r="G50"/>
      <c r="H50"/>
    </row>
    <row r="51" spans="1:8" x14ac:dyDescent="0.25">
      <c r="A51"/>
      <c r="B51"/>
      <c r="C51"/>
      <c r="D51"/>
      <c r="E51"/>
      <c r="F51"/>
      <c r="G51"/>
      <c r="H51"/>
    </row>
    <row r="55" spans="1:8" x14ac:dyDescent="0.25">
      <c r="A55" s="74"/>
      <c r="B55" s="100"/>
      <c r="C55" s="100"/>
      <c r="D55" s="2"/>
      <c r="E55" s="101"/>
      <c r="F55" s="4"/>
    </row>
    <row r="56" spans="1:8" ht="2.25" customHeight="1" x14ac:dyDescent="0.25"/>
    <row r="57" spans="1:8" hidden="1" x14ac:dyDescent="0.25"/>
    <row r="58" spans="1:8" hidden="1" x14ac:dyDescent="0.25"/>
    <row r="59" spans="1:8" hidden="1" x14ac:dyDescent="0.25"/>
    <row r="60" spans="1:8" hidden="1" x14ac:dyDescent="0.25"/>
    <row r="61" spans="1:8" hidden="1" x14ac:dyDescent="0.25"/>
    <row r="62" spans="1:8" hidden="1" x14ac:dyDescent="0.25"/>
    <row r="63" spans="1:8" hidden="1" x14ac:dyDescent="0.25"/>
    <row r="64" spans="1:8"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sheetData>
  <mergeCells count="11">
    <mergeCell ref="A33:F33"/>
    <mergeCell ref="A34:F34"/>
    <mergeCell ref="B7:B8"/>
    <mergeCell ref="A7:A8"/>
    <mergeCell ref="A2:F2"/>
    <mergeCell ref="A3:F3"/>
    <mergeCell ref="A4:F4"/>
    <mergeCell ref="A6:F6"/>
    <mergeCell ref="C7:D8"/>
    <mergeCell ref="E7:F8"/>
    <mergeCell ref="A5:F5"/>
  </mergeCells>
  <pageMargins left="0.7" right="0.7" top="0.75" bottom="0.75" header="0.3" footer="0.3"/>
  <pageSetup paperSize="9" scale="97" orientation="portrait" r:id="rId1"/>
  <ignoredErrors>
    <ignoredError sqref="E16" unlockedFormula="1"/>
    <ignoredError sqref="D18 D14:E14"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C1:S60"/>
  <sheetViews>
    <sheetView showGridLines="0" zoomScaleNormal="100" workbookViewId="0">
      <selection activeCell="W11" sqref="W11"/>
    </sheetView>
  </sheetViews>
  <sheetFormatPr baseColWidth="10" defaultColWidth="11.42578125" defaultRowHeight="15" x14ac:dyDescent="0.25"/>
  <cols>
    <col min="1" max="2" width="1.7109375" style="1" customWidth="1"/>
    <col min="3" max="3" width="11.140625" style="1" customWidth="1"/>
    <col min="4" max="4" width="7.28515625" style="1" customWidth="1"/>
    <col min="5" max="5" width="15.42578125" style="1" customWidth="1"/>
    <col min="6" max="6" width="7.42578125" style="1" customWidth="1"/>
    <col min="7" max="7" width="12.42578125" style="1" bestFit="1" customWidth="1"/>
    <col min="8" max="8" width="7.140625" style="1" customWidth="1"/>
    <col min="9" max="9" width="12.42578125" style="1" bestFit="1" customWidth="1"/>
    <col min="10" max="10" width="6.85546875" style="1" customWidth="1"/>
    <col min="11" max="11" width="12.42578125" style="1" bestFit="1" customWidth="1"/>
    <col min="12" max="12" width="7.28515625" style="1" customWidth="1"/>
    <col min="13" max="13" width="13.5703125" style="1" bestFit="1" customWidth="1"/>
    <col min="14" max="14" width="6.5703125" style="1" customWidth="1"/>
    <col min="15" max="15" width="12.42578125" style="1" bestFit="1" customWidth="1"/>
    <col min="16" max="16" width="8" style="1" customWidth="1"/>
    <col min="17" max="17" width="14.42578125" style="1" customWidth="1"/>
    <col min="18" max="18" width="15" style="1" bestFit="1" customWidth="1"/>
    <col min="19" max="16384" width="11.42578125" style="1"/>
  </cols>
  <sheetData>
    <row r="1" spans="3:19" x14ac:dyDescent="0.25">
      <c r="C1" s="536" t="s">
        <v>0</v>
      </c>
      <c r="D1" s="536"/>
      <c r="E1" s="536"/>
      <c r="F1" s="536"/>
      <c r="G1" s="536"/>
      <c r="H1" s="536"/>
      <c r="I1" s="536"/>
      <c r="J1" s="536"/>
      <c r="K1" s="536"/>
      <c r="L1" s="536"/>
      <c r="M1" s="536"/>
      <c r="N1" s="536"/>
      <c r="O1" s="536"/>
      <c r="P1" s="536"/>
      <c r="Q1" s="536"/>
    </row>
    <row r="2" spans="3:19" x14ac:dyDescent="0.25">
      <c r="C2" s="536" t="s">
        <v>76</v>
      </c>
      <c r="D2" s="536"/>
      <c r="E2" s="536"/>
      <c r="F2" s="536"/>
      <c r="G2" s="536"/>
      <c r="H2" s="536"/>
      <c r="I2" s="536"/>
      <c r="J2" s="536"/>
      <c r="K2" s="536"/>
      <c r="L2" s="536"/>
      <c r="M2" s="536"/>
      <c r="N2" s="536"/>
      <c r="O2" s="536"/>
      <c r="P2" s="536"/>
      <c r="Q2" s="536"/>
    </row>
    <row r="3" spans="3:19" x14ac:dyDescent="0.25">
      <c r="C3" s="536" t="s">
        <v>123</v>
      </c>
      <c r="D3" s="536"/>
      <c r="E3" s="536"/>
      <c r="F3" s="536"/>
      <c r="G3" s="536"/>
      <c r="H3" s="536"/>
      <c r="I3" s="536"/>
      <c r="J3" s="536"/>
      <c r="K3" s="536"/>
      <c r="L3" s="536"/>
      <c r="M3" s="536"/>
      <c r="N3" s="536"/>
      <c r="O3" s="536"/>
      <c r="P3" s="536"/>
      <c r="Q3" s="536"/>
    </row>
    <row r="4" spans="3:19" x14ac:dyDescent="0.25">
      <c r="C4" s="536" t="s">
        <v>3</v>
      </c>
      <c r="D4" s="536"/>
      <c r="E4" s="536"/>
      <c r="F4" s="536"/>
      <c r="G4" s="536"/>
      <c r="H4" s="536"/>
      <c r="I4" s="536"/>
      <c r="J4" s="536"/>
      <c r="K4" s="536"/>
      <c r="L4" s="536"/>
      <c r="M4" s="536"/>
      <c r="N4" s="536"/>
      <c r="O4" s="536"/>
      <c r="P4" s="536"/>
      <c r="Q4" s="536"/>
      <c r="R4" s="22"/>
      <c r="S4" s="22"/>
    </row>
    <row r="5" spans="3:19" x14ac:dyDescent="0.25">
      <c r="C5" s="536" t="s">
        <v>4</v>
      </c>
      <c r="D5" s="536"/>
      <c r="E5" s="536"/>
      <c r="F5" s="536"/>
      <c r="G5" s="536"/>
      <c r="H5" s="536"/>
      <c r="I5" s="536"/>
      <c r="J5" s="536"/>
      <c r="K5" s="536"/>
      <c r="L5" s="536"/>
      <c r="M5" s="536"/>
      <c r="N5" s="536"/>
      <c r="O5" s="536"/>
      <c r="P5" s="536"/>
      <c r="Q5" s="536"/>
    </row>
    <row r="6" spans="3:19" x14ac:dyDescent="0.25">
      <c r="C6" s="536" t="s">
        <v>124</v>
      </c>
      <c r="D6" s="536"/>
      <c r="E6" s="536"/>
      <c r="F6" s="536"/>
      <c r="G6" s="536"/>
      <c r="H6" s="536"/>
      <c r="I6" s="536"/>
      <c r="J6" s="536"/>
      <c r="K6" s="536"/>
      <c r="L6" s="536"/>
      <c r="M6" s="536"/>
      <c r="N6" s="536"/>
      <c r="O6" s="536"/>
      <c r="P6" s="536"/>
      <c r="Q6" s="536"/>
    </row>
    <row r="7" spans="3:19" ht="24" customHeight="1" x14ac:dyDescent="0.25">
      <c r="C7" s="315"/>
      <c r="D7" s="537" t="s">
        <v>125</v>
      </c>
      <c r="E7" s="537"/>
      <c r="F7" s="537" t="s">
        <v>126</v>
      </c>
      <c r="G7" s="537"/>
      <c r="H7" s="537" t="s">
        <v>127</v>
      </c>
      <c r="I7" s="537"/>
      <c r="J7" s="537" t="s">
        <v>128</v>
      </c>
      <c r="K7" s="537"/>
      <c r="L7" s="537" t="s">
        <v>129</v>
      </c>
      <c r="M7" s="537"/>
      <c r="N7" s="561" t="s">
        <v>130</v>
      </c>
      <c r="O7" s="561"/>
      <c r="P7" s="561" t="s">
        <v>29</v>
      </c>
      <c r="Q7" s="561"/>
      <c r="R7"/>
      <c r="S7"/>
    </row>
    <row r="8" spans="3:19" x14ac:dyDescent="0.25">
      <c r="C8" s="113" t="s">
        <v>5</v>
      </c>
      <c r="D8" s="113" t="s">
        <v>131</v>
      </c>
      <c r="E8" s="113" t="s">
        <v>9</v>
      </c>
      <c r="F8" s="113" t="s">
        <v>131</v>
      </c>
      <c r="G8" s="113" t="s">
        <v>9</v>
      </c>
      <c r="H8" s="113" t="s">
        <v>131</v>
      </c>
      <c r="I8" s="113" t="s">
        <v>9</v>
      </c>
      <c r="J8" s="113" t="s">
        <v>131</v>
      </c>
      <c r="K8" s="113" t="s">
        <v>9</v>
      </c>
      <c r="L8" s="113" t="s">
        <v>131</v>
      </c>
      <c r="M8" s="113" t="s">
        <v>9</v>
      </c>
      <c r="N8" s="113" t="s">
        <v>131</v>
      </c>
      <c r="O8" s="113" t="s">
        <v>9</v>
      </c>
      <c r="P8" s="113" t="s">
        <v>131</v>
      </c>
      <c r="Q8" s="113" t="s">
        <v>9</v>
      </c>
      <c r="R8"/>
      <c r="S8"/>
    </row>
    <row r="9" spans="3:19" x14ac:dyDescent="0.25">
      <c r="C9" s="227" t="s">
        <v>13</v>
      </c>
      <c r="D9" s="433">
        <v>4557</v>
      </c>
      <c r="E9" s="371">
        <v>80511776.150000006</v>
      </c>
      <c r="F9" s="227">
        <v>140</v>
      </c>
      <c r="G9" s="371">
        <v>1959438.54</v>
      </c>
      <c r="H9" s="227">
        <v>114</v>
      </c>
      <c r="I9" s="371">
        <v>1325024.01</v>
      </c>
      <c r="J9" s="227">
        <v>72</v>
      </c>
      <c r="K9" s="371">
        <v>1409412.57</v>
      </c>
      <c r="L9" s="227">
        <v>220</v>
      </c>
      <c r="M9" s="371">
        <v>2931143.18</v>
      </c>
      <c r="N9" s="227">
        <v>179</v>
      </c>
      <c r="O9" s="371">
        <v>2530693.83</v>
      </c>
      <c r="P9" s="406">
        <v>4412</v>
      </c>
      <c r="Q9" s="371">
        <v>79743814.260000005</v>
      </c>
      <c r="R9"/>
      <c r="S9"/>
    </row>
    <row r="10" spans="3:19" x14ac:dyDescent="0.25">
      <c r="C10" s="227" t="s">
        <v>14</v>
      </c>
      <c r="D10" s="433">
        <v>1457</v>
      </c>
      <c r="E10" s="371">
        <v>20497013.800000001</v>
      </c>
      <c r="F10" s="227">
        <v>228</v>
      </c>
      <c r="G10" s="371">
        <v>3221767.27</v>
      </c>
      <c r="H10" s="227">
        <v>161</v>
      </c>
      <c r="I10" s="371">
        <v>1856461.59</v>
      </c>
      <c r="J10" s="227">
        <v>27</v>
      </c>
      <c r="K10" s="371">
        <v>204279.62</v>
      </c>
      <c r="L10" s="227">
        <v>718</v>
      </c>
      <c r="M10" s="371">
        <v>9670396.8300000001</v>
      </c>
      <c r="N10" s="227">
        <v>117</v>
      </c>
      <c r="O10" s="371">
        <v>1620107.44</v>
      </c>
      <c r="P10" s="406">
        <v>882</v>
      </c>
      <c r="Q10" s="371">
        <v>28367038.059999999</v>
      </c>
      <c r="R10"/>
      <c r="S10"/>
    </row>
    <row r="11" spans="3:19" x14ac:dyDescent="0.25">
      <c r="C11" s="227" t="s">
        <v>15</v>
      </c>
      <c r="D11" s="433">
        <v>1027</v>
      </c>
      <c r="E11" s="371">
        <v>14190385.449999999</v>
      </c>
      <c r="F11" s="227">
        <v>127</v>
      </c>
      <c r="G11" s="371">
        <v>2184828.31</v>
      </c>
      <c r="H11" s="227">
        <v>160</v>
      </c>
      <c r="I11" s="371">
        <v>1796150</v>
      </c>
      <c r="J11" s="227">
        <v>25</v>
      </c>
      <c r="K11" s="371">
        <v>351677.4</v>
      </c>
      <c r="L11" s="227">
        <v>157</v>
      </c>
      <c r="M11" s="371">
        <v>2068113.88</v>
      </c>
      <c r="N11" s="227">
        <v>270</v>
      </c>
      <c r="O11" s="371">
        <v>3625212.4800000004</v>
      </c>
      <c r="P11" s="406">
        <v>1063</v>
      </c>
      <c r="Q11" s="371">
        <v>24445184.579999998</v>
      </c>
      <c r="R11" s="216"/>
      <c r="S11"/>
    </row>
    <row r="12" spans="3:19" x14ac:dyDescent="0.25">
      <c r="C12" s="372" t="s">
        <v>16</v>
      </c>
      <c r="D12" s="202">
        <f t="shared" ref="D12:J12" si="0">SUM(D9:D11)</f>
        <v>7041</v>
      </c>
      <c r="E12" s="390">
        <f>SUM(E9:E11)</f>
        <v>115199175.40000001</v>
      </c>
      <c r="F12" s="202">
        <f t="shared" si="0"/>
        <v>495</v>
      </c>
      <c r="G12" s="408">
        <f>SUM(G9:G11)</f>
        <v>7366034.120000001</v>
      </c>
      <c r="H12" s="202">
        <f t="shared" si="0"/>
        <v>435</v>
      </c>
      <c r="I12" s="408">
        <f>SUM(I9:I11)</f>
        <v>4977635.5999999996</v>
      </c>
      <c r="J12" s="202">
        <f t="shared" si="0"/>
        <v>124</v>
      </c>
      <c r="K12" s="408">
        <f>SUM(K9:K11)</f>
        <v>1965369.5899999999</v>
      </c>
      <c r="L12" s="202">
        <f>SUM(L9:L11)</f>
        <v>1095</v>
      </c>
      <c r="M12" s="408">
        <f>SUM(M9:M11)</f>
        <v>14669653.890000001</v>
      </c>
      <c r="N12" s="202">
        <f>SUM(N9:N11)</f>
        <v>566</v>
      </c>
      <c r="O12" s="408">
        <f>SUM(O9:O11)</f>
        <v>7776013.75</v>
      </c>
      <c r="P12" s="407">
        <f>+SUM(P9:P11)</f>
        <v>6357</v>
      </c>
      <c r="Q12" s="409">
        <f>+SUM(Q9:Q11)</f>
        <v>132556036.90000001</v>
      </c>
      <c r="R12"/>
      <c r="S12"/>
    </row>
    <row r="13" spans="3:19" ht="1.5" customHeight="1" x14ac:dyDescent="0.25">
      <c r="C13" s="60"/>
      <c r="D13" s="124"/>
      <c r="E13" s="124"/>
      <c r="F13" s="124"/>
      <c r="G13" s="124"/>
      <c r="H13" s="124"/>
      <c r="I13" s="124"/>
      <c r="J13" s="124"/>
      <c r="K13" s="124"/>
      <c r="L13" s="124"/>
      <c r="M13" s="124"/>
      <c r="N13" s="124"/>
      <c r="O13" s="124"/>
      <c r="P13" s="41"/>
      <c r="Q13" s="69"/>
      <c r="R13"/>
      <c r="S13"/>
    </row>
    <row r="14" spans="3:19" hidden="1" x14ac:dyDescent="0.25">
      <c r="C14" s="60" t="s">
        <v>18</v>
      </c>
      <c r="D14" s="124"/>
      <c r="E14" s="124"/>
      <c r="F14" s="124"/>
      <c r="G14" s="124"/>
      <c r="H14" s="124"/>
      <c r="I14" s="124"/>
      <c r="J14" s="124"/>
      <c r="K14" s="124"/>
      <c r="L14" s="124"/>
      <c r="M14" s="124"/>
      <c r="N14" s="124"/>
      <c r="O14" s="124"/>
      <c r="P14" s="41"/>
      <c r="Q14" s="69"/>
      <c r="R14"/>
      <c r="S14"/>
    </row>
    <row r="15" spans="3:19" hidden="1" x14ac:dyDescent="0.25">
      <c r="C15" s="60" t="s">
        <v>19</v>
      </c>
      <c r="D15" s="124"/>
      <c r="E15" s="124"/>
      <c r="F15" s="124"/>
      <c r="G15" s="124"/>
      <c r="H15" s="124"/>
      <c r="I15" s="124"/>
      <c r="J15" s="124"/>
      <c r="K15" s="124"/>
      <c r="L15" s="124"/>
      <c r="M15" s="124"/>
      <c r="N15" s="124"/>
      <c r="O15" s="124"/>
      <c r="P15" s="41"/>
      <c r="Q15" s="69"/>
      <c r="R15"/>
      <c r="S15"/>
    </row>
    <row r="16" spans="3:19" hidden="1" x14ac:dyDescent="0.25">
      <c r="C16" s="40" t="s">
        <v>20</v>
      </c>
      <c r="D16" s="8">
        <f t="shared" ref="D16:K16" si="1">SUM(D13:D15)</f>
        <v>0</v>
      </c>
      <c r="E16" s="8">
        <f t="shared" si="1"/>
        <v>0</v>
      </c>
      <c r="F16" s="8">
        <f t="shared" si="1"/>
        <v>0</v>
      </c>
      <c r="G16" s="8">
        <f t="shared" si="1"/>
        <v>0</v>
      </c>
      <c r="H16" s="8">
        <f t="shared" si="1"/>
        <v>0</v>
      </c>
      <c r="I16" s="8">
        <f t="shared" si="1"/>
        <v>0</v>
      </c>
      <c r="J16" s="8">
        <f t="shared" si="1"/>
        <v>0</v>
      </c>
      <c r="K16" s="8">
        <f t="shared" si="1"/>
        <v>0</v>
      </c>
      <c r="L16" s="8">
        <f t="shared" ref="L16:Q16" si="2">SUM(L13:L15)</f>
        <v>0</v>
      </c>
      <c r="M16" s="8">
        <f t="shared" si="2"/>
        <v>0</v>
      </c>
      <c r="N16" s="8">
        <f t="shared" si="2"/>
        <v>0</v>
      </c>
      <c r="O16" s="8">
        <f t="shared" si="2"/>
        <v>0</v>
      </c>
      <c r="P16" s="8">
        <f t="shared" si="2"/>
        <v>0</v>
      </c>
      <c r="Q16" s="70">
        <f t="shared" si="2"/>
        <v>0</v>
      </c>
      <c r="R16"/>
      <c r="S16"/>
    </row>
    <row r="17" spans="3:19" hidden="1" x14ac:dyDescent="0.25">
      <c r="C17" s="60" t="s">
        <v>15</v>
      </c>
      <c r="D17" s="124"/>
      <c r="E17" s="124"/>
      <c r="F17" s="124"/>
      <c r="G17" s="124"/>
      <c r="H17" s="124"/>
      <c r="I17" s="124"/>
      <c r="J17" s="124"/>
      <c r="K17" s="124"/>
      <c r="L17" s="124"/>
      <c r="M17" s="124"/>
      <c r="N17" s="124"/>
      <c r="O17" s="124"/>
      <c r="P17" s="41">
        <f t="shared" ref="P17:P27" si="3">+D17-(L17+N17)</f>
        <v>0</v>
      </c>
      <c r="Q17" s="41">
        <f t="shared" ref="Q17:Q27" si="4">+M17+O17+K17+E17</f>
        <v>0</v>
      </c>
      <c r="R17"/>
      <c r="S17"/>
    </row>
    <row r="18" spans="3:19" hidden="1" x14ac:dyDescent="0.25">
      <c r="C18" s="60" t="s">
        <v>14</v>
      </c>
      <c r="D18" s="124"/>
      <c r="E18" s="124"/>
      <c r="F18" s="124"/>
      <c r="G18" s="124"/>
      <c r="H18" s="124"/>
      <c r="I18" s="124"/>
      <c r="J18" s="124"/>
      <c r="K18" s="124"/>
      <c r="L18" s="124"/>
      <c r="M18" s="124"/>
      <c r="N18" s="124"/>
      <c r="O18" s="124"/>
      <c r="P18" s="41">
        <f t="shared" si="3"/>
        <v>0</v>
      </c>
      <c r="Q18" s="41">
        <f t="shared" si="4"/>
        <v>0</v>
      </c>
      <c r="R18"/>
      <c r="S18"/>
    </row>
    <row r="19" spans="3:19" hidden="1" x14ac:dyDescent="0.25">
      <c r="C19" s="60" t="s">
        <v>13</v>
      </c>
      <c r="D19" s="124"/>
      <c r="E19" s="124"/>
      <c r="F19" s="124"/>
      <c r="G19" s="124"/>
      <c r="H19" s="124"/>
      <c r="I19" s="124"/>
      <c r="J19" s="124"/>
      <c r="K19" s="124"/>
      <c r="L19" s="124"/>
      <c r="M19" s="124"/>
      <c r="N19" s="124"/>
      <c r="O19" s="124"/>
      <c r="P19" s="41">
        <f t="shared" si="3"/>
        <v>0</v>
      </c>
      <c r="Q19" s="41">
        <f t="shared" si="4"/>
        <v>0</v>
      </c>
      <c r="R19"/>
      <c r="S19"/>
    </row>
    <row r="20" spans="3:19" hidden="1" x14ac:dyDescent="0.25">
      <c r="C20" s="40" t="s">
        <v>16</v>
      </c>
      <c r="D20" s="8">
        <f t="shared" ref="D20:Q20" si="5">SUM(D17:D19)</f>
        <v>0</v>
      </c>
      <c r="E20" s="8">
        <f t="shared" si="5"/>
        <v>0</v>
      </c>
      <c r="F20" s="8"/>
      <c r="G20" s="8"/>
      <c r="H20" s="8"/>
      <c r="I20" s="8"/>
      <c r="J20" s="8">
        <f t="shared" si="5"/>
        <v>0</v>
      </c>
      <c r="K20" s="8">
        <f t="shared" si="5"/>
        <v>0</v>
      </c>
      <c r="L20" s="8">
        <f t="shared" si="5"/>
        <v>0</v>
      </c>
      <c r="M20" s="8">
        <f t="shared" si="5"/>
        <v>0</v>
      </c>
      <c r="N20" s="8">
        <f t="shared" si="5"/>
        <v>0</v>
      </c>
      <c r="O20" s="8">
        <f t="shared" si="5"/>
        <v>0</v>
      </c>
      <c r="P20" s="8">
        <f t="shared" si="5"/>
        <v>0</v>
      </c>
      <c r="Q20" s="8">
        <f t="shared" si="5"/>
        <v>0</v>
      </c>
      <c r="R20"/>
      <c r="S20"/>
    </row>
    <row r="21" spans="3:19" hidden="1" x14ac:dyDescent="0.25">
      <c r="C21" s="60" t="s">
        <v>42</v>
      </c>
      <c r="D21" s="124"/>
      <c r="E21" s="124"/>
      <c r="F21" s="124"/>
      <c r="G21" s="124"/>
      <c r="H21" s="124"/>
      <c r="I21" s="124"/>
      <c r="J21" s="124"/>
      <c r="K21" s="124"/>
      <c r="L21" s="124"/>
      <c r="M21" s="124"/>
      <c r="N21" s="124"/>
      <c r="O21" s="124"/>
      <c r="P21" s="41">
        <f t="shared" si="3"/>
        <v>0</v>
      </c>
      <c r="Q21" s="41">
        <f t="shared" si="4"/>
        <v>0</v>
      </c>
      <c r="R21"/>
      <c r="S21"/>
    </row>
    <row r="22" spans="3:19" hidden="1" x14ac:dyDescent="0.25">
      <c r="C22" s="60" t="s">
        <v>22</v>
      </c>
      <c r="D22" s="124"/>
      <c r="E22" s="124"/>
      <c r="F22" s="124"/>
      <c r="G22" s="124"/>
      <c r="H22" s="124"/>
      <c r="I22" s="124"/>
      <c r="J22" s="124"/>
      <c r="K22" s="124"/>
      <c r="L22" s="124"/>
      <c r="M22" s="124"/>
      <c r="N22" s="124"/>
      <c r="O22" s="124"/>
      <c r="P22" s="41">
        <f t="shared" si="3"/>
        <v>0</v>
      </c>
      <c r="Q22" s="41">
        <f t="shared" si="4"/>
        <v>0</v>
      </c>
      <c r="R22"/>
      <c r="S22"/>
    </row>
    <row r="23" spans="3:19" hidden="1" x14ac:dyDescent="0.25">
      <c r="C23" s="60" t="s">
        <v>23</v>
      </c>
      <c r="D23" s="124"/>
      <c r="E23" s="124"/>
      <c r="F23" s="124"/>
      <c r="G23" s="124"/>
      <c r="H23" s="124"/>
      <c r="I23" s="124"/>
      <c r="J23" s="124"/>
      <c r="K23" s="124"/>
      <c r="L23" s="124"/>
      <c r="M23" s="124"/>
      <c r="N23" s="124"/>
      <c r="O23" s="124"/>
      <c r="P23" s="41">
        <f t="shared" si="3"/>
        <v>0</v>
      </c>
      <c r="Q23" s="41">
        <f t="shared" si="4"/>
        <v>0</v>
      </c>
      <c r="R23"/>
      <c r="S23"/>
    </row>
    <row r="24" spans="3:19" hidden="1" x14ac:dyDescent="0.25">
      <c r="C24" s="40" t="s">
        <v>24</v>
      </c>
      <c r="D24" s="8">
        <f t="shared" ref="D24:Q24" si="6">SUM(D21:D23)</f>
        <v>0</v>
      </c>
      <c r="E24" s="8">
        <f t="shared" si="6"/>
        <v>0</v>
      </c>
      <c r="F24" s="8"/>
      <c r="G24" s="8"/>
      <c r="H24" s="8"/>
      <c r="I24" s="8"/>
      <c r="J24" s="8">
        <f t="shared" si="6"/>
        <v>0</v>
      </c>
      <c r="K24" s="8">
        <f t="shared" si="6"/>
        <v>0</v>
      </c>
      <c r="L24" s="8">
        <f t="shared" si="6"/>
        <v>0</v>
      </c>
      <c r="M24" s="8">
        <f t="shared" si="6"/>
        <v>0</v>
      </c>
      <c r="N24" s="8">
        <f t="shared" si="6"/>
        <v>0</v>
      </c>
      <c r="O24" s="8">
        <f t="shared" si="6"/>
        <v>0</v>
      </c>
      <c r="P24" s="8">
        <f t="shared" si="6"/>
        <v>0</v>
      </c>
      <c r="Q24" s="8">
        <f t="shared" si="6"/>
        <v>0</v>
      </c>
      <c r="R24"/>
      <c r="S24"/>
    </row>
    <row r="25" spans="3:19" hidden="1" x14ac:dyDescent="0.25">
      <c r="C25" s="60" t="s">
        <v>25</v>
      </c>
      <c r="D25" s="124"/>
      <c r="E25" s="124"/>
      <c r="F25" s="124"/>
      <c r="G25" s="124"/>
      <c r="H25" s="124"/>
      <c r="I25" s="124"/>
      <c r="J25" s="124"/>
      <c r="K25" s="124"/>
      <c r="L25" s="124"/>
      <c r="M25" s="124"/>
      <c r="N25" s="124"/>
      <c r="O25" s="124"/>
      <c r="P25" s="41">
        <f t="shared" si="3"/>
        <v>0</v>
      </c>
      <c r="Q25" s="41">
        <f t="shared" si="4"/>
        <v>0</v>
      </c>
      <c r="R25"/>
      <c r="S25"/>
    </row>
    <row r="26" spans="3:19" hidden="1" x14ac:dyDescent="0.25">
      <c r="C26" s="60" t="s">
        <v>26</v>
      </c>
      <c r="D26" s="124"/>
      <c r="E26" s="124"/>
      <c r="F26" s="124"/>
      <c r="G26" s="124"/>
      <c r="H26" s="124"/>
      <c r="I26" s="124"/>
      <c r="J26" s="124"/>
      <c r="K26" s="124"/>
      <c r="L26" s="124"/>
      <c r="M26" s="124"/>
      <c r="N26" s="124"/>
      <c r="O26" s="124"/>
      <c r="P26" s="41">
        <f t="shared" si="3"/>
        <v>0</v>
      </c>
      <c r="Q26" s="41">
        <f t="shared" si="4"/>
        <v>0</v>
      </c>
      <c r="R26"/>
      <c r="S26"/>
    </row>
    <row r="27" spans="3:19" hidden="1" x14ac:dyDescent="0.25">
      <c r="C27" s="60" t="s">
        <v>27</v>
      </c>
      <c r="D27" s="124"/>
      <c r="E27" s="124"/>
      <c r="F27" s="124"/>
      <c r="G27" s="124"/>
      <c r="H27" s="124"/>
      <c r="I27" s="124"/>
      <c r="J27" s="124"/>
      <c r="K27" s="124"/>
      <c r="L27" s="124"/>
      <c r="M27" s="124"/>
      <c r="N27" s="124"/>
      <c r="O27" s="124"/>
      <c r="P27" s="41">
        <f t="shared" si="3"/>
        <v>0</v>
      </c>
      <c r="Q27" s="41">
        <f t="shared" si="4"/>
        <v>0</v>
      </c>
      <c r="R27"/>
      <c r="S27"/>
    </row>
    <row r="28" spans="3:19" hidden="1" x14ac:dyDescent="0.25">
      <c r="C28" s="40" t="s">
        <v>28</v>
      </c>
      <c r="D28" s="8">
        <f t="shared" ref="D28:Q28" si="7">SUM(D25:D27)</f>
        <v>0</v>
      </c>
      <c r="E28" s="8">
        <f t="shared" si="7"/>
        <v>0</v>
      </c>
      <c r="F28" s="8"/>
      <c r="G28" s="8"/>
      <c r="H28" s="8"/>
      <c r="I28" s="8"/>
      <c r="J28" s="8">
        <f t="shared" si="7"/>
        <v>0</v>
      </c>
      <c r="K28" s="8">
        <f t="shared" si="7"/>
        <v>0</v>
      </c>
      <c r="L28" s="8">
        <f t="shared" si="7"/>
        <v>0</v>
      </c>
      <c r="M28" s="8">
        <f t="shared" si="7"/>
        <v>0</v>
      </c>
      <c r="N28" s="8">
        <f t="shared" si="7"/>
        <v>0</v>
      </c>
      <c r="O28" s="8">
        <f t="shared" si="7"/>
        <v>0</v>
      </c>
      <c r="P28" s="8">
        <f t="shared" si="7"/>
        <v>0</v>
      </c>
      <c r="Q28" s="8">
        <f t="shared" si="7"/>
        <v>0</v>
      </c>
      <c r="R28"/>
      <c r="S28"/>
    </row>
    <row r="29" spans="3:19" hidden="1" x14ac:dyDescent="0.25">
      <c r="C29" s="43" t="s">
        <v>29</v>
      </c>
      <c r="D29" s="44">
        <f>+D16+D20+D24+D28</f>
        <v>0</v>
      </c>
      <c r="E29" s="42">
        <f t="shared" ref="E29:Q29" si="8">+E16+E20+E24+E28</f>
        <v>0</v>
      </c>
      <c r="F29" s="42"/>
      <c r="G29" s="42"/>
      <c r="H29" s="42"/>
      <c r="I29" s="42"/>
      <c r="J29" s="42">
        <f t="shared" si="8"/>
        <v>0</v>
      </c>
      <c r="K29" s="42">
        <f t="shared" si="8"/>
        <v>0</v>
      </c>
      <c r="L29" s="42">
        <f t="shared" si="8"/>
        <v>0</v>
      </c>
      <c r="M29" s="42">
        <f t="shared" si="8"/>
        <v>0</v>
      </c>
      <c r="N29" s="42">
        <f t="shared" si="8"/>
        <v>0</v>
      </c>
      <c r="O29" s="42">
        <f t="shared" si="8"/>
        <v>0</v>
      </c>
      <c r="P29" s="42">
        <f t="shared" si="8"/>
        <v>0</v>
      </c>
      <c r="Q29" s="42">
        <f t="shared" si="8"/>
        <v>0</v>
      </c>
      <c r="R29"/>
      <c r="S29"/>
    </row>
    <row r="30" spans="3:19" ht="15.75" customHeight="1" x14ac:dyDescent="0.25">
      <c r="C30" s="108" t="s">
        <v>132</v>
      </c>
      <c r="D30" s="205"/>
      <c r="E30" s="205"/>
      <c r="F30" s="205"/>
      <c r="G30" s="205"/>
      <c r="H30" s="205"/>
      <c r="I30" s="205"/>
      <c r="J30" s="205"/>
      <c r="K30" s="205"/>
      <c r="L30" s="205"/>
      <c r="M30" s="205"/>
      <c r="N30" s="205"/>
      <c r="O30" s="205"/>
      <c r="P30" s="205"/>
      <c r="Q30" s="205"/>
      <c r="R30"/>
      <c r="S30"/>
    </row>
    <row r="31" spans="3:19" s="15" customFormat="1" ht="9" customHeight="1" x14ac:dyDescent="0.2">
      <c r="C31" s="108" t="s">
        <v>102</v>
      </c>
      <c r="D31" s="111"/>
      <c r="E31" s="111"/>
      <c r="F31" s="111"/>
      <c r="G31" s="111"/>
      <c r="H31" s="111"/>
      <c r="I31" s="111"/>
      <c r="J31" s="111"/>
      <c r="K31" s="111"/>
      <c r="L31" s="108"/>
      <c r="M31" s="108"/>
      <c r="N31" s="108"/>
      <c r="O31" s="108"/>
      <c r="P31" s="108"/>
      <c r="Q31" s="108"/>
      <c r="R31" s="108"/>
      <c r="S31" s="108"/>
    </row>
    <row r="32" spans="3:19" ht="13.5" customHeight="1" x14ac:dyDescent="0.25">
      <c r="C32"/>
      <c r="D32"/>
      <c r="E32"/>
      <c r="F32"/>
      <c r="G32"/>
      <c r="H32"/>
      <c r="I32"/>
      <c r="J32"/>
      <c r="K32"/>
      <c r="L32"/>
      <c r="M32"/>
      <c r="N32"/>
      <c r="O32"/>
      <c r="P32"/>
      <c r="Q32"/>
      <c r="R32"/>
      <c r="S32"/>
    </row>
    <row r="33" spans="3:19" x14ac:dyDescent="0.25">
      <c r="C33"/>
      <c r="D33"/>
      <c r="E33"/>
      <c r="F33"/>
      <c r="G33"/>
      <c r="H33"/>
      <c r="I33" s="288"/>
      <c r="J33"/>
      <c r="K33"/>
      <c r="L33"/>
      <c r="M33"/>
      <c r="N33"/>
      <c r="O33"/>
      <c r="P33"/>
      <c r="Q33"/>
      <c r="R33"/>
      <c r="S33"/>
    </row>
    <row r="34" spans="3:19" x14ac:dyDescent="0.25">
      <c r="C34"/>
      <c r="D34"/>
      <c r="E34"/>
      <c r="F34"/>
      <c r="G34"/>
      <c r="H34"/>
      <c r="I34"/>
      <c r="J34"/>
      <c r="K34"/>
      <c r="L34"/>
      <c r="M34"/>
      <c r="N34"/>
      <c r="O34"/>
      <c r="P34"/>
      <c r="Q34"/>
      <c r="R34"/>
      <c r="S34"/>
    </row>
    <row r="35" spans="3:19" x14ac:dyDescent="0.25">
      <c r="C35"/>
      <c r="D35"/>
      <c r="E35"/>
      <c r="F35"/>
      <c r="G35"/>
      <c r="H35"/>
      <c r="I35"/>
      <c r="J35"/>
      <c r="K35"/>
      <c r="L35"/>
      <c r="M35"/>
      <c r="N35"/>
      <c r="O35"/>
      <c r="P35"/>
      <c r="Q35"/>
      <c r="R35"/>
      <c r="S35"/>
    </row>
    <row r="36" spans="3:19" x14ac:dyDescent="0.25">
      <c r="C36"/>
      <c r="D36"/>
      <c r="E36"/>
      <c r="F36"/>
      <c r="G36"/>
      <c r="H36"/>
      <c r="I36"/>
      <c r="J36"/>
      <c r="K36"/>
      <c r="L36"/>
      <c r="M36"/>
      <c r="N36"/>
      <c r="O36"/>
      <c r="P36"/>
      <c r="Q36"/>
      <c r="R36"/>
      <c r="S36"/>
    </row>
    <row r="37" spans="3:19" x14ac:dyDescent="0.25">
      <c r="C37"/>
      <c r="D37"/>
      <c r="E37"/>
      <c r="F37"/>
      <c r="G37"/>
      <c r="H37"/>
      <c r="I37"/>
      <c r="J37"/>
      <c r="K37"/>
      <c r="L37"/>
      <c r="M37"/>
      <c r="N37"/>
      <c r="O37"/>
      <c r="P37"/>
      <c r="Q37"/>
      <c r="R37"/>
      <c r="S37"/>
    </row>
    <row r="38" spans="3:19" x14ac:dyDescent="0.25">
      <c r="C38"/>
      <c r="D38"/>
      <c r="E38"/>
      <c r="F38"/>
      <c r="G38"/>
      <c r="H38"/>
      <c r="I38"/>
      <c r="J38"/>
      <c r="K38"/>
      <c r="L38"/>
      <c r="M38"/>
      <c r="N38"/>
      <c r="O38"/>
      <c r="P38"/>
      <c r="Q38"/>
      <c r="R38"/>
      <c r="S38"/>
    </row>
    <row r="39" spans="3:19" x14ac:dyDescent="0.25">
      <c r="C39"/>
      <c r="D39"/>
      <c r="E39"/>
      <c r="F39"/>
      <c r="G39"/>
      <c r="H39"/>
      <c r="I39"/>
      <c r="J39"/>
      <c r="K39"/>
      <c r="L39"/>
      <c r="M39"/>
      <c r="N39"/>
      <c r="O39"/>
      <c r="P39"/>
      <c r="Q39"/>
      <c r="R39"/>
      <c r="S39"/>
    </row>
    <row r="40" spans="3:19" x14ac:dyDescent="0.25">
      <c r="C40"/>
      <c r="D40"/>
      <c r="E40"/>
      <c r="F40"/>
      <c r="G40"/>
      <c r="H40"/>
      <c r="I40"/>
      <c r="J40"/>
      <c r="K40"/>
      <c r="L40"/>
      <c r="M40"/>
      <c r="N40"/>
      <c r="O40"/>
      <c r="P40"/>
      <c r="Q40"/>
      <c r="R40"/>
      <c r="S40"/>
    </row>
    <row r="41" spans="3:19" x14ac:dyDescent="0.25">
      <c r="C41"/>
      <c r="D41"/>
      <c r="E41"/>
      <c r="F41"/>
      <c r="G41"/>
      <c r="H41"/>
      <c r="I41"/>
      <c r="J41"/>
      <c r="K41"/>
      <c r="L41"/>
      <c r="M41"/>
      <c r="N41"/>
      <c r="O41"/>
      <c r="P41"/>
      <c r="Q41"/>
      <c r="R41"/>
      <c r="S41"/>
    </row>
    <row r="42" spans="3:19" x14ac:dyDescent="0.25">
      <c r="C42"/>
      <c r="D42"/>
      <c r="E42"/>
      <c r="F42"/>
      <c r="G42"/>
      <c r="H42"/>
      <c r="I42"/>
      <c r="J42"/>
      <c r="K42"/>
      <c r="L42"/>
      <c r="M42"/>
      <c r="N42"/>
      <c r="O42"/>
      <c r="P42"/>
      <c r="Q42"/>
      <c r="R42"/>
      <c r="S42"/>
    </row>
    <row r="43" spans="3:19" x14ac:dyDescent="0.25">
      <c r="C43"/>
      <c r="D43"/>
      <c r="E43"/>
      <c r="F43"/>
      <c r="G43"/>
      <c r="H43"/>
      <c r="I43"/>
      <c r="J43"/>
      <c r="K43"/>
      <c r="L43"/>
      <c r="M43"/>
      <c r="N43"/>
      <c r="O43"/>
      <c r="P43"/>
      <c r="Q43"/>
      <c r="R43"/>
      <c r="S43"/>
    </row>
    <row r="46" spans="3:19" x14ac:dyDescent="0.25">
      <c r="D46" s="60"/>
      <c r="E46" s="124"/>
      <c r="F46" s="124"/>
      <c r="G46" s="124"/>
      <c r="H46" s="124"/>
      <c r="I46" s="124"/>
      <c r="J46" s="124"/>
      <c r="K46" s="124"/>
      <c r="L46" s="124"/>
      <c r="M46" s="124"/>
      <c r="N46" s="124"/>
      <c r="O46" s="124"/>
      <c r="P46" s="124"/>
      <c r="Q46" s="41"/>
      <c r="R46" s="69"/>
    </row>
    <row r="48" spans="3:19" x14ac:dyDescent="0.25">
      <c r="D48" s="60"/>
      <c r="E48" s="124"/>
      <c r="F48" s="124"/>
      <c r="G48" s="124"/>
      <c r="H48" s="124"/>
      <c r="I48" s="124"/>
      <c r="J48" s="124"/>
      <c r="K48" s="124"/>
      <c r="L48" s="124"/>
      <c r="M48" s="124"/>
      <c r="N48" s="124"/>
      <c r="O48" s="124"/>
      <c r="P48" s="124"/>
      <c r="Q48" s="41"/>
      <c r="R48" s="69"/>
    </row>
    <row r="51" ht="6" customHeigh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sheetData>
  <mergeCells count="13">
    <mergeCell ref="C6:Q6"/>
    <mergeCell ref="C1:Q1"/>
    <mergeCell ref="C2:Q2"/>
    <mergeCell ref="C3:Q3"/>
    <mergeCell ref="C5:Q5"/>
    <mergeCell ref="C4:Q4"/>
    <mergeCell ref="D7:E7"/>
    <mergeCell ref="J7:K7"/>
    <mergeCell ref="L7:M7"/>
    <mergeCell ref="N7:O7"/>
    <mergeCell ref="P7:Q7"/>
    <mergeCell ref="F7:G7"/>
    <mergeCell ref="H7:I7"/>
  </mergeCells>
  <pageMargins left="0.7" right="0.7" top="0.75" bottom="0.75" header="0.3" footer="0.3"/>
  <pageSetup paperSize="9" scale="55" orientation="portrait" r:id="rId1"/>
  <ignoredErrors>
    <ignoredError sqref="P16"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5:H72"/>
  <sheetViews>
    <sheetView topLeftCell="A10" workbookViewId="0">
      <selection activeCell="H23" sqref="H23"/>
    </sheetView>
  </sheetViews>
  <sheetFormatPr baseColWidth="10" defaultColWidth="11.42578125" defaultRowHeight="15" x14ac:dyDescent="0.25"/>
  <cols>
    <col min="1" max="1" width="18.42578125" customWidth="1"/>
    <col min="3" max="3" width="18.140625" customWidth="1"/>
    <col min="6" max="6" width="13.7109375" bestFit="1" customWidth="1"/>
  </cols>
  <sheetData>
    <row r="5" spans="1:8" x14ac:dyDescent="0.25">
      <c r="A5" t="s">
        <v>133</v>
      </c>
    </row>
    <row r="6" spans="1:8" x14ac:dyDescent="0.25">
      <c r="A6" t="s">
        <v>134</v>
      </c>
      <c r="B6" t="s">
        <v>135</v>
      </c>
      <c r="C6" s="64">
        <v>31310</v>
      </c>
      <c r="D6" s="85">
        <v>0.2</v>
      </c>
      <c r="E6" s="64">
        <v>391848281</v>
      </c>
      <c r="F6" s="85">
        <v>0.19</v>
      </c>
    </row>
    <row r="7" spans="1:8" x14ac:dyDescent="0.25">
      <c r="A7" t="s">
        <v>136</v>
      </c>
      <c r="B7" s="64">
        <v>58606</v>
      </c>
      <c r="C7" s="85">
        <v>0.37</v>
      </c>
      <c r="D7" s="64">
        <v>502596251</v>
      </c>
      <c r="E7" s="85">
        <v>0.25</v>
      </c>
    </row>
    <row r="8" spans="1:8" x14ac:dyDescent="0.25">
      <c r="A8" t="s">
        <v>137</v>
      </c>
      <c r="B8" t="s">
        <v>138</v>
      </c>
      <c r="C8" t="s">
        <v>139</v>
      </c>
      <c r="D8">
        <v>280</v>
      </c>
      <c r="E8" s="86">
        <v>2E-3</v>
      </c>
      <c r="F8" s="64">
        <v>4723136</v>
      </c>
      <c r="G8" s="86">
        <v>2E-3</v>
      </c>
    </row>
    <row r="9" spans="1:8" x14ac:dyDescent="0.25">
      <c r="A9" t="s">
        <v>140</v>
      </c>
      <c r="B9" t="s">
        <v>141</v>
      </c>
      <c r="C9" t="s">
        <v>142</v>
      </c>
      <c r="D9" t="s">
        <v>143</v>
      </c>
      <c r="E9">
        <v>164</v>
      </c>
      <c r="F9" s="86">
        <v>1E-3</v>
      </c>
      <c r="G9" s="64">
        <v>4627394</v>
      </c>
      <c r="H9" s="86">
        <v>2E-3</v>
      </c>
    </row>
    <row r="10" spans="1:8" x14ac:dyDescent="0.25">
      <c r="A10" t="s">
        <v>144</v>
      </c>
      <c r="B10" t="s">
        <v>145</v>
      </c>
      <c r="C10">
        <v>311</v>
      </c>
      <c r="D10" s="86">
        <v>2E-3</v>
      </c>
      <c r="E10" s="64">
        <v>8307901</v>
      </c>
      <c r="F10" s="86">
        <v>4.0000000000000001E-3</v>
      </c>
    </row>
    <row r="11" spans="1:8" x14ac:dyDescent="0.25">
      <c r="A11" t="s">
        <v>144</v>
      </c>
      <c r="B11" t="s">
        <v>146</v>
      </c>
      <c r="C11" s="64">
        <v>19019</v>
      </c>
      <c r="D11" s="85">
        <v>0.12</v>
      </c>
      <c r="E11" s="64">
        <v>425653300</v>
      </c>
      <c r="F11" s="85">
        <v>0.21</v>
      </c>
    </row>
    <row r="12" spans="1:8" x14ac:dyDescent="0.25">
      <c r="A12" t="s">
        <v>147</v>
      </c>
      <c r="B12" t="s">
        <v>148</v>
      </c>
      <c r="C12" s="64">
        <v>21131</v>
      </c>
      <c r="D12" s="85">
        <v>0.13</v>
      </c>
      <c r="E12" s="64">
        <v>448771667</v>
      </c>
      <c r="F12" s="85">
        <v>0.22</v>
      </c>
    </row>
    <row r="13" spans="1:8" x14ac:dyDescent="0.25">
      <c r="A13" t="s">
        <v>134</v>
      </c>
      <c r="B13" t="s">
        <v>149</v>
      </c>
      <c r="C13" s="64">
        <v>10163</v>
      </c>
      <c r="D13" s="85">
        <v>0.06</v>
      </c>
      <c r="E13" s="64">
        <v>60978000</v>
      </c>
      <c r="F13" s="85">
        <v>0.03</v>
      </c>
    </row>
    <row r="14" spans="1:8" x14ac:dyDescent="0.25">
      <c r="A14" t="s">
        <v>150</v>
      </c>
      <c r="B14" t="s">
        <v>151</v>
      </c>
      <c r="C14" t="s">
        <v>152</v>
      </c>
      <c r="D14" s="64">
        <v>16719</v>
      </c>
      <c r="E14" s="85">
        <v>0.11</v>
      </c>
      <c r="F14" s="64">
        <v>171659274</v>
      </c>
      <c r="G14" s="85">
        <v>0.09</v>
      </c>
    </row>
    <row r="17" spans="1:7" x14ac:dyDescent="0.25">
      <c r="A17" t="s">
        <v>153</v>
      </c>
      <c r="B17" t="s">
        <v>154</v>
      </c>
      <c r="C17" t="s">
        <v>62</v>
      </c>
      <c r="D17" t="s">
        <v>155</v>
      </c>
      <c r="E17" t="s">
        <v>62</v>
      </c>
    </row>
    <row r="18" spans="1:7" x14ac:dyDescent="0.25">
      <c r="A18" t="s">
        <v>156</v>
      </c>
      <c r="B18" t="s">
        <v>157</v>
      </c>
      <c r="C18" t="s">
        <v>158</v>
      </c>
      <c r="D18">
        <v>42</v>
      </c>
      <c r="E18" s="86">
        <v>2.9999999999999997E-4</v>
      </c>
      <c r="F18" s="87">
        <v>167356.85</v>
      </c>
      <c r="G18" s="85">
        <v>0</v>
      </c>
    </row>
    <row r="19" spans="1:7" x14ac:dyDescent="0.25">
      <c r="A19" t="s">
        <v>159</v>
      </c>
      <c r="B19" t="s">
        <v>160</v>
      </c>
      <c r="C19" t="s">
        <v>161</v>
      </c>
      <c r="D19">
        <v>1</v>
      </c>
      <c r="E19" s="86">
        <v>0</v>
      </c>
      <c r="F19" s="87">
        <v>5117.5</v>
      </c>
      <c r="G19" s="85">
        <v>0</v>
      </c>
    </row>
    <row r="20" spans="1:7" x14ac:dyDescent="0.25">
      <c r="A20" s="87">
        <v>5117.5</v>
      </c>
      <c r="B20" t="s">
        <v>115</v>
      </c>
      <c r="C20" s="87">
        <v>10000</v>
      </c>
      <c r="D20" s="64">
        <v>93522</v>
      </c>
      <c r="E20" s="86">
        <v>0.73980000000000001</v>
      </c>
      <c r="F20" s="87">
        <v>750253033.45000005</v>
      </c>
      <c r="G20" s="85">
        <v>0.5</v>
      </c>
    </row>
    <row r="21" spans="1:7" x14ac:dyDescent="0.25">
      <c r="A21" s="87">
        <v>10000</v>
      </c>
      <c r="B21" t="s">
        <v>115</v>
      </c>
      <c r="C21" s="87">
        <v>20000</v>
      </c>
      <c r="D21" s="64">
        <v>18138</v>
      </c>
      <c r="E21" s="86">
        <v>0.14349999999999999</v>
      </c>
      <c r="F21" s="87">
        <v>227429836.90000001</v>
      </c>
      <c r="G21" s="85">
        <v>0.15</v>
      </c>
    </row>
    <row r="22" spans="1:7" x14ac:dyDescent="0.25">
      <c r="A22" s="87">
        <v>20000</v>
      </c>
      <c r="B22" t="s">
        <v>115</v>
      </c>
      <c r="C22" s="87">
        <v>30000</v>
      </c>
      <c r="D22" s="64">
        <v>6578</v>
      </c>
      <c r="E22" s="86">
        <v>5.1999999999999998E-2</v>
      </c>
      <c r="F22" s="87">
        <v>161421192.27000001</v>
      </c>
      <c r="G22" s="85">
        <v>0.11</v>
      </c>
    </row>
    <row r="23" spans="1:7" x14ac:dyDescent="0.25">
      <c r="A23" s="87">
        <v>30000</v>
      </c>
      <c r="B23" t="s">
        <v>115</v>
      </c>
      <c r="C23" s="87">
        <v>40000</v>
      </c>
      <c r="D23" s="64">
        <v>3651</v>
      </c>
      <c r="E23" s="86">
        <v>2.8899999999999999E-2</v>
      </c>
      <c r="F23" s="87">
        <v>122505219.92</v>
      </c>
      <c r="G23" s="85">
        <v>0.08</v>
      </c>
    </row>
    <row r="24" spans="1:7" x14ac:dyDescent="0.25">
      <c r="A24" s="87">
        <v>40000</v>
      </c>
      <c r="B24" t="s">
        <v>115</v>
      </c>
      <c r="C24" s="87">
        <v>50000</v>
      </c>
      <c r="D24" s="64">
        <v>2228</v>
      </c>
      <c r="E24" s="86">
        <v>1.7600000000000001E-2</v>
      </c>
      <c r="F24" s="87">
        <v>96897867.079999998</v>
      </c>
      <c r="G24" s="85">
        <v>0.06</v>
      </c>
    </row>
    <row r="25" spans="1:7" x14ac:dyDescent="0.25">
      <c r="A25" s="87">
        <v>50000</v>
      </c>
      <c r="B25" t="s">
        <v>115</v>
      </c>
      <c r="C25" s="87">
        <v>60000</v>
      </c>
      <c r="D25" s="64">
        <v>1212</v>
      </c>
      <c r="E25" s="86">
        <v>9.5999999999999992E-3</v>
      </c>
      <c r="F25" s="87">
        <v>63870772.049999997</v>
      </c>
      <c r="G25" s="85">
        <v>0.04</v>
      </c>
    </row>
    <row r="26" spans="1:7" x14ac:dyDescent="0.25">
      <c r="A26" s="87">
        <v>60000</v>
      </c>
      <c r="B26" t="s">
        <v>115</v>
      </c>
      <c r="C26" s="87">
        <v>70000</v>
      </c>
      <c r="D26">
        <v>256</v>
      </c>
      <c r="E26" s="86">
        <v>2E-3</v>
      </c>
      <c r="F26" s="87">
        <v>15987935.460000001</v>
      </c>
      <c r="G26" s="85">
        <v>0.01</v>
      </c>
    </row>
    <row r="27" spans="1:7" x14ac:dyDescent="0.25">
      <c r="A27" s="87">
        <v>70000</v>
      </c>
      <c r="B27" t="s">
        <v>115</v>
      </c>
      <c r="C27" s="87">
        <v>80000</v>
      </c>
      <c r="D27">
        <v>185</v>
      </c>
      <c r="E27" s="86">
        <v>1.5E-3</v>
      </c>
      <c r="F27" s="87">
        <v>13603340.310000001</v>
      </c>
      <c r="G27" s="85">
        <v>0.01</v>
      </c>
    </row>
    <row r="28" spans="1:7" x14ac:dyDescent="0.25">
      <c r="A28" s="87">
        <v>80000</v>
      </c>
      <c r="B28" t="s">
        <v>115</v>
      </c>
      <c r="C28" s="87">
        <v>90000</v>
      </c>
      <c r="D28">
        <v>246</v>
      </c>
      <c r="E28" s="86">
        <v>1.9E-3</v>
      </c>
      <c r="F28" s="87">
        <v>20637258.829999998</v>
      </c>
      <c r="G28" s="85">
        <v>0.01</v>
      </c>
    </row>
    <row r="29" spans="1:7" x14ac:dyDescent="0.25">
      <c r="A29" s="87">
        <v>90000</v>
      </c>
      <c r="B29" t="s">
        <v>115</v>
      </c>
      <c r="C29" s="87">
        <v>100000</v>
      </c>
      <c r="D29">
        <v>300</v>
      </c>
      <c r="E29" s="86">
        <v>2.3999999999999998E-3</v>
      </c>
      <c r="F29" s="87">
        <v>28790914.350000001</v>
      </c>
      <c r="G29" s="85">
        <v>0.02</v>
      </c>
    </row>
    <row r="30" spans="1:7" x14ac:dyDescent="0.25">
      <c r="A30" t="s">
        <v>162</v>
      </c>
      <c r="B30">
        <v>50</v>
      </c>
      <c r="C30" s="86">
        <v>4.0000000000000002E-4</v>
      </c>
      <c r="D30" s="87">
        <v>7845693.5999999996</v>
      </c>
      <c r="E30" s="85">
        <v>0.01</v>
      </c>
    </row>
    <row r="32" spans="1:7" x14ac:dyDescent="0.25">
      <c r="A32" t="s">
        <v>153</v>
      </c>
      <c r="B32" t="s">
        <v>154</v>
      </c>
      <c r="C32" t="s">
        <v>62</v>
      </c>
      <c r="D32" t="s">
        <v>155</v>
      </c>
      <c r="E32" t="s">
        <v>62</v>
      </c>
    </row>
    <row r="33" spans="1:7" x14ac:dyDescent="0.25">
      <c r="A33" t="s">
        <v>163</v>
      </c>
      <c r="B33">
        <v>8</v>
      </c>
      <c r="C33" s="86">
        <v>1E-4</v>
      </c>
      <c r="D33" s="64">
        <v>120807</v>
      </c>
      <c r="E33" s="86">
        <v>1E-4</v>
      </c>
    </row>
    <row r="34" spans="1:7" x14ac:dyDescent="0.25">
      <c r="A34" t="s">
        <v>164</v>
      </c>
      <c r="B34">
        <v>105</v>
      </c>
      <c r="C34" s="86">
        <v>8.9999999999999998E-4</v>
      </c>
      <c r="D34" s="64">
        <v>1623898</v>
      </c>
      <c r="E34" s="86">
        <v>1.1000000000000001E-3</v>
      </c>
    </row>
    <row r="35" spans="1:7" x14ac:dyDescent="0.25">
      <c r="A35" t="s">
        <v>165</v>
      </c>
      <c r="B35">
        <v>662</v>
      </c>
      <c r="C35" s="86">
        <v>5.7999999999999996E-3</v>
      </c>
      <c r="D35" s="64">
        <v>8844351</v>
      </c>
      <c r="E35" s="86">
        <v>5.8999999999999999E-3</v>
      </c>
    </row>
    <row r="36" spans="1:7" x14ac:dyDescent="0.25">
      <c r="A36" t="s">
        <v>166</v>
      </c>
      <c r="B36" s="64">
        <v>3613</v>
      </c>
      <c r="C36" s="86">
        <v>3.1699999999999999E-2</v>
      </c>
      <c r="D36" s="64">
        <v>58835635</v>
      </c>
      <c r="E36" s="86">
        <v>3.9E-2</v>
      </c>
    </row>
    <row r="37" spans="1:7" x14ac:dyDescent="0.25">
      <c r="A37" t="s">
        <v>167</v>
      </c>
      <c r="B37" s="64">
        <v>37680</v>
      </c>
      <c r="C37" s="86">
        <v>0.3306</v>
      </c>
      <c r="D37" s="64">
        <v>525796423</v>
      </c>
      <c r="E37" s="86">
        <v>0.3483</v>
      </c>
    </row>
    <row r="38" spans="1:7" x14ac:dyDescent="0.25">
      <c r="A38" t="s">
        <v>168</v>
      </c>
      <c r="B38" s="64">
        <v>44491</v>
      </c>
      <c r="C38" s="86">
        <v>0.39040000000000002</v>
      </c>
      <c r="D38" s="64">
        <v>593494378</v>
      </c>
      <c r="E38" s="86">
        <v>0.39319999999999999</v>
      </c>
    </row>
    <row r="39" spans="1:7" x14ac:dyDescent="0.25">
      <c r="A39" t="s">
        <v>169</v>
      </c>
      <c r="B39" s="64">
        <v>22199</v>
      </c>
      <c r="C39" s="86">
        <v>0.1948</v>
      </c>
      <c r="D39" s="64">
        <v>263071212</v>
      </c>
      <c r="E39" s="86">
        <v>0.17430000000000001</v>
      </c>
    </row>
    <row r="40" spans="1:7" x14ac:dyDescent="0.25">
      <c r="A40" t="s">
        <v>170</v>
      </c>
      <c r="B40" s="64">
        <v>4787</v>
      </c>
      <c r="C40" s="86">
        <v>4.2000000000000003E-2</v>
      </c>
      <c r="D40" s="64">
        <v>53293459</v>
      </c>
      <c r="E40" s="86">
        <v>3.5299999999999998E-2</v>
      </c>
    </row>
    <row r="41" spans="1:7" x14ac:dyDescent="0.25">
      <c r="A41">
        <v>100</v>
      </c>
      <c r="B41">
        <v>273</v>
      </c>
      <c r="C41" s="86">
        <v>2.3999999999999998E-3</v>
      </c>
      <c r="D41" s="64">
        <v>3036509</v>
      </c>
      <c r="E41" s="86">
        <v>2E-3</v>
      </c>
    </row>
    <row r="42" spans="1:7" x14ac:dyDescent="0.25">
      <c r="A42">
        <v>0</v>
      </c>
      <c r="B42">
        <v>148</v>
      </c>
      <c r="C42" s="86">
        <v>1.2999999999999999E-3</v>
      </c>
      <c r="D42" s="64">
        <v>1202867</v>
      </c>
      <c r="E42" s="86">
        <v>8.0000000000000004E-4</v>
      </c>
    </row>
    <row r="43" spans="1:7" x14ac:dyDescent="0.25">
      <c r="A43" t="s">
        <v>171</v>
      </c>
      <c r="B43" t="s">
        <v>172</v>
      </c>
      <c r="C43" s="88">
        <v>1</v>
      </c>
      <c r="D43">
        <v>11</v>
      </c>
      <c r="E43" s="86">
        <v>1E-4</v>
      </c>
      <c r="F43" s="64">
        <v>96000</v>
      </c>
      <c r="G43" s="86">
        <v>1E-4</v>
      </c>
    </row>
    <row r="60" spans="1:4" ht="1.5" customHeight="1" thickBot="1" x14ac:dyDescent="0.3"/>
    <row r="61" spans="1:4" ht="31.5" customHeight="1" x14ac:dyDescent="0.25">
      <c r="A61" s="562" t="s">
        <v>173</v>
      </c>
      <c r="B61" s="563"/>
      <c r="C61" s="563"/>
      <c r="D61" s="564"/>
    </row>
    <row r="62" spans="1:4" x14ac:dyDescent="0.25">
      <c r="A62" s="90" t="s">
        <v>174</v>
      </c>
      <c r="B62" s="91" t="s">
        <v>62</v>
      </c>
      <c r="C62" s="92" t="s">
        <v>9</v>
      </c>
      <c r="D62" s="93" t="s">
        <v>62</v>
      </c>
    </row>
    <row r="63" spans="1:4" x14ac:dyDescent="0.25">
      <c r="A63" s="78">
        <v>31137</v>
      </c>
      <c r="B63" s="67">
        <f>A63/$F$18</f>
        <v>0.18605154195959114</v>
      </c>
      <c r="C63" s="45">
        <v>395798200.03000003</v>
      </c>
      <c r="D63" s="79">
        <f>C63/C72</f>
        <v>0.19391687100775967</v>
      </c>
    </row>
    <row r="64" spans="1:4" x14ac:dyDescent="0.25">
      <c r="A64" s="78">
        <v>59538</v>
      </c>
      <c r="B64" s="67">
        <f t="shared" ref="B64:B71" si="0">A64/$F$18</f>
        <v>0.35575478386453857</v>
      </c>
      <c r="C64" s="45">
        <v>514655292.12</v>
      </c>
      <c r="D64" s="79">
        <f>C64/C72</f>
        <v>0.25214956482351464</v>
      </c>
    </row>
    <row r="65" spans="1:4" x14ac:dyDescent="0.25">
      <c r="A65" s="78">
        <v>272</v>
      </c>
      <c r="B65" s="68">
        <f t="shared" si="0"/>
        <v>1.6252695960756909E-3</v>
      </c>
      <c r="C65" s="45">
        <v>4588034.25</v>
      </c>
      <c r="D65" s="80">
        <f>C65/C72</f>
        <v>2.2478557147783836E-3</v>
      </c>
    </row>
    <row r="66" spans="1:4" x14ac:dyDescent="0.25">
      <c r="A66" s="78">
        <v>165</v>
      </c>
      <c r="B66" s="68">
        <f t="shared" si="0"/>
        <v>9.8591721820768022E-4</v>
      </c>
      <c r="C66" s="45">
        <v>4769926.3500000006</v>
      </c>
      <c r="D66" s="80">
        <f>C66/C72</f>
        <v>2.3369717008802837E-3</v>
      </c>
    </row>
    <row r="67" spans="1:4" x14ac:dyDescent="0.25">
      <c r="A67" s="78">
        <v>291</v>
      </c>
      <c r="B67" s="68">
        <f t="shared" si="0"/>
        <v>1.7387994575662723E-3</v>
      </c>
      <c r="C67" s="45">
        <v>7859081.6799999997</v>
      </c>
      <c r="D67" s="80">
        <f>C67/C72</f>
        <v>3.8504685677309622E-3</v>
      </c>
    </row>
    <row r="68" spans="1:4" x14ac:dyDescent="0.25">
      <c r="A68" s="78">
        <v>18719</v>
      </c>
      <c r="B68" s="67">
        <f t="shared" si="0"/>
        <v>0.11185081459169433</v>
      </c>
      <c r="C68" s="45">
        <v>422264407.25999999</v>
      </c>
      <c r="D68" s="79">
        <f>C68/C72</f>
        <v>0.20688369120324193</v>
      </c>
    </row>
    <row r="69" spans="1:4" x14ac:dyDescent="0.25">
      <c r="A69" s="78">
        <v>21144</v>
      </c>
      <c r="B69" s="67">
        <f t="shared" si="0"/>
        <v>0.12634081007141326</v>
      </c>
      <c r="C69" s="45">
        <v>451598843.05000001</v>
      </c>
      <c r="D69" s="79">
        <f>C69/C72</f>
        <v>0.22125576768247726</v>
      </c>
    </row>
    <row r="70" spans="1:4" x14ac:dyDescent="0.25">
      <c r="A70" s="78">
        <v>9753</v>
      </c>
      <c r="B70" s="67">
        <f t="shared" si="0"/>
        <v>5.8276670479875788E-2</v>
      </c>
      <c r="C70" s="45">
        <v>58518000</v>
      </c>
      <c r="D70" s="79">
        <f>C70/C72</f>
        <v>2.8670235126819606E-2</v>
      </c>
    </row>
    <row r="71" spans="1:4" x14ac:dyDescent="0.25">
      <c r="A71" s="78">
        <v>17481</v>
      </c>
      <c r="B71" s="67">
        <f t="shared" si="0"/>
        <v>0.10445344782720277</v>
      </c>
      <c r="C71" s="45">
        <v>181019721.69</v>
      </c>
      <c r="D71" s="79">
        <f>C71/C72</f>
        <v>8.8688574172797213E-2</v>
      </c>
    </row>
    <row r="72" spans="1:4" ht="15.75" thickBot="1" x14ac:dyDescent="0.3">
      <c r="A72" s="81">
        <f>SUM(A63:A71)</f>
        <v>158500</v>
      </c>
      <c r="B72" s="82">
        <f>SUM(B63:B71)</f>
        <v>0.9470780550661656</v>
      </c>
      <c r="C72" s="83">
        <f>SUM(C63:C71)</f>
        <v>2041071506.4300001</v>
      </c>
      <c r="D72" s="84">
        <f>SUM(D63:D71)</f>
        <v>0.99999999999999989</v>
      </c>
    </row>
  </sheetData>
  <mergeCells count="1">
    <mergeCell ref="A61:D6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1:AB91"/>
  <sheetViews>
    <sheetView showGridLines="0" zoomScale="95" zoomScaleNormal="95" workbookViewId="0">
      <selection activeCell="H26" sqref="H26"/>
    </sheetView>
  </sheetViews>
  <sheetFormatPr baseColWidth="10" defaultColWidth="11.42578125" defaultRowHeight="15" outlineLevelRow="1" x14ac:dyDescent="0.25"/>
  <cols>
    <col min="1" max="1" width="2.140625" style="1" customWidth="1"/>
    <col min="2" max="2" width="23.28515625" style="1" customWidth="1"/>
    <col min="3" max="3" width="10.28515625" style="1" customWidth="1"/>
    <col min="4" max="4" width="9.7109375" style="1" customWidth="1"/>
    <col min="5" max="5" width="15.140625" style="1" customWidth="1"/>
    <col min="6" max="6" width="9" style="1" customWidth="1"/>
    <col min="7" max="7" width="11.140625" style="1" customWidth="1"/>
    <col min="8" max="8" width="9.140625" style="1" customWidth="1"/>
    <col min="9" max="9" width="18.5703125" style="1" customWidth="1"/>
    <col min="10" max="10" width="9.7109375" style="1" customWidth="1"/>
    <col min="11" max="11" width="10.5703125" style="1" customWidth="1"/>
    <col min="12" max="12" width="11.42578125" style="1" bestFit="1" customWidth="1"/>
    <col min="13" max="13" width="17" style="1" customWidth="1"/>
    <col min="14" max="14" width="11.28515625" style="1" customWidth="1"/>
    <col min="15" max="15" width="16" style="1" customWidth="1"/>
    <col min="16" max="16" width="12.140625" style="1" customWidth="1"/>
    <col min="17" max="17" width="15.140625" style="1" customWidth="1"/>
    <col min="18" max="18" width="11.42578125" style="1" customWidth="1"/>
    <col min="19" max="20" width="15.7109375" style="1" customWidth="1"/>
    <col min="21" max="21" width="18.42578125" style="1" bestFit="1" customWidth="1"/>
    <col min="22" max="22" width="19.7109375" style="1" customWidth="1"/>
    <col min="23" max="23" width="11.42578125" style="1"/>
    <col min="24" max="24" width="13.7109375" style="1" bestFit="1" customWidth="1"/>
    <col min="25" max="16384" width="11.42578125" style="1"/>
  </cols>
  <sheetData>
    <row r="1" spans="2:28" x14ac:dyDescent="0.25">
      <c r="B1" s="536" t="s">
        <v>0</v>
      </c>
      <c r="C1" s="536"/>
      <c r="D1" s="536"/>
      <c r="E1" s="536"/>
      <c r="F1" s="536"/>
      <c r="G1" s="536"/>
      <c r="H1" s="536"/>
      <c r="I1" s="536"/>
      <c r="J1" s="536"/>
      <c r="K1" s="536"/>
      <c r="L1" s="536"/>
      <c r="M1" s="536"/>
      <c r="N1" s="536"/>
      <c r="O1" s="22"/>
      <c r="P1" s="22"/>
      <c r="Q1" s="22"/>
      <c r="R1" s="22"/>
      <c r="S1" s="22"/>
      <c r="T1" s="22"/>
      <c r="U1" s="22"/>
      <c r="V1" s="22"/>
      <c r="W1" s="22"/>
      <c r="X1" s="22"/>
      <c r="Y1" s="22"/>
      <c r="Z1" s="22"/>
      <c r="AA1" s="22"/>
      <c r="AB1" s="22"/>
    </row>
    <row r="2" spans="2:28" x14ac:dyDescent="0.25">
      <c r="B2" s="536" t="s">
        <v>76</v>
      </c>
      <c r="C2" s="536"/>
      <c r="D2" s="536"/>
      <c r="E2" s="536"/>
      <c r="F2" s="536"/>
      <c r="G2" s="536"/>
      <c r="H2" s="536"/>
      <c r="I2" s="536"/>
      <c r="J2" s="536"/>
      <c r="K2" s="536"/>
      <c r="L2" s="536"/>
      <c r="M2" s="536"/>
      <c r="N2" s="536"/>
      <c r="O2" s="22"/>
      <c r="P2" s="22"/>
      <c r="Q2" s="22"/>
      <c r="R2" s="22"/>
      <c r="S2" s="22"/>
      <c r="T2" s="22"/>
      <c r="U2" s="22"/>
      <c r="V2" s="22"/>
      <c r="W2" s="22"/>
      <c r="X2" s="22"/>
      <c r="Y2" s="22"/>
      <c r="Z2" s="22"/>
      <c r="AA2" s="22"/>
      <c r="AB2" s="22"/>
    </row>
    <row r="3" spans="2:28" s="291" customFormat="1" x14ac:dyDescent="0.25">
      <c r="E3" s="573" t="s">
        <v>3</v>
      </c>
      <c r="F3" s="573"/>
      <c r="G3" s="573"/>
      <c r="H3" s="573"/>
      <c r="I3" s="573"/>
      <c r="J3" s="573"/>
    </row>
    <row r="4" spans="2:28" s="22" customFormat="1" x14ac:dyDescent="0.25">
      <c r="E4" s="536" t="s">
        <v>4</v>
      </c>
      <c r="F4" s="536"/>
      <c r="G4" s="536"/>
      <c r="H4" s="536"/>
      <c r="I4" s="536"/>
      <c r="J4" s="536"/>
    </row>
    <row r="5" spans="2:28" x14ac:dyDescent="0.25">
      <c r="B5" s="536"/>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row>
    <row r="6" spans="2:28" x14ac:dyDescent="0.25">
      <c r="B6" s="571"/>
      <c r="C6" s="571"/>
      <c r="D6" s="571"/>
      <c r="E6" s="571"/>
      <c r="F6" s="571"/>
      <c r="G6" s="571"/>
      <c r="H6" s="571"/>
      <c r="I6" s="571"/>
      <c r="J6" s="571"/>
      <c r="K6" s="571"/>
      <c r="L6" s="571"/>
      <c r="M6" s="571"/>
      <c r="N6" s="571"/>
      <c r="O6" s="571"/>
      <c r="P6" s="571"/>
      <c r="Q6" s="571"/>
      <c r="R6" s="571"/>
      <c r="S6" s="571"/>
      <c r="T6" s="571"/>
      <c r="U6" s="571"/>
      <c r="V6" s="571"/>
      <c r="W6" s="571"/>
      <c r="X6" s="571"/>
      <c r="Y6" s="571"/>
      <c r="Z6" s="571"/>
      <c r="AA6" s="571"/>
      <c r="AB6" s="571"/>
    </row>
    <row r="7" spans="2:28" ht="15.75" customHeight="1" x14ac:dyDescent="0.25">
      <c r="B7" s="569" t="s">
        <v>175</v>
      </c>
      <c r="C7" s="569"/>
      <c r="D7" s="569"/>
      <c r="E7" s="569"/>
      <c r="F7" s="569"/>
      <c r="G7" s="569"/>
      <c r="H7" s="569"/>
      <c r="I7" s="569"/>
      <c r="J7" s="569"/>
      <c r="K7" s="569"/>
      <c r="L7" s="569"/>
      <c r="M7" s="569"/>
      <c r="N7" s="569"/>
      <c r="O7"/>
      <c r="P7" s="98"/>
      <c r="Q7" s="98"/>
      <c r="R7"/>
      <c r="S7"/>
      <c r="T7"/>
    </row>
    <row r="8" spans="2:28" ht="31.5" customHeight="1" x14ac:dyDescent="0.25">
      <c r="B8" s="292"/>
      <c r="C8" s="565" t="s">
        <v>176</v>
      </c>
      <c r="D8" s="568"/>
      <c r="E8" s="568"/>
      <c r="F8" s="572"/>
      <c r="G8" s="568" t="s">
        <v>177</v>
      </c>
      <c r="H8" s="568"/>
      <c r="I8" s="568"/>
      <c r="J8" s="568"/>
      <c r="K8" s="565" t="s">
        <v>99</v>
      </c>
      <c r="L8" s="568"/>
      <c r="M8" s="568"/>
      <c r="N8" s="572"/>
      <c r="O8" s="293"/>
      <c r="P8" s="293"/>
      <c r="Q8" s="293"/>
      <c r="R8"/>
      <c r="S8"/>
      <c r="T8"/>
    </row>
    <row r="9" spans="2:28" ht="24" x14ac:dyDescent="0.25">
      <c r="B9" s="294" t="s">
        <v>178</v>
      </c>
      <c r="C9" s="322" t="s">
        <v>174</v>
      </c>
      <c r="D9" s="294" t="s">
        <v>62</v>
      </c>
      <c r="E9" s="294" t="s">
        <v>9</v>
      </c>
      <c r="F9" s="323" t="s">
        <v>62</v>
      </c>
      <c r="G9" s="294" t="s">
        <v>174</v>
      </c>
      <c r="H9" s="294" t="s">
        <v>62</v>
      </c>
      <c r="I9" s="294" t="s">
        <v>9</v>
      </c>
      <c r="J9" s="294" t="s">
        <v>62</v>
      </c>
      <c r="K9" s="335" t="s">
        <v>179</v>
      </c>
      <c r="L9" s="336" t="s">
        <v>180</v>
      </c>
      <c r="M9" s="336" t="s">
        <v>181</v>
      </c>
      <c r="N9" s="337" t="s">
        <v>182</v>
      </c>
      <c r="O9"/>
      <c r="P9"/>
      <c r="Q9"/>
      <c r="R9"/>
      <c r="S9"/>
      <c r="T9"/>
    </row>
    <row r="10" spans="2:28" x14ac:dyDescent="0.25">
      <c r="B10" s="295" t="s">
        <v>183</v>
      </c>
      <c r="C10" s="436">
        <v>33649</v>
      </c>
      <c r="D10" s="263">
        <v>0.14364997032995649</v>
      </c>
      <c r="E10" s="330">
        <v>1644954259.3399999</v>
      </c>
      <c r="F10" s="325">
        <f>+E10/$E$19</f>
        <v>0.15229717952025501</v>
      </c>
      <c r="G10" s="437">
        <v>39564</v>
      </c>
      <c r="H10" s="528">
        <f>+G10/$G$19</f>
        <v>0.15740600755918044</v>
      </c>
      <c r="I10" s="324">
        <v>2487951325.9899998</v>
      </c>
      <c r="J10" s="296">
        <f>+I10/$I$19</f>
        <v>0.2139536341677441</v>
      </c>
      <c r="K10" s="436">
        <f>+G10-C10</f>
        <v>5915</v>
      </c>
      <c r="L10" s="263">
        <f>+(G10-C10)/C10</f>
        <v>0.17578531308508424</v>
      </c>
      <c r="M10" s="333">
        <f>+I10-E10</f>
        <v>842997066.64999986</v>
      </c>
      <c r="N10" s="338">
        <f>+M10/$M$19</f>
        <v>1.0187152878385506</v>
      </c>
      <c r="O10"/>
      <c r="P10"/>
      <c r="Q10"/>
      <c r="R10"/>
      <c r="S10"/>
      <c r="T10"/>
    </row>
    <row r="11" spans="2:28" x14ac:dyDescent="0.25">
      <c r="B11" s="298" t="s">
        <v>136</v>
      </c>
      <c r="C11" s="436">
        <v>71175</v>
      </c>
      <c r="D11" s="263">
        <v>0.30385112895582794</v>
      </c>
      <c r="E11" s="331">
        <v>2186333244.48</v>
      </c>
      <c r="F11" s="325">
        <f t="shared" ref="F11:F18" si="0">+E11/$E$19</f>
        <v>0.20242045317373727</v>
      </c>
      <c r="G11" s="437">
        <v>80555</v>
      </c>
      <c r="H11" s="528">
        <f>+G11/$G$19</f>
        <v>0.32048935746966384</v>
      </c>
      <c r="I11" s="324">
        <v>2466031697.7800002</v>
      </c>
      <c r="J11" s="296">
        <f t="shared" ref="J11:J18" si="1">+I11/$I$19</f>
        <v>0.21206863582949523</v>
      </c>
      <c r="K11" s="436">
        <f t="shared" ref="K11:K18" si="2">+G11-C11</f>
        <v>9380</v>
      </c>
      <c r="L11" s="263">
        <f t="shared" ref="L11:L19" si="3">+(G11-C11)/C11</f>
        <v>0.13178784685634001</v>
      </c>
      <c r="M11" s="333">
        <f t="shared" ref="M11:M18" si="4">+I11-E11</f>
        <v>279698453.30000019</v>
      </c>
      <c r="N11" s="338">
        <f t="shared" ref="N11:N18" si="5">+M11/$M$19</f>
        <v>0.33800009707484213</v>
      </c>
      <c r="O11"/>
      <c r="P11"/>
      <c r="Q11"/>
      <c r="R11"/>
      <c r="S11"/>
      <c r="T11"/>
    </row>
    <row r="12" spans="2:28" x14ac:dyDescent="0.25">
      <c r="B12" s="298" t="s">
        <v>184</v>
      </c>
      <c r="C12" s="436">
        <v>252</v>
      </c>
      <c r="D12" s="263">
        <v>1.0758058938794329E-3</v>
      </c>
      <c r="E12" s="332">
        <v>22670663.25</v>
      </c>
      <c r="F12" s="325">
        <f t="shared" si="0"/>
        <v>2.0989508074308436E-3</v>
      </c>
      <c r="G12" s="437">
        <v>245</v>
      </c>
      <c r="H12" s="528">
        <f t="shared" ref="H12:H18" si="6">+G12/$G$19</f>
        <v>9.7473642331410385E-4</v>
      </c>
      <c r="I12" s="324">
        <v>22110000</v>
      </c>
      <c r="J12" s="296">
        <f t="shared" si="1"/>
        <v>1.9013695332510039E-3</v>
      </c>
      <c r="K12" s="436">
        <f t="shared" si="2"/>
        <v>-7</v>
      </c>
      <c r="L12" s="263">
        <f t="shared" si="3"/>
        <v>-2.7777777777777776E-2</v>
      </c>
      <c r="M12" s="333">
        <f t="shared" si="4"/>
        <v>-560663.25</v>
      </c>
      <c r="N12" s="338">
        <f t="shared" si="5"/>
        <v>-6.7753050004548004E-4</v>
      </c>
      <c r="O12"/>
      <c r="P12"/>
      <c r="Q12"/>
      <c r="R12"/>
      <c r="S12"/>
      <c r="T12"/>
    </row>
    <row r="13" spans="2:28" x14ac:dyDescent="0.25">
      <c r="B13" s="298" t="s">
        <v>185</v>
      </c>
      <c r="C13" s="436">
        <v>174</v>
      </c>
      <c r="D13" s="263">
        <v>7.4281835529770371E-4</v>
      </c>
      <c r="E13" s="332">
        <v>25511201.280000001</v>
      </c>
      <c r="F13" s="325">
        <f t="shared" si="0"/>
        <v>2.361940448530405E-3</v>
      </c>
      <c r="G13" s="437">
        <v>184</v>
      </c>
      <c r="H13" s="528">
        <f t="shared" si="6"/>
        <v>7.3204694648895967E-4</v>
      </c>
      <c r="I13" s="324">
        <v>27650000</v>
      </c>
      <c r="J13" s="296">
        <f t="shared" si="1"/>
        <v>2.377786865417922E-3</v>
      </c>
      <c r="K13" s="436">
        <f t="shared" si="2"/>
        <v>10</v>
      </c>
      <c r="L13" s="263">
        <f t="shared" si="3"/>
        <v>5.7471264367816091E-2</v>
      </c>
      <c r="M13" s="333">
        <f t="shared" si="4"/>
        <v>2138798.7199999988</v>
      </c>
      <c r="N13" s="338">
        <f t="shared" si="5"/>
        <v>2.5846198520381564E-3</v>
      </c>
      <c r="O13"/>
      <c r="P13"/>
      <c r="Q13"/>
      <c r="R13"/>
      <c r="S13"/>
      <c r="T13"/>
    </row>
    <row r="14" spans="2:28" x14ac:dyDescent="0.25">
      <c r="B14" s="298" t="s">
        <v>186</v>
      </c>
      <c r="C14" s="436">
        <v>227</v>
      </c>
      <c r="D14" s="263">
        <v>9.6907911869298119E-4</v>
      </c>
      <c r="E14" s="333">
        <v>21655007.200000003</v>
      </c>
      <c r="F14" s="325">
        <f t="shared" si="0"/>
        <v>2.0049168542680697E-3</v>
      </c>
      <c r="G14" s="437">
        <v>218</v>
      </c>
      <c r="H14" s="528">
        <f t="shared" si="6"/>
        <v>8.6731649094887609E-4</v>
      </c>
      <c r="I14" s="324">
        <v>21471881.899999999</v>
      </c>
      <c r="J14" s="296">
        <f t="shared" si="1"/>
        <v>1.846493987617534E-3</v>
      </c>
      <c r="K14" s="436">
        <f t="shared" si="2"/>
        <v>-9</v>
      </c>
      <c r="L14" s="263">
        <f t="shared" si="3"/>
        <v>-3.9647577092511016E-2</v>
      </c>
      <c r="M14" s="333">
        <f t="shared" si="4"/>
        <v>-183125.30000000447</v>
      </c>
      <c r="N14" s="338">
        <f t="shared" si="5"/>
        <v>-2.212967874744449E-4</v>
      </c>
      <c r="O14"/>
      <c r="P14"/>
      <c r="Q14"/>
      <c r="R14"/>
      <c r="S14"/>
      <c r="T14"/>
    </row>
    <row r="15" spans="2:28" x14ac:dyDescent="0.25">
      <c r="B15" s="298" t="s">
        <v>187</v>
      </c>
      <c r="C15" s="436">
        <v>34800</v>
      </c>
      <c r="D15" s="263">
        <v>0.14856367105954074</v>
      </c>
      <c r="E15" s="333">
        <v>3057359275.0799999</v>
      </c>
      <c r="F15" s="325">
        <f t="shared" si="0"/>
        <v>0.28306391605174341</v>
      </c>
      <c r="G15" s="437">
        <v>27887</v>
      </c>
      <c r="H15" s="528">
        <f t="shared" si="6"/>
        <v>0.11094887606922618</v>
      </c>
      <c r="I15" s="324">
        <v>2474293768.6300001</v>
      </c>
      <c r="J15" s="296">
        <f t="shared" si="1"/>
        <v>0.2127791401169557</v>
      </c>
      <c r="K15" s="436">
        <f t="shared" si="2"/>
        <v>-6913</v>
      </c>
      <c r="L15" s="263">
        <f t="shared" si="3"/>
        <v>-0.19864942528735632</v>
      </c>
      <c r="M15" s="333">
        <f t="shared" si="4"/>
        <v>-583065506.44999981</v>
      </c>
      <c r="N15" s="338">
        <f t="shared" si="5"/>
        <v>-0.70460238680587572</v>
      </c>
      <c r="O15"/>
      <c r="P15"/>
      <c r="Q15"/>
      <c r="R15"/>
      <c r="S15"/>
      <c r="T15"/>
    </row>
    <row r="16" spans="2:28" x14ac:dyDescent="0.25">
      <c r="B16" s="298" t="s">
        <v>188</v>
      </c>
      <c r="C16" s="436">
        <v>25549</v>
      </c>
      <c r="D16" s="263">
        <v>0.10907049516954616</v>
      </c>
      <c r="E16" s="333">
        <v>2219834206.0099998</v>
      </c>
      <c r="F16" s="325">
        <f t="shared" si="0"/>
        <v>0.20552212115220292</v>
      </c>
      <c r="G16" s="437">
        <v>26556</v>
      </c>
      <c r="H16" s="528">
        <f t="shared" si="6"/>
        <v>0.1056534712552218</v>
      </c>
      <c r="I16" s="324">
        <v>2373694130.3299999</v>
      </c>
      <c r="J16" s="296">
        <f t="shared" si="1"/>
        <v>0.20412798284333783</v>
      </c>
      <c r="K16" s="436">
        <f t="shared" si="2"/>
        <v>1007</v>
      </c>
      <c r="L16" s="263">
        <f t="shared" si="3"/>
        <v>3.941445849152609E-2</v>
      </c>
      <c r="M16" s="333">
        <f t="shared" si="4"/>
        <v>153859924.32000017</v>
      </c>
      <c r="N16" s="338">
        <f t="shared" si="5"/>
        <v>0.18593120105783539</v>
      </c>
      <c r="O16"/>
      <c r="P16"/>
      <c r="Q16"/>
      <c r="R16"/>
      <c r="S16"/>
      <c r="T16"/>
    </row>
    <row r="17" spans="2:28" x14ac:dyDescent="0.25">
      <c r="B17" s="298" t="s">
        <v>189</v>
      </c>
      <c r="C17" s="436">
        <v>48335</v>
      </c>
      <c r="D17" s="263">
        <v>0.20634554714548567</v>
      </c>
      <c r="E17" s="333">
        <v>865128000</v>
      </c>
      <c r="F17" s="325">
        <f t="shared" si="0"/>
        <v>8.0097396979818436E-2</v>
      </c>
      <c r="G17" s="437">
        <v>55224</v>
      </c>
      <c r="H17" s="528">
        <f t="shared" si="6"/>
        <v>0.21970956833101254</v>
      </c>
      <c r="I17" s="324">
        <v>956988000</v>
      </c>
      <c r="J17" s="296">
        <f t="shared" si="1"/>
        <v>8.2297052324143458E-2</v>
      </c>
      <c r="K17" s="436">
        <f t="shared" si="2"/>
        <v>6889</v>
      </c>
      <c r="L17" s="263">
        <f t="shared" si="3"/>
        <v>0.14252611978897278</v>
      </c>
      <c r="M17" s="333">
        <f t="shared" si="4"/>
        <v>91860000</v>
      </c>
      <c r="N17" s="338">
        <f t="shared" si="5"/>
        <v>0.11100772475131515</v>
      </c>
      <c r="O17"/>
      <c r="P17"/>
      <c r="Q17"/>
      <c r="R17"/>
      <c r="S17"/>
      <c r="T17"/>
    </row>
    <row r="18" spans="2:28" x14ac:dyDescent="0.25">
      <c r="B18" s="298" t="s">
        <v>190</v>
      </c>
      <c r="C18" s="436">
        <v>20082</v>
      </c>
      <c r="D18" s="263">
        <v>8.5731483971772909E-2</v>
      </c>
      <c r="E18" s="333">
        <v>757504394.19000006</v>
      </c>
      <c r="F18" s="325">
        <f t="shared" si="0"/>
        <v>7.0133125012013603E-2</v>
      </c>
      <c r="G18" s="437">
        <v>20917</v>
      </c>
      <c r="H18" s="528">
        <f t="shared" si="6"/>
        <v>8.3218619454943313E-2</v>
      </c>
      <c r="I18" s="324">
        <v>798269425.39999998</v>
      </c>
      <c r="J18" s="296">
        <f t="shared" si="1"/>
        <v>6.864790433203731E-2</v>
      </c>
      <c r="K18" s="436">
        <f t="shared" si="2"/>
        <v>835</v>
      </c>
      <c r="L18" s="263">
        <f t="shared" si="3"/>
        <v>4.1579523951797627E-2</v>
      </c>
      <c r="M18" s="333">
        <f t="shared" si="4"/>
        <v>40765031.209999919</v>
      </c>
      <c r="N18" s="338">
        <f t="shared" si="5"/>
        <v>4.9262283518816057E-2</v>
      </c>
      <c r="O18"/>
      <c r="P18"/>
      <c r="Q18"/>
      <c r="R18"/>
      <c r="S18"/>
      <c r="T18"/>
    </row>
    <row r="19" spans="2:28" x14ac:dyDescent="0.25">
      <c r="B19" s="299" t="s">
        <v>191</v>
      </c>
      <c r="C19" s="439">
        <f t="shared" ref="C19:J19" si="7">SUM(C10:C18)</f>
        <v>234243</v>
      </c>
      <c r="D19" s="326">
        <f t="shared" si="7"/>
        <v>1</v>
      </c>
      <c r="E19" s="334">
        <f t="shared" si="7"/>
        <v>10800950250.83</v>
      </c>
      <c r="F19" s="328">
        <f t="shared" si="7"/>
        <v>1</v>
      </c>
      <c r="G19" s="441">
        <f>+SUM(G10:G18)</f>
        <v>251350</v>
      </c>
      <c r="H19" s="326">
        <f>SUM(H10:H18)</f>
        <v>1</v>
      </c>
      <c r="I19" s="327">
        <v>11628460230.029999</v>
      </c>
      <c r="J19" s="326">
        <f t="shared" si="7"/>
        <v>1</v>
      </c>
      <c r="K19" s="439">
        <f>+G19-C19</f>
        <v>17107</v>
      </c>
      <c r="L19" s="326">
        <f t="shared" si="3"/>
        <v>7.3030997724585156E-2</v>
      </c>
      <c r="M19" s="334">
        <f>+I19-E19</f>
        <v>827509979.19999886</v>
      </c>
      <c r="N19" s="328">
        <f>+(I19-E19)/E19</f>
        <v>7.66145533478787E-2</v>
      </c>
      <c r="O19"/>
      <c r="P19"/>
      <c r="Q19"/>
      <c r="R19"/>
      <c r="S19"/>
      <c r="T19"/>
    </row>
    <row r="20" spans="2:28" ht="14.25" customHeight="1" x14ac:dyDescent="0.25">
      <c r="B20" s="108" t="s">
        <v>132</v>
      </c>
      <c r="K20" s="300"/>
      <c r="L20" s="300"/>
      <c r="M20" s="300"/>
      <c r="N20" s="300"/>
      <c r="O20" s="300"/>
      <c r="P20" s="300"/>
      <c r="Q20" s="300"/>
      <c r="R20" s="300"/>
      <c r="S20" s="300"/>
      <c r="T20" s="300"/>
      <c r="U20" s="300"/>
      <c r="V20" s="300"/>
      <c r="W20"/>
      <c r="X20"/>
      <c r="Y20"/>
      <c r="Z20"/>
      <c r="AA20"/>
      <c r="AB20"/>
    </row>
    <row r="21" spans="2:28" x14ac:dyDescent="0.25">
      <c r="B21" s="570" t="s">
        <v>192</v>
      </c>
      <c r="C21" s="570"/>
      <c r="D21" s="570"/>
      <c r="E21" s="570"/>
      <c r="F21" s="570"/>
      <c r="G21" s="570"/>
      <c r="H21" s="570"/>
      <c r="I21" s="570"/>
      <c r="J21" s="570"/>
      <c r="K21"/>
      <c r="L21"/>
      <c r="M21"/>
      <c r="N21"/>
      <c r="O21"/>
      <c r="P21"/>
      <c r="Q21"/>
      <c r="R21"/>
      <c r="S21"/>
      <c r="T21"/>
      <c r="U21"/>
      <c r="V21"/>
      <c r="W21"/>
      <c r="X21"/>
      <c r="Y21"/>
      <c r="Z21"/>
      <c r="AA21"/>
      <c r="AB21"/>
    </row>
    <row r="22" spans="2:28" x14ac:dyDescent="0.25">
      <c r="B22"/>
      <c r="C22" s="301"/>
      <c r="D22"/>
      <c r="E22"/>
      <c r="F22"/>
      <c r="G22" s="297"/>
      <c r="H22"/>
      <c r="I22" s="216"/>
      <c r="J22"/>
      <c r="K22"/>
      <c r="L22"/>
      <c r="M22"/>
      <c r="N22"/>
      <c r="O22"/>
      <c r="P22"/>
      <c r="Q22"/>
      <c r="R22"/>
      <c r="S22"/>
      <c r="T22"/>
      <c r="U22"/>
      <c r="V22"/>
      <c r="W22"/>
      <c r="X22"/>
      <c r="Y22"/>
      <c r="Z22"/>
      <c r="AA22"/>
      <c r="AB22"/>
    </row>
    <row r="23" spans="2:28" x14ac:dyDescent="0.25">
      <c r="B23"/>
      <c r="C23" s="301"/>
      <c r="D23" s="64"/>
      <c r="E23"/>
      <c r="F23"/>
      <c r="G23" s="64"/>
      <c r="H23" s="64"/>
      <c r="I23" s="64"/>
      <c r="J23"/>
      <c r="K23"/>
      <c r="L23"/>
      <c r="M23"/>
      <c r="N23"/>
      <c r="O23"/>
      <c r="P23"/>
      <c r="Q23"/>
      <c r="R23"/>
      <c r="S23"/>
      <c r="T23"/>
      <c r="U23"/>
      <c r="V23"/>
      <c r="W23"/>
      <c r="X23"/>
      <c r="Y23"/>
      <c r="Z23"/>
      <c r="AA23"/>
      <c r="AB23"/>
    </row>
    <row r="24" spans="2:28" x14ac:dyDescent="0.25">
      <c r="B24"/>
      <c r="C24" s="301"/>
      <c r="D24"/>
      <c r="E24"/>
      <c r="F24"/>
      <c r="G24"/>
      <c r="H24" s="64"/>
      <c r="I24" s="301"/>
      <c r="J24"/>
      <c r="K24"/>
      <c r="L24"/>
      <c r="M24"/>
      <c r="N24"/>
      <c r="O24"/>
      <c r="P24"/>
      <c r="Q24"/>
      <c r="R24"/>
      <c r="S24"/>
      <c r="T24"/>
      <c r="U24"/>
      <c r="V24"/>
      <c r="W24"/>
      <c r="X24"/>
      <c r="Y24"/>
      <c r="Z24"/>
      <c r="AA24"/>
      <c r="AB24"/>
    </row>
    <row r="25" spans="2:28" x14ac:dyDescent="0.25">
      <c r="B25"/>
      <c r="C25" s="27"/>
      <c r="D25"/>
      <c r="E25" s="301"/>
      <c r="F25"/>
      <c r="G25" s="127"/>
      <c r="H25" s="64"/>
      <c r="I25" s="186"/>
      <c r="J25"/>
      <c r="K25"/>
      <c r="L25"/>
      <c r="M25"/>
      <c r="N25"/>
      <c r="O25"/>
      <c r="P25"/>
      <c r="Q25"/>
      <c r="R25"/>
      <c r="S25"/>
      <c r="T25"/>
      <c r="U25"/>
      <c r="V25"/>
      <c r="W25"/>
      <c r="X25"/>
      <c r="Y25"/>
      <c r="Z25"/>
      <c r="AA25"/>
      <c r="AB25"/>
    </row>
    <row r="26" spans="2:28" x14ac:dyDescent="0.25">
      <c r="B26"/>
      <c r="C26"/>
      <c r="D26"/>
      <c r="E26"/>
      <c r="F26"/>
      <c r="G26" s="187"/>
      <c r="H26" s="217"/>
      <c r="I26"/>
      <c r="J26"/>
      <c r="K26"/>
      <c r="L26"/>
      <c r="M26"/>
      <c r="N26"/>
      <c r="O26"/>
      <c r="P26"/>
      <c r="Q26"/>
      <c r="R26"/>
      <c r="S26"/>
      <c r="T26"/>
      <c r="U26"/>
      <c r="V26"/>
      <c r="W26"/>
      <c r="X26"/>
      <c r="Y26"/>
      <c r="Z26"/>
      <c r="AA26"/>
      <c r="AB26"/>
    </row>
    <row r="27" spans="2:28" x14ac:dyDescent="0.25">
      <c r="B27"/>
      <c r="C27" s="27"/>
      <c r="D27"/>
      <c r="E27" s="127"/>
      <c r="F27" s="95"/>
      <c r="G27" s="95"/>
      <c r="H27" s="127"/>
      <c r="I27" s="95"/>
      <c r="J27"/>
      <c r="K27"/>
      <c r="L27"/>
      <c r="M27"/>
      <c r="N27"/>
      <c r="O27"/>
      <c r="P27"/>
      <c r="Q27"/>
      <c r="R27"/>
      <c r="S27"/>
      <c r="T27"/>
      <c r="U27"/>
      <c r="V27"/>
      <c r="W27"/>
      <c r="X27"/>
      <c r="Y27"/>
      <c r="Z27"/>
      <c r="AA27"/>
      <c r="AB27"/>
    </row>
    <row r="28" spans="2:28" x14ac:dyDescent="0.25">
      <c r="B28"/>
      <c r="C28"/>
      <c r="D28"/>
      <c r="E28"/>
      <c r="F28"/>
      <c r="G28"/>
      <c r="H28" s="127"/>
      <c r="I28" s="64"/>
      <c r="J28"/>
      <c r="K28"/>
      <c r="L28"/>
      <c r="M28"/>
      <c r="N28"/>
      <c r="O28"/>
      <c r="P28"/>
      <c r="Q28"/>
      <c r="R28"/>
      <c r="S28"/>
      <c r="T28"/>
      <c r="U28"/>
      <c r="V28"/>
      <c r="W28"/>
      <c r="X28"/>
      <c r="Y28"/>
      <c r="Z28"/>
      <c r="AA28"/>
      <c r="AB28"/>
    </row>
    <row r="29" spans="2:28" hidden="1" outlineLevel="1" x14ac:dyDescent="0.25">
      <c r="B29"/>
      <c r="C29"/>
      <c r="D29"/>
      <c r="E29"/>
      <c r="F29"/>
      <c r="G29"/>
      <c r="H29"/>
      <c r="I29"/>
      <c r="J29"/>
      <c r="K29"/>
      <c r="L29"/>
      <c r="M29"/>
      <c r="N29"/>
      <c r="O29"/>
      <c r="P29"/>
      <c r="Q29"/>
      <c r="R29"/>
      <c r="S29"/>
      <c r="T29"/>
      <c r="U29"/>
      <c r="V29"/>
      <c r="W29"/>
      <c r="X29"/>
      <c r="Y29"/>
      <c r="Z29"/>
      <c r="AA29"/>
      <c r="AB29"/>
    </row>
    <row r="30" spans="2:28" hidden="1" outlineLevel="1" x14ac:dyDescent="0.25">
      <c r="B30" s="569" t="s">
        <v>193</v>
      </c>
      <c r="C30" s="569"/>
      <c r="D30" s="569"/>
      <c r="E30" s="569"/>
      <c r="F30" s="569"/>
      <c r="G30" s="569"/>
      <c r="H30" s="569"/>
      <c r="I30" s="569"/>
      <c r="J30" s="569"/>
      <c r="K30" s="569"/>
      <c r="L30" s="569"/>
      <c r="M30" s="569"/>
      <c r="N30" s="569"/>
      <c r="O30"/>
      <c r="P30"/>
      <c r="Q30"/>
      <c r="R30"/>
      <c r="S30"/>
    </row>
    <row r="31" spans="2:28" ht="34.5" hidden="1" customHeight="1" outlineLevel="1" x14ac:dyDescent="0.25">
      <c r="B31" s="292"/>
      <c r="C31" s="565" t="s">
        <v>194</v>
      </c>
      <c r="D31" s="568"/>
      <c r="E31" s="568"/>
      <c r="F31" s="568"/>
      <c r="G31" s="565" t="s">
        <v>176</v>
      </c>
      <c r="H31" s="568"/>
      <c r="I31" s="568"/>
      <c r="J31" s="568"/>
      <c r="K31" s="565" t="s">
        <v>99</v>
      </c>
      <c r="L31" s="566"/>
      <c r="M31" s="566"/>
      <c r="N31" s="567"/>
      <c r="O31"/>
      <c r="P31"/>
      <c r="Q31"/>
      <c r="R31"/>
      <c r="S31"/>
      <c r="T31"/>
    </row>
    <row r="32" spans="2:28" ht="36" hidden="1" outlineLevel="1" x14ac:dyDescent="0.25">
      <c r="B32" s="294" t="s">
        <v>153</v>
      </c>
      <c r="C32" s="339" t="s">
        <v>174</v>
      </c>
      <c r="D32" s="294" t="s">
        <v>195</v>
      </c>
      <c r="E32" s="340" t="s">
        <v>9</v>
      </c>
      <c r="F32" s="294" t="s">
        <v>195</v>
      </c>
      <c r="G32" s="339" t="s">
        <v>174</v>
      </c>
      <c r="H32" s="340" t="s">
        <v>62</v>
      </c>
      <c r="I32" s="294" t="s">
        <v>9</v>
      </c>
      <c r="J32" s="294" t="s">
        <v>195</v>
      </c>
      <c r="K32" s="335" t="s">
        <v>196</v>
      </c>
      <c r="L32" s="336" t="s">
        <v>197</v>
      </c>
      <c r="M32" s="336" t="s">
        <v>198</v>
      </c>
      <c r="N32" s="337" t="s">
        <v>197</v>
      </c>
      <c r="O32"/>
      <c r="P32"/>
      <c r="Q32"/>
      <c r="R32"/>
      <c r="S32"/>
      <c r="T32"/>
    </row>
    <row r="33" spans="2:28" hidden="1" outlineLevel="1" x14ac:dyDescent="0.25">
      <c r="B33" s="302" t="s">
        <v>199</v>
      </c>
      <c r="C33" s="436">
        <v>38</v>
      </c>
      <c r="D33" s="263">
        <f>+C33/$C$46</f>
        <v>2.1228338714903412E-4</v>
      </c>
      <c r="E33" s="333">
        <v>534379.04</v>
      </c>
      <c r="F33" s="263">
        <f>+E33/$E$46</f>
        <v>7.3478387956296934E-5</v>
      </c>
      <c r="G33" s="436">
        <v>39</v>
      </c>
      <c r="H33" s="263">
        <f>+G33/$G$46</f>
        <v>2.4320431032869998E-4</v>
      </c>
      <c r="I33" s="361">
        <v>191459.68</v>
      </c>
      <c r="J33" s="265">
        <f>+I33/$I$46</f>
        <v>7.3932071753585708E-5</v>
      </c>
      <c r="K33" s="436">
        <f t="shared" ref="K33:K45" si="8">+G33-C33</f>
        <v>1</v>
      </c>
      <c r="L33" s="263">
        <f>+K33/$K$46</f>
        <v>-5.3627929425644879E-5</v>
      </c>
      <c r="M33" s="333">
        <f>+I33-E33</f>
        <v>-342919.36000000004</v>
      </c>
      <c r="N33" s="342">
        <f>+M33/$M$46</f>
        <v>7.3227499936188553E-5</v>
      </c>
      <c r="O33"/>
      <c r="P33"/>
      <c r="Q33"/>
      <c r="R33"/>
      <c r="S33"/>
      <c r="T33"/>
    </row>
    <row r="34" spans="2:28" hidden="1" outlineLevel="1" x14ac:dyDescent="0.25">
      <c r="B34" s="302" t="s">
        <v>200</v>
      </c>
      <c r="C34" s="436">
        <v>0</v>
      </c>
      <c r="D34" s="263">
        <f t="shared" ref="D34:D45" si="9">+C34/$C$46</f>
        <v>0</v>
      </c>
      <c r="E34" s="333">
        <v>0</v>
      </c>
      <c r="F34" s="263">
        <f t="shared" ref="F34:F45" si="10">+E34/$E$46</f>
        <v>0</v>
      </c>
      <c r="G34" s="436">
        <v>0</v>
      </c>
      <c r="H34" s="263">
        <f t="shared" ref="H34:H45" si="11">+G34/$G$46</f>
        <v>0</v>
      </c>
      <c r="I34" s="333">
        <v>0</v>
      </c>
      <c r="J34" s="265">
        <f t="shared" ref="J34:J45" si="12">+I34/$I$46</f>
        <v>0</v>
      </c>
      <c r="K34" s="436">
        <f t="shared" si="8"/>
        <v>0</v>
      </c>
      <c r="L34" s="263">
        <f t="shared" ref="L34:L45" si="13">+K34/$K$46</f>
        <v>0</v>
      </c>
      <c r="M34" s="333">
        <f t="shared" ref="M34:M45" si="14">+I34-E34</f>
        <v>0</v>
      </c>
      <c r="N34" s="342">
        <f t="shared" ref="N34:N45" si="15">+M34/$M$46</f>
        <v>0</v>
      </c>
      <c r="O34"/>
      <c r="P34"/>
      <c r="Q34"/>
      <c r="R34"/>
      <c r="S34"/>
      <c r="T34"/>
    </row>
    <row r="35" spans="2:28" hidden="1" outlineLevel="1" x14ac:dyDescent="0.25">
      <c r="B35" s="303" t="s">
        <v>201</v>
      </c>
      <c r="C35" s="438">
        <v>31271</v>
      </c>
      <c r="D35" s="263">
        <f t="shared" si="9"/>
        <v>0.17469246840888014</v>
      </c>
      <c r="E35" s="529">
        <v>548433692.42999995</v>
      </c>
      <c r="F35" s="263">
        <f t="shared" si="10"/>
        <v>7.5410936066421991E-2</v>
      </c>
      <c r="G35" s="438">
        <v>11</v>
      </c>
      <c r="H35" s="530">
        <f t="shared" si="11"/>
        <v>6.8596087528607685E-5</v>
      </c>
      <c r="I35" s="361">
        <v>85224.24</v>
      </c>
      <c r="J35" s="353">
        <f t="shared" si="12"/>
        <v>3.2909303028318075E-5</v>
      </c>
      <c r="K35" s="436">
        <f>+G35-C35</f>
        <v>-31260</v>
      </c>
      <c r="L35" s="263">
        <f t="shared" si="13"/>
        <v>1.6764090738456587</v>
      </c>
      <c r="M35" s="333">
        <f t="shared" si="14"/>
        <v>-548348468.18999994</v>
      </c>
      <c r="N35" s="342">
        <f t="shared" si="15"/>
        <v>0.11709513111010213</v>
      </c>
      <c r="O35"/>
      <c r="P35"/>
      <c r="Q35"/>
      <c r="R35"/>
      <c r="S35"/>
      <c r="T35"/>
    </row>
    <row r="36" spans="2:28" hidden="1" outlineLevel="1" x14ac:dyDescent="0.25">
      <c r="B36" s="303" t="s">
        <v>202</v>
      </c>
      <c r="C36" s="436">
        <v>123595</v>
      </c>
      <c r="D36" s="263">
        <f t="shared" si="9"/>
        <v>0.69045171670223349</v>
      </c>
      <c r="E36" s="333">
        <v>3822286421.3299999</v>
      </c>
      <c r="F36" s="263">
        <f t="shared" si="10"/>
        <v>0.52557346662880255</v>
      </c>
      <c r="G36" s="436">
        <v>131093</v>
      </c>
      <c r="H36" s="263">
        <f t="shared" si="11"/>
        <v>0.8174969911261607</v>
      </c>
      <c r="I36" s="361">
        <v>1359554211.3500001</v>
      </c>
      <c r="J36" s="265">
        <f t="shared" si="12"/>
        <v>0.52499126451280942</v>
      </c>
      <c r="K36" s="436">
        <f t="shared" si="8"/>
        <v>7498</v>
      </c>
      <c r="L36" s="263">
        <f t="shared" si="13"/>
        <v>-0.40210221483348529</v>
      </c>
      <c r="M36" s="333">
        <f t="shared" si="14"/>
        <v>-2462732209.9799995</v>
      </c>
      <c r="N36" s="342">
        <f t="shared" si="15"/>
        <v>0.52589542552849711</v>
      </c>
      <c r="O36"/>
      <c r="P36"/>
      <c r="Q36"/>
      <c r="R36"/>
      <c r="S36"/>
      <c r="T36"/>
    </row>
    <row r="37" spans="2:28" ht="15" hidden="1" customHeight="1" outlineLevel="1" x14ac:dyDescent="0.25">
      <c r="B37" s="303" t="s">
        <v>203</v>
      </c>
      <c r="C37" s="436">
        <v>9199</v>
      </c>
      <c r="D37" s="263">
        <f t="shared" si="9"/>
        <v>5.1389338904841181E-2</v>
      </c>
      <c r="E37" s="333">
        <v>636144703.37</v>
      </c>
      <c r="F37" s="263">
        <f t="shared" si="10"/>
        <v>8.747140851662949E-2</v>
      </c>
      <c r="G37" s="436">
        <v>10250</v>
      </c>
      <c r="H37" s="263">
        <f t="shared" si="11"/>
        <v>6.3919081560748076E-2</v>
      </c>
      <c r="I37" s="361">
        <v>236432362.30000001</v>
      </c>
      <c r="J37" s="265">
        <f t="shared" si="12"/>
        <v>9.1298253368194152E-2</v>
      </c>
      <c r="K37" s="436">
        <f t="shared" si="8"/>
        <v>1051</v>
      </c>
      <c r="L37" s="263">
        <f t="shared" si="13"/>
        <v>-5.6362953826352764E-2</v>
      </c>
      <c r="M37" s="333">
        <f t="shared" si="14"/>
        <v>-399712341.06999999</v>
      </c>
      <c r="N37" s="342">
        <f t="shared" si="15"/>
        <v>8.5355155889119821E-2</v>
      </c>
      <c r="O37"/>
      <c r="P37"/>
      <c r="Q37"/>
      <c r="R37"/>
      <c r="S37"/>
      <c r="T37"/>
    </row>
    <row r="38" spans="2:28" hidden="1" outlineLevel="1" x14ac:dyDescent="0.25">
      <c r="B38" s="303" t="s">
        <v>204</v>
      </c>
      <c r="C38" s="436">
        <v>5287</v>
      </c>
      <c r="D38" s="263">
        <f t="shared" si="9"/>
        <v>2.9535322838340615E-2</v>
      </c>
      <c r="E38" s="333">
        <v>520806968.96000004</v>
      </c>
      <c r="F38" s="263">
        <f t="shared" si="10"/>
        <v>7.1612195934155604E-2</v>
      </c>
      <c r="G38" s="436">
        <v>6429</v>
      </c>
      <c r="H38" s="263">
        <f t="shared" si="11"/>
        <v>4.0091295156492616E-2</v>
      </c>
      <c r="I38" s="361">
        <v>211750514.68000001</v>
      </c>
      <c r="J38" s="265">
        <f t="shared" si="12"/>
        <v>8.1767368697056558E-2</v>
      </c>
      <c r="K38" s="436">
        <f t="shared" si="8"/>
        <v>1142</v>
      </c>
      <c r="L38" s="263">
        <f t="shared" si="13"/>
        <v>-6.1243095404086449E-2</v>
      </c>
      <c r="M38" s="333">
        <f t="shared" si="14"/>
        <v>-309056454.28000003</v>
      </c>
      <c r="N38" s="342">
        <f t="shared" si="15"/>
        <v>6.5996365693868561E-2</v>
      </c>
      <c r="O38"/>
      <c r="P38"/>
      <c r="Q38"/>
      <c r="R38"/>
      <c r="S38"/>
      <c r="T38"/>
    </row>
    <row r="39" spans="2:28" hidden="1" outlineLevel="1" x14ac:dyDescent="0.25">
      <c r="B39" s="303" t="s">
        <v>205</v>
      </c>
      <c r="C39" s="436">
        <v>2359</v>
      </c>
      <c r="D39" s="263">
        <f t="shared" si="9"/>
        <v>1.3178329218015039E-2</v>
      </c>
      <c r="E39" s="333">
        <v>299811581.82999998</v>
      </c>
      <c r="F39" s="263">
        <f t="shared" si="10"/>
        <v>4.1224805006378623E-2</v>
      </c>
      <c r="G39" s="436">
        <v>3368</v>
      </c>
      <c r="H39" s="263">
        <f t="shared" si="11"/>
        <v>2.1002874799668246E-2</v>
      </c>
      <c r="I39" s="361">
        <v>143662880.87</v>
      </c>
      <c r="J39" s="265">
        <f t="shared" si="12"/>
        <v>5.5475358659367216E-2</v>
      </c>
      <c r="K39" s="436">
        <f t="shared" si="8"/>
        <v>1009</v>
      </c>
      <c r="L39" s="263">
        <f t="shared" si="13"/>
        <v>-5.4110580790475676E-2</v>
      </c>
      <c r="M39" s="333">
        <f t="shared" si="14"/>
        <v>-156148700.95999998</v>
      </c>
      <c r="N39" s="342">
        <f t="shared" si="15"/>
        <v>3.334422118828264E-2</v>
      </c>
      <c r="O39"/>
      <c r="P39"/>
      <c r="Q39"/>
      <c r="R39"/>
      <c r="S39"/>
      <c r="T39"/>
    </row>
    <row r="40" spans="2:28" hidden="1" outlineLevel="1" x14ac:dyDescent="0.25">
      <c r="B40" s="303" t="s">
        <v>206</v>
      </c>
      <c r="C40" s="436">
        <v>3692</v>
      </c>
      <c r="D40" s="263">
        <f t="shared" si="9"/>
        <v>2.0625006983006157E-2</v>
      </c>
      <c r="E40" s="333">
        <v>560892803.09000003</v>
      </c>
      <c r="F40" s="263">
        <f t="shared" si="10"/>
        <v>7.7124093391353607E-2</v>
      </c>
      <c r="G40" s="436">
        <v>4433</v>
      </c>
      <c r="H40" s="263">
        <f t="shared" si="11"/>
        <v>2.7644223274028899E-2</v>
      </c>
      <c r="I40" s="361">
        <v>228795264.71000001</v>
      </c>
      <c r="J40" s="265">
        <f t="shared" si="12"/>
        <v>8.8349191471647492E-2</v>
      </c>
      <c r="K40" s="436">
        <f t="shared" si="8"/>
        <v>741</v>
      </c>
      <c r="L40" s="263">
        <f t="shared" si="13"/>
        <v>-3.9738295704402855E-2</v>
      </c>
      <c r="M40" s="333">
        <f t="shared" si="14"/>
        <v>-332097538.38</v>
      </c>
      <c r="N40" s="342">
        <f t="shared" si="15"/>
        <v>7.0916592374749052E-2</v>
      </c>
      <c r="O40"/>
      <c r="P40"/>
      <c r="Q40"/>
      <c r="R40"/>
      <c r="S40"/>
      <c r="T40"/>
    </row>
    <row r="41" spans="2:28" hidden="1" outlineLevel="1" x14ac:dyDescent="0.25">
      <c r="B41" s="303" t="s">
        <v>207</v>
      </c>
      <c r="C41" s="436">
        <v>1044</v>
      </c>
      <c r="D41" s="263">
        <f t="shared" si="9"/>
        <v>5.8322067416734635E-3</v>
      </c>
      <c r="E41" s="333">
        <v>194753084.99000001</v>
      </c>
      <c r="F41" s="263">
        <f t="shared" si="10"/>
        <v>2.6779012018474543E-2</v>
      </c>
      <c r="G41" s="436">
        <v>1310</v>
      </c>
      <c r="H41" s="263">
        <f t="shared" si="11"/>
        <v>8.1691704238614615E-3</v>
      </c>
      <c r="I41" s="361">
        <v>83185353.760000005</v>
      </c>
      <c r="J41" s="265">
        <f t="shared" si="12"/>
        <v>3.2121987997847545E-2</v>
      </c>
      <c r="K41" s="436">
        <f t="shared" si="8"/>
        <v>266</v>
      </c>
      <c r="L41" s="263">
        <f t="shared" si="13"/>
        <v>-1.4265029227221537E-2</v>
      </c>
      <c r="M41" s="333">
        <f t="shared" si="14"/>
        <v>-111567731.23</v>
      </c>
      <c r="N41" s="342">
        <f t="shared" si="15"/>
        <v>2.3824335935788303E-2</v>
      </c>
      <c r="O41"/>
      <c r="P41"/>
      <c r="Q41"/>
      <c r="R41"/>
      <c r="S41"/>
      <c r="T41"/>
    </row>
    <row r="42" spans="2:28" ht="15" hidden="1" customHeight="1" outlineLevel="1" x14ac:dyDescent="0.25">
      <c r="B42" s="303" t="s">
        <v>208</v>
      </c>
      <c r="C42" s="436">
        <v>752</v>
      </c>
      <c r="D42" s="263">
        <f t="shared" si="9"/>
        <v>4.2009765035808857E-3</v>
      </c>
      <c r="E42" s="333">
        <v>159546541.41000003</v>
      </c>
      <c r="F42" s="263">
        <f t="shared" si="10"/>
        <v>2.1938028607576703E-2</v>
      </c>
      <c r="G42" s="436">
        <v>978</v>
      </c>
      <c r="H42" s="263">
        <f t="shared" si="11"/>
        <v>6.0988157820889384E-3</v>
      </c>
      <c r="I42" s="361">
        <v>72235954.590000004</v>
      </c>
      <c r="J42" s="265">
        <f t="shared" si="12"/>
        <v>2.7893882293841918E-2</v>
      </c>
      <c r="K42" s="436">
        <f t="shared" si="8"/>
        <v>226</v>
      </c>
      <c r="L42" s="263">
        <f t="shared" si="13"/>
        <v>-1.2119912050195742E-2</v>
      </c>
      <c r="M42" s="333">
        <f t="shared" si="14"/>
        <v>-87310586.820000023</v>
      </c>
      <c r="N42" s="342">
        <f t="shared" si="15"/>
        <v>1.8644429963913779E-2</v>
      </c>
      <c r="O42"/>
      <c r="P42"/>
      <c r="Q42"/>
      <c r="R42"/>
      <c r="S42"/>
      <c r="T42"/>
    </row>
    <row r="43" spans="2:28" hidden="1" outlineLevel="1" x14ac:dyDescent="0.25">
      <c r="B43" s="303" t="s">
        <v>209</v>
      </c>
      <c r="C43" s="436">
        <v>746</v>
      </c>
      <c r="D43" s="263">
        <f t="shared" si="9"/>
        <v>4.167458074031038E-3</v>
      </c>
      <c r="E43" s="333">
        <v>178095293.09</v>
      </c>
      <c r="F43" s="263">
        <f t="shared" si="10"/>
        <v>2.4488526044841558E-2</v>
      </c>
      <c r="G43" s="436">
        <v>1036</v>
      </c>
      <c r="H43" s="263">
        <f t="shared" si="11"/>
        <v>6.4605042436034149E-3</v>
      </c>
      <c r="I43" s="361">
        <v>86123428</v>
      </c>
      <c r="J43" s="265">
        <f>+I43/$I$46</f>
        <v>3.3256524081523443E-2</v>
      </c>
      <c r="K43" s="436">
        <f t="shared" si="8"/>
        <v>290</v>
      </c>
      <c r="L43" s="263">
        <f t="shared" si="13"/>
        <v>-1.5552099533437015E-2</v>
      </c>
      <c r="M43" s="333">
        <f>+I43-E43</f>
        <v>-91971865.090000004</v>
      </c>
      <c r="N43" s="342">
        <f t="shared" si="15"/>
        <v>1.9639806119459445E-2</v>
      </c>
      <c r="O43"/>
      <c r="P43"/>
      <c r="Q43"/>
      <c r="R43"/>
      <c r="S43"/>
      <c r="T43"/>
    </row>
    <row r="44" spans="2:28" hidden="1" outlineLevel="1" x14ac:dyDescent="0.25">
      <c r="B44" s="303" t="s">
        <v>210</v>
      </c>
      <c r="C44" s="436">
        <v>484</v>
      </c>
      <c r="D44" s="263">
        <f t="shared" si="9"/>
        <v>2.7038199836876978E-3</v>
      </c>
      <c r="E44" s="333">
        <v>129724942.09000002</v>
      </c>
      <c r="F44" s="263">
        <f t="shared" si="10"/>
        <v>1.7837487829794323E-2</v>
      </c>
      <c r="G44" s="436">
        <v>656</v>
      </c>
      <c r="H44" s="263">
        <f t="shared" si="11"/>
        <v>4.0908212198878767E-3</v>
      </c>
      <c r="I44" s="361">
        <v>61750462.460000001</v>
      </c>
      <c r="J44" s="265">
        <f>+I44/$I$46</f>
        <v>2.384491409057939E-2</v>
      </c>
      <c r="K44" s="436">
        <f t="shared" si="8"/>
        <v>172</v>
      </c>
      <c r="L44" s="263">
        <f t="shared" si="13"/>
        <v>-9.2240038612109183E-3</v>
      </c>
      <c r="M44" s="333">
        <f>+I44-E44</f>
        <v>-67974479.630000025</v>
      </c>
      <c r="N44" s="342">
        <f t="shared" si="15"/>
        <v>1.4515369452364184E-2</v>
      </c>
      <c r="O44"/>
      <c r="P44"/>
      <c r="Q44"/>
      <c r="R44"/>
      <c r="S44"/>
      <c r="T44"/>
    </row>
    <row r="45" spans="2:28" hidden="1" outlineLevel="1" x14ac:dyDescent="0.25">
      <c r="B45" s="303" t="s">
        <v>162</v>
      </c>
      <c r="C45" s="436">
        <v>539</v>
      </c>
      <c r="D45" s="263">
        <f t="shared" si="9"/>
        <v>3.0110722545612996E-3</v>
      </c>
      <c r="E45" s="333">
        <v>221571163.65000001</v>
      </c>
      <c r="F45" s="263">
        <f t="shared" si="10"/>
        <v>3.0466561567614733E-2</v>
      </c>
      <c r="G45" s="436">
        <v>756</v>
      </c>
      <c r="H45" s="263">
        <f t="shared" si="11"/>
        <v>4.7144220156024918E-3</v>
      </c>
      <c r="I45" s="361">
        <v>105903042.18000001</v>
      </c>
      <c r="J45" s="265">
        <f t="shared" si="12"/>
        <v>4.0894413452350779E-2</v>
      </c>
      <c r="K45" s="436">
        <f t="shared" si="8"/>
        <v>217</v>
      </c>
      <c r="L45" s="263">
        <f t="shared" si="13"/>
        <v>-1.1637260685364938E-2</v>
      </c>
      <c r="M45" s="333">
        <f t="shared" si="14"/>
        <v>-115668121.47</v>
      </c>
      <c r="N45" s="342">
        <f t="shared" si="15"/>
        <v>2.4699939243918671E-2</v>
      </c>
      <c r="O45"/>
      <c r="P45"/>
      <c r="Q45"/>
      <c r="R45"/>
      <c r="S45"/>
      <c r="T45"/>
    </row>
    <row r="46" spans="2:28" hidden="1" outlineLevel="1" x14ac:dyDescent="0.25">
      <c r="B46" s="299" t="s">
        <v>191</v>
      </c>
      <c r="C46" s="439">
        <f>SUM(C33:C45)</f>
        <v>179006</v>
      </c>
      <c r="D46" s="326">
        <f t="shared" ref="D46:J46" si="16">SUM(D33:D45)</f>
        <v>1</v>
      </c>
      <c r="E46" s="334">
        <f>SUM(E33:E45)</f>
        <v>7272601575.2799997</v>
      </c>
      <c r="F46" s="326">
        <f t="shared" si="16"/>
        <v>0.99999999999999989</v>
      </c>
      <c r="G46" s="440">
        <f>+SUM(G33:G45)</f>
        <v>160359</v>
      </c>
      <c r="H46" s="326">
        <f t="shared" si="16"/>
        <v>1</v>
      </c>
      <c r="I46" s="343">
        <f>SUM(I33:I45)</f>
        <v>2589670158.8200006</v>
      </c>
      <c r="J46" s="326">
        <f t="shared" si="16"/>
        <v>1</v>
      </c>
      <c r="K46" s="439">
        <f>+SUM(K33:K45)</f>
        <v>-18647</v>
      </c>
      <c r="L46" s="326">
        <f>+SUM(L33:L45)</f>
        <v>1</v>
      </c>
      <c r="M46" s="334">
        <f>+SUM(M33:M45)</f>
        <v>-4682931416.46</v>
      </c>
      <c r="N46" s="328">
        <f>+SUM(N33:N45)</f>
        <v>0.99999999999999978</v>
      </c>
      <c r="O46"/>
      <c r="P46" s="64"/>
      <c r="Q46" s="64"/>
      <c r="R46"/>
      <c r="S46"/>
      <c r="T46"/>
    </row>
    <row r="47" spans="2:28" ht="13.5" hidden="1" customHeight="1" outlineLevel="1" x14ac:dyDescent="0.25">
      <c r="B47" s="131" t="s">
        <v>211</v>
      </c>
      <c r="C47" s="304"/>
      <c r="D47" s="304"/>
      <c r="E47" s="304"/>
      <c r="F47"/>
      <c r="G47" s="104"/>
      <c r="H47" s="104"/>
      <c r="I47" s="305"/>
      <c r="J47"/>
      <c r="K47" s="64"/>
      <c r="L47"/>
      <c r="M47"/>
      <c r="N47"/>
      <c r="O47"/>
      <c r="P47"/>
      <c r="Q47"/>
      <c r="R47"/>
      <c r="S47" s="104"/>
      <c r="T47" s="104"/>
      <c r="U47" s="104"/>
      <c r="V47"/>
      <c r="W47"/>
      <c r="X47"/>
      <c r="Y47"/>
      <c r="Z47"/>
      <c r="AA47"/>
      <c r="AB47"/>
    </row>
    <row r="48" spans="2:28" ht="13.5" hidden="1" customHeight="1" outlineLevel="1" x14ac:dyDescent="0.25">
      <c r="B48" s="306" t="s">
        <v>212</v>
      </c>
      <c r="C48" s="104"/>
      <c r="D48" s="104"/>
      <c r="E48" s="104"/>
      <c r="F48" s="64"/>
      <c r="G48" s="64"/>
      <c r="H48"/>
      <c r="I48" s="64"/>
      <c r="J48"/>
      <c r="K48"/>
      <c r="L48"/>
      <c r="M48"/>
      <c r="N48"/>
      <c r="O48"/>
      <c r="P48"/>
      <c r="Q48"/>
      <c r="R48"/>
      <c r="S48" s="104"/>
      <c r="T48" s="104"/>
      <c r="U48" s="104"/>
      <c r="V48"/>
      <c r="W48"/>
      <c r="X48"/>
      <c r="Y48"/>
      <c r="Z48"/>
      <c r="AA48"/>
      <c r="AB48"/>
    </row>
    <row r="49" spans="2:28" ht="14.25" hidden="1" customHeight="1" outlineLevel="1" x14ac:dyDescent="0.25">
      <c r="B49" s="108" t="s">
        <v>213</v>
      </c>
      <c r="C49"/>
      <c r="D49"/>
      <c r="E49" s="64"/>
      <c r="F49" s="64"/>
      <c r="G49" s="64"/>
      <c r="H49" s="87"/>
      <c r="I49" s="87"/>
      <c r="J49"/>
      <c r="K49"/>
      <c r="L49"/>
      <c r="M49" s="64"/>
      <c r="N49" s="64"/>
      <c r="O49" s="64"/>
      <c r="P49"/>
      <c r="Q49"/>
      <c r="R49"/>
      <c r="S49"/>
      <c r="T49"/>
      <c r="U49"/>
      <c r="V49"/>
      <c r="W49"/>
      <c r="X49"/>
      <c r="Y49"/>
      <c r="Z49"/>
      <c r="AA49"/>
      <c r="AB49"/>
    </row>
    <row r="50" spans="2:28" hidden="1" outlineLevel="1" x14ac:dyDescent="0.25">
      <c r="B50"/>
      <c r="C50"/>
      <c r="D50"/>
      <c r="E50"/>
      <c r="F50"/>
      <c r="G50" s="64"/>
      <c r="H50"/>
      <c r="I50" s="64"/>
      <c r="J50"/>
      <c r="K50"/>
      <c r="L50"/>
      <c r="M50"/>
      <c r="N50" s="186"/>
      <c r="O50" s="87"/>
      <c r="P50"/>
      <c r="Q50"/>
      <c r="R50"/>
      <c r="S50"/>
      <c r="T50"/>
      <c r="U50"/>
      <c r="V50"/>
      <c r="W50"/>
      <c r="X50"/>
      <c r="Y50"/>
      <c r="Z50"/>
      <c r="AA50"/>
      <c r="AB50"/>
    </row>
    <row r="51" spans="2:28" hidden="1" outlineLevel="1" x14ac:dyDescent="0.25">
      <c r="B51"/>
      <c r="C51"/>
      <c r="D51"/>
      <c r="E51"/>
      <c r="F51"/>
      <c r="G51"/>
      <c r="H51"/>
      <c r="I51"/>
      <c r="J51"/>
      <c r="K51"/>
      <c r="L51"/>
      <c r="M51"/>
      <c r="N51"/>
      <c r="O51"/>
      <c r="P51"/>
      <c r="Q51"/>
      <c r="R51"/>
      <c r="S51"/>
      <c r="T51"/>
      <c r="U51"/>
      <c r="V51"/>
      <c r="W51"/>
      <c r="X51"/>
      <c r="Y51"/>
      <c r="Z51"/>
      <c r="AA51"/>
      <c r="AB51"/>
    </row>
    <row r="52" spans="2:28" hidden="1" outlineLevel="1" x14ac:dyDescent="0.25">
      <c r="B52" s="569" t="s">
        <v>214</v>
      </c>
      <c r="C52" s="569"/>
      <c r="D52" s="569"/>
      <c r="E52" s="569"/>
      <c r="F52" s="569"/>
      <c r="G52" s="569"/>
      <c r="H52" s="569"/>
      <c r="I52" s="569"/>
      <c r="J52" s="569"/>
      <c r="K52" s="569"/>
      <c r="L52" s="569"/>
      <c r="M52" s="569"/>
      <c r="N52" s="569"/>
      <c r="O52"/>
      <c r="P52"/>
      <c r="Q52"/>
      <c r="R52"/>
      <c r="S52"/>
      <c r="T52"/>
    </row>
    <row r="53" spans="2:28" ht="24.75" hidden="1" customHeight="1" outlineLevel="1" x14ac:dyDescent="0.25">
      <c r="B53" s="292"/>
      <c r="C53" s="565" t="s">
        <v>194</v>
      </c>
      <c r="D53" s="568"/>
      <c r="E53" s="568"/>
      <c r="F53" s="568"/>
      <c r="G53" s="565" t="s">
        <v>176</v>
      </c>
      <c r="H53" s="568"/>
      <c r="I53" s="568"/>
      <c r="J53" s="568"/>
      <c r="K53" s="565" t="s">
        <v>99</v>
      </c>
      <c r="L53" s="566"/>
      <c r="M53" s="566"/>
      <c r="N53" s="567"/>
      <c r="O53"/>
      <c r="P53"/>
      <c r="Q53"/>
      <c r="R53"/>
      <c r="S53"/>
      <c r="T53"/>
    </row>
    <row r="54" spans="2:28" ht="45" hidden="1" customHeight="1" outlineLevel="1" x14ac:dyDescent="0.25">
      <c r="B54" s="294" t="s">
        <v>153</v>
      </c>
      <c r="C54" s="322" t="s">
        <v>131</v>
      </c>
      <c r="D54" s="294" t="s">
        <v>62</v>
      </c>
      <c r="E54" s="294" t="s">
        <v>9</v>
      </c>
      <c r="F54" s="294" t="s">
        <v>62</v>
      </c>
      <c r="G54" s="322" t="s">
        <v>215</v>
      </c>
      <c r="H54" s="294" t="s">
        <v>62</v>
      </c>
      <c r="I54" s="294" t="s">
        <v>9</v>
      </c>
      <c r="J54" s="294" t="s">
        <v>62</v>
      </c>
      <c r="K54" s="335" t="s">
        <v>179</v>
      </c>
      <c r="L54" s="336" t="s">
        <v>180</v>
      </c>
      <c r="M54" s="336" t="s">
        <v>216</v>
      </c>
      <c r="N54" s="337" t="s">
        <v>180</v>
      </c>
      <c r="O54"/>
      <c r="P54"/>
      <c r="Q54"/>
      <c r="R54"/>
      <c r="S54"/>
      <c r="T54"/>
    </row>
    <row r="55" spans="2:28" ht="0.75" hidden="1" customHeight="1" outlineLevel="1" x14ac:dyDescent="0.25">
      <c r="B55" s="307" t="s">
        <v>217</v>
      </c>
      <c r="C55" s="329">
        <v>0</v>
      </c>
      <c r="D55" s="264">
        <f>C55/$G$67</f>
        <v>0</v>
      </c>
      <c r="E55" s="341">
        <v>0</v>
      </c>
      <c r="F55" s="308">
        <f>E55/E67</f>
        <v>0</v>
      </c>
      <c r="G55" s="329">
        <v>0</v>
      </c>
      <c r="H55" s="264">
        <f>G55/$G$67</f>
        <v>0</v>
      </c>
      <c r="I55" s="341">
        <v>0</v>
      </c>
      <c r="J55" s="308">
        <f>I55/I67</f>
        <v>0</v>
      </c>
      <c r="K55" s="329">
        <f>+G55-C55</f>
        <v>0</v>
      </c>
      <c r="L55" s="264"/>
      <c r="M55" s="341">
        <f>+I55-E55</f>
        <v>0</v>
      </c>
      <c r="N55" s="344"/>
      <c r="O55"/>
      <c r="P55"/>
      <c r="Q55"/>
      <c r="R55"/>
      <c r="S55"/>
      <c r="T55"/>
    </row>
    <row r="56" spans="2:28" ht="13.5" hidden="1" customHeight="1" outlineLevel="1" x14ac:dyDescent="0.25">
      <c r="B56" s="309" t="s">
        <v>218</v>
      </c>
      <c r="C56" s="436">
        <v>1</v>
      </c>
      <c r="D56" s="263">
        <f t="shared" ref="D56:D66" si="17">+C56/$C$67</f>
        <v>7.398693390747194E-6</v>
      </c>
      <c r="E56" s="345">
        <v>30000</v>
      </c>
      <c r="F56" s="310">
        <f>+E56/$E$67</f>
        <v>4.4613728260228678E-6</v>
      </c>
      <c r="G56" s="436">
        <v>1</v>
      </c>
      <c r="H56" s="263">
        <f>+G56/$G$67</f>
        <v>6.7730486846739454E-6</v>
      </c>
      <c r="I56" s="361">
        <v>10000</v>
      </c>
      <c r="J56" s="265">
        <f>+I56/$I$67</f>
        <v>3.8615254519771113E-6</v>
      </c>
      <c r="K56" s="436">
        <f>+G56-C56</f>
        <v>0</v>
      </c>
      <c r="L56" s="265">
        <f>K56/$K$67</f>
        <v>0</v>
      </c>
      <c r="M56" s="341">
        <f>+I56-E56</f>
        <v>-20000</v>
      </c>
      <c r="N56" s="338">
        <f>M56/$M$67</f>
        <v>4.8370665378608776E-6</v>
      </c>
      <c r="O56"/>
      <c r="P56"/>
      <c r="Q56"/>
      <c r="R56"/>
      <c r="S56"/>
      <c r="T56"/>
    </row>
    <row r="57" spans="2:28" hidden="1" outlineLevel="1" x14ac:dyDescent="0.25">
      <c r="B57" s="302" t="s">
        <v>163</v>
      </c>
      <c r="C57" s="436">
        <v>9</v>
      </c>
      <c r="D57" s="263">
        <f t="shared" si="17"/>
        <v>6.6588240516724748E-5</v>
      </c>
      <c r="E57" s="345">
        <v>450422.05000000005</v>
      </c>
      <c r="F57" s="310">
        <f t="shared" ref="F57:F66" si="18">+E57/$E$67</f>
        <v>6.6983356470383789E-5</v>
      </c>
      <c r="G57" s="436">
        <v>10</v>
      </c>
      <c r="H57" s="263">
        <f t="shared" ref="H57:H66" si="19">+G57/$G$67</f>
        <v>6.7730486846739454E-5</v>
      </c>
      <c r="I57" s="361">
        <v>225913.22</v>
      </c>
      <c r="J57" s="265">
        <f t="shared" ref="J57:J66" si="20">+I57/$I$67</f>
        <v>8.7236964896810471E-5</v>
      </c>
      <c r="K57" s="436">
        <f>+G57-C57</f>
        <v>1</v>
      </c>
      <c r="L57" s="265">
        <f t="shared" ref="L57:L66" si="21">K57/$K$67</f>
        <v>8.009611533840609E-5</v>
      </c>
      <c r="M57" s="341">
        <f>+I57-E57</f>
        <v>-224508.83000000005</v>
      </c>
      <c r="N57" s="338">
        <f t="shared" ref="N57:N66" si="22">M57/$M$67</f>
        <v>5.4298207452364831E-5</v>
      </c>
      <c r="O57"/>
      <c r="P57"/>
      <c r="Q57"/>
      <c r="R57"/>
      <c r="S57"/>
      <c r="T57"/>
    </row>
    <row r="58" spans="2:28" hidden="1" outlineLevel="1" x14ac:dyDescent="0.25">
      <c r="B58" s="302" t="s">
        <v>164</v>
      </c>
      <c r="C58" s="436">
        <v>65</v>
      </c>
      <c r="D58" s="263">
        <f t="shared" si="17"/>
        <v>4.8091507039856762E-4</v>
      </c>
      <c r="E58" s="345">
        <v>3508748.91</v>
      </c>
      <c r="F58" s="310">
        <f t="shared" si="18"/>
        <v>5.2179456801371192E-4</v>
      </c>
      <c r="G58" s="436">
        <v>66</v>
      </c>
      <c r="H58" s="263">
        <f t="shared" si="19"/>
        <v>4.4702121318848041E-4</v>
      </c>
      <c r="I58" s="361">
        <v>1231936.8400000001</v>
      </c>
      <c r="J58" s="265">
        <f t="shared" si="20"/>
        <v>4.7571554628882552E-4</v>
      </c>
      <c r="K58" s="436">
        <f t="shared" ref="K58:K66" si="23">+G58-C58</f>
        <v>1</v>
      </c>
      <c r="L58" s="265">
        <f t="shared" si="21"/>
        <v>8.009611533840609E-5</v>
      </c>
      <c r="M58" s="341">
        <f t="shared" ref="M58:M66" si="24">+I58-E58</f>
        <v>-2276812.0700000003</v>
      </c>
      <c r="N58" s="338">
        <f t="shared" si="22"/>
        <v>5.5065457383973802E-4</v>
      </c>
      <c r="O58"/>
      <c r="P58"/>
      <c r="Q58"/>
      <c r="R58"/>
      <c r="S58"/>
      <c r="T58"/>
    </row>
    <row r="59" spans="2:28" hidden="1" outlineLevel="1" x14ac:dyDescent="0.25">
      <c r="B59" s="302" t="s">
        <v>165</v>
      </c>
      <c r="C59" s="436">
        <v>527</v>
      </c>
      <c r="D59" s="263">
        <f t="shared" si="17"/>
        <v>3.8991114169237714E-3</v>
      </c>
      <c r="E59" s="345">
        <v>28611527.600000001</v>
      </c>
      <c r="F59" s="310">
        <f t="shared" si="18"/>
        <v>4.2548897248547764E-3</v>
      </c>
      <c r="G59" s="436">
        <v>484</v>
      </c>
      <c r="H59" s="263">
        <f t="shared" si="19"/>
        <v>3.2781555633821895E-3</v>
      </c>
      <c r="I59" s="361">
        <v>10459426.51</v>
      </c>
      <c r="J59" s="265">
        <f t="shared" si="20"/>
        <v>4.038934168144913E-3</v>
      </c>
      <c r="K59" s="436">
        <f t="shared" si="23"/>
        <v>-43</v>
      </c>
      <c r="L59" s="265">
        <f t="shared" si="21"/>
        <v>-3.4441329595514616E-3</v>
      </c>
      <c r="M59" s="341">
        <f t="shared" si="24"/>
        <v>-18152101.090000004</v>
      </c>
      <c r="N59" s="338">
        <f t="shared" si="22"/>
        <v>4.3901460387153488E-3</v>
      </c>
      <c r="O59"/>
      <c r="P59"/>
      <c r="Q59"/>
      <c r="R59"/>
      <c r="S59"/>
      <c r="T59"/>
    </row>
    <row r="60" spans="2:28" hidden="1" outlineLevel="1" x14ac:dyDescent="0.25">
      <c r="B60" s="302" t="s">
        <v>166</v>
      </c>
      <c r="C60" s="436">
        <v>2822</v>
      </c>
      <c r="D60" s="263">
        <f t="shared" si="17"/>
        <v>2.0879112748688582E-2</v>
      </c>
      <c r="E60" s="345">
        <v>164946719.48000002</v>
      </c>
      <c r="F60" s="310">
        <f t="shared" si="18"/>
        <v>2.4529627067656296E-2</v>
      </c>
      <c r="G60" s="436">
        <v>2790</v>
      </c>
      <c r="H60" s="263">
        <f t="shared" si="19"/>
        <v>1.8896805830240306E-2</v>
      </c>
      <c r="I60" s="361">
        <v>60566792.960000001</v>
      </c>
      <c r="J60" s="265">
        <f t="shared" si="20"/>
        <v>2.3388021255966816E-2</v>
      </c>
      <c r="K60" s="436">
        <f t="shared" si="23"/>
        <v>-32</v>
      </c>
      <c r="L60" s="265">
        <f t="shared" si="21"/>
        <v>-2.5630756908289949E-3</v>
      </c>
      <c r="M60" s="341">
        <f t="shared" si="24"/>
        <v>-104379926.52000001</v>
      </c>
      <c r="N60" s="338">
        <f t="shared" si="22"/>
        <v>2.5244632489713464E-2</v>
      </c>
      <c r="O60"/>
      <c r="P60"/>
      <c r="Q60"/>
      <c r="R60"/>
      <c r="S60"/>
      <c r="T60"/>
    </row>
    <row r="61" spans="2:28" hidden="1" outlineLevel="1" x14ac:dyDescent="0.25">
      <c r="B61" s="302" t="s">
        <v>167</v>
      </c>
      <c r="C61" s="436">
        <v>43703</v>
      </c>
      <c r="D61" s="263">
        <f t="shared" si="17"/>
        <v>0.32334509725582461</v>
      </c>
      <c r="E61" s="345">
        <v>2328534476</v>
      </c>
      <c r="F61" s="310">
        <f t="shared" si="18"/>
        <v>0.34628201452279322</v>
      </c>
      <c r="G61" s="436">
        <v>48728</v>
      </c>
      <c r="H61" s="263">
        <f t="shared" si="19"/>
        <v>0.330037116306792</v>
      </c>
      <c r="I61" s="361">
        <v>931532453.09000003</v>
      </c>
      <c r="J61" s="265">
        <f t="shared" si="20"/>
        <v>0.35971362769497101</v>
      </c>
      <c r="K61" s="436">
        <f t="shared" si="23"/>
        <v>5025</v>
      </c>
      <c r="L61" s="265">
        <f t="shared" si="21"/>
        <v>0.40248297957549056</v>
      </c>
      <c r="M61" s="341">
        <f t="shared" si="24"/>
        <v>-1397002022.9099998</v>
      </c>
      <c r="N61" s="338">
        <f t="shared" si="22"/>
        <v>0.33786958691709579</v>
      </c>
      <c r="O61"/>
      <c r="P61"/>
      <c r="Q61"/>
      <c r="R61"/>
      <c r="S61"/>
      <c r="T61"/>
    </row>
    <row r="62" spans="2:28" hidden="1" outlineLevel="1" x14ac:dyDescent="0.25">
      <c r="B62" s="302" t="s">
        <v>168</v>
      </c>
      <c r="C62" s="436">
        <v>54708</v>
      </c>
      <c r="D62" s="263">
        <f t="shared" si="17"/>
        <v>0.40476771802099748</v>
      </c>
      <c r="E62" s="345">
        <v>2745069713.7600002</v>
      </c>
      <c r="F62" s="310">
        <f t="shared" si="18"/>
        <v>0.40822598088357454</v>
      </c>
      <c r="G62" s="436">
        <v>60495</v>
      </c>
      <c r="H62" s="263">
        <f t="shared" si="19"/>
        <v>0.40973558017935036</v>
      </c>
      <c r="I62" s="361">
        <v>1062260753.1900001</v>
      </c>
      <c r="J62" s="265">
        <f t="shared" si="20"/>
        <v>0.41019469350795618</v>
      </c>
      <c r="K62" s="436">
        <f t="shared" si="23"/>
        <v>5787</v>
      </c>
      <c r="L62" s="265">
        <f t="shared" si="21"/>
        <v>0.46351621946335603</v>
      </c>
      <c r="M62" s="341">
        <f t="shared" si="24"/>
        <v>-1682808960.5700002</v>
      </c>
      <c r="N62" s="338">
        <f t="shared" si="22"/>
        <v>0.40699294563927962</v>
      </c>
      <c r="O62"/>
      <c r="P62"/>
      <c r="Q62"/>
      <c r="R62"/>
      <c r="S62"/>
      <c r="T62"/>
    </row>
    <row r="63" spans="2:28" hidden="1" outlineLevel="1" x14ac:dyDescent="0.25">
      <c r="B63" s="302" t="s">
        <v>169</v>
      </c>
      <c r="C63" s="436">
        <v>27179</v>
      </c>
      <c r="D63" s="263">
        <f t="shared" si="17"/>
        <v>0.201089087667118</v>
      </c>
      <c r="E63" s="345">
        <v>1195580820.73</v>
      </c>
      <c r="F63" s="310">
        <f t="shared" si="18"/>
        <v>0.17779772616396466</v>
      </c>
      <c r="G63" s="436">
        <v>28413</v>
      </c>
      <c r="H63" s="263">
        <f t="shared" si="19"/>
        <v>0.1924426322776408</v>
      </c>
      <c r="I63" s="361">
        <v>429192161.23000002</v>
      </c>
      <c r="J63" s="265">
        <f t="shared" si="20"/>
        <v>0.16573364543787092</v>
      </c>
      <c r="K63" s="436">
        <f t="shared" si="23"/>
        <v>1234</v>
      </c>
      <c r="L63" s="265">
        <f t="shared" si="21"/>
        <v>9.8838606327593115E-2</v>
      </c>
      <c r="M63" s="341">
        <f t="shared" si="24"/>
        <v>-766388659.5</v>
      </c>
      <c r="N63" s="338">
        <f t="shared" si="22"/>
        <v>0.18535364699317519</v>
      </c>
      <c r="O63"/>
      <c r="P63"/>
      <c r="Q63"/>
      <c r="R63"/>
      <c r="S63"/>
      <c r="T63"/>
    </row>
    <row r="64" spans="2:28" hidden="1" outlineLevel="1" x14ac:dyDescent="0.25">
      <c r="B64" s="302" t="s">
        <v>170</v>
      </c>
      <c r="C64" s="436">
        <v>5739</v>
      </c>
      <c r="D64" s="263">
        <f t="shared" si="17"/>
        <v>4.2461101369498148E-2</v>
      </c>
      <c r="E64" s="345">
        <v>241252185.55000001</v>
      </c>
      <c r="F64" s="310">
        <f t="shared" si="18"/>
        <v>3.5877198161046557E-2</v>
      </c>
      <c r="G64" s="436">
        <v>6221</v>
      </c>
      <c r="H64" s="263">
        <f t="shared" si="19"/>
        <v>4.2135135867356614E-2</v>
      </c>
      <c r="I64" s="361">
        <v>88215125.420000002</v>
      </c>
      <c r="J64" s="265">
        <f t="shared" si="20"/>
        <v>3.4064495205868309E-2</v>
      </c>
      <c r="K64" s="436">
        <f t="shared" si="23"/>
        <v>482</v>
      </c>
      <c r="L64" s="265">
        <f t="shared" si="21"/>
        <v>3.8606327593111736E-2</v>
      </c>
      <c r="M64" s="341">
        <f t="shared" si="24"/>
        <v>-153037060.13</v>
      </c>
      <c r="N64" s="338">
        <f t="shared" si="22"/>
        <v>3.7012522130371303E-2</v>
      </c>
      <c r="O64"/>
      <c r="P64"/>
      <c r="Q64"/>
      <c r="R64"/>
      <c r="S64"/>
      <c r="T64"/>
    </row>
    <row r="65" spans="2:28" hidden="1" outlineLevel="1" x14ac:dyDescent="0.25">
      <c r="B65" s="303">
        <v>100</v>
      </c>
      <c r="C65" s="436">
        <v>342</v>
      </c>
      <c r="D65" s="263">
        <f t="shared" si="17"/>
        <v>2.5303531396355405E-3</v>
      </c>
      <c r="E65" s="345">
        <v>12771843.52</v>
      </c>
      <c r="F65" s="310">
        <f t="shared" si="18"/>
        <v>1.8993318539448083E-3</v>
      </c>
      <c r="G65" s="436">
        <v>377</v>
      </c>
      <c r="H65" s="263">
        <f t="shared" si="19"/>
        <v>2.5534393541220774E-3</v>
      </c>
      <c r="I65" s="361">
        <v>4835223.8</v>
      </c>
      <c r="J65" s="265">
        <f t="shared" si="20"/>
        <v>1.8671339769705487E-3</v>
      </c>
      <c r="K65" s="436">
        <f t="shared" si="23"/>
        <v>35</v>
      </c>
      <c r="L65" s="265">
        <f t="shared" si="21"/>
        <v>2.803364036844213E-3</v>
      </c>
      <c r="M65" s="341">
        <f t="shared" si="24"/>
        <v>-7936619.7199999997</v>
      </c>
      <c r="N65" s="338">
        <f t="shared" si="22"/>
        <v>1.9194978835669384E-3</v>
      </c>
      <c r="O65"/>
      <c r="P65"/>
      <c r="Q65"/>
      <c r="R65"/>
      <c r="S65"/>
      <c r="T65"/>
    </row>
    <row r="66" spans="2:28" hidden="1" outlineLevel="1" x14ac:dyDescent="0.25">
      <c r="B66" s="303" t="s">
        <v>219</v>
      </c>
      <c r="C66" s="436">
        <v>64</v>
      </c>
      <c r="D66" s="263">
        <f t="shared" si="17"/>
        <v>4.7351637700782041E-4</v>
      </c>
      <c r="E66" s="345">
        <v>3631117.68</v>
      </c>
      <c r="F66" s="310">
        <f t="shared" si="18"/>
        <v>5.3999232485477328E-4</v>
      </c>
      <c r="G66" s="436">
        <v>59</v>
      </c>
      <c r="H66" s="263">
        <f t="shared" si="19"/>
        <v>3.9960987239576277E-4</v>
      </c>
      <c r="I66" s="346">
        <v>1120372.56</v>
      </c>
      <c r="J66" s="265">
        <f t="shared" si="20"/>
        <v>4.3263471561367541E-4</v>
      </c>
      <c r="K66" s="436">
        <f t="shared" si="23"/>
        <v>-5</v>
      </c>
      <c r="L66" s="265">
        <f t="shared" si="21"/>
        <v>-4.0048057669203043E-4</v>
      </c>
      <c r="M66" s="341">
        <f t="shared" si="24"/>
        <v>-2510745.12</v>
      </c>
      <c r="N66" s="338">
        <f t="shared" si="22"/>
        <v>6.0723206025247475E-4</v>
      </c>
      <c r="O66"/>
      <c r="P66"/>
      <c r="Q66"/>
      <c r="R66"/>
      <c r="S66"/>
      <c r="T66"/>
    </row>
    <row r="67" spans="2:28" hidden="1" outlineLevel="1" x14ac:dyDescent="0.25">
      <c r="B67" s="299" t="s">
        <v>191</v>
      </c>
      <c r="C67" s="439">
        <f t="shared" ref="C67:J67" si="25">SUM(C55:C66)</f>
        <v>135159</v>
      </c>
      <c r="D67" s="326">
        <f>SUM(D55:D66)</f>
        <v>0.99999999999999989</v>
      </c>
      <c r="E67" s="334">
        <f>+SUM(E56:E66)</f>
        <v>6724387575.2800016</v>
      </c>
      <c r="F67" s="326">
        <f t="shared" si="25"/>
        <v>0.99999999999999989</v>
      </c>
      <c r="G67" s="440">
        <f>+SUM(G56:G66)</f>
        <v>147644</v>
      </c>
      <c r="H67" s="326">
        <f t="shared" si="25"/>
        <v>1</v>
      </c>
      <c r="I67" s="347">
        <f>+SUM(I56:I66)</f>
        <v>2589650158.8200002</v>
      </c>
      <c r="J67" s="326">
        <f t="shared" si="25"/>
        <v>1</v>
      </c>
      <c r="K67" s="439">
        <f>+SUM(K56:K66)</f>
        <v>12485</v>
      </c>
      <c r="L67" s="326">
        <f>+SUM(L56:L66)</f>
        <v>0.99999999999999989</v>
      </c>
      <c r="M67" s="334">
        <f>+SUM(M56:M66)</f>
        <v>-4134737416.4599996</v>
      </c>
      <c r="N67" s="328">
        <f>+SUM(N56:N66)</f>
        <v>1</v>
      </c>
      <c r="O67"/>
      <c r="P67"/>
      <c r="Q67"/>
      <c r="R67"/>
      <c r="S67"/>
      <c r="T67"/>
    </row>
    <row r="68" spans="2:28" hidden="1" outlineLevel="1" x14ac:dyDescent="0.25">
      <c r="B68" s="311" t="s">
        <v>220</v>
      </c>
      <c r="C68" s="104"/>
      <c r="D68" s="104"/>
      <c r="E68" s="104"/>
      <c r="F68"/>
      <c r="G68" s="104"/>
      <c r="H68" s="104"/>
      <c r="I68" s="104"/>
      <c r="J68" s="87"/>
      <c r="K68"/>
      <c r="L68"/>
      <c r="M68"/>
      <c r="N68"/>
      <c r="O68"/>
      <c r="P68"/>
      <c r="Q68"/>
      <c r="R68"/>
      <c r="S68" s="104"/>
      <c r="T68" s="104"/>
      <c r="U68" s="104"/>
      <c r="V68"/>
      <c r="W68"/>
      <c r="X68"/>
      <c r="Y68"/>
      <c r="Z68"/>
      <c r="AA68"/>
      <c r="AB68"/>
    </row>
    <row r="69" spans="2:28" hidden="1" outlineLevel="1" x14ac:dyDescent="0.25">
      <c r="B69" s="311" t="s">
        <v>221</v>
      </c>
      <c r="C69"/>
      <c r="D69"/>
      <c r="E69"/>
      <c r="F69"/>
      <c r="K69"/>
      <c r="L69"/>
      <c r="M69"/>
      <c r="N69"/>
      <c r="O69"/>
      <c r="P69"/>
      <c r="Q69"/>
      <c r="R69"/>
      <c r="S69"/>
      <c r="T69"/>
      <c r="U69"/>
      <c r="V69"/>
      <c r="W69"/>
      <c r="X69"/>
      <c r="Y69"/>
      <c r="Z69"/>
      <c r="AA69"/>
      <c r="AB69"/>
    </row>
    <row r="70" spans="2:28" hidden="1" outlineLevel="1" x14ac:dyDescent="0.25">
      <c r="B70" s="108" t="s">
        <v>213</v>
      </c>
      <c r="C70" s="64"/>
      <c r="D70"/>
      <c r="E70" s="87"/>
      <c r="F70"/>
      <c r="G70" s="64"/>
      <c r="H70"/>
      <c r="I70" s="87"/>
      <c r="J70"/>
      <c r="K70"/>
      <c r="L70"/>
      <c r="M70"/>
      <c r="N70"/>
      <c r="O70"/>
      <c r="P70"/>
      <c r="Q70"/>
      <c r="R70"/>
      <c r="S70" s="64"/>
      <c r="T70"/>
      <c r="U70" s="87"/>
      <c r="V70"/>
      <c r="W70"/>
      <c r="X70"/>
      <c r="Y70"/>
      <c r="Z70"/>
      <c r="AA70"/>
      <c r="AB70"/>
    </row>
    <row r="71" spans="2:28" hidden="1" outlineLevel="1" x14ac:dyDescent="0.25">
      <c r="B71" s="1" t="s">
        <v>222</v>
      </c>
      <c r="G71" s="14"/>
      <c r="H71" s="14"/>
      <c r="I71" s="31"/>
    </row>
    <row r="72" spans="2:28" collapsed="1" x14ac:dyDescent="0.25">
      <c r="D72" s="312"/>
      <c r="G72" s="14"/>
      <c r="H72" s="14"/>
      <c r="I72" s="65"/>
      <c r="J72" s="65"/>
    </row>
    <row r="73" spans="2:28" x14ac:dyDescent="0.25">
      <c r="D73" s="312"/>
      <c r="F73" s="313"/>
      <c r="G73" s="313"/>
    </row>
    <row r="74" spans="2:28" x14ac:dyDescent="0.25">
      <c r="D74" s="312"/>
    </row>
    <row r="75" spans="2:28" x14ac:dyDescent="0.25">
      <c r="D75" s="312"/>
      <c r="F75" s="314"/>
      <c r="G75" s="314"/>
      <c r="H75" s="314"/>
      <c r="I75" s="65"/>
    </row>
    <row r="76" spans="2:28" x14ac:dyDescent="0.25">
      <c r="D76" s="312"/>
      <c r="F76" s="314"/>
      <c r="G76" s="314"/>
      <c r="H76" s="314"/>
      <c r="I76" s="65"/>
    </row>
    <row r="77" spans="2:28" x14ac:dyDescent="0.25">
      <c r="D77" s="312"/>
      <c r="F77" s="314"/>
      <c r="G77" s="314"/>
      <c r="H77" s="314"/>
      <c r="I77" s="65"/>
    </row>
    <row r="78" spans="2:28" x14ac:dyDescent="0.25">
      <c r="D78" s="312"/>
      <c r="F78" s="314"/>
      <c r="G78" s="314"/>
      <c r="H78" s="314"/>
      <c r="I78" s="65"/>
    </row>
    <row r="79" spans="2:28" x14ac:dyDescent="0.25">
      <c r="D79" s="312"/>
      <c r="F79" s="314"/>
      <c r="G79" s="314"/>
      <c r="H79" s="314"/>
      <c r="I79" s="65"/>
    </row>
    <row r="80" spans="2:28" x14ac:dyDescent="0.25">
      <c r="D80" s="312"/>
      <c r="F80" s="314"/>
      <c r="G80" s="314"/>
      <c r="H80" s="314"/>
      <c r="I80" s="65"/>
    </row>
    <row r="81" spans="4:9" x14ac:dyDescent="0.25">
      <c r="D81" s="312"/>
      <c r="F81" s="314"/>
      <c r="G81" s="314"/>
      <c r="H81" s="314"/>
      <c r="I81" s="65"/>
    </row>
    <row r="82" spans="4:9" x14ac:dyDescent="0.25">
      <c r="D82" s="312"/>
      <c r="F82" s="314"/>
      <c r="G82" s="314"/>
      <c r="H82" s="314"/>
      <c r="I82" s="65"/>
    </row>
    <row r="83" spans="4:9" x14ac:dyDescent="0.25">
      <c r="D83" s="312"/>
      <c r="F83" s="314"/>
      <c r="G83" s="314"/>
      <c r="H83" s="314"/>
      <c r="I83" s="65"/>
    </row>
    <row r="84" spans="4:9" x14ac:dyDescent="0.25">
      <c r="F84" s="314"/>
      <c r="G84" s="314"/>
      <c r="H84" s="314"/>
      <c r="I84" s="65"/>
    </row>
    <row r="85" spans="4:9" x14ac:dyDescent="0.25">
      <c r="F85" s="314"/>
      <c r="G85" s="314"/>
      <c r="H85" s="314"/>
      <c r="I85" s="65"/>
    </row>
    <row r="86" spans="4:9" x14ac:dyDescent="0.25">
      <c r="F86" s="314"/>
      <c r="G86" s="314"/>
      <c r="H86" s="314"/>
      <c r="I86" s="65"/>
    </row>
    <row r="87" spans="4:9" x14ac:dyDescent="0.25">
      <c r="F87" s="65"/>
      <c r="G87" s="65"/>
      <c r="H87" s="65"/>
      <c r="I87" s="65"/>
    </row>
    <row r="89" spans="4:9" x14ac:dyDescent="0.25">
      <c r="G89" s="65"/>
      <c r="H89" s="65"/>
    </row>
    <row r="91" spans="4:9" x14ac:dyDescent="0.25">
      <c r="F91" s="65"/>
      <c r="G91" s="65"/>
      <c r="H91" s="65"/>
    </row>
  </sheetData>
  <mergeCells count="19">
    <mergeCell ref="E4:J4"/>
    <mergeCell ref="B30:N30"/>
    <mergeCell ref="B1:N1"/>
    <mergeCell ref="B2:N2"/>
    <mergeCell ref="K31:N31"/>
    <mergeCell ref="B5:AB5"/>
    <mergeCell ref="B21:J21"/>
    <mergeCell ref="B6:AB6"/>
    <mergeCell ref="C8:F8"/>
    <mergeCell ref="G8:J8"/>
    <mergeCell ref="K8:N8"/>
    <mergeCell ref="B7:N7"/>
    <mergeCell ref="E3:J3"/>
    <mergeCell ref="K53:N53"/>
    <mergeCell ref="C53:F53"/>
    <mergeCell ref="G53:J53"/>
    <mergeCell ref="C31:F31"/>
    <mergeCell ref="G31:J31"/>
    <mergeCell ref="B52:N52"/>
  </mergeCells>
  <pageMargins left="0.7" right="0.7" top="0.75" bottom="0.75" header="0.3" footer="0.3"/>
  <pageSetup paperSize="9" scale="20" orientation="portrait" r:id="rId1"/>
  <rowBreaks count="1" manualBreakCount="1">
    <brk id="48" min="1" max="18" man="1"/>
  </rowBreaks>
  <ignoredErrors>
    <ignoredError sqref="L19 M19 M57:M66 G19 L33:L45 L56:L66" formula="1"/>
    <ignoredError sqref="L10:L18" formula="1" unlockedFormula="1"/>
    <ignoredError sqref="H12:H18 K10 J11:K11 J12:K18"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B1:U51"/>
  <sheetViews>
    <sheetView showGridLines="0" zoomScaleNormal="100" workbookViewId="0">
      <selection activeCell="U34" sqref="U34"/>
    </sheetView>
  </sheetViews>
  <sheetFormatPr baseColWidth="10" defaultColWidth="11.42578125" defaultRowHeight="15" x14ac:dyDescent="0.25"/>
  <cols>
    <col min="1" max="1" width="11.42578125" style="1"/>
    <col min="2" max="2" width="11.28515625" style="1" customWidth="1"/>
    <col min="3" max="3" width="7.7109375" style="1" customWidth="1"/>
    <col min="4" max="4" width="15.28515625" style="1" bestFit="1" customWidth="1"/>
    <col min="5" max="5" width="8" style="1" customWidth="1"/>
    <col min="6" max="6" width="12.85546875" style="1" bestFit="1" customWidth="1"/>
    <col min="7" max="7" width="8" style="1" customWidth="1"/>
    <col min="8" max="8" width="16.28515625" style="1" customWidth="1"/>
    <col min="9" max="9" width="7.7109375" style="1" customWidth="1"/>
    <col min="10" max="10" width="14.85546875" style="1" customWidth="1"/>
    <col min="11" max="11" width="8.7109375" style="1" customWidth="1"/>
    <col min="12" max="12" width="15.28515625" style="1" bestFit="1" customWidth="1"/>
    <col min="13" max="13" width="8.7109375" style="1" customWidth="1"/>
    <col min="14" max="14" width="14.42578125" style="1" customWidth="1"/>
    <col min="15" max="15" width="9" style="1" customWidth="1"/>
    <col min="16" max="16" width="17" style="1" bestFit="1" customWidth="1"/>
    <col min="17" max="17" width="6.85546875" style="1" customWidth="1"/>
    <col min="18" max="18" width="13.42578125" style="1" bestFit="1" customWidth="1"/>
    <col min="19" max="19" width="18.140625" style="1" customWidth="1"/>
    <col min="20" max="20" width="20.42578125" style="1" customWidth="1"/>
    <col min="21" max="16384" width="11.42578125" style="1"/>
  </cols>
  <sheetData>
    <row r="1" spans="2:21" x14ac:dyDescent="0.25">
      <c r="B1" s="536" t="s">
        <v>0</v>
      </c>
      <c r="C1" s="536"/>
      <c r="D1" s="536"/>
      <c r="E1" s="536"/>
      <c r="F1" s="536"/>
      <c r="G1" s="536"/>
      <c r="H1" s="536"/>
      <c r="I1" s="536"/>
      <c r="J1" s="536"/>
      <c r="K1" s="536"/>
      <c r="L1" s="536"/>
      <c r="M1" s="536"/>
      <c r="N1" s="536"/>
      <c r="O1" s="536"/>
      <c r="P1" s="536"/>
      <c r="Q1" s="536"/>
      <c r="R1" s="536"/>
      <c r="S1" s="173"/>
    </row>
    <row r="2" spans="2:21" x14ac:dyDescent="0.25">
      <c r="B2" s="536" t="s">
        <v>76</v>
      </c>
      <c r="C2" s="536"/>
      <c r="D2" s="536"/>
      <c r="E2" s="536"/>
      <c r="F2" s="536"/>
      <c r="G2" s="536"/>
      <c r="H2" s="536"/>
      <c r="I2" s="536"/>
      <c r="J2" s="536"/>
      <c r="K2" s="536"/>
      <c r="L2" s="536"/>
      <c r="M2" s="536"/>
      <c r="N2" s="536"/>
      <c r="O2" s="536"/>
      <c r="P2" s="536"/>
      <c r="Q2" s="536"/>
      <c r="R2" s="536"/>
      <c r="S2" s="173"/>
    </row>
    <row r="3" spans="2:21" x14ac:dyDescent="0.25">
      <c r="B3" s="536" t="s">
        <v>223</v>
      </c>
      <c r="C3" s="536"/>
      <c r="D3" s="536"/>
      <c r="E3" s="536"/>
      <c r="F3" s="536"/>
      <c r="G3" s="536"/>
      <c r="H3" s="536"/>
      <c r="I3" s="536"/>
      <c r="J3" s="536"/>
      <c r="K3" s="536"/>
      <c r="L3" s="536"/>
      <c r="M3" s="536"/>
      <c r="N3" s="536"/>
      <c r="O3" s="536"/>
      <c r="P3" s="536"/>
      <c r="Q3" s="536"/>
      <c r="R3" s="536"/>
      <c r="S3" s="173"/>
    </row>
    <row r="4" spans="2:21" x14ac:dyDescent="0.25">
      <c r="B4" s="536" t="s">
        <v>3</v>
      </c>
      <c r="C4" s="536"/>
      <c r="D4" s="536"/>
      <c r="E4" s="536"/>
      <c r="F4" s="536"/>
      <c r="G4" s="536"/>
      <c r="H4" s="536"/>
      <c r="I4" s="536"/>
      <c r="J4" s="536"/>
      <c r="K4" s="536"/>
      <c r="L4" s="536"/>
      <c r="M4" s="536"/>
      <c r="N4" s="536"/>
      <c r="O4" s="536"/>
      <c r="P4" s="536"/>
      <c r="Q4" s="536"/>
      <c r="R4" s="536"/>
      <c r="S4" s="173"/>
    </row>
    <row r="5" spans="2:21" x14ac:dyDescent="0.25">
      <c r="B5" s="536" t="s">
        <v>4</v>
      </c>
      <c r="C5" s="536"/>
      <c r="D5" s="536"/>
      <c r="E5" s="536"/>
      <c r="F5" s="536"/>
      <c r="G5" s="536"/>
      <c r="H5" s="536"/>
      <c r="I5" s="536"/>
      <c r="J5" s="536"/>
      <c r="K5" s="536"/>
      <c r="L5" s="536"/>
      <c r="M5" s="536"/>
      <c r="N5" s="536"/>
      <c r="O5" s="536"/>
      <c r="P5" s="536"/>
      <c r="Q5" s="536"/>
      <c r="R5" s="536"/>
      <c r="S5" s="173"/>
    </row>
    <row r="6" spans="2:21" x14ac:dyDescent="0.25">
      <c r="B6" s="76"/>
      <c r="C6" s="547" t="s">
        <v>90</v>
      </c>
      <c r="D6" s="547"/>
      <c r="E6" s="547"/>
      <c r="F6" s="547"/>
      <c r="G6" s="550" t="s">
        <v>91</v>
      </c>
      <c r="H6" s="550"/>
      <c r="I6" s="550"/>
      <c r="J6" s="550"/>
      <c r="K6" s="548" t="s">
        <v>92</v>
      </c>
      <c r="L6" s="548"/>
      <c r="M6" s="548"/>
      <c r="N6" s="548"/>
      <c r="O6" s="576" t="s">
        <v>93</v>
      </c>
      <c r="P6" s="576"/>
      <c r="Q6" s="576"/>
      <c r="R6" s="576"/>
      <c r="S6" s="576"/>
    </row>
    <row r="7" spans="2:21" x14ac:dyDescent="0.25">
      <c r="B7" s="490"/>
      <c r="C7" s="574" t="s">
        <v>224</v>
      </c>
      <c r="D7" s="574"/>
      <c r="E7" s="574" t="s">
        <v>225</v>
      </c>
      <c r="F7" s="574"/>
      <c r="G7" s="574" t="s">
        <v>224</v>
      </c>
      <c r="H7" s="574"/>
      <c r="I7" s="574" t="s">
        <v>225</v>
      </c>
      <c r="J7" s="574"/>
      <c r="K7" s="574" t="s">
        <v>224</v>
      </c>
      <c r="L7" s="574"/>
      <c r="M7" s="574" t="s">
        <v>225</v>
      </c>
      <c r="N7" s="574"/>
      <c r="O7" s="575" t="s">
        <v>226</v>
      </c>
      <c r="P7" s="575"/>
      <c r="Q7" s="575" t="s">
        <v>225</v>
      </c>
      <c r="R7" s="575"/>
      <c r="S7" s="491" t="s">
        <v>227</v>
      </c>
      <c r="U7" s="1" t="s">
        <v>118</v>
      </c>
    </row>
    <row r="8" spans="2:21" ht="22.5" customHeight="1" x14ac:dyDescent="0.25">
      <c r="B8" s="112" t="s">
        <v>5</v>
      </c>
      <c r="C8" s="99" t="s">
        <v>228</v>
      </c>
      <c r="D8" s="99" t="s">
        <v>9</v>
      </c>
      <c r="E8" s="99" t="s">
        <v>95</v>
      </c>
      <c r="F8" s="113" t="s">
        <v>9</v>
      </c>
      <c r="G8" s="99" t="s">
        <v>229</v>
      </c>
      <c r="H8" s="99" t="s">
        <v>9</v>
      </c>
      <c r="I8" s="99" t="s">
        <v>95</v>
      </c>
      <c r="J8" s="113" t="s">
        <v>9</v>
      </c>
      <c r="K8" s="99" t="s">
        <v>229</v>
      </c>
      <c r="L8" s="99" t="s">
        <v>9</v>
      </c>
      <c r="M8" s="99" t="s">
        <v>95</v>
      </c>
      <c r="N8" s="492" t="s">
        <v>9</v>
      </c>
      <c r="O8" s="99" t="s">
        <v>230</v>
      </c>
      <c r="P8" s="99" t="s">
        <v>9</v>
      </c>
      <c r="Q8" s="99" t="s">
        <v>231</v>
      </c>
      <c r="R8" s="113" t="s">
        <v>9</v>
      </c>
      <c r="S8" s="493" t="s">
        <v>232</v>
      </c>
    </row>
    <row r="9" spans="2:21" hidden="1" x14ac:dyDescent="0.25">
      <c r="B9" s="38" t="s">
        <v>12</v>
      </c>
      <c r="C9" s="141"/>
      <c r="D9" s="141"/>
      <c r="E9" s="141"/>
      <c r="F9" s="494"/>
      <c r="G9" s="141"/>
      <c r="H9" s="141"/>
      <c r="I9" s="141"/>
      <c r="J9" s="126"/>
      <c r="K9" s="141"/>
      <c r="L9" s="495"/>
      <c r="M9" s="123"/>
      <c r="N9" s="371"/>
      <c r="O9" s="492">
        <f>+C9+K9+G9</f>
        <v>0</v>
      </c>
      <c r="P9" s="33">
        <f>+D9+L9+H9</f>
        <v>0</v>
      </c>
      <c r="Q9" s="496">
        <f>+E9+M9+I9</f>
        <v>0</v>
      </c>
      <c r="R9" s="492">
        <f>+F9+N9+J9</f>
        <v>0</v>
      </c>
      <c r="S9" s="160"/>
    </row>
    <row r="10" spans="2:21" ht="14.25" customHeight="1" x14ac:dyDescent="0.25">
      <c r="B10" s="38" t="s">
        <v>13</v>
      </c>
      <c r="C10" s="497">
        <v>168772</v>
      </c>
      <c r="D10" s="498">
        <v>2763652032.0900002</v>
      </c>
      <c r="E10" s="431">
        <v>798</v>
      </c>
      <c r="F10" s="498">
        <v>14600986.390000001</v>
      </c>
      <c r="G10" s="497">
        <v>26456</v>
      </c>
      <c r="H10" s="498">
        <v>822370517.50999999</v>
      </c>
      <c r="I10" s="431">
        <v>100</v>
      </c>
      <c r="J10" s="498">
        <v>2178089.5299999998</v>
      </c>
      <c r="K10" s="497">
        <v>54961</v>
      </c>
      <c r="L10" s="498">
        <v>329766000</v>
      </c>
      <c r="M10" s="431">
        <v>263</v>
      </c>
      <c r="N10" s="498">
        <v>1578000</v>
      </c>
      <c r="O10" s="499">
        <f>+SUM(C10+G10+K10)</f>
        <v>250189</v>
      </c>
      <c r="P10" s="49">
        <f>+SUM(D10,H10,L10)</f>
        <v>3915788549.6000004</v>
      </c>
      <c r="Q10" s="496">
        <f>+SUM(E10+I10+M10)</f>
        <v>1161</v>
      </c>
      <c r="R10" s="500">
        <f>+SUM(N10,J10,F10)</f>
        <v>18357075.920000002</v>
      </c>
      <c r="S10" s="501">
        <f>+SUM(P10+R10)</f>
        <v>3934145625.5200005</v>
      </c>
    </row>
    <row r="11" spans="2:21" ht="14.25" customHeight="1" x14ac:dyDescent="0.25">
      <c r="B11" s="38" t="s">
        <v>14</v>
      </c>
      <c r="C11" s="497">
        <v>167738</v>
      </c>
      <c r="D11" s="498">
        <v>2741118182.3099999</v>
      </c>
      <c r="E11" s="431">
        <v>1181</v>
      </c>
      <c r="F11" s="498">
        <v>25171236.199999999</v>
      </c>
      <c r="G11" s="497">
        <v>25641</v>
      </c>
      <c r="H11" s="498">
        <v>770721253.08000004</v>
      </c>
      <c r="I11" s="431">
        <v>122</v>
      </c>
      <c r="J11" s="498">
        <v>3855139.67</v>
      </c>
      <c r="K11" s="497">
        <v>51746</v>
      </c>
      <c r="L11" s="498">
        <v>310476000</v>
      </c>
      <c r="M11" s="431">
        <v>510</v>
      </c>
      <c r="N11" s="498">
        <v>3060000</v>
      </c>
      <c r="O11" s="499">
        <f>+SUM(C11+G11+K11)</f>
        <v>245125</v>
      </c>
      <c r="P11" s="49">
        <f>+SUM(D11,H11,L11)</f>
        <v>3822315435.3899999</v>
      </c>
      <c r="Q11" s="496">
        <f>+SUM(E11+I11+M11)</f>
        <v>1813</v>
      </c>
      <c r="R11" s="500">
        <f>+SUM(N11,J11,F11)</f>
        <v>32086375.869999997</v>
      </c>
      <c r="S11" s="501">
        <f>+SUM(P11+R11)</f>
        <v>3854401811.2599998</v>
      </c>
    </row>
    <row r="12" spans="2:21" ht="14.25" customHeight="1" x14ac:dyDescent="0.25">
      <c r="B12" s="38" t="s">
        <v>15</v>
      </c>
      <c r="C12" s="497">
        <v>166949</v>
      </c>
      <c r="D12" s="498">
        <v>2730742732.8299999</v>
      </c>
      <c r="E12" s="431">
        <v>1213</v>
      </c>
      <c r="F12" s="498">
        <v>22492929.879999999</v>
      </c>
      <c r="G12" s="497">
        <v>25724</v>
      </c>
      <c r="H12" s="498">
        <v>774021938.65999997</v>
      </c>
      <c r="I12" s="431">
        <v>30</v>
      </c>
      <c r="J12" s="498">
        <v>547191.88</v>
      </c>
      <c r="K12" s="497">
        <v>51799</v>
      </c>
      <c r="L12" s="498">
        <v>310794000</v>
      </c>
      <c r="M12" s="431">
        <v>219</v>
      </c>
      <c r="N12" s="498">
        <v>1314000</v>
      </c>
      <c r="O12" s="499">
        <f>+SUM(C12+G12+K12)</f>
        <v>244472</v>
      </c>
      <c r="P12" s="49">
        <f>+SUM(D12,H12,L12)</f>
        <v>3815558671.4899998</v>
      </c>
      <c r="Q12" s="496">
        <f>+SUM(E12+I12+M12)</f>
        <v>1462</v>
      </c>
      <c r="R12" s="500">
        <f>+SUM(N12,J12,F12)</f>
        <v>24354121.759999998</v>
      </c>
      <c r="S12" s="501">
        <f>+SUM(P12+R12)</f>
        <v>3839912793.25</v>
      </c>
    </row>
    <row r="13" spans="2:21" x14ac:dyDescent="0.25">
      <c r="B13" s="372" t="s">
        <v>16</v>
      </c>
      <c r="C13" s="502">
        <f>+C10</f>
        <v>168772</v>
      </c>
      <c r="D13" s="503">
        <f>SUM(D10:D12)</f>
        <v>8235512947.2299995</v>
      </c>
      <c r="E13" s="504">
        <f>E10</f>
        <v>798</v>
      </c>
      <c r="F13" s="503">
        <f>SUM(F10:F12)</f>
        <v>62265152.469999999</v>
      </c>
      <c r="G13" s="502">
        <f>+G10</f>
        <v>26456</v>
      </c>
      <c r="H13" s="503">
        <f>SUM(H10:H12)</f>
        <v>2367113709.25</v>
      </c>
      <c r="I13" s="504">
        <f>I10</f>
        <v>100</v>
      </c>
      <c r="J13" s="503">
        <f>+SUM(J10:J12)</f>
        <v>6580421.0799999991</v>
      </c>
      <c r="K13" s="505">
        <f>+K10</f>
        <v>54961</v>
      </c>
      <c r="L13" s="503">
        <f>SUM(L10:L12)</f>
        <v>951036000</v>
      </c>
      <c r="M13" s="504">
        <f>M10</f>
        <v>263</v>
      </c>
      <c r="N13" s="503">
        <f>SUM(N10:N12)</f>
        <v>5952000</v>
      </c>
      <c r="O13" s="502">
        <f>+O10</f>
        <v>250189</v>
      </c>
      <c r="P13" s="506">
        <f>+SUM(P10:P12)</f>
        <v>11553662656.48</v>
      </c>
      <c r="Q13" s="507">
        <f>Q10</f>
        <v>1161</v>
      </c>
      <c r="R13" s="506">
        <f>+SUM(R10:R12)</f>
        <v>74797573.549999997</v>
      </c>
      <c r="S13" s="506">
        <f>+SUM(P13+R13)</f>
        <v>11628460230.029999</v>
      </c>
      <c r="T13" s="316"/>
    </row>
    <row r="14" spans="2:21" hidden="1" x14ac:dyDescent="0.25">
      <c r="B14" s="38" t="s">
        <v>17</v>
      </c>
      <c r="C14" s="141"/>
      <c r="D14" s="508"/>
      <c r="E14" s="141"/>
      <c r="F14" s="508"/>
      <c r="G14" s="141"/>
      <c r="H14" s="508"/>
      <c r="I14" s="141"/>
      <c r="J14" s="508"/>
      <c r="K14" s="141"/>
      <c r="L14" s="508"/>
      <c r="M14" s="123"/>
      <c r="N14" s="141"/>
      <c r="O14" s="509"/>
      <c r="P14" s="509"/>
      <c r="Q14" s="509"/>
      <c r="R14" s="509"/>
      <c r="S14" s="510"/>
      <c r="T14" s="30"/>
    </row>
    <row r="15" spans="2:21" hidden="1" x14ac:dyDescent="0.25">
      <c r="B15" s="38" t="s">
        <v>18</v>
      </c>
      <c r="C15" s="141"/>
      <c r="D15" s="508"/>
      <c r="E15" s="141"/>
      <c r="F15" s="508"/>
      <c r="G15" s="141"/>
      <c r="H15" s="508"/>
      <c r="I15" s="141"/>
      <c r="J15" s="508"/>
      <c r="K15" s="141"/>
      <c r="L15" s="508"/>
      <c r="M15" s="123"/>
      <c r="N15" s="141"/>
      <c r="O15" s="509"/>
      <c r="P15" s="509"/>
      <c r="Q15" s="509"/>
      <c r="R15" s="509"/>
      <c r="S15" s="510"/>
    </row>
    <row r="16" spans="2:21" hidden="1" x14ac:dyDescent="0.25">
      <c r="B16" s="38" t="s">
        <v>19</v>
      </c>
      <c r="C16" s="141"/>
      <c r="D16" s="508"/>
      <c r="E16" s="141"/>
      <c r="F16" s="508"/>
      <c r="G16" s="141"/>
      <c r="H16" s="508"/>
      <c r="I16" s="141"/>
      <c r="J16" s="508"/>
      <c r="K16" s="141"/>
      <c r="L16" s="508"/>
      <c r="M16" s="511"/>
      <c r="N16" s="141"/>
      <c r="O16" s="509"/>
      <c r="P16" s="509"/>
      <c r="Q16" s="509"/>
      <c r="R16" s="509"/>
      <c r="S16" s="510"/>
    </row>
    <row r="17" spans="2:20" hidden="1" x14ac:dyDescent="0.25">
      <c r="B17" s="40" t="s">
        <v>20</v>
      </c>
      <c r="C17" s="512">
        <f>+C14</f>
        <v>0</v>
      </c>
      <c r="D17" s="512">
        <f>SUM(D14:D16)</f>
        <v>0</v>
      </c>
      <c r="E17" s="512">
        <f t="shared" ref="E17:R17" si="0">SUM(E14:E16)</f>
        <v>0</v>
      </c>
      <c r="F17" s="512">
        <f t="shared" si="0"/>
        <v>0</v>
      </c>
      <c r="G17" s="512">
        <f t="shared" si="0"/>
        <v>0</v>
      </c>
      <c r="H17" s="512">
        <f t="shared" si="0"/>
        <v>0</v>
      </c>
      <c r="I17" s="512">
        <f t="shared" si="0"/>
        <v>0</v>
      </c>
      <c r="J17" s="512">
        <f t="shared" si="0"/>
        <v>0</v>
      </c>
      <c r="K17" s="512">
        <f t="shared" si="0"/>
        <v>0</v>
      </c>
      <c r="L17" s="512">
        <f t="shared" si="0"/>
        <v>0</v>
      </c>
      <c r="M17" s="512">
        <f t="shared" si="0"/>
        <v>0</v>
      </c>
      <c r="N17" s="512">
        <f t="shared" si="0"/>
        <v>0</v>
      </c>
      <c r="O17" s="512">
        <f t="shared" si="0"/>
        <v>0</v>
      </c>
      <c r="P17" s="512">
        <f t="shared" si="0"/>
        <v>0</v>
      </c>
      <c r="Q17" s="512">
        <f t="shared" si="0"/>
        <v>0</v>
      </c>
      <c r="R17" s="512">
        <f t="shared" si="0"/>
        <v>0</v>
      </c>
      <c r="S17" s="513"/>
      <c r="T17" s="171">
        <f>P17+R17</f>
        <v>0</v>
      </c>
    </row>
    <row r="18" spans="2:20" hidden="1" x14ac:dyDescent="0.25">
      <c r="B18" s="38" t="s">
        <v>15</v>
      </c>
      <c r="C18" s="123"/>
      <c r="D18" s="125"/>
      <c r="E18" s="123"/>
      <c r="F18" s="126"/>
      <c r="G18" s="123"/>
      <c r="H18" s="125"/>
      <c r="I18" s="123">
        <f>SUM(I14:I16)</f>
        <v>0</v>
      </c>
      <c r="J18" s="126"/>
      <c r="K18" s="123"/>
      <c r="L18" s="125"/>
      <c r="M18" s="123"/>
      <c r="N18" s="126"/>
      <c r="O18" s="509">
        <f t="shared" ref="O18:Q20" si="1">+C18+K18+G18</f>
        <v>0</v>
      </c>
      <c r="P18" s="514">
        <f t="shared" si="1"/>
        <v>0</v>
      </c>
      <c r="Q18" s="509">
        <f t="shared" si="1"/>
        <v>0</v>
      </c>
      <c r="R18" s="514">
        <f>+F18+N18+J18</f>
        <v>0</v>
      </c>
      <c r="S18" s="510"/>
    </row>
    <row r="19" spans="2:20" hidden="1" x14ac:dyDescent="0.25">
      <c r="B19" s="38" t="s">
        <v>14</v>
      </c>
      <c r="C19" s="123"/>
      <c r="D19" s="125"/>
      <c r="E19" s="123"/>
      <c r="F19" s="126"/>
      <c r="G19" s="123"/>
      <c r="H19" s="125"/>
      <c r="I19" s="123"/>
      <c r="J19" s="126"/>
      <c r="K19" s="123"/>
      <c r="L19" s="125"/>
      <c r="M19" s="123"/>
      <c r="N19" s="126"/>
      <c r="O19" s="509">
        <f t="shared" si="1"/>
        <v>0</v>
      </c>
      <c r="P19" s="514">
        <f t="shared" si="1"/>
        <v>0</v>
      </c>
      <c r="Q19" s="509">
        <f t="shared" si="1"/>
        <v>0</v>
      </c>
      <c r="R19" s="514">
        <f>+F19+N19+J19</f>
        <v>0</v>
      </c>
      <c r="S19" s="510"/>
    </row>
    <row r="20" spans="2:20" hidden="1" x14ac:dyDescent="0.25">
      <c r="B20" s="38" t="s">
        <v>13</v>
      </c>
      <c r="C20" s="123"/>
      <c r="D20" s="125"/>
      <c r="E20" s="123"/>
      <c r="F20" s="126"/>
      <c r="G20" s="123"/>
      <c r="H20" s="125"/>
      <c r="I20" s="123"/>
      <c r="J20" s="126"/>
      <c r="K20" s="123"/>
      <c r="L20" s="125"/>
      <c r="M20" s="123"/>
      <c r="N20" s="126"/>
      <c r="O20" s="509">
        <f t="shared" si="1"/>
        <v>0</v>
      </c>
      <c r="P20" s="514">
        <f t="shared" si="1"/>
        <v>0</v>
      </c>
      <c r="Q20" s="509">
        <f t="shared" si="1"/>
        <v>0</v>
      </c>
      <c r="R20" s="514">
        <f>+F20+N20+J20</f>
        <v>0</v>
      </c>
      <c r="S20" s="510"/>
    </row>
    <row r="21" spans="2:20" hidden="1" x14ac:dyDescent="0.25">
      <c r="B21" s="40" t="s">
        <v>16</v>
      </c>
      <c r="C21" s="512">
        <f>+C20</f>
        <v>0</v>
      </c>
      <c r="D21" s="515">
        <f>SUM(D18:D20)</f>
        <v>0</v>
      </c>
      <c r="E21" s="512">
        <f>+E20</f>
        <v>0</v>
      </c>
      <c r="F21" s="515">
        <f>SUM(F18:F20)</f>
        <v>0</v>
      </c>
      <c r="G21" s="512">
        <f>+G20</f>
        <v>0</v>
      </c>
      <c r="H21" s="515">
        <f>SUM(H18:H20)</f>
        <v>0</v>
      </c>
      <c r="I21" s="512">
        <f>+I20</f>
        <v>0</v>
      </c>
      <c r="J21" s="515">
        <f>SUM(J18:J20)</f>
        <v>0</v>
      </c>
      <c r="K21" s="512">
        <f>+K20</f>
        <v>0</v>
      </c>
      <c r="L21" s="515">
        <f>SUM(L18:L20)</f>
        <v>0</v>
      </c>
      <c r="M21" s="512">
        <f>+M20</f>
        <v>0</v>
      </c>
      <c r="N21" s="515">
        <f>SUM(N18:N20)</f>
        <v>0</v>
      </c>
      <c r="O21" s="516">
        <f>+O20</f>
        <v>0</v>
      </c>
      <c r="P21" s="517">
        <f>SUM(P18:P20)</f>
        <v>0</v>
      </c>
      <c r="Q21" s="516">
        <f>+Q20</f>
        <v>0</v>
      </c>
      <c r="R21" s="517">
        <f>SUM(R18:R20)</f>
        <v>0</v>
      </c>
      <c r="S21" s="510"/>
      <c r="T21" s="31"/>
    </row>
    <row r="22" spans="2:20" hidden="1" x14ac:dyDescent="0.25">
      <c r="B22" s="38" t="s">
        <v>42</v>
      </c>
      <c r="C22" s="123"/>
      <c r="D22" s="125"/>
      <c r="E22" s="123"/>
      <c r="F22" s="126"/>
      <c r="G22" s="123"/>
      <c r="H22" s="125"/>
      <c r="I22" s="123"/>
      <c r="J22" s="126"/>
      <c r="K22" s="123"/>
      <c r="L22" s="125"/>
      <c r="M22" s="123"/>
      <c r="N22" s="126"/>
      <c r="O22" s="509">
        <f t="shared" ref="O22:Q24" si="2">+C22+K22+G22</f>
        <v>0</v>
      </c>
      <c r="P22" s="514">
        <f t="shared" si="2"/>
        <v>0</v>
      </c>
      <c r="Q22" s="509">
        <f t="shared" si="2"/>
        <v>0</v>
      </c>
      <c r="R22" s="514">
        <f>+F22+N22+J22</f>
        <v>0</v>
      </c>
      <c r="S22" s="510"/>
    </row>
    <row r="23" spans="2:20" hidden="1" x14ac:dyDescent="0.25">
      <c r="B23" s="38" t="s">
        <v>22</v>
      </c>
      <c r="C23" s="123"/>
      <c r="D23" s="125"/>
      <c r="E23" s="123"/>
      <c r="F23" s="126"/>
      <c r="G23" s="123"/>
      <c r="H23" s="125"/>
      <c r="I23" s="123"/>
      <c r="J23" s="126"/>
      <c r="K23" s="123"/>
      <c r="L23" s="125"/>
      <c r="M23" s="123"/>
      <c r="N23" s="126"/>
      <c r="O23" s="509">
        <f t="shared" si="2"/>
        <v>0</v>
      </c>
      <c r="P23" s="514">
        <f t="shared" si="2"/>
        <v>0</v>
      </c>
      <c r="Q23" s="509">
        <f t="shared" si="2"/>
        <v>0</v>
      </c>
      <c r="R23" s="514">
        <f>+F23+N23+J23</f>
        <v>0</v>
      </c>
      <c r="S23" s="510"/>
    </row>
    <row r="24" spans="2:20" hidden="1" x14ac:dyDescent="0.25">
      <c r="B24" s="38" t="s">
        <v>23</v>
      </c>
      <c r="C24" s="123"/>
      <c r="D24" s="125"/>
      <c r="E24" s="123"/>
      <c r="F24" s="126"/>
      <c r="G24" s="123"/>
      <c r="H24" s="125"/>
      <c r="I24" s="123"/>
      <c r="J24" s="126"/>
      <c r="K24" s="123"/>
      <c r="L24" s="125"/>
      <c r="M24" s="123"/>
      <c r="N24" s="126"/>
      <c r="O24" s="509">
        <f t="shared" si="2"/>
        <v>0</v>
      </c>
      <c r="P24" s="514">
        <f t="shared" si="2"/>
        <v>0</v>
      </c>
      <c r="Q24" s="509">
        <f t="shared" si="2"/>
        <v>0</v>
      </c>
      <c r="R24" s="514">
        <f>+F24+N24+J24</f>
        <v>0</v>
      </c>
      <c r="S24" s="510"/>
    </row>
    <row r="25" spans="2:20" hidden="1" x14ac:dyDescent="0.25">
      <c r="B25" s="40" t="s">
        <v>24</v>
      </c>
      <c r="C25" s="512">
        <f>+C24</f>
        <v>0</v>
      </c>
      <c r="D25" s="515">
        <f>SUM(D22:D24)</f>
        <v>0</v>
      </c>
      <c r="E25" s="512">
        <f>+E24</f>
        <v>0</v>
      </c>
      <c r="F25" s="515">
        <f>SUM(F22:F24)</f>
        <v>0</v>
      </c>
      <c r="G25" s="512">
        <f>+G24</f>
        <v>0</v>
      </c>
      <c r="H25" s="515">
        <f>SUM(H22:H24)</f>
        <v>0</v>
      </c>
      <c r="I25" s="512">
        <f>+I24</f>
        <v>0</v>
      </c>
      <c r="J25" s="515">
        <f>SUM(J22:J24)</f>
        <v>0</v>
      </c>
      <c r="K25" s="512">
        <f>+K24</f>
        <v>0</v>
      </c>
      <c r="L25" s="515">
        <f>SUM(L22:L24)</f>
        <v>0</v>
      </c>
      <c r="M25" s="512">
        <f>+M24</f>
        <v>0</v>
      </c>
      <c r="N25" s="515">
        <f>SUM(N22:N24)</f>
        <v>0</v>
      </c>
      <c r="O25" s="516">
        <f>+O24</f>
        <v>0</v>
      </c>
      <c r="P25" s="517">
        <f>SUM(P22:P24)</f>
        <v>0</v>
      </c>
      <c r="Q25" s="516">
        <f>+Q24</f>
        <v>0</v>
      </c>
      <c r="R25" s="517">
        <f>SUM(R22:R24)</f>
        <v>0</v>
      </c>
      <c r="S25" s="510"/>
      <c r="T25" s="31"/>
    </row>
    <row r="26" spans="2:20" hidden="1" x14ac:dyDescent="0.25">
      <c r="B26" s="38" t="s">
        <v>25</v>
      </c>
      <c r="C26" s="123"/>
      <c r="D26" s="125"/>
      <c r="E26" s="123"/>
      <c r="F26" s="126"/>
      <c r="G26" s="123"/>
      <c r="H26" s="125"/>
      <c r="I26" s="123"/>
      <c r="J26" s="126"/>
      <c r="K26" s="123"/>
      <c r="L26" s="125"/>
      <c r="M26" s="123"/>
      <c r="N26" s="126"/>
      <c r="O26" s="509">
        <f t="shared" ref="O26:Q29" si="3">+C26+K26+G26</f>
        <v>0</v>
      </c>
      <c r="P26" s="514">
        <f t="shared" si="3"/>
        <v>0</v>
      </c>
      <c r="Q26" s="509">
        <f t="shared" si="3"/>
        <v>0</v>
      </c>
      <c r="R26" s="514">
        <f>+F26+N26+J26</f>
        <v>0</v>
      </c>
      <c r="S26" s="510"/>
    </row>
    <row r="27" spans="2:20" hidden="1" x14ac:dyDescent="0.25">
      <c r="B27" s="38" t="s">
        <v>26</v>
      </c>
      <c r="C27" s="123"/>
      <c r="D27" s="125"/>
      <c r="E27" s="123"/>
      <c r="F27" s="126"/>
      <c r="G27" s="123"/>
      <c r="H27" s="125"/>
      <c r="I27" s="123"/>
      <c r="J27" s="126"/>
      <c r="K27" s="123"/>
      <c r="L27" s="125"/>
      <c r="M27" s="123"/>
      <c r="N27" s="126"/>
      <c r="O27" s="509">
        <f t="shared" si="3"/>
        <v>0</v>
      </c>
      <c r="P27" s="514">
        <f t="shared" si="3"/>
        <v>0</v>
      </c>
      <c r="Q27" s="509">
        <f t="shared" si="3"/>
        <v>0</v>
      </c>
      <c r="R27" s="514">
        <f>+F27+N27+J27</f>
        <v>0</v>
      </c>
      <c r="S27" s="510"/>
    </row>
    <row r="28" spans="2:20" hidden="1" x14ac:dyDescent="0.25">
      <c r="B28" s="38" t="s">
        <v>27</v>
      </c>
      <c r="C28" s="123"/>
      <c r="D28" s="125"/>
      <c r="E28" s="123"/>
      <c r="F28" s="126"/>
      <c r="G28" s="123"/>
      <c r="H28" s="125"/>
      <c r="I28" s="123"/>
      <c r="J28" s="126"/>
      <c r="K28" s="123"/>
      <c r="L28" s="125"/>
      <c r="M28" s="123"/>
      <c r="N28" s="126"/>
      <c r="O28" s="509">
        <f t="shared" si="3"/>
        <v>0</v>
      </c>
      <c r="P28" s="514">
        <f t="shared" si="3"/>
        <v>0</v>
      </c>
      <c r="Q28" s="509">
        <f t="shared" si="3"/>
        <v>0</v>
      </c>
      <c r="R28" s="514">
        <f>+F28+N28+J28</f>
        <v>0</v>
      </c>
      <c r="S28" s="510"/>
    </row>
    <row r="29" spans="2:20" hidden="1" x14ac:dyDescent="0.25">
      <c r="B29" s="38" t="s">
        <v>12</v>
      </c>
      <c r="C29" s="123"/>
      <c r="D29" s="125"/>
      <c r="E29" s="123"/>
      <c r="F29" s="126"/>
      <c r="G29" s="123"/>
      <c r="H29" s="125"/>
      <c r="I29" s="123"/>
      <c r="J29" s="126"/>
      <c r="K29" s="123"/>
      <c r="L29" s="125"/>
      <c r="M29" s="123"/>
      <c r="N29" s="126"/>
      <c r="O29" s="509">
        <f t="shared" si="3"/>
        <v>0</v>
      </c>
      <c r="P29" s="514">
        <f t="shared" si="3"/>
        <v>0</v>
      </c>
      <c r="Q29" s="509">
        <f t="shared" si="3"/>
        <v>0</v>
      </c>
      <c r="R29" s="514">
        <f>+F29+N29+J29</f>
        <v>0</v>
      </c>
      <c r="S29" s="510"/>
    </row>
    <row r="30" spans="2:20" hidden="1" x14ac:dyDescent="0.25">
      <c r="B30" s="40" t="s">
        <v>28</v>
      </c>
      <c r="C30" s="512">
        <f>+C28</f>
        <v>0</v>
      </c>
      <c r="D30" s="512">
        <f>SUM(D26:D29)</f>
        <v>0</v>
      </c>
      <c r="E30" s="512">
        <f>+E28</f>
        <v>0</v>
      </c>
      <c r="F30" s="515">
        <f>SUM(F26:F29)</f>
        <v>0</v>
      </c>
      <c r="G30" s="512">
        <f>+G28</f>
        <v>0</v>
      </c>
      <c r="H30" s="515">
        <f>SUM(H26:H29)</f>
        <v>0</v>
      </c>
      <c r="I30" s="512">
        <f>+I28</f>
        <v>0</v>
      </c>
      <c r="J30" s="515">
        <f>SUM(J26:J29)</f>
        <v>0</v>
      </c>
      <c r="K30" s="512">
        <f>+K28</f>
        <v>0</v>
      </c>
      <c r="L30" s="515">
        <f>SUM(L26:L29)</f>
        <v>0</v>
      </c>
      <c r="M30" s="512">
        <f>+M28</f>
        <v>0</v>
      </c>
      <c r="N30" s="515">
        <f>SUM(N26:N29)</f>
        <v>0</v>
      </c>
      <c r="O30" s="516">
        <f>+O28</f>
        <v>0</v>
      </c>
      <c r="P30" s="517">
        <f>SUM(P26:P29)</f>
        <v>0</v>
      </c>
      <c r="Q30" s="516">
        <f>+Q28</f>
        <v>0</v>
      </c>
      <c r="R30" s="517">
        <f>SUM(R26:R29)</f>
        <v>0</v>
      </c>
      <c r="S30" s="510"/>
      <c r="T30" s="31"/>
    </row>
    <row r="31" spans="2:20" hidden="1" x14ac:dyDescent="0.25">
      <c r="B31" s="43" t="s">
        <v>29</v>
      </c>
      <c r="C31" s="518">
        <f>+C30</f>
        <v>0</v>
      </c>
      <c r="D31" s="519">
        <f>+D17+D21+D25+D30</f>
        <v>0</v>
      </c>
      <c r="E31" s="518">
        <f>+E30</f>
        <v>0</v>
      </c>
      <c r="F31" s="519">
        <f>+F17+F21+F25+F30</f>
        <v>0</v>
      </c>
      <c r="G31" s="518">
        <f>+G30</f>
        <v>0</v>
      </c>
      <c r="H31" s="519">
        <f>+H17+H21+H25+H30</f>
        <v>0</v>
      </c>
      <c r="I31" s="518">
        <f>+I30</f>
        <v>0</v>
      </c>
      <c r="J31" s="519">
        <f>+J17+J21+J25+J30</f>
        <v>0</v>
      </c>
      <c r="K31" s="518">
        <f>+K30</f>
        <v>0</v>
      </c>
      <c r="L31" s="519">
        <f>+L17+L21+L25+L30</f>
        <v>0</v>
      </c>
      <c r="M31" s="518">
        <f>+M30</f>
        <v>0</v>
      </c>
      <c r="N31" s="519">
        <f>+N17+N21+N25+N30</f>
        <v>0</v>
      </c>
      <c r="O31" s="516">
        <f>+O30</f>
        <v>0</v>
      </c>
      <c r="P31" s="517">
        <f>+P17+P21+P25+P30</f>
        <v>0</v>
      </c>
      <c r="Q31" s="516">
        <f>+Q30</f>
        <v>0</v>
      </c>
      <c r="R31" s="517">
        <f>+R17+R21+R25+R30</f>
        <v>0</v>
      </c>
      <c r="S31" s="510"/>
      <c r="T31" s="31"/>
    </row>
    <row r="32" spans="2:20" ht="13.5" customHeight="1" x14ac:dyDescent="0.25">
      <c r="B32" s="174" t="s">
        <v>62</v>
      </c>
      <c r="C32" s="520"/>
      <c r="D32" s="520"/>
      <c r="E32" s="521"/>
      <c r="F32" s="174"/>
      <c r="G32" s="174"/>
      <c r="H32" s="174"/>
      <c r="I32" s="174"/>
      <c r="J32" s="174"/>
      <c r="K32" s="174"/>
      <c r="L32" s="174"/>
      <c r="M32" s="174"/>
      <c r="N32" s="174"/>
      <c r="O32" s="174"/>
      <c r="P32" s="522">
        <f>P13/S13</f>
        <v>0.99356771472143512</v>
      </c>
      <c r="Q32" s="522"/>
      <c r="R32" s="522">
        <f>+R13/S13</f>
        <v>6.4322852785649535E-3</v>
      </c>
      <c r="S32" s="523">
        <f>+P32+R32</f>
        <v>1</v>
      </c>
    </row>
    <row r="33" spans="2:19" ht="12.75" customHeight="1" x14ac:dyDescent="0.25">
      <c r="S33" s="173"/>
    </row>
    <row r="34" spans="2:19" ht="41.25" customHeight="1" x14ac:dyDescent="0.25">
      <c r="B34"/>
      <c r="C34"/>
      <c r="D34"/>
      <c r="E34"/>
      <c r="F34"/>
      <c r="G34"/>
      <c r="H34"/>
      <c r="I34"/>
      <c r="J34"/>
      <c r="K34"/>
      <c r="L34"/>
      <c r="M34"/>
      <c r="N34"/>
      <c r="O34"/>
      <c r="P34"/>
      <c r="Q34"/>
      <c r="R34"/>
    </row>
    <row r="35" spans="2:19" x14ac:dyDescent="0.25">
      <c r="B35"/>
      <c r="C35"/>
      <c r="D35"/>
      <c r="E35"/>
      <c r="F35"/>
      <c r="G35"/>
      <c r="H35"/>
      <c r="I35"/>
      <c r="J35"/>
      <c r="K35"/>
      <c r="L35"/>
      <c r="M35"/>
      <c r="N35"/>
      <c r="O35"/>
      <c r="P35"/>
      <c r="Q35"/>
      <c r="R35"/>
    </row>
    <row r="36" spans="2:19" x14ac:dyDescent="0.25">
      <c r="B36"/>
      <c r="C36"/>
      <c r="D36"/>
      <c r="E36"/>
      <c r="F36"/>
      <c r="G36"/>
      <c r="H36"/>
      <c r="I36"/>
      <c r="J36"/>
      <c r="K36"/>
      <c r="L36"/>
      <c r="M36"/>
      <c r="N36"/>
      <c r="O36"/>
      <c r="P36"/>
      <c r="Q36"/>
      <c r="R36"/>
    </row>
    <row r="37" spans="2:19" ht="0.75" customHeight="1" x14ac:dyDescent="0.25">
      <c r="B37"/>
      <c r="C37"/>
      <c r="D37"/>
      <c r="E37"/>
      <c r="F37"/>
      <c r="G37"/>
      <c r="H37"/>
      <c r="I37"/>
      <c r="J37"/>
      <c r="K37"/>
      <c r="L37"/>
      <c r="M37"/>
      <c r="N37"/>
      <c r="O37"/>
      <c r="P37"/>
      <c r="Q37"/>
      <c r="R37"/>
    </row>
    <row r="38" spans="2:19" hidden="1" x14ac:dyDescent="0.25">
      <c r="B38"/>
      <c r="C38"/>
      <c r="D38"/>
      <c r="E38"/>
      <c r="F38"/>
      <c r="G38"/>
      <c r="H38"/>
      <c r="I38"/>
      <c r="J38"/>
      <c r="K38"/>
      <c r="L38"/>
      <c r="M38"/>
      <c r="N38"/>
      <c r="O38"/>
      <c r="P38"/>
      <c r="Q38"/>
      <c r="R38"/>
    </row>
    <row r="39" spans="2:19" hidden="1" x14ac:dyDescent="0.25">
      <c r="B39"/>
      <c r="C39"/>
      <c r="D39"/>
      <c r="E39"/>
      <c r="F39"/>
      <c r="G39"/>
      <c r="H39"/>
      <c r="I39"/>
      <c r="J39"/>
      <c r="K39"/>
      <c r="L39"/>
      <c r="M39"/>
      <c r="N39"/>
      <c r="O39"/>
      <c r="P39"/>
      <c r="Q39"/>
      <c r="R39"/>
    </row>
    <row r="40" spans="2:19" hidden="1" x14ac:dyDescent="0.25">
      <c r="B40"/>
      <c r="C40"/>
      <c r="D40"/>
      <c r="E40"/>
      <c r="F40"/>
      <c r="G40"/>
      <c r="H40"/>
      <c r="I40"/>
      <c r="J40"/>
      <c r="K40"/>
      <c r="L40"/>
      <c r="M40"/>
      <c r="N40"/>
      <c r="O40"/>
      <c r="P40"/>
      <c r="Q40"/>
      <c r="R40"/>
    </row>
    <row r="41" spans="2:19" x14ac:dyDescent="0.25">
      <c r="B41"/>
      <c r="C41"/>
      <c r="D41"/>
      <c r="E41"/>
      <c r="F41"/>
      <c r="G41"/>
      <c r="H41"/>
      <c r="I41"/>
      <c r="J41"/>
      <c r="K41"/>
      <c r="L41"/>
      <c r="M41"/>
      <c r="N41"/>
      <c r="O41"/>
      <c r="P41"/>
      <c r="Q41"/>
      <c r="R41"/>
    </row>
    <row r="42" spans="2:19" x14ac:dyDescent="0.25">
      <c r="B42"/>
      <c r="C42"/>
      <c r="D42"/>
      <c r="E42"/>
      <c r="F42"/>
      <c r="G42"/>
      <c r="H42"/>
      <c r="I42"/>
      <c r="J42"/>
      <c r="K42"/>
      <c r="L42"/>
      <c r="M42"/>
      <c r="N42"/>
      <c r="O42"/>
      <c r="P42"/>
      <c r="Q42"/>
      <c r="R42"/>
    </row>
    <row r="43" spans="2:19" x14ac:dyDescent="0.25">
      <c r="B43"/>
      <c r="C43"/>
      <c r="D43"/>
      <c r="E43"/>
      <c r="F43"/>
      <c r="G43"/>
      <c r="H43"/>
      <c r="I43"/>
      <c r="J43"/>
      <c r="K43"/>
      <c r="L43"/>
      <c r="M43"/>
      <c r="N43"/>
      <c r="O43"/>
      <c r="P43"/>
      <c r="Q43"/>
      <c r="R43"/>
    </row>
    <row r="44" spans="2:19" x14ac:dyDescent="0.25">
      <c r="B44"/>
      <c r="C44"/>
      <c r="D44"/>
      <c r="E44"/>
      <c r="F44"/>
      <c r="G44"/>
      <c r="H44"/>
      <c r="I44"/>
      <c r="J44"/>
      <c r="K44"/>
      <c r="L44"/>
      <c r="M44"/>
      <c r="N44"/>
      <c r="O44"/>
      <c r="P44"/>
      <c r="Q44"/>
      <c r="R44"/>
    </row>
    <row r="49" spans="2:19" x14ac:dyDescent="0.25">
      <c r="B49" s="38"/>
      <c r="C49" s="123"/>
      <c r="D49" s="125"/>
      <c r="E49" s="123"/>
      <c r="F49" s="126"/>
      <c r="G49" s="123"/>
      <c r="H49" s="125"/>
      <c r="I49" s="123"/>
      <c r="J49" s="126"/>
      <c r="K49" s="123"/>
      <c r="L49" s="125"/>
      <c r="M49" s="123"/>
      <c r="N49" s="126"/>
      <c r="O49" s="33"/>
      <c r="P49" s="33"/>
      <c r="Q49" s="33"/>
      <c r="R49" s="49"/>
      <c r="S49" s="49"/>
    </row>
    <row r="51" spans="2:19" x14ac:dyDescent="0.25">
      <c r="B51" s="38"/>
      <c r="C51" s="123"/>
      <c r="D51" s="125"/>
      <c r="E51" s="123"/>
      <c r="F51" s="126"/>
      <c r="G51" s="123"/>
      <c r="H51" s="125"/>
      <c r="I51" s="123"/>
      <c r="J51" s="126"/>
      <c r="K51" s="123"/>
      <c r="L51" s="125"/>
      <c r="M51" s="123"/>
      <c r="N51" s="126"/>
      <c r="O51" s="33"/>
      <c r="P51" s="33"/>
      <c r="Q51" s="33"/>
      <c r="R51" s="49"/>
      <c r="S51" s="49"/>
    </row>
  </sheetData>
  <mergeCells count="17">
    <mergeCell ref="G6:J6"/>
    <mergeCell ref="M7:N7"/>
    <mergeCell ref="B1:R1"/>
    <mergeCell ref="B2:R2"/>
    <mergeCell ref="B3:R3"/>
    <mergeCell ref="B5:R5"/>
    <mergeCell ref="C7:D7"/>
    <mergeCell ref="E7:F7"/>
    <mergeCell ref="K7:L7"/>
    <mergeCell ref="O7:P7"/>
    <mergeCell ref="Q7:R7"/>
    <mergeCell ref="B4:R4"/>
    <mergeCell ref="G7:H7"/>
    <mergeCell ref="I7:J7"/>
    <mergeCell ref="O6:S6"/>
    <mergeCell ref="K6:N6"/>
    <mergeCell ref="C6:F6"/>
  </mergeCells>
  <pageMargins left="0.7" right="0.7" top="0.75" bottom="0.75" header="0.3" footer="0.3"/>
  <pageSetup paperSize="9" scale="48" orientation="portrait" r:id="rId1"/>
  <colBreaks count="1" manualBreakCount="1">
    <brk id="19" max="1048575" man="1"/>
  </colBreaks>
  <ignoredErrors>
    <ignoredError sqref="D30 F30" formula="1"/>
    <ignoredError sqref="O12 C13:D13 Q10:S12 S13 S32 O11" unlockedFormula="1"/>
    <ignoredError sqref="P10:P12 Q13:R13 N13:O13 E13:L13 P13 M13" formula="1"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B1:R43"/>
  <sheetViews>
    <sheetView showGridLines="0" zoomScale="110" zoomScaleNormal="110" workbookViewId="0">
      <selection activeCell="N33" sqref="N33"/>
    </sheetView>
  </sheetViews>
  <sheetFormatPr baseColWidth="10" defaultColWidth="11.42578125" defaultRowHeight="15" x14ac:dyDescent="0.25"/>
  <cols>
    <col min="1" max="2" width="11.42578125" style="1"/>
    <col min="3" max="3" width="11" style="1" customWidth="1"/>
    <col min="4" max="4" width="9" style="1" bestFit="1" customWidth="1"/>
    <col min="5" max="5" width="15" style="1" customWidth="1"/>
    <col min="6" max="6" width="11.42578125" style="1" customWidth="1"/>
    <col min="7" max="7" width="14" style="1" bestFit="1" customWidth="1"/>
    <col min="8" max="8" width="13.7109375" style="1" customWidth="1"/>
    <col min="9" max="10" width="10.7109375" style="1" customWidth="1"/>
    <col min="11" max="11" width="15.140625" style="1" bestFit="1" customWidth="1"/>
    <col min="12" max="12" width="11.42578125" style="1" customWidth="1"/>
    <col min="13" max="13" width="20.42578125" style="1" customWidth="1"/>
    <col min="14" max="14" width="35.140625" style="1" customWidth="1"/>
    <col min="15" max="15" width="11.7109375" style="1" bestFit="1" customWidth="1"/>
    <col min="16" max="16" width="18.42578125" style="1" customWidth="1"/>
    <col min="17" max="17" width="16" style="1" bestFit="1" customWidth="1"/>
    <col min="18" max="18" width="11.7109375" style="1" bestFit="1" customWidth="1"/>
    <col min="19" max="16384" width="11.42578125" style="1"/>
  </cols>
  <sheetData>
    <row r="1" spans="2:16" x14ac:dyDescent="0.25">
      <c r="B1" s="536" t="s">
        <v>0</v>
      </c>
      <c r="C1" s="536"/>
      <c r="D1" s="536"/>
      <c r="E1" s="536"/>
      <c r="F1" s="536"/>
      <c r="G1" s="536"/>
      <c r="H1" s="536"/>
      <c r="I1" s="536"/>
      <c r="J1" s="536"/>
      <c r="K1" s="536"/>
    </row>
    <row r="2" spans="2:16" x14ac:dyDescent="0.25">
      <c r="B2" s="536" t="s">
        <v>76</v>
      </c>
      <c r="C2" s="536"/>
      <c r="D2" s="536"/>
      <c r="E2" s="536"/>
      <c r="F2" s="536"/>
      <c r="G2" s="536"/>
      <c r="H2" s="536"/>
      <c r="I2" s="536"/>
      <c r="J2" s="536"/>
      <c r="K2" s="536"/>
    </row>
    <row r="3" spans="2:16" x14ac:dyDescent="0.25">
      <c r="B3" s="536" t="s">
        <v>233</v>
      </c>
      <c r="C3" s="536"/>
      <c r="D3" s="536"/>
      <c r="E3" s="536"/>
      <c r="F3" s="536"/>
      <c r="G3" s="536"/>
      <c r="H3" s="536"/>
      <c r="I3" s="536"/>
      <c r="J3" s="536"/>
      <c r="K3" s="536"/>
    </row>
    <row r="4" spans="2:16" x14ac:dyDescent="0.25">
      <c r="B4" s="536" t="s">
        <v>3</v>
      </c>
      <c r="C4" s="536"/>
      <c r="D4" s="536"/>
      <c r="E4" s="536"/>
      <c r="F4" s="536"/>
      <c r="G4" s="536"/>
      <c r="H4" s="536"/>
      <c r="I4" s="536"/>
      <c r="J4" s="536"/>
      <c r="K4" s="536"/>
    </row>
    <row r="5" spans="2:16" x14ac:dyDescent="0.25">
      <c r="B5" s="536" t="s">
        <v>4</v>
      </c>
      <c r="C5" s="536"/>
      <c r="D5" s="536"/>
      <c r="E5" s="536"/>
      <c r="F5" s="536"/>
      <c r="G5" s="536"/>
      <c r="H5" s="536"/>
      <c r="I5" s="536"/>
      <c r="J5" s="536"/>
      <c r="K5" s="536"/>
    </row>
    <row r="6" spans="2:16" x14ac:dyDescent="0.25">
      <c r="B6" s="76"/>
      <c r="C6" s="547" t="s">
        <v>90</v>
      </c>
      <c r="D6" s="547"/>
      <c r="E6" s="547"/>
      <c r="F6" s="548" t="s">
        <v>92</v>
      </c>
      <c r="G6" s="548"/>
      <c r="H6" s="548"/>
      <c r="I6" s="549" t="s">
        <v>93</v>
      </c>
      <c r="J6" s="549"/>
      <c r="K6" s="549"/>
      <c r="L6"/>
      <c r="M6"/>
      <c r="N6"/>
      <c r="O6"/>
      <c r="P6"/>
    </row>
    <row r="7" spans="2:16" ht="25.5" x14ac:dyDescent="0.25">
      <c r="B7" s="77" t="s">
        <v>5</v>
      </c>
      <c r="C7" s="39" t="s">
        <v>234</v>
      </c>
      <c r="D7" s="39" t="s">
        <v>235</v>
      </c>
      <c r="E7" s="39" t="s">
        <v>114</v>
      </c>
      <c r="F7" s="39" t="s">
        <v>234</v>
      </c>
      <c r="G7" s="39" t="s">
        <v>235</v>
      </c>
      <c r="H7" s="39" t="s">
        <v>114</v>
      </c>
      <c r="I7" s="39" t="s">
        <v>94</v>
      </c>
      <c r="J7" s="39" t="s">
        <v>95</v>
      </c>
      <c r="K7" s="39" t="s">
        <v>114</v>
      </c>
      <c r="L7"/>
      <c r="M7"/>
      <c r="N7"/>
      <c r="O7"/>
      <c r="P7"/>
    </row>
    <row r="8" spans="2:16" ht="0.75" customHeight="1" x14ac:dyDescent="0.25">
      <c r="B8" s="145" t="s">
        <v>236</v>
      </c>
      <c r="C8" s="141" t="s">
        <v>115</v>
      </c>
      <c r="D8" s="141" t="s">
        <v>115</v>
      </c>
      <c r="E8" s="95" t="s">
        <v>115</v>
      </c>
      <c r="F8" s="142" t="s">
        <v>115</v>
      </c>
      <c r="G8" s="130" t="s">
        <v>115</v>
      </c>
      <c r="H8" s="50" t="s">
        <v>115</v>
      </c>
      <c r="I8" s="146" t="s">
        <v>115</v>
      </c>
      <c r="J8" s="146" t="s">
        <v>115</v>
      </c>
      <c r="K8" s="147" t="s">
        <v>115</v>
      </c>
      <c r="L8"/>
      <c r="M8"/>
      <c r="N8"/>
      <c r="O8"/>
      <c r="P8"/>
    </row>
    <row r="9" spans="2:16" x14ac:dyDescent="0.25">
      <c r="B9" s="176" t="s">
        <v>13</v>
      </c>
      <c r="C9" s="176"/>
      <c r="D9" s="176"/>
      <c r="E9" s="410"/>
      <c r="F9" s="176"/>
      <c r="G9" s="176"/>
      <c r="H9" s="410"/>
      <c r="I9" s="176">
        <f>C9+F9</f>
        <v>0</v>
      </c>
      <c r="J9" s="176">
        <f>D9+G9</f>
        <v>0</v>
      </c>
      <c r="K9" s="410">
        <f>E9+H9</f>
        <v>0</v>
      </c>
      <c r="L9"/>
      <c r="M9"/>
      <c r="N9"/>
      <c r="O9"/>
      <c r="P9"/>
    </row>
    <row r="10" spans="2:16" x14ac:dyDescent="0.25">
      <c r="B10" s="227" t="s">
        <v>14</v>
      </c>
      <c r="C10" s="226">
        <v>270</v>
      </c>
      <c r="D10" s="226">
        <v>287</v>
      </c>
      <c r="E10" s="50">
        <v>21841336.52</v>
      </c>
      <c r="F10" s="226">
        <v>29</v>
      </c>
      <c r="G10" s="431">
        <v>29</v>
      </c>
      <c r="H10" s="50">
        <v>4520366.05</v>
      </c>
      <c r="I10" s="176">
        <f t="shared" ref="I10:I11" si="0">C10+F10</f>
        <v>299</v>
      </c>
      <c r="J10" s="176">
        <f t="shared" ref="J10:J11" si="1">D10+G10</f>
        <v>316</v>
      </c>
      <c r="K10" s="410">
        <f t="shared" ref="K10:K11" si="2">E10+H10</f>
        <v>26361702.57</v>
      </c>
      <c r="L10"/>
      <c r="M10"/>
      <c r="N10"/>
      <c r="O10"/>
      <c r="P10"/>
    </row>
    <row r="11" spans="2:16" x14ac:dyDescent="0.25">
      <c r="B11" s="227" t="s">
        <v>15</v>
      </c>
      <c r="C11" s="226">
        <v>281</v>
      </c>
      <c r="D11" s="226">
        <v>260</v>
      </c>
      <c r="E11" s="50">
        <v>30519423.41</v>
      </c>
      <c r="F11" s="226">
        <v>52</v>
      </c>
      <c r="G11" s="431">
        <v>52</v>
      </c>
      <c r="H11" s="50">
        <v>13639958.939999999</v>
      </c>
      <c r="I11" s="176">
        <f t="shared" si="0"/>
        <v>333</v>
      </c>
      <c r="J11" s="176">
        <f t="shared" si="1"/>
        <v>312</v>
      </c>
      <c r="K11" s="410">
        <f t="shared" si="2"/>
        <v>44159382.350000001</v>
      </c>
      <c r="L11"/>
      <c r="M11"/>
      <c r="N11"/>
      <c r="O11"/>
      <c r="P11"/>
    </row>
    <row r="12" spans="2:16" x14ac:dyDescent="0.25">
      <c r="B12" s="372" t="s">
        <v>16</v>
      </c>
      <c r="C12" s="442">
        <f t="shared" ref="C12:K12" si="3">SUM(C9:C11)</f>
        <v>551</v>
      </c>
      <c r="D12" s="442">
        <f t="shared" si="3"/>
        <v>547</v>
      </c>
      <c r="E12" s="430">
        <f t="shared" si="3"/>
        <v>52360759.93</v>
      </c>
      <c r="F12" s="429">
        <f t="shared" si="3"/>
        <v>81</v>
      </c>
      <c r="G12" s="429">
        <f t="shared" si="3"/>
        <v>81</v>
      </c>
      <c r="H12" s="430">
        <f t="shared" si="3"/>
        <v>18160324.989999998</v>
      </c>
      <c r="I12" s="442">
        <f t="shared" si="3"/>
        <v>632</v>
      </c>
      <c r="J12" s="442">
        <f t="shared" si="3"/>
        <v>628</v>
      </c>
      <c r="K12" s="430">
        <f t="shared" si="3"/>
        <v>70521084.920000002</v>
      </c>
      <c r="L12"/>
      <c r="M12"/>
      <c r="N12"/>
      <c r="O12"/>
      <c r="P12"/>
    </row>
    <row r="13" spans="2:16" hidden="1" x14ac:dyDescent="0.25">
      <c r="B13" s="112" t="s">
        <v>17</v>
      </c>
      <c r="C13" s="122"/>
      <c r="D13" s="122"/>
      <c r="E13" s="128"/>
      <c r="F13" s="95"/>
      <c r="G13" s="95"/>
      <c r="H13" s="128"/>
      <c r="I13" s="33"/>
      <c r="J13" s="33"/>
      <c r="K13" s="33"/>
      <c r="L13"/>
      <c r="M13"/>
      <c r="N13"/>
      <c r="O13"/>
      <c r="P13"/>
    </row>
    <row r="14" spans="2:16" hidden="1" x14ac:dyDescent="0.25">
      <c r="B14" s="112" t="s">
        <v>18</v>
      </c>
      <c r="C14" s="122"/>
      <c r="D14" s="122"/>
      <c r="E14" s="128"/>
      <c r="F14" s="95"/>
      <c r="G14" s="95"/>
      <c r="H14" s="128"/>
      <c r="I14" s="33"/>
      <c r="J14" s="33"/>
      <c r="K14" s="33"/>
      <c r="L14"/>
      <c r="M14"/>
      <c r="N14"/>
      <c r="O14"/>
      <c r="P14"/>
    </row>
    <row r="15" spans="2:16" hidden="1" x14ac:dyDescent="0.25">
      <c r="B15" s="112" t="s">
        <v>19</v>
      </c>
      <c r="C15" s="122"/>
      <c r="D15" s="122"/>
      <c r="E15" s="95"/>
      <c r="F15" s="95"/>
      <c r="G15" s="95"/>
      <c r="H15" s="95"/>
      <c r="I15" s="33"/>
      <c r="J15" s="33"/>
      <c r="K15" s="33"/>
      <c r="L15"/>
      <c r="M15"/>
      <c r="N15"/>
      <c r="O15"/>
      <c r="P15"/>
    </row>
    <row r="16" spans="2:16" hidden="1" x14ac:dyDescent="0.25">
      <c r="B16" s="40" t="s">
        <v>20</v>
      </c>
      <c r="C16" s="35">
        <f t="shared" ref="C16:K16" si="4">SUM(C13:C15)</f>
        <v>0</v>
      </c>
      <c r="D16" s="35">
        <f t="shared" si="4"/>
        <v>0</v>
      </c>
      <c r="E16" s="35">
        <f t="shared" si="4"/>
        <v>0</v>
      </c>
      <c r="F16" s="148">
        <f t="shared" si="4"/>
        <v>0</v>
      </c>
      <c r="G16" s="148">
        <f t="shared" si="4"/>
        <v>0</v>
      </c>
      <c r="H16" s="35">
        <f t="shared" si="4"/>
        <v>0</v>
      </c>
      <c r="I16" s="35">
        <f>SUM(I13:I15)</f>
        <v>0</v>
      </c>
      <c r="J16" s="35">
        <f>SUM(J13:J15)</f>
        <v>0</v>
      </c>
      <c r="K16" s="35">
        <f t="shared" si="4"/>
        <v>0</v>
      </c>
      <c r="L16"/>
      <c r="M16"/>
      <c r="N16"/>
      <c r="O16"/>
      <c r="P16"/>
    </row>
    <row r="17" spans="2:16" hidden="1" x14ac:dyDescent="0.25">
      <c r="B17" s="38" t="s">
        <v>15</v>
      </c>
      <c r="C17" s="95"/>
      <c r="D17" s="95"/>
      <c r="E17" s="128"/>
      <c r="F17" s="95"/>
      <c r="G17" s="95"/>
      <c r="H17" s="128"/>
      <c r="I17" s="32"/>
      <c r="J17" s="32"/>
      <c r="K17" s="55"/>
      <c r="L17"/>
      <c r="M17"/>
      <c r="N17"/>
      <c r="O17"/>
      <c r="P17"/>
    </row>
    <row r="18" spans="2:16" hidden="1" x14ac:dyDescent="0.25">
      <c r="B18" s="38" t="s">
        <v>14</v>
      </c>
      <c r="C18" s="95"/>
      <c r="D18" s="95"/>
      <c r="E18" s="128"/>
      <c r="F18" s="95"/>
      <c r="G18" s="95"/>
      <c r="H18" s="128"/>
      <c r="I18" s="32"/>
      <c r="J18" s="32"/>
      <c r="K18" s="55"/>
      <c r="L18"/>
      <c r="M18"/>
      <c r="N18"/>
      <c r="O18"/>
      <c r="P18"/>
    </row>
    <row r="19" spans="2:16" hidden="1" x14ac:dyDescent="0.25">
      <c r="B19" s="38" t="s">
        <v>13</v>
      </c>
      <c r="C19" s="95"/>
      <c r="D19" s="95"/>
      <c r="E19" s="128"/>
      <c r="F19" s="95"/>
      <c r="G19" s="95"/>
      <c r="H19" s="128"/>
      <c r="I19" s="32"/>
      <c r="J19" s="32"/>
      <c r="K19" s="55"/>
      <c r="L19"/>
      <c r="M19"/>
      <c r="N19"/>
      <c r="O19"/>
      <c r="P19"/>
    </row>
    <row r="20" spans="2:16" hidden="1" x14ac:dyDescent="0.25">
      <c r="B20" s="24" t="s">
        <v>16</v>
      </c>
      <c r="C20" s="34">
        <f t="shared" ref="C20:K20" si="5">SUM(C17:C19)</f>
        <v>0</v>
      </c>
      <c r="D20" s="34">
        <f t="shared" si="5"/>
        <v>0</v>
      </c>
      <c r="E20" s="34">
        <f t="shared" si="5"/>
        <v>0</v>
      </c>
      <c r="F20" s="34">
        <f>SUM(F17:F19)</f>
        <v>0</v>
      </c>
      <c r="G20" s="34">
        <f>SUM(G17:G19)</f>
        <v>0</v>
      </c>
      <c r="H20" s="34">
        <f>SUM(H17:H19)</f>
        <v>0</v>
      </c>
      <c r="I20" s="34">
        <f t="shared" si="5"/>
        <v>0</v>
      </c>
      <c r="J20" s="34">
        <f t="shared" si="5"/>
        <v>0</v>
      </c>
      <c r="K20" s="34">
        <f t="shared" si="5"/>
        <v>0</v>
      </c>
      <c r="L20"/>
      <c r="M20"/>
      <c r="N20"/>
      <c r="O20"/>
      <c r="P20"/>
    </row>
    <row r="21" spans="2:16" hidden="1" x14ac:dyDescent="0.25">
      <c r="B21" s="38" t="s">
        <v>42</v>
      </c>
      <c r="C21" s="95"/>
      <c r="D21" s="95"/>
      <c r="E21" s="128"/>
      <c r="F21" s="95"/>
      <c r="G21" s="95"/>
      <c r="H21" s="128"/>
      <c r="I21" s="32"/>
      <c r="J21" s="32"/>
      <c r="K21" s="55"/>
      <c r="L21"/>
      <c r="M21"/>
      <c r="N21"/>
      <c r="O21"/>
      <c r="P21"/>
    </row>
    <row r="22" spans="2:16" hidden="1" x14ac:dyDescent="0.25">
      <c r="B22" s="38" t="s">
        <v>22</v>
      </c>
      <c r="C22" s="95"/>
      <c r="D22" s="95"/>
      <c r="E22" s="128"/>
      <c r="F22" s="95"/>
      <c r="G22" s="95"/>
      <c r="H22" s="128"/>
      <c r="I22" s="32"/>
      <c r="J22" s="32"/>
      <c r="K22" s="55"/>
      <c r="L22"/>
      <c r="M22"/>
      <c r="N22"/>
      <c r="O22"/>
      <c r="P22"/>
    </row>
    <row r="23" spans="2:16" hidden="1" x14ac:dyDescent="0.25">
      <c r="B23" s="38" t="s">
        <v>23</v>
      </c>
      <c r="C23" s="95"/>
      <c r="D23" s="95"/>
      <c r="E23" s="128"/>
      <c r="F23" s="95"/>
      <c r="G23" s="95"/>
      <c r="H23" s="128"/>
      <c r="I23" s="32"/>
      <c r="J23" s="32"/>
      <c r="K23" s="55"/>
      <c r="L23"/>
      <c r="M23"/>
      <c r="N23"/>
      <c r="O23"/>
      <c r="P23"/>
    </row>
    <row r="24" spans="2:16" hidden="1" x14ac:dyDescent="0.25">
      <c r="B24" s="24" t="s">
        <v>24</v>
      </c>
      <c r="C24" s="34">
        <f t="shared" ref="C24:K24" si="6">SUM(C21:C23)</f>
        <v>0</v>
      </c>
      <c r="D24" s="34">
        <f t="shared" si="6"/>
        <v>0</v>
      </c>
      <c r="E24" s="34">
        <f t="shared" si="6"/>
        <v>0</v>
      </c>
      <c r="F24" s="34">
        <f t="shared" si="6"/>
        <v>0</v>
      </c>
      <c r="G24" s="34">
        <f t="shared" si="6"/>
        <v>0</v>
      </c>
      <c r="H24" s="34">
        <f t="shared" si="6"/>
        <v>0</v>
      </c>
      <c r="I24" s="34">
        <f t="shared" si="6"/>
        <v>0</v>
      </c>
      <c r="J24" s="34">
        <f t="shared" si="6"/>
        <v>0</v>
      </c>
      <c r="K24" s="34">
        <f t="shared" si="6"/>
        <v>0</v>
      </c>
      <c r="L24"/>
      <c r="M24"/>
      <c r="N24"/>
      <c r="O24"/>
      <c r="P24"/>
    </row>
    <row r="25" spans="2:16" hidden="1" x14ac:dyDescent="0.25">
      <c r="B25" s="38" t="s">
        <v>25</v>
      </c>
      <c r="C25" s="95"/>
      <c r="D25" s="95"/>
      <c r="E25" s="128"/>
      <c r="F25" s="95"/>
      <c r="G25" s="95"/>
      <c r="H25" s="128"/>
      <c r="I25" s="32"/>
      <c r="J25" s="32"/>
      <c r="K25" s="55"/>
      <c r="L25"/>
      <c r="M25"/>
      <c r="N25"/>
      <c r="O25"/>
      <c r="P25"/>
    </row>
    <row r="26" spans="2:16" hidden="1" x14ac:dyDescent="0.25">
      <c r="B26" s="38" t="s">
        <v>26</v>
      </c>
      <c r="C26" s="95"/>
      <c r="D26" s="95"/>
      <c r="E26" s="128"/>
      <c r="F26" s="95"/>
      <c r="G26" s="95"/>
      <c r="H26" s="128"/>
      <c r="I26" s="32"/>
      <c r="J26" s="32"/>
      <c r="K26" s="55"/>
      <c r="L26"/>
      <c r="M26"/>
      <c r="N26"/>
      <c r="O26"/>
      <c r="P26"/>
    </row>
    <row r="27" spans="2:16" hidden="1" x14ac:dyDescent="0.25">
      <c r="B27" s="38" t="s">
        <v>237</v>
      </c>
      <c r="C27" s="95"/>
      <c r="D27" s="95"/>
      <c r="E27" s="128"/>
      <c r="F27" s="95"/>
      <c r="G27" s="95"/>
      <c r="H27" s="128"/>
      <c r="I27" s="32"/>
      <c r="J27" s="32"/>
      <c r="K27" s="55"/>
      <c r="L27"/>
      <c r="M27"/>
      <c r="N27"/>
      <c r="O27"/>
      <c r="P27"/>
    </row>
    <row r="28" spans="2:16" hidden="1" x14ac:dyDescent="0.25">
      <c r="B28" s="24" t="s">
        <v>28</v>
      </c>
      <c r="C28" s="34">
        <f t="shared" ref="C28:K28" si="7">SUM(C25:C27)</f>
        <v>0</v>
      </c>
      <c r="D28" s="34">
        <f t="shared" si="7"/>
        <v>0</v>
      </c>
      <c r="E28" s="34">
        <f t="shared" si="7"/>
        <v>0</v>
      </c>
      <c r="F28" s="34">
        <f>SUM(F25:F27)</f>
        <v>0</v>
      </c>
      <c r="G28" s="34">
        <f>SUM(G25:G27)</f>
        <v>0</v>
      </c>
      <c r="H28" s="34">
        <f>SUM(H25:H27)</f>
        <v>0</v>
      </c>
      <c r="I28" s="34">
        <f t="shared" si="7"/>
        <v>0</v>
      </c>
      <c r="J28" s="34">
        <f t="shared" si="7"/>
        <v>0</v>
      </c>
      <c r="K28" s="34">
        <f t="shared" si="7"/>
        <v>0</v>
      </c>
      <c r="L28"/>
      <c r="M28"/>
      <c r="N28"/>
      <c r="O28"/>
      <c r="P28"/>
    </row>
    <row r="29" spans="2:16" hidden="1" x14ac:dyDescent="0.25">
      <c r="B29" s="61" t="s">
        <v>29</v>
      </c>
      <c r="C29" s="36">
        <f t="shared" ref="C29:I29" si="8">+C16+C20+C24+C28</f>
        <v>0</v>
      </c>
      <c r="D29" s="36">
        <f t="shared" si="8"/>
        <v>0</v>
      </c>
      <c r="E29" s="36">
        <f t="shared" si="8"/>
        <v>0</v>
      </c>
      <c r="F29" s="36">
        <f t="shared" si="8"/>
        <v>0</v>
      </c>
      <c r="G29" s="36">
        <f t="shared" si="8"/>
        <v>0</v>
      </c>
      <c r="H29" s="36">
        <f t="shared" si="8"/>
        <v>0</v>
      </c>
      <c r="I29" s="36">
        <f t="shared" si="8"/>
        <v>0</v>
      </c>
      <c r="J29" s="36">
        <f>+J16+J20+J24+J28</f>
        <v>0</v>
      </c>
      <c r="K29" s="36">
        <f>+K16+K20+K24+K28</f>
        <v>0</v>
      </c>
      <c r="L29"/>
      <c r="M29"/>
      <c r="N29"/>
      <c r="O29"/>
      <c r="P29"/>
    </row>
    <row r="30" spans="2:16" x14ac:dyDescent="0.25">
      <c r="B30" s="131"/>
      <c r="C30"/>
      <c r="D30"/>
      <c r="E30"/>
      <c r="F30"/>
      <c r="G30"/>
      <c r="H30"/>
      <c r="I30"/>
      <c r="J30"/>
      <c r="K30"/>
      <c r="L30"/>
      <c r="M30"/>
      <c r="N30"/>
      <c r="O30"/>
      <c r="P30"/>
    </row>
    <row r="31" spans="2:16" x14ac:dyDescent="0.25">
      <c r="B31" s="157" t="s">
        <v>238</v>
      </c>
      <c r="C31"/>
      <c r="D31"/>
      <c r="E31"/>
      <c r="F31"/>
      <c r="G31"/>
      <c r="H31"/>
      <c r="I31"/>
      <c r="J31"/>
      <c r="K31"/>
      <c r="L31"/>
      <c r="M31"/>
      <c r="N31"/>
      <c r="O31"/>
      <c r="P31"/>
    </row>
    <row r="32" spans="2:16" x14ac:dyDescent="0.25">
      <c r="B32"/>
      <c r="C32"/>
      <c r="D32"/>
      <c r="E32"/>
      <c r="F32"/>
      <c r="G32"/>
      <c r="H32"/>
      <c r="I32"/>
      <c r="J32"/>
      <c r="K32"/>
      <c r="L32"/>
      <c r="M32"/>
      <c r="N32"/>
      <c r="O32" t="s">
        <v>118</v>
      </c>
      <c r="P32"/>
    </row>
    <row r="33" spans="2:18" x14ac:dyDescent="0.25">
      <c r="B33"/>
      <c r="C33"/>
      <c r="D33"/>
      <c r="E33"/>
      <c r="F33"/>
      <c r="G33"/>
      <c r="H33"/>
      <c r="I33"/>
      <c r="J33"/>
      <c r="K33"/>
      <c r="L33" s="127"/>
      <c r="M33"/>
      <c r="N33"/>
      <c r="O33"/>
      <c r="P33"/>
    </row>
    <row r="34" spans="2:18" x14ac:dyDescent="0.25">
      <c r="B34"/>
      <c r="C34"/>
      <c r="D34"/>
      <c r="E34"/>
      <c r="F34"/>
      <c r="G34"/>
      <c r="H34"/>
      <c r="I34"/>
      <c r="J34"/>
      <c r="K34"/>
      <c r="L34" s="127"/>
      <c r="M34"/>
      <c r="N34"/>
      <c r="O34"/>
      <c r="P34"/>
    </row>
    <row r="35" spans="2:18" x14ac:dyDescent="0.25">
      <c r="B35" s="38"/>
      <c r="C35" s="123"/>
      <c r="D35" s="123"/>
      <c r="E35" s="95"/>
      <c r="F35" s="129"/>
      <c r="G35" s="130"/>
      <c r="H35" s="95"/>
      <c r="I35" s="33"/>
      <c r="J35" s="33"/>
      <c r="K35" s="33"/>
    </row>
    <row r="36" spans="2:18" x14ac:dyDescent="0.25">
      <c r="L36" s="31"/>
      <c r="O36" s="45"/>
      <c r="P36" s="53"/>
      <c r="Q36" s="46"/>
      <c r="R36" s="54"/>
    </row>
    <row r="37" spans="2:18" x14ac:dyDescent="0.25">
      <c r="B37" s="38"/>
      <c r="C37" s="123"/>
      <c r="D37" s="123"/>
      <c r="E37" s="95"/>
      <c r="F37" s="129"/>
      <c r="G37" s="130"/>
      <c r="H37" s="95"/>
      <c r="I37" s="33"/>
      <c r="J37" s="33"/>
      <c r="K37" s="33"/>
      <c r="O37" s="45"/>
      <c r="P37" s="53"/>
      <c r="Q37" s="46"/>
      <c r="R37" s="54"/>
    </row>
    <row r="38" spans="2:18" x14ac:dyDescent="0.25">
      <c r="O38" s="45"/>
      <c r="P38" s="53"/>
      <c r="Q38" s="46"/>
      <c r="R38" s="54"/>
    </row>
    <row r="39" spans="2:18" x14ac:dyDescent="0.25">
      <c r="O39" s="45"/>
      <c r="P39" s="53"/>
      <c r="Q39" s="46"/>
      <c r="R39" s="54"/>
    </row>
    <row r="40" spans="2:18" x14ac:dyDescent="0.25">
      <c r="O40" s="45"/>
      <c r="P40" s="53"/>
      <c r="Q40" s="46"/>
      <c r="R40" s="54"/>
    </row>
    <row r="41" spans="2:18" x14ac:dyDescent="0.25">
      <c r="O41" s="45"/>
      <c r="P41" s="53"/>
      <c r="Q41" s="46"/>
      <c r="R41" s="54"/>
    </row>
    <row r="42" spans="2:18" x14ac:dyDescent="0.25">
      <c r="O42" s="45"/>
      <c r="P42" s="53"/>
      <c r="Q42" s="46"/>
      <c r="R42" s="54"/>
    </row>
    <row r="43" spans="2:18" x14ac:dyDescent="0.25">
      <c r="O43" s="45"/>
      <c r="P43" s="53"/>
      <c r="Q43" s="46"/>
      <c r="R43" s="54"/>
    </row>
  </sheetData>
  <mergeCells count="8">
    <mergeCell ref="B1:K1"/>
    <mergeCell ref="B2:K2"/>
    <mergeCell ref="B3:K3"/>
    <mergeCell ref="B5:K5"/>
    <mergeCell ref="C6:E6"/>
    <mergeCell ref="F6:H6"/>
    <mergeCell ref="I6:K6"/>
    <mergeCell ref="B4:K4"/>
  </mergeCells>
  <pageMargins left="0.7" right="0.7" top="0.75" bottom="0.75" header="0.3" footer="0.3"/>
  <pageSetup paperSize="9" scale="72" orientation="portrait" r:id="rId1"/>
  <rowBreaks count="1" manualBreakCount="1">
    <brk id="49" min="1" max="10" man="1"/>
  </rowBreaks>
  <ignoredErrors>
    <ignoredError sqref="C12:K12"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P39"/>
  <sheetViews>
    <sheetView showGridLines="0" workbookViewId="0">
      <selection activeCell="F8" sqref="F8:G10"/>
    </sheetView>
  </sheetViews>
  <sheetFormatPr baseColWidth="10" defaultColWidth="11.42578125" defaultRowHeight="15" x14ac:dyDescent="0.25"/>
  <cols>
    <col min="1" max="1" width="11.42578125" style="1"/>
    <col min="2" max="2" width="11" style="1" customWidth="1"/>
    <col min="3" max="3" width="14.140625" style="1" customWidth="1"/>
    <col min="4" max="4" width="12.42578125" style="1" customWidth="1"/>
    <col min="5" max="5" width="17.7109375" style="1" bestFit="1" customWidth="1"/>
    <col min="6" max="6" width="12.42578125" style="1" customWidth="1"/>
    <col min="7" max="7" width="16.140625" style="1" bestFit="1" customWidth="1"/>
    <col min="8" max="8" width="10.7109375" style="1" customWidth="1"/>
    <col min="9" max="9" width="15.28515625" style="1" bestFit="1" customWidth="1"/>
    <col min="10" max="10" width="11.42578125" style="1" customWidth="1"/>
    <col min="11" max="12" width="11.42578125" style="1"/>
    <col min="13" max="14" width="11.7109375" style="1" bestFit="1" customWidth="1"/>
    <col min="15" max="15" width="16" style="1" bestFit="1" customWidth="1"/>
    <col min="16" max="16" width="11.7109375" style="1" bestFit="1" customWidth="1"/>
    <col min="17" max="16384" width="11.42578125" style="1"/>
  </cols>
  <sheetData>
    <row r="1" spans="1:9" x14ac:dyDescent="0.25">
      <c r="A1" s="536" t="s">
        <v>239</v>
      </c>
      <c r="B1" s="536"/>
      <c r="C1" s="536"/>
      <c r="D1" s="536"/>
      <c r="E1" s="536"/>
      <c r="F1" s="536"/>
      <c r="G1" s="536"/>
      <c r="H1" s="536"/>
      <c r="I1" s="536"/>
    </row>
    <row r="2" spans="1:9" x14ac:dyDescent="0.25">
      <c r="A2" s="536" t="s">
        <v>76</v>
      </c>
      <c r="B2" s="536"/>
      <c r="C2" s="536"/>
      <c r="D2" s="536"/>
      <c r="E2" s="536"/>
      <c r="F2" s="536"/>
      <c r="G2" s="536"/>
      <c r="H2" s="536"/>
      <c r="I2" s="536"/>
    </row>
    <row r="3" spans="1:9" x14ac:dyDescent="0.25">
      <c r="A3" s="536" t="s">
        <v>240</v>
      </c>
      <c r="B3" s="536"/>
      <c r="C3" s="536"/>
      <c r="D3" s="536"/>
      <c r="E3" s="536"/>
      <c r="F3" s="536"/>
      <c r="G3" s="536"/>
      <c r="H3" s="536"/>
      <c r="I3" s="536"/>
    </row>
    <row r="4" spans="1:9" x14ac:dyDescent="0.25">
      <c r="A4" s="536" t="s">
        <v>241</v>
      </c>
      <c r="B4" s="536"/>
      <c r="C4" s="536"/>
      <c r="D4" s="536"/>
      <c r="E4" s="536"/>
      <c r="F4" s="536"/>
      <c r="G4" s="536"/>
      <c r="H4" s="536"/>
      <c r="I4" s="536"/>
    </row>
    <row r="5" spans="1:9" x14ac:dyDescent="0.25">
      <c r="A5" s="536" t="s">
        <v>242</v>
      </c>
      <c r="B5" s="536"/>
      <c r="C5" s="536"/>
      <c r="D5" s="536"/>
      <c r="E5" s="536"/>
      <c r="F5" s="536"/>
      <c r="G5" s="536"/>
      <c r="H5" s="536"/>
      <c r="I5" s="536"/>
    </row>
    <row r="6" spans="1:9" x14ac:dyDescent="0.25">
      <c r="A6" s="76"/>
      <c r="B6" s="547" t="s">
        <v>243</v>
      </c>
      <c r="C6" s="547"/>
      <c r="D6" s="548" t="s">
        <v>92</v>
      </c>
      <c r="E6" s="548"/>
      <c r="F6" s="550" t="s">
        <v>91</v>
      </c>
      <c r="G6" s="550"/>
      <c r="H6" s="549" t="s">
        <v>93</v>
      </c>
      <c r="I6" s="549"/>
    </row>
    <row r="7" spans="1:9" ht="34.5" customHeight="1" x14ac:dyDescent="0.25">
      <c r="A7" s="77" t="s">
        <v>5</v>
      </c>
      <c r="B7" s="39" t="s">
        <v>244</v>
      </c>
      <c r="C7" s="39" t="s">
        <v>9</v>
      </c>
      <c r="D7" s="39" t="s">
        <v>244</v>
      </c>
      <c r="E7" s="39" t="s">
        <v>9</v>
      </c>
      <c r="F7" s="39" t="s">
        <v>244</v>
      </c>
      <c r="G7" s="39" t="s">
        <v>9</v>
      </c>
      <c r="H7" s="39" t="s">
        <v>244</v>
      </c>
      <c r="I7" s="39" t="s">
        <v>9</v>
      </c>
    </row>
    <row r="8" spans="1:9" x14ac:dyDescent="0.25">
      <c r="A8" s="38" t="s">
        <v>15</v>
      </c>
      <c r="B8" s="27">
        <v>0</v>
      </c>
      <c r="C8" s="50">
        <v>0</v>
      </c>
      <c r="D8" s="27">
        <v>0</v>
      </c>
      <c r="E8" s="50">
        <v>0</v>
      </c>
      <c r="F8" s="27">
        <v>0</v>
      </c>
      <c r="G8" s="50">
        <v>0</v>
      </c>
      <c r="H8" s="32">
        <f t="shared" ref="H8:I10" si="0">+B8+D8+F8</f>
        <v>0</v>
      </c>
      <c r="I8" s="55">
        <f t="shared" si="0"/>
        <v>0</v>
      </c>
    </row>
    <row r="9" spans="1:9" x14ac:dyDescent="0.25">
      <c r="A9" s="38" t="s">
        <v>14</v>
      </c>
      <c r="B9" s="27">
        <f>4+28+31</f>
        <v>63</v>
      </c>
      <c r="C9" s="50">
        <f>30992+216880.44+240467.76</f>
        <v>488340.2</v>
      </c>
      <c r="D9" s="27">
        <v>3</v>
      </c>
      <c r="E9" s="50">
        <v>224872.69</v>
      </c>
      <c r="F9" s="27">
        <f>2+12</f>
        <v>14</v>
      </c>
      <c r="G9" s="50">
        <f>12000+72000</f>
        <v>84000</v>
      </c>
      <c r="H9" s="32">
        <f t="shared" si="0"/>
        <v>80</v>
      </c>
      <c r="I9" s="55">
        <f t="shared" si="0"/>
        <v>797212.89</v>
      </c>
    </row>
    <row r="10" spans="1:9" x14ac:dyDescent="0.25">
      <c r="A10" s="38" t="s">
        <v>13</v>
      </c>
      <c r="B10" s="27">
        <v>1413</v>
      </c>
      <c r="C10" s="50">
        <v>11172621.32</v>
      </c>
      <c r="D10" s="27">
        <v>34</v>
      </c>
      <c r="E10" s="50">
        <v>278309.3</v>
      </c>
      <c r="F10" s="27">
        <v>1549</v>
      </c>
      <c r="G10" s="50">
        <v>9294000</v>
      </c>
      <c r="H10" s="32">
        <f t="shared" si="0"/>
        <v>2996</v>
      </c>
      <c r="I10" s="32">
        <f t="shared" si="0"/>
        <v>20744930.620000001</v>
      </c>
    </row>
    <row r="11" spans="1:9" x14ac:dyDescent="0.25">
      <c r="A11" s="24" t="s">
        <v>16</v>
      </c>
      <c r="B11" s="34">
        <f t="shared" ref="B11:I11" si="1">SUM(B8:B10)</f>
        <v>1476</v>
      </c>
      <c r="C11" s="34">
        <f t="shared" si="1"/>
        <v>11660961.52</v>
      </c>
      <c r="D11" s="34">
        <f t="shared" si="1"/>
        <v>37</v>
      </c>
      <c r="E11" s="34">
        <f t="shared" si="1"/>
        <v>503181.99</v>
      </c>
      <c r="F11" s="34">
        <f>SUM(F8:F10)</f>
        <v>1563</v>
      </c>
      <c r="G11" s="34">
        <f>SUM(G8:G10)</f>
        <v>9378000</v>
      </c>
      <c r="H11" s="34">
        <f>SUM(H8:H10)</f>
        <v>3076</v>
      </c>
      <c r="I11" s="34">
        <f t="shared" si="1"/>
        <v>21542143.510000002</v>
      </c>
    </row>
    <row r="12" spans="1:9" hidden="1" x14ac:dyDescent="0.25">
      <c r="A12" s="38" t="s">
        <v>15</v>
      </c>
      <c r="B12" s="27"/>
      <c r="C12" s="50"/>
      <c r="D12" s="27"/>
      <c r="E12" s="50"/>
      <c r="F12" s="27"/>
      <c r="G12" s="50"/>
      <c r="H12" s="32">
        <f t="shared" ref="H12:I14" si="2">+B12+D12+F12</f>
        <v>0</v>
      </c>
      <c r="I12" s="55">
        <f t="shared" si="2"/>
        <v>0</v>
      </c>
    </row>
    <row r="13" spans="1:9" hidden="1" x14ac:dyDescent="0.25">
      <c r="A13" s="38" t="s">
        <v>14</v>
      </c>
      <c r="B13" s="27"/>
      <c r="C13" s="50"/>
      <c r="D13" s="27"/>
      <c r="E13" s="50"/>
      <c r="F13" s="27"/>
      <c r="G13" s="50"/>
      <c r="H13" s="32">
        <f t="shared" si="2"/>
        <v>0</v>
      </c>
      <c r="I13" s="55">
        <f t="shared" si="2"/>
        <v>0</v>
      </c>
    </row>
    <row r="14" spans="1:9" hidden="1" x14ac:dyDescent="0.25">
      <c r="A14" s="38" t="s">
        <v>13</v>
      </c>
      <c r="B14" s="27"/>
      <c r="C14" s="50"/>
      <c r="D14" s="27"/>
      <c r="E14" s="50"/>
      <c r="F14" s="27"/>
      <c r="G14" s="50"/>
      <c r="H14" s="32">
        <f t="shared" si="2"/>
        <v>0</v>
      </c>
      <c r="I14" s="55">
        <f t="shared" si="2"/>
        <v>0</v>
      </c>
    </row>
    <row r="15" spans="1:9" hidden="1" x14ac:dyDescent="0.25">
      <c r="A15" s="24" t="s">
        <v>16</v>
      </c>
      <c r="B15" s="34">
        <f t="shared" ref="B15:I15" si="3">SUM(B12:B14)</f>
        <v>0</v>
      </c>
      <c r="C15" s="34">
        <f t="shared" si="3"/>
        <v>0</v>
      </c>
      <c r="D15" s="34">
        <f t="shared" si="3"/>
        <v>0</v>
      </c>
      <c r="E15" s="34">
        <f t="shared" si="3"/>
        <v>0</v>
      </c>
      <c r="F15" s="34">
        <f>SUM(F12:F14)</f>
        <v>0</v>
      </c>
      <c r="G15" s="34">
        <f>SUM(G12:G14)</f>
        <v>0</v>
      </c>
      <c r="H15" s="34">
        <f t="shared" si="3"/>
        <v>0</v>
      </c>
      <c r="I15" s="34">
        <f t="shared" si="3"/>
        <v>0</v>
      </c>
    </row>
    <row r="16" spans="1:9" hidden="1" x14ac:dyDescent="0.25">
      <c r="A16" s="38" t="s">
        <v>42</v>
      </c>
      <c r="B16" s="27"/>
      <c r="C16" s="50"/>
      <c r="D16" s="27"/>
      <c r="E16" s="50"/>
      <c r="F16" s="27"/>
      <c r="G16" s="50"/>
      <c r="H16" s="32">
        <f t="shared" ref="H16:I18" si="4">+B16+D16+F16</f>
        <v>0</v>
      </c>
      <c r="I16" s="55">
        <f t="shared" si="4"/>
        <v>0</v>
      </c>
    </row>
    <row r="17" spans="1:16" hidden="1" x14ac:dyDescent="0.25">
      <c r="A17" s="38" t="s">
        <v>22</v>
      </c>
      <c r="B17" s="27"/>
      <c r="C17" s="50"/>
      <c r="D17" s="27"/>
      <c r="E17" s="50"/>
      <c r="F17" s="27"/>
      <c r="G17" s="50"/>
      <c r="H17" s="32">
        <f t="shared" si="4"/>
        <v>0</v>
      </c>
      <c r="I17" s="55">
        <f t="shared" si="4"/>
        <v>0</v>
      </c>
    </row>
    <row r="18" spans="1:16" hidden="1" x14ac:dyDescent="0.25">
      <c r="A18" s="38" t="s">
        <v>23</v>
      </c>
      <c r="B18" s="27"/>
      <c r="C18" s="50"/>
      <c r="D18" s="27"/>
      <c r="E18" s="50"/>
      <c r="F18" s="27"/>
      <c r="G18" s="50"/>
      <c r="H18" s="32">
        <f t="shared" si="4"/>
        <v>0</v>
      </c>
      <c r="I18" s="55">
        <f t="shared" si="4"/>
        <v>0</v>
      </c>
    </row>
    <row r="19" spans="1:16" hidden="1" x14ac:dyDescent="0.25">
      <c r="A19" s="24" t="s">
        <v>24</v>
      </c>
      <c r="B19" s="34">
        <f t="shared" ref="B19:I19" si="5">SUM(B16:B18)</f>
        <v>0</v>
      </c>
      <c r="C19" s="34">
        <f t="shared" si="5"/>
        <v>0</v>
      </c>
      <c r="D19" s="34">
        <f t="shared" si="5"/>
        <v>0</v>
      </c>
      <c r="E19" s="34">
        <f t="shared" si="5"/>
        <v>0</v>
      </c>
      <c r="F19" s="34">
        <f t="shared" si="5"/>
        <v>0</v>
      </c>
      <c r="G19" s="34">
        <f t="shared" si="5"/>
        <v>0</v>
      </c>
      <c r="H19" s="34">
        <f t="shared" si="5"/>
        <v>0</v>
      </c>
      <c r="I19" s="34">
        <f t="shared" si="5"/>
        <v>0</v>
      </c>
    </row>
    <row r="20" spans="1:16" hidden="1" x14ac:dyDescent="0.25">
      <c r="A20" s="26" t="s">
        <v>25</v>
      </c>
      <c r="B20" s="27"/>
      <c r="C20" s="50"/>
      <c r="D20" s="27"/>
      <c r="E20" s="50"/>
      <c r="F20" s="27"/>
      <c r="G20" s="50"/>
      <c r="H20" s="32">
        <f t="shared" ref="H20:I22" si="6">+B20+D20+F20</f>
        <v>0</v>
      </c>
      <c r="I20" s="55">
        <f t="shared" si="6"/>
        <v>0</v>
      </c>
    </row>
    <row r="21" spans="1:16" hidden="1" x14ac:dyDescent="0.25">
      <c r="A21" s="26" t="s">
        <v>26</v>
      </c>
      <c r="B21" s="27"/>
      <c r="C21" s="50"/>
      <c r="D21" s="27"/>
      <c r="E21" s="50"/>
      <c r="F21" s="27"/>
      <c r="G21" s="50"/>
      <c r="H21" s="32">
        <f t="shared" si="6"/>
        <v>0</v>
      </c>
      <c r="I21" s="55">
        <f t="shared" si="6"/>
        <v>0</v>
      </c>
    </row>
    <row r="22" spans="1:16" hidden="1" x14ac:dyDescent="0.25">
      <c r="A22" s="26" t="s">
        <v>27</v>
      </c>
      <c r="B22" s="27"/>
      <c r="C22" s="50"/>
      <c r="D22" s="27"/>
      <c r="E22" s="50"/>
      <c r="F22" s="27"/>
      <c r="G22" s="50"/>
      <c r="H22" s="32">
        <f t="shared" si="6"/>
        <v>0</v>
      </c>
      <c r="I22" s="55">
        <f t="shared" si="6"/>
        <v>0</v>
      </c>
    </row>
    <row r="23" spans="1:16" hidden="1" x14ac:dyDescent="0.25">
      <c r="A23" s="12" t="s">
        <v>28</v>
      </c>
      <c r="B23" s="34">
        <f t="shared" ref="B23:I23" si="7">SUM(B20:B22)</f>
        <v>0</v>
      </c>
      <c r="C23" s="34">
        <f t="shared" si="7"/>
        <v>0</v>
      </c>
      <c r="D23" s="34">
        <f t="shared" si="7"/>
        <v>0</v>
      </c>
      <c r="E23" s="34">
        <f t="shared" si="7"/>
        <v>0</v>
      </c>
      <c r="F23" s="34">
        <f>SUM(F20:F22)</f>
        <v>0</v>
      </c>
      <c r="G23" s="34">
        <f>SUM(G20:G22)</f>
        <v>0</v>
      </c>
      <c r="H23" s="34">
        <f t="shared" si="7"/>
        <v>0</v>
      </c>
      <c r="I23" s="34">
        <f t="shared" si="7"/>
        <v>0</v>
      </c>
    </row>
    <row r="24" spans="1:16" hidden="1" x14ac:dyDescent="0.25">
      <c r="A24" s="51" t="s">
        <v>29</v>
      </c>
      <c r="B24" s="36">
        <f>+B11+B15+B19+B23</f>
        <v>1476</v>
      </c>
      <c r="C24" s="36">
        <f>+C11+C15+C19+C23</f>
        <v>11660961.52</v>
      </c>
      <c r="D24" s="36">
        <f t="shared" ref="D24:I24" si="8">+D11+D15+D19+D23</f>
        <v>37</v>
      </c>
      <c r="E24" s="36">
        <f t="shared" si="8"/>
        <v>503181.99</v>
      </c>
      <c r="F24" s="36">
        <f t="shared" si="8"/>
        <v>1563</v>
      </c>
      <c r="G24" s="36">
        <f t="shared" si="8"/>
        <v>9378000</v>
      </c>
      <c r="H24" s="36">
        <f>+H11+H15+H19+H23</f>
        <v>3076</v>
      </c>
      <c r="I24" s="36">
        <f t="shared" si="8"/>
        <v>21542143.510000002</v>
      </c>
    </row>
    <row r="25" spans="1:16" hidden="1" x14ac:dyDescent="0.25">
      <c r="A25" s="52" t="s">
        <v>245</v>
      </c>
    </row>
    <row r="26" spans="1:16" x14ac:dyDescent="0.25">
      <c r="A26" s="15" t="s">
        <v>246</v>
      </c>
      <c r="E26" s="31"/>
      <c r="G26" s="31"/>
    </row>
    <row r="32" spans="1:16" x14ac:dyDescent="0.25">
      <c r="M32" s="45">
        <v>32154</v>
      </c>
      <c r="N32" s="53" t="e">
        <f t="shared" ref="N32:N39" si="9">M32/$B$29*100</f>
        <v>#DIV/0!</v>
      </c>
      <c r="O32" s="46">
        <v>386810064.19999999</v>
      </c>
      <c r="P32" s="54" t="e">
        <f>O32/O40*100</f>
        <v>#DIV/0!</v>
      </c>
    </row>
    <row r="33" spans="13:16" x14ac:dyDescent="0.25">
      <c r="M33" s="45">
        <v>56199</v>
      </c>
      <c r="N33" s="53" t="e">
        <f t="shared" si="9"/>
        <v>#DIV/0!</v>
      </c>
      <c r="O33" s="46">
        <v>471111842.94</v>
      </c>
      <c r="P33" s="54" t="e">
        <f>O33/O40*100</f>
        <v>#DIV/0!</v>
      </c>
    </row>
    <row r="34" spans="13:16" x14ac:dyDescent="0.25">
      <c r="M34" s="45">
        <v>297</v>
      </c>
      <c r="N34" s="53" t="e">
        <f t="shared" si="9"/>
        <v>#DIV/0!</v>
      </c>
      <c r="O34" s="46">
        <v>5010228</v>
      </c>
      <c r="P34" s="54" t="e">
        <f>O34/O40*100</f>
        <v>#DIV/0!</v>
      </c>
    </row>
    <row r="35" spans="13:16" x14ac:dyDescent="0.25">
      <c r="M35" s="45">
        <v>163</v>
      </c>
      <c r="N35" s="53" t="e">
        <f t="shared" si="9"/>
        <v>#DIV/0!</v>
      </c>
      <c r="O35" s="46">
        <v>4392328.91</v>
      </c>
      <c r="P35" s="54" t="e">
        <f>O35/O40*100</f>
        <v>#DIV/0!</v>
      </c>
    </row>
    <row r="36" spans="13:16" x14ac:dyDescent="0.25">
      <c r="M36" s="45">
        <v>366</v>
      </c>
      <c r="N36" s="53" t="e">
        <f t="shared" si="9"/>
        <v>#DIV/0!</v>
      </c>
      <c r="O36" s="46">
        <v>9034522.6500000004</v>
      </c>
      <c r="P36" s="54" t="e">
        <f>O36/O40*100</f>
        <v>#DIV/0!</v>
      </c>
    </row>
    <row r="37" spans="13:16" x14ac:dyDescent="0.25">
      <c r="M37" s="45">
        <v>17249</v>
      </c>
      <c r="N37" s="53" t="e">
        <f t="shared" si="9"/>
        <v>#DIV/0!</v>
      </c>
      <c r="O37" s="46">
        <v>405400068.69</v>
      </c>
      <c r="P37" s="54" t="e">
        <f>O37/O40*100</f>
        <v>#DIV/0!</v>
      </c>
    </row>
    <row r="38" spans="13:16" x14ac:dyDescent="0.25">
      <c r="M38" s="45">
        <v>18745</v>
      </c>
      <c r="N38" s="53" t="e">
        <f t="shared" si="9"/>
        <v>#DIV/0!</v>
      </c>
      <c r="O38" s="46">
        <v>369724631.60000002</v>
      </c>
      <c r="P38" s="54" t="e">
        <f>O38/O40*100</f>
        <v>#DIV/0!</v>
      </c>
    </row>
    <row r="39" spans="13:16" x14ac:dyDescent="0.25">
      <c r="M39" s="45">
        <v>15130</v>
      </c>
      <c r="N39" s="53" t="e">
        <f t="shared" si="9"/>
        <v>#DIV/0!</v>
      </c>
      <c r="O39" s="46">
        <v>151015428.50999999</v>
      </c>
      <c r="P39" s="54" t="e">
        <f>O39/O40*100</f>
        <v>#DIV/0!</v>
      </c>
    </row>
  </sheetData>
  <mergeCells count="9">
    <mergeCell ref="B6:C6"/>
    <mergeCell ref="D6:E6"/>
    <mergeCell ref="F6:G6"/>
    <mergeCell ref="H6:I6"/>
    <mergeCell ref="A1:I1"/>
    <mergeCell ref="A2:I2"/>
    <mergeCell ref="A3:I3"/>
    <mergeCell ref="A4:I4"/>
    <mergeCell ref="A5:I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P39"/>
  <sheetViews>
    <sheetView showGridLines="0" workbookViewId="0">
      <selection activeCell="B27" sqref="B27"/>
    </sheetView>
  </sheetViews>
  <sheetFormatPr baseColWidth="10" defaultColWidth="11.42578125" defaultRowHeight="15" x14ac:dyDescent="0.25"/>
  <cols>
    <col min="1" max="1" width="11.42578125" style="1"/>
    <col min="2" max="2" width="11" style="1" customWidth="1"/>
    <col min="3" max="3" width="14.140625" style="1" customWidth="1"/>
    <col min="4" max="4" width="12.42578125" style="1" customWidth="1"/>
    <col min="5" max="5" width="17.7109375" style="1" bestFit="1" customWidth="1"/>
    <col min="6" max="6" width="12.42578125" style="1" customWidth="1"/>
    <col min="7" max="7" width="16.140625" style="1" bestFit="1" customWidth="1"/>
    <col min="8" max="8" width="10.7109375" style="1" customWidth="1"/>
    <col min="9" max="9" width="15.28515625" style="1" bestFit="1" customWidth="1"/>
    <col min="10" max="10" width="11.42578125" style="1" customWidth="1"/>
    <col min="11" max="12" width="11.42578125" style="1"/>
    <col min="13" max="14" width="11.7109375" style="1" bestFit="1" customWidth="1"/>
    <col min="15" max="15" width="16" style="1" bestFit="1" customWidth="1"/>
    <col min="16" max="16" width="11.7109375" style="1" bestFit="1" customWidth="1"/>
    <col min="17" max="16384" width="11.42578125" style="1"/>
  </cols>
  <sheetData>
    <row r="1" spans="1:9" x14ac:dyDescent="0.25">
      <c r="A1" s="536" t="s">
        <v>239</v>
      </c>
      <c r="B1" s="536"/>
      <c r="C1" s="536"/>
      <c r="D1" s="536"/>
      <c r="E1" s="536"/>
      <c r="F1" s="536"/>
      <c r="G1" s="536"/>
      <c r="H1" s="536"/>
      <c r="I1" s="536"/>
    </row>
    <row r="2" spans="1:9" x14ac:dyDescent="0.25">
      <c r="A2" s="536" t="s">
        <v>76</v>
      </c>
      <c r="B2" s="536"/>
      <c r="C2" s="536"/>
      <c r="D2" s="536"/>
      <c r="E2" s="536"/>
      <c r="F2" s="536"/>
      <c r="G2" s="536"/>
      <c r="H2" s="536"/>
      <c r="I2" s="536"/>
    </row>
    <row r="3" spans="1:9" x14ac:dyDescent="0.25">
      <c r="A3" s="536" t="s">
        <v>247</v>
      </c>
      <c r="B3" s="536"/>
      <c r="C3" s="536"/>
      <c r="D3" s="536"/>
      <c r="E3" s="536"/>
      <c r="F3" s="536"/>
      <c r="G3" s="536"/>
      <c r="H3" s="536"/>
      <c r="I3" s="536"/>
    </row>
    <row r="4" spans="1:9" x14ac:dyDescent="0.25">
      <c r="A4" s="536" t="s">
        <v>248</v>
      </c>
      <c r="B4" s="536"/>
      <c r="C4" s="536"/>
      <c r="D4" s="536"/>
      <c r="E4" s="536"/>
      <c r="F4" s="536"/>
      <c r="G4" s="536"/>
      <c r="H4" s="536"/>
      <c r="I4" s="536"/>
    </row>
    <row r="5" spans="1:9" x14ac:dyDescent="0.25">
      <c r="A5" s="536" t="s">
        <v>242</v>
      </c>
      <c r="B5" s="536"/>
      <c r="C5" s="536"/>
      <c r="D5" s="536"/>
      <c r="E5" s="536"/>
      <c r="F5" s="536"/>
      <c r="G5" s="536"/>
      <c r="H5" s="536"/>
      <c r="I5" s="536"/>
    </row>
    <row r="6" spans="1:9" x14ac:dyDescent="0.25">
      <c r="A6" s="76"/>
      <c r="B6" s="547" t="s">
        <v>243</v>
      </c>
      <c r="C6" s="547"/>
      <c r="D6" s="548" t="s">
        <v>92</v>
      </c>
      <c r="E6" s="548"/>
      <c r="F6" s="550" t="s">
        <v>91</v>
      </c>
      <c r="G6" s="550"/>
      <c r="H6" s="549" t="s">
        <v>93</v>
      </c>
      <c r="I6" s="549"/>
    </row>
    <row r="7" spans="1:9" ht="34.5" customHeight="1" x14ac:dyDescent="0.25">
      <c r="A7" s="77" t="s">
        <v>5</v>
      </c>
      <c r="B7" s="39" t="s">
        <v>249</v>
      </c>
      <c r="C7" s="39" t="s">
        <v>9</v>
      </c>
      <c r="D7" s="39" t="s">
        <v>249</v>
      </c>
      <c r="E7" s="39" t="s">
        <v>9</v>
      </c>
      <c r="F7" s="39" t="s">
        <v>249</v>
      </c>
      <c r="G7" s="39" t="s">
        <v>9</v>
      </c>
      <c r="H7" s="39" t="s">
        <v>249</v>
      </c>
      <c r="I7" s="39" t="s">
        <v>9</v>
      </c>
    </row>
    <row r="8" spans="1:9" x14ac:dyDescent="0.25">
      <c r="A8" s="38" t="s">
        <v>15</v>
      </c>
      <c r="B8" s="27">
        <v>0</v>
      </c>
      <c r="C8" s="50">
        <v>0</v>
      </c>
      <c r="D8" s="27">
        <v>0</v>
      </c>
      <c r="E8" s="50">
        <v>0</v>
      </c>
      <c r="F8" s="27">
        <v>0</v>
      </c>
      <c r="G8" s="50">
        <v>0</v>
      </c>
      <c r="H8" s="32">
        <f t="shared" ref="H8:I10" si="0">+B8+D8+F8</f>
        <v>0</v>
      </c>
      <c r="I8" s="55">
        <f t="shared" si="0"/>
        <v>0</v>
      </c>
    </row>
    <row r="9" spans="1:9" x14ac:dyDescent="0.25">
      <c r="A9" s="38" t="s">
        <v>14</v>
      </c>
      <c r="B9" s="27">
        <v>36</v>
      </c>
      <c r="C9" s="50">
        <v>386001.61</v>
      </c>
      <c r="D9" s="27">
        <v>2</v>
      </c>
      <c r="E9" s="50">
        <v>16030.61</v>
      </c>
      <c r="F9" s="27">
        <v>2</v>
      </c>
      <c r="G9" s="50">
        <v>12000</v>
      </c>
      <c r="H9" s="32">
        <f t="shared" si="0"/>
        <v>40</v>
      </c>
      <c r="I9" s="55">
        <f t="shared" si="0"/>
        <v>414032.22</v>
      </c>
    </row>
    <row r="10" spans="1:9" x14ac:dyDescent="0.25">
      <c r="A10" s="38" t="s">
        <v>13</v>
      </c>
      <c r="B10" s="27">
        <v>131</v>
      </c>
      <c r="C10" s="50">
        <v>1444844.33</v>
      </c>
      <c r="D10" s="27">
        <v>5</v>
      </c>
      <c r="E10" s="50">
        <v>110598.45</v>
      </c>
      <c r="F10" s="27">
        <v>6</v>
      </c>
      <c r="G10" s="50">
        <v>36000</v>
      </c>
      <c r="H10" s="32">
        <f t="shared" si="0"/>
        <v>142</v>
      </c>
      <c r="I10" s="32">
        <f t="shared" si="0"/>
        <v>1591442.78</v>
      </c>
    </row>
    <row r="11" spans="1:9" x14ac:dyDescent="0.25">
      <c r="A11" s="24" t="s">
        <v>16</v>
      </c>
      <c r="B11" s="34">
        <f t="shared" ref="B11:I11" si="1">SUM(B8:B10)</f>
        <v>167</v>
      </c>
      <c r="C11" s="34">
        <f t="shared" si="1"/>
        <v>1830845.94</v>
      </c>
      <c r="D11" s="34">
        <f t="shared" si="1"/>
        <v>7</v>
      </c>
      <c r="E11" s="34">
        <f t="shared" si="1"/>
        <v>126629.06</v>
      </c>
      <c r="F11" s="34">
        <f>SUM(F8:F10)</f>
        <v>8</v>
      </c>
      <c r="G11" s="34">
        <f>SUM(G8:G10)</f>
        <v>48000</v>
      </c>
      <c r="H11" s="34">
        <f t="shared" si="1"/>
        <v>182</v>
      </c>
      <c r="I11" s="34">
        <f t="shared" si="1"/>
        <v>2005475</v>
      </c>
    </row>
    <row r="12" spans="1:9" hidden="1" x14ac:dyDescent="0.25">
      <c r="A12" s="38" t="s">
        <v>15</v>
      </c>
      <c r="B12" s="27">
        <v>52</v>
      </c>
      <c r="C12" s="50">
        <v>621254.41</v>
      </c>
      <c r="D12" s="27">
        <v>2</v>
      </c>
      <c r="E12" s="50">
        <v>15128.119999999999</v>
      </c>
      <c r="F12" s="27"/>
      <c r="G12" s="50"/>
      <c r="H12" s="32">
        <f t="shared" ref="H12:I14" si="2">+B12+D12+F12</f>
        <v>54</v>
      </c>
      <c r="I12" s="55">
        <f t="shared" si="2"/>
        <v>636382.53</v>
      </c>
    </row>
    <row r="13" spans="1:9" hidden="1" x14ac:dyDescent="0.25">
      <c r="A13" s="38" t="s">
        <v>14</v>
      </c>
      <c r="B13" s="27"/>
      <c r="C13" s="50"/>
      <c r="D13" s="27"/>
      <c r="E13" s="50"/>
      <c r="F13" s="27"/>
      <c r="G13" s="50"/>
      <c r="H13" s="32">
        <f t="shared" si="2"/>
        <v>0</v>
      </c>
      <c r="I13" s="55">
        <f t="shared" si="2"/>
        <v>0</v>
      </c>
    </row>
    <row r="14" spans="1:9" hidden="1" x14ac:dyDescent="0.25">
      <c r="A14" s="38" t="s">
        <v>13</v>
      </c>
      <c r="B14" s="27"/>
      <c r="C14" s="50"/>
      <c r="D14" s="27"/>
      <c r="E14" s="50"/>
      <c r="F14" s="27"/>
      <c r="G14" s="50"/>
      <c r="H14" s="32">
        <f t="shared" si="2"/>
        <v>0</v>
      </c>
      <c r="I14" s="55">
        <f t="shared" si="2"/>
        <v>0</v>
      </c>
    </row>
    <row r="15" spans="1:9" hidden="1" x14ac:dyDescent="0.25">
      <c r="A15" s="24" t="s">
        <v>16</v>
      </c>
      <c r="B15" s="34">
        <f t="shared" ref="B15:I15" si="3">SUM(B12:B14)</f>
        <v>52</v>
      </c>
      <c r="C15" s="34">
        <f t="shared" si="3"/>
        <v>621254.41</v>
      </c>
      <c r="D15" s="34">
        <f t="shared" si="3"/>
        <v>2</v>
      </c>
      <c r="E15" s="34">
        <f t="shared" si="3"/>
        <v>15128.119999999999</v>
      </c>
      <c r="F15" s="34">
        <f>SUM(F12:F14)</f>
        <v>0</v>
      </c>
      <c r="G15" s="34">
        <f>SUM(G12:G14)</f>
        <v>0</v>
      </c>
      <c r="H15" s="34">
        <f t="shared" si="3"/>
        <v>54</v>
      </c>
      <c r="I15" s="34">
        <f t="shared" si="3"/>
        <v>636382.53</v>
      </c>
    </row>
    <row r="16" spans="1:9" hidden="1" x14ac:dyDescent="0.25">
      <c r="A16" s="38" t="s">
        <v>42</v>
      </c>
      <c r="B16" s="27"/>
      <c r="C16" s="50"/>
      <c r="D16" s="27"/>
      <c r="E16" s="50"/>
      <c r="F16" s="27"/>
      <c r="G16" s="50"/>
      <c r="H16" s="32">
        <f t="shared" ref="H16:I18" si="4">+B16+D16+F16</f>
        <v>0</v>
      </c>
      <c r="I16" s="55">
        <f t="shared" si="4"/>
        <v>0</v>
      </c>
    </row>
    <row r="17" spans="1:16" hidden="1" x14ac:dyDescent="0.25">
      <c r="A17" s="38" t="s">
        <v>22</v>
      </c>
      <c r="B17" s="27"/>
      <c r="C17" s="50"/>
      <c r="D17" s="27"/>
      <c r="E17" s="50"/>
      <c r="F17" s="27"/>
      <c r="G17" s="50"/>
      <c r="H17" s="32">
        <f t="shared" si="4"/>
        <v>0</v>
      </c>
      <c r="I17" s="55">
        <f t="shared" si="4"/>
        <v>0</v>
      </c>
    </row>
    <row r="18" spans="1:16" hidden="1" x14ac:dyDescent="0.25">
      <c r="A18" s="38" t="s">
        <v>23</v>
      </c>
      <c r="B18" s="27"/>
      <c r="C18" s="50"/>
      <c r="D18" s="27"/>
      <c r="E18" s="50"/>
      <c r="F18" s="27"/>
      <c r="G18" s="50"/>
      <c r="H18" s="32">
        <f t="shared" si="4"/>
        <v>0</v>
      </c>
      <c r="I18" s="55">
        <f t="shared" si="4"/>
        <v>0</v>
      </c>
    </row>
    <row r="19" spans="1:16" hidden="1" x14ac:dyDescent="0.25">
      <c r="A19" s="24" t="s">
        <v>24</v>
      </c>
      <c r="B19" s="34">
        <f t="shared" ref="B19:I19" si="5">SUM(B16:B18)</f>
        <v>0</v>
      </c>
      <c r="C19" s="34">
        <f t="shared" si="5"/>
        <v>0</v>
      </c>
      <c r="D19" s="34">
        <f t="shared" si="5"/>
        <v>0</v>
      </c>
      <c r="E19" s="34">
        <f t="shared" si="5"/>
        <v>0</v>
      </c>
      <c r="F19" s="34">
        <f t="shared" si="5"/>
        <v>0</v>
      </c>
      <c r="G19" s="34">
        <f t="shared" si="5"/>
        <v>0</v>
      </c>
      <c r="H19" s="34">
        <f t="shared" si="5"/>
        <v>0</v>
      </c>
      <c r="I19" s="34">
        <f t="shared" si="5"/>
        <v>0</v>
      </c>
    </row>
    <row r="20" spans="1:16" hidden="1" x14ac:dyDescent="0.25">
      <c r="A20" s="26" t="s">
        <v>25</v>
      </c>
      <c r="B20" s="27"/>
      <c r="C20" s="50"/>
      <c r="D20" s="27"/>
      <c r="E20" s="50"/>
      <c r="F20" s="27"/>
      <c r="G20" s="50"/>
      <c r="H20" s="32">
        <f t="shared" ref="H20:I22" si="6">+B20+D20+F20</f>
        <v>0</v>
      </c>
      <c r="I20" s="55">
        <f t="shared" si="6"/>
        <v>0</v>
      </c>
    </row>
    <row r="21" spans="1:16" hidden="1" x14ac:dyDescent="0.25">
      <c r="A21" s="26" t="s">
        <v>26</v>
      </c>
      <c r="B21" s="27"/>
      <c r="C21" s="50"/>
      <c r="D21" s="27"/>
      <c r="E21" s="50"/>
      <c r="F21" s="27"/>
      <c r="G21" s="50"/>
      <c r="H21" s="32">
        <f t="shared" si="6"/>
        <v>0</v>
      </c>
      <c r="I21" s="55">
        <f t="shared" si="6"/>
        <v>0</v>
      </c>
    </row>
    <row r="22" spans="1:16" hidden="1" x14ac:dyDescent="0.25">
      <c r="A22" s="26" t="s">
        <v>27</v>
      </c>
      <c r="B22" s="27"/>
      <c r="C22" s="50"/>
      <c r="D22" s="27"/>
      <c r="E22" s="50"/>
      <c r="F22" s="27"/>
      <c r="G22" s="50"/>
      <c r="H22" s="32">
        <f t="shared" si="6"/>
        <v>0</v>
      </c>
      <c r="I22" s="55">
        <f t="shared" si="6"/>
        <v>0</v>
      </c>
    </row>
    <row r="23" spans="1:16" hidden="1" x14ac:dyDescent="0.25">
      <c r="A23" s="12" t="s">
        <v>28</v>
      </c>
      <c r="B23" s="34">
        <f t="shared" ref="B23:I23" si="7">SUM(B20:B22)</f>
        <v>0</v>
      </c>
      <c r="C23" s="34">
        <f t="shared" si="7"/>
        <v>0</v>
      </c>
      <c r="D23" s="34">
        <f t="shared" si="7"/>
        <v>0</v>
      </c>
      <c r="E23" s="34">
        <f t="shared" si="7"/>
        <v>0</v>
      </c>
      <c r="F23" s="34">
        <f>SUM(F20:F22)</f>
        <v>0</v>
      </c>
      <c r="G23" s="34">
        <f>SUM(G20:G22)</f>
        <v>0</v>
      </c>
      <c r="H23" s="34">
        <f t="shared" si="7"/>
        <v>0</v>
      </c>
      <c r="I23" s="34">
        <f t="shared" si="7"/>
        <v>0</v>
      </c>
    </row>
    <row r="24" spans="1:16" hidden="1" x14ac:dyDescent="0.25">
      <c r="A24" s="51" t="s">
        <v>29</v>
      </c>
      <c r="B24" s="36">
        <f>+B11+B15+B19+B23</f>
        <v>219</v>
      </c>
      <c r="C24" s="36">
        <f>+C11+C15+C19+C23</f>
        <v>2452100.35</v>
      </c>
      <c r="D24" s="36">
        <f t="shared" ref="D24:I24" si="8">+D11+D15+D19+D23</f>
        <v>9</v>
      </c>
      <c r="E24" s="36">
        <f t="shared" si="8"/>
        <v>141757.18</v>
      </c>
      <c r="F24" s="36">
        <f t="shared" si="8"/>
        <v>8</v>
      </c>
      <c r="G24" s="36">
        <f t="shared" si="8"/>
        <v>48000</v>
      </c>
      <c r="H24" s="36">
        <f>+H11+H15+H19+H23</f>
        <v>236</v>
      </c>
      <c r="I24" s="36">
        <f t="shared" si="8"/>
        <v>2641857.5300000003</v>
      </c>
    </row>
    <row r="25" spans="1:16" x14ac:dyDescent="0.25">
      <c r="A25" s="15" t="s">
        <v>246</v>
      </c>
    </row>
    <row r="26" spans="1:16" x14ac:dyDescent="0.25">
      <c r="E26" s="31"/>
      <c r="G26" s="31"/>
    </row>
    <row r="32" spans="1:16" x14ac:dyDescent="0.25">
      <c r="M32" s="45">
        <v>32154</v>
      </c>
      <c r="N32" s="53" t="e">
        <f t="shared" ref="N32:N39" si="9">M32/$B$29*100</f>
        <v>#DIV/0!</v>
      </c>
      <c r="O32" s="46">
        <v>386810064.19999999</v>
      </c>
      <c r="P32" s="54" t="e">
        <f>O32/O40*100</f>
        <v>#DIV/0!</v>
      </c>
    </row>
    <row r="33" spans="13:16" x14ac:dyDescent="0.25">
      <c r="M33" s="45">
        <v>56199</v>
      </c>
      <c r="N33" s="53" t="e">
        <f t="shared" si="9"/>
        <v>#DIV/0!</v>
      </c>
      <c r="O33" s="46">
        <v>471111842.94</v>
      </c>
      <c r="P33" s="54" t="e">
        <f>O33/O40*100</f>
        <v>#DIV/0!</v>
      </c>
    </row>
    <row r="34" spans="13:16" x14ac:dyDescent="0.25">
      <c r="M34" s="45">
        <v>297</v>
      </c>
      <c r="N34" s="53" t="e">
        <f t="shared" si="9"/>
        <v>#DIV/0!</v>
      </c>
      <c r="O34" s="46">
        <v>5010228</v>
      </c>
      <c r="P34" s="54" t="e">
        <f>O34/O40*100</f>
        <v>#DIV/0!</v>
      </c>
    </row>
    <row r="35" spans="13:16" x14ac:dyDescent="0.25">
      <c r="M35" s="45">
        <v>163</v>
      </c>
      <c r="N35" s="53" t="e">
        <f t="shared" si="9"/>
        <v>#DIV/0!</v>
      </c>
      <c r="O35" s="46">
        <v>4392328.91</v>
      </c>
      <c r="P35" s="54" t="e">
        <f>O35/O40*100</f>
        <v>#DIV/0!</v>
      </c>
    </row>
    <row r="36" spans="13:16" x14ac:dyDescent="0.25">
      <c r="M36" s="45">
        <v>366</v>
      </c>
      <c r="N36" s="53" t="e">
        <f t="shared" si="9"/>
        <v>#DIV/0!</v>
      </c>
      <c r="O36" s="46">
        <v>9034522.6500000004</v>
      </c>
      <c r="P36" s="54" t="e">
        <f>O36/O40*100</f>
        <v>#DIV/0!</v>
      </c>
    </row>
    <row r="37" spans="13:16" x14ac:dyDescent="0.25">
      <c r="M37" s="45">
        <v>17249</v>
      </c>
      <c r="N37" s="53" t="e">
        <f t="shared" si="9"/>
        <v>#DIV/0!</v>
      </c>
      <c r="O37" s="46">
        <v>405400068.69</v>
      </c>
      <c r="P37" s="54" t="e">
        <f>O37/O40*100</f>
        <v>#DIV/0!</v>
      </c>
    </row>
    <row r="38" spans="13:16" x14ac:dyDescent="0.25">
      <c r="M38" s="45">
        <v>18745</v>
      </c>
      <c r="N38" s="53" t="e">
        <f t="shared" si="9"/>
        <v>#DIV/0!</v>
      </c>
      <c r="O38" s="46">
        <v>369724631.60000002</v>
      </c>
      <c r="P38" s="54" t="e">
        <f>O38/O40*100</f>
        <v>#DIV/0!</v>
      </c>
    </row>
    <row r="39" spans="13:16" x14ac:dyDescent="0.25">
      <c r="M39" s="45">
        <v>15130</v>
      </c>
      <c r="N39" s="53" t="e">
        <f t="shared" si="9"/>
        <v>#DIV/0!</v>
      </c>
      <c r="O39" s="46">
        <v>151015428.50999999</v>
      </c>
      <c r="P39" s="54" t="e">
        <f>O39/O40*100</f>
        <v>#DIV/0!</v>
      </c>
    </row>
  </sheetData>
  <mergeCells count="9">
    <mergeCell ref="B6:C6"/>
    <mergeCell ref="D6:E6"/>
    <mergeCell ref="F6:G6"/>
    <mergeCell ref="H6:I6"/>
    <mergeCell ref="A1:I1"/>
    <mergeCell ref="A2:I2"/>
    <mergeCell ref="A3:I3"/>
    <mergeCell ref="A4:I4"/>
    <mergeCell ref="A5:I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B07F1-DCB4-4C46-A20F-F4071FBE8E1A}">
  <sheetPr>
    <tabColor theme="8"/>
  </sheetPr>
  <dimension ref="A1:U36"/>
  <sheetViews>
    <sheetView showGridLines="0" topLeftCell="B1" workbookViewId="0">
      <selection activeCell="E23" sqref="E23"/>
    </sheetView>
  </sheetViews>
  <sheetFormatPr baseColWidth="10" defaultColWidth="9.140625" defaultRowHeight="15" x14ac:dyDescent="0.25"/>
  <cols>
    <col min="1" max="1" width="9.140625" hidden="1" customWidth="1"/>
    <col min="2" max="2" width="15.85546875" customWidth="1"/>
    <col min="3" max="3" width="13.140625" customWidth="1"/>
    <col min="5" max="5" width="17.85546875" customWidth="1"/>
    <col min="6" max="6" width="12.85546875" customWidth="1"/>
    <col min="8" max="8" width="14.7109375" customWidth="1"/>
    <col min="9" max="9" width="12" customWidth="1"/>
    <col min="10" max="10" width="10.42578125" customWidth="1"/>
    <col min="11" max="11" width="15.28515625" customWidth="1"/>
  </cols>
  <sheetData>
    <row r="1" spans="2:18" x14ac:dyDescent="0.25">
      <c r="B1" s="536" t="s">
        <v>0</v>
      </c>
      <c r="C1" s="536"/>
      <c r="D1" s="536"/>
      <c r="E1" s="536"/>
      <c r="F1" s="536"/>
      <c r="G1" s="536"/>
      <c r="H1" s="536"/>
      <c r="I1" s="536"/>
      <c r="J1" s="536"/>
      <c r="K1" s="536"/>
    </row>
    <row r="2" spans="2:18" x14ac:dyDescent="0.25">
      <c r="B2" s="536" t="s">
        <v>76</v>
      </c>
      <c r="C2" s="536"/>
      <c r="D2" s="536"/>
      <c r="E2" s="536"/>
      <c r="F2" s="536"/>
      <c r="G2" s="536"/>
      <c r="H2" s="536"/>
      <c r="I2" s="536"/>
      <c r="J2" s="536"/>
      <c r="K2" s="536"/>
    </row>
    <row r="3" spans="2:18" x14ac:dyDescent="0.25">
      <c r="B3" s="536" t="s">
        <v>250</v>
      </c>
      <c r="C3" s="536"/>
      <c r="D3" s="536"/>
      <c r="E3" s="536"/>
      <c r="F3" s="536"/>
      <c r="G3" s="536"/>
      <c r="H3" s="536"/>
      <c r="I3" s="536"/>
      <c r="J3" s="536"/>
      <c r="K3" s="536"/>
    </row>
    <row r="4" spans="2:18" x14ac:dyDescent="0.25">
      <c r="B4" s="536" t="s">
        <v>251</v>
      </c>
      <c r="C4" s="536"/>
      <c r="D4" s="536"/>
      <c r="E4" s="536"/>
      <c r="F4" s="536"/>
      <c r="G4" s="536"/>
      <c r="H4" s="536"/>
      <c r="I4" s="536"/>
      <c r="J4" s="536"/>
      <c r="K4" s="536"/>
    </row>
    <row r="5" spans="2:18" x14ac:dyDescent="0.25">
      <c r="B5" s="536" t="s">
        <v>4</v>
      </c>
      <c r="C5" s="536"/>
      <c r="D5" s="536"/>
      <c r="E5" s="536"/>
      <c r="F5" s="536"/>
      <c r="G5" s="536"/>
      <c r="H5" s="536"/>
      <c r="I5" s="536"/>
      <c r="J5" s="536"/>
      <c r="K5" s="536"/>
    </row>
    <row r="6" spans="2:18" x14ac:dyDescent="0.25">
      <c r="B6" s="112"/>
      <c r="C6" s="577" t="s">
        <v>90</v>
      </c>
      <c r="D6" s="577"/>
      <c r="E6" s="577"/>
      <c r="F6" s="578" t="s">
        <v>92</v>
      </c>
      <c r="G6" s="578"/>
      <c r="H6" s="578"/>
      <c r="I6" s="579" t="s">
        <v>93</v>
      </c>
      <c r="J6" s="579"/>
      <c r="K6" s="579"/>
    </row>
    <row r="7" spans="2:18" ht="23.25" customHeight="1" x14ac:dyDescent="0.25">
      <c r="B7" s="77" t="s">
        <v>5</v>
      </c>
      <c r="C7" s="39" t="s">
        <v>234</v>
      </c>
      <c r="D7" s="39" t="s">
        <v>235</v>
      </c>
      <c r="E7" s="39" t="s">
        <v>114</v>
      </c>
      <c r="F7" s="39" t="s">
        <v>234</v>
      </c>
      <c r="G7" s="39" t="s">
        <v>235</v>
      </c>
      <c r="H7" s="39" t="s">
        <v>9</v>
      </c>
      <c r="I7" s="39" t="s">
        <v>94</v>
      </c>
      <c r="J7" s="39" t="s">
        <v>95</v>
      </c>
      <c r="K7" s="39" t="s">
        <v>114</v>
      </c>
    </row>
    <row r="8" spans="2:18" hidden="1" x14ac:dyDescent="0.25">
      <c r="B8" s="26" t="s">
        <v>12</v>
      </c>
      <c r="C8" s="363">
        <v>0</v>
      </c>
      <c r="D8" s="363">
        <v>0</v>
      </c>
      <c r="E8" s="364">
        <v>0</v>
      </c>
      <c r="F8" s="363">
        <v>0</v>
      </c>
      <c r="G8" s="363">
        <v>0</v>
      </c>
      <c r="H8" s="363"/>
      <c r="I8" s="365">
        <f>SUM(C8,F8)</f>
        <v>0</v>
      </c>
      <c r="J8" s="365">
        <f>SUM(D8,G8)</f>
        <v>0</v>
      </c>
      <c r="K8" s="365">
        <f>SUM(E8,H8)</f>
        <v>0</v>
      </c>
    </row>
    <row r="9" spans="2:18" x14ac:dyDescent="0.25">
      <c r="B9" s="26" t="s">
        <v>13</v>
      </c>
      <c r="C9" s="413"/>
      <c r="D9" s="413"/>
      <c r="E9" s="379"/>
      <c r="F9" s="127"/>
      <c r="G9" s="127">
        <v>0</v>
      </c>
      <c r="H9" s="127">
        <v>0</v>
      </c>
      <c r="I9" s="366">
        <f t="shared" ref="I9:K11" si="0">SUM(C9,F9)</f>
        <v>0</v>
      </c>
      <c r="J9" s="366">
        <f t="shared" si="0"/>
        <v>0</v>
      </c>
      <c r="K9" s="366">
        <f>SUM(E9,H9)</f>
        <v>0</v>
      </c>
    </row>
    <row r="10" spans="2:18" x14ac:dyDescent="0.25">
      <c r="B10" s="26" t="s">
        <v>14</v>
      </c>
      <c r="C10" s="367">
        <v>5</v>
      </c>
      <c r="D10" s="367">
        <v>6</v>
      </c>
      <c r="E10" s="380">
        <v>458000</v>
      </c>
      <c r="F10" s="411"/>
      <c r="G10" s="411"/>
      <c r="H10" s="403"/>
      <c r="I10" s="366">
        <f t="shared" si="0"/>
        <v>5</v>
      </c>
      <c r="J10" s="366">
        <f t="shared" si="0"/>
        <v>6</v>
      </c>
      <c r="K10" s="365">
        <f t="shared" si="0"/>
        <v>458000</v>
      </c>
    </row>
    <row r="11" spans="2:18" x14ac:dyDescent="0.25">
      <c r="B11" s="26" t="s">
        <v>15</v>
      </c>
      <c r="C11" s="367">
        <v>5</v>
      </c>
      <c r="D11" s="367">
        <v>5</v>
      </c>
      <c r="E11" s="380">
        <v>429443.79</v>
      </c>
      <c r="F11" s="411">
        <v>1</v>
      </c>
      <c r="G11" s="411">
        <v>1</v>
      </c>
      <c r="H11" s="403">
        <v>42166.67</v>
      </c>
      <c r="I11" s="366">
        <f t="shared" si="0"/>
        <v>6</v>
      </c>
      <c r="J11" s="366">
        <f t="shared" si="0"/>
        <v>6</v>
      </c>
      <c r="K11" s="366">
        <f t="shared" si="0"/>
        <v>471610.45999999996</v>
      </c>
    </row>
    <row r="12" spans="2:18" x14ac:dyDescent="0.25">
      <c r="B12" s="51" t="s">
        <v>252</v>
      </c>
      <c r="C12" s="414">
        <f>SUM(C8:C11)</f>
        <v>10</v>
      </c>
      <c r="D12" s="414">
        <f t="shared" ref="D12:K12" si="1">SUM(D8:D11)</f>
        <v>11</v>
      </c>
      <c r="E12" s="369">
        <f>SUM(E8:E11)</f>
        <v>887443.79</v>
      </c>
      <c r="F12" s="412">
        <f t="shared" si="1"/>
        <v>1</v>
      </c>
      <c r="G12" s="412">
        <f t="shared" si="1"/>
        <v>1</v>
      </c>
      <c r="H12" s="415">
        <f t="shared" si="1"/>
        <v>42166.67</v>
      </c>
      <c r="I12" s="368">
        <f t="shared" si="1"/>
        <v>11</v>
      </c>
      <c r="J12" s="368">
        <f t="shared" si="1"/>
        <v>12</v>
      </c>
      <c r="K12" s="370">
        <f t="shared" si="1"/>
        <v>929610.46</v>
      </c>
      <c r="R12" t="s">
        <v>118</v>
      </c>
    </row>
    <row r="13" spans="2:18" x14ac:dyDescent="0.25">
      <c r="B13" s="157" t="s">
        <v>253</v>
      </c>
    </row>
    <row r="36" spans="21:21" x14ac:dyDescent="0.25">
      <c r="U36" s="1"/>
    </row>
  </sheetData>
  <mergeCells count="8">
    <mergeCell ref="C6:E6"/>
    <mergeCell ref="F6:H6"/>
    <mergeCell ref="I6:K6"/>
    <mergeCell ref="B1:K1"/>
    <mergeCell ref="B2:K2"/>
    <mergeCell ref="B3:K3"/>
    <mergeCell ref="B4:K4"/>
    <mergeCell ref="B5:K5"/>
  </mergeCells>
  <pageMargins left="0.7" right="0.7" top="0.75" bottom="0.75" header="0.3" footer="0.3"/>
  <ignoredErrors>
    <ignoredError sqref="C12:K12" unlockedFormula="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B1:Q82"/>
  <sheetViews>
    <sheetView showGridLines="0" zoomScaleNormal="100" workbookViewId="0">
      <selection activeCell="I47" sqref="I47"/>
    </sheetView>
  </sheetViews>
  <sheetFormatPr baseColWidth="10" defaultColWidth="9.140625" defaultRowHeight="15" x14ac:dyDescent="0.25"/>
  <cols>
    <col min="1" max="1" width="0.42578125" style="1" customWidth="1"/>
    <col min="2" max="3" width="13.140625" style="1" customWidth="1"/>
    <col min="4" max="4" width="14.85546875" style="1" customWidth="1"/>
    <col min="5" max="5" width="16.140625" style="1" customWidth="1"/>
    <col min="6" max="8" width="13.140625" style="1" customWidth="1"/>
    <col min="9" max="9" width="19.140625" style="1" customWidth="1"/>
    <col min="10" max="10" width="10.5703125" style="1" customWidth="1"/>
    <col min="11" max="12" width="9.140625" style="1"/>
    <col min="13" max="13" width="11.7109375" style="1" customWidth="1"/>
    <col min="14" max="15" width="9.140625" style="1"/>
    <col min="16" max="16" width="17.5703125" style="1" customWidth="1"/>
    <col min="17" max="16384" width="9.140625" style="1"/>
  </cols>
  <sheetData>
    <row r="1" spans="2:11" x14ac:dyDescent="0.25">
      <c r="B1" s="536" t="s">
        <v>0</v>
      </c>
      <c r="C1" s="536"/>
      <c r="D1" s="536"/>
      <c r="E1" s="536"/>
      <c r="F1" s="536"/>
      <c r="G1" s="536"/>
      <c r="H1" s="536"/>
      <c r="I1" s="22"/>
      <c r="J1" s="22"/>
      <c r="K1" s="22"/>
    </row>
    <row r="2" spans="2:11" x14ac:dyDescent="0.25">
      <c r="B2" s="536" t="s">
        <v>76</v>
      </c>
      <c r="C2" s="536"/>
      <c r="D2" s="536"/>
      <c r="E2" s="536"/>
      <c r="F2" s="536"/>
      <c r="G2" s="536"/>
      <c r="H2" s="536"/>
      <c r="I2" s="22"/>
      <c r="J2" s="22"/>
      <c r="K2" s="22"/>
    </row>
    <row r="3" spans="2:11" x14ac:dyDescent="0.25">
      <c r="B3" s="536" t="s">
        <v>254</v>
      </c>
      <c r="C3" s="536"/>
      <c r="D3" s="536"/>
      <c r="E3" s="536"/>
      <c r="F3" s="536"/>
      <c r="G3" s="536"/>
      <c r="H3" s="536"/>
      <c r="I3" s="22"/>
      <c r="J3" s="22"/>
      <c r="K3" s="22"/>
    </row>
    <row r="4" spans="2:11" x14ac:dyDescent="0.25">
      <c r="B4" s="536" t="s">
        <v>3</v>
      </c>
      <c r="C4" s="536"/>
      <c r="D4" s="536"/>
      <c r="E4" s="536"/>
      <c r="F4" s="536"/>
      <c r="G4" s="536"/>
      <c r="H4" s="536"/>
      <c r="I4" s="22"/>
      <c r="J4" s="22"/>
      <c r="K4" s="22"/>
    </row>
    <row r="5" spans="2:11" x14ac:dyDescent="0.25">
      <c r="B5" s="536" t="s">
        <v>4</v>
      </c>
      <c r="C5" s="536"/>
      <c r="D5" s="536"/>
      <c r="E5" s="536"/>
      <c r="F5" s="536"/>
      <c r="G5" s="536"/>
      <c r="H5" s="536"/>
      <c r="I5" s="22"/>
      <c r="J5" s="22"/>
      <c r="K5" s="22"/>
    </row>
    <row r="6" spans="2:11" ht="74.25" customHeight="1" x14ac:dyDescent="0.25">
      <c r="B6" s="77" t="s">
        <v>5</v>
      </c>
      <c r="C6" s="39" t="s">
        <v>255</v>
      </c>
      <c r="D6" s="39" t="s">
        <v>256</v>
      </c>
      <c r="E6" s="39" t="s">
        <v>257</v>
      </c>
      <c r="F6" s="39" t="s">
        <v>258</v>
      </c>
      <c r="G6" s="39" t="s">
        <v>259</v>
      </c>
      <c r="H6" s="450" t="s">
        <v>260</v>
      </c>
      <c r="I6" s="381"/>
    </row>
    <row r="7" spans="2:11" x14ac:dyDescent="0.25">
      <c r="B7" s="60" t="s">
        <v>13</v>
      </c>
      <c r="C7" s="132">
        <v>102</v>
      </c>
      <c r="D7" s="524">
        <v>2391121.96</v>
      </c>
      <c r="E7" s="525">
        <v>2593693.5099999998</v>
      </c>
      <c r="F7" s="525">
        <v>4984815.47</v>
      </c>
      <c r="G7" s="525">
        <v>1537651.09</v>
      </c>
      <c r="H7" s="526">
        <f>+G7/D7</f>
        <v>0.64306677606691387</v>
      </c>
      <c r="I7"/>
    </row>
    <row r="8" spans="2:11" x14ac:dyDescent="0.25">
      <c r="B8" s="60" t="s">
        <v>14</v>
      </c>
      <c r="C8" s="132">
        <v>146</v>
      </c>
      <c r="D8" s="524">
        <v>6349797.9399999995</v>
      </c>
      <c r="E8" s="524">
        <v>2001391.4300000002</v>
      </c>
      <c r="F8" s="524">
        <v>8351189.370000001</v>
      </c>
      <c r="G8" s="524">
        <v>48980</v>
      </c>
      <c r="H8" s="526">
        <f>+G8/D8</f>
        <v>7.7136312781631603E-3</v>
      </c>
      <c r="I8"/>
    </row>
    <row r="9" spans="2:11" x14ac:dyDescent="0.25">
      <c r="B9" s="60" t="s">
        <v>15</v>
      </c>
      <c r="C9" s="132">
        <v>59</v>
      </c>
      <c r="D9" s="524">
        <v>3507008.4299999997</v>
      </c>
      <c r="E9" s="524">
        <v>540472.80000000005</v>
      </c>
      <c r="F9" s="524">
        <v>4047481.2299999995</v>
      </c>
      <c r="G9" s="524">
        <v>7766733.6799999997</v>
      </c>
      <c r="H9" s="526">
        <f>+G9/D9</f>
        <v>2.2146321672799631</v>
      </c>
      <c r="I9"/>
    </row>
    <row r="10" spans="2:11" x14ac:dyDescent="0.25">
      <c r="B10" s="206" t="s">
        <v>16</v>
      </c>
      <c r="C10" s="372">
        <f>SUM(C7:C9)</f>
        <v>307</v>
      </c>
      <c r="D10" s="470">
        <f>SUM(D7:D9)</f>
        <v>12247928.329999998</v>
      </c>
      <c r="E10" s="470">
        <f>SUM(E7:E9)</f>
        <v>5135557.7399999993</v>
      </c>
      <c r="F10" s="470">
        <f>SUM(F7:F9)</f>
        <v>17383486.07</v>
      </c>
      <c r="G10" s="470">
        <f>SUM(G7:G9)</f>
        <v>9353364.7699999996</v>
      </c>
      <c r="H10" s="527">
        <f>G10/D10</f>
        <v>0.76366912983071</v>
      </c>
      <c r="I10" s="319"/>
    </row>
    <row r="11" spans="2:11" ht="2.25" hidden="1" customHeight="1" x14ac:dyDescent="0.25">
      <c r="B11" s="60" t="s">
        <v>17</v>
      </c>
      <c r="C11" s="132">
        <v>83</v>
      </c>
      <c r="D11" s="158">
        <v>5510195.6499999985</v>
      </c>
      <c r="E11" s="158">
        <v>3527223.9</v>
      </c>
      <c r="F11" s="158">
        <v>0</v>
      </c>
      <c r="G11" s="143">
        <f>F11+E11</f>
        <v>3527223.9</v>
      </c>
      <c r="H11" s="57">
        <f>G11/D11</f>
        <v>0.64012679840143261</v>
      </c>
      <c r="I11"/>
    </row>
    <row r="12" spans="2:11" hidden="1" x14ac:dyDescent="0.25">
      <c r="B12" s="60" t="s">
        <v>18</v>
      </c>
      <c r="C12" s="132">
        <v>192</v>
      </c>
      <c r="D12" s="158">
        <v>12205214.080000004</v>
      </c>
      <c r="E12" s="158">
        <v>0</v>
      </c>
      <c r="F12" s="158">
        <v>0</v>
      </c>
      <c r="G12" s="143">
        <f>F12+E12</f>
        <v>0</v>
      </c>
      <c r="H12" s="57">
        <f>G12/D12</f>
        <v>0</v>
      </c>
      <c r="I12"/>
    </row>
    <row r="13" spans="2:11" hidden="1" x14ac:dyDescent="0.25">
      <c r="B13" s="60" t="s">
        <v>19</v>
      </c>
      <c r="C13" s="132">
        <v>24</v>
      </c>
      <c r="D13" s="158">
        <v>1715347.62</v>
      </c>
      <c r="E13" s="158">
        <v>0</v>
      </c>
      <c r="F13" s="155">
        <v>0</v>
      </c>
      <c r="G13" s="143">
        <f>F13+E13</f>
        <v>0</v>
      </c>
      <c r="H13" s="57">
        <f>G13/D13</f>
        <v>0</v>
      </c>
      <c r="I13"/>
    </row>
    <row r="14" spans="2:11" hidden="1" x14ac:dyDescent="0.25">
      <c r="B14" s="24" t="s">
        <v>20</v>
      </c>
      <c r="C14" s="8">
        <f>SUM(C11:C13)</f>
        <v>299</v>
      </c>
      <c r="D14" s="159">
        <f>SUM(D11:D13)</f>
        <v>19430757.350000005</v>
      </c>
      <c r="E14" s="59">
        <f>SUM(E11:E13)</f>
        <v>3527223.9</v>
      </c>
      <c r="F14" s="59">
        <f>SUM(F11:F13)</f>
        <v>0</v>
      </c>
      <c r="G14" s="144">
        <f>SUM(G11:G13)</f>
        <v>3527223.9</v>
      </c>
      <c r="H14" s="16">
        <f t="shared" ref="H14:H27" si="0">G14/D14</f>
        <v>0.18152786515035138</v>
      </c>
      <c r="I14"/>
    </row>
    <row r="15" spans="2:11" hidden="1" x14ac:dyDescent="0.25">
      <c r="B15" s="60" t="s">
        <v>15</v>
      </c>
      <c r="C15" s="132"/>
      <c r="D15" s="133"/>
      <c r="E15" s="133"/>
      <c r="F15" s="133"/>
      <c r="G15" s="56">
        <f>F15+E15</f>
        <v>0</v>
      </c>
      <c r="H15" s="57" t="e">
        <f t="shared" si="0"/>
        <v>#DIV/0!</v>
      </c>
      <c r="I15"/>
    </row>
    <row r="16" spans="2:11" hidden="1" x14ac:dyDescent="0.25">
      <c r="B16" s="60" t="s">
        <v>14</v>
      </c>
      <c r="C16" s="132"/>
      <c r="D16" s="133"/>
      <c r="E16" s="133"/>
      <c r="F16" s="133"/>
      <c r="G16" s="56">
        <f>F16+E16</f>
        <v>0</v>
      </c>
      <c r="H16" s="57" t="e">
        <f t="shared" si="0"/>
        <v>#DIV/0!</v>
      </c>
      <c r="I16"/>
    </row>
    <row r="17" spans="2:9" hidden="1" x14ac:dyDescent="0.25">
      <c r="B17" s="60" t="s">
        <v>13</v>
      </c>
      <c r="C17" s="132"/>
      <c r="D17" s="133"/>
      <c r="E17" s="122"/>
      <c r="F17" s="122"/>
      <c r="G17" s="58">
        <f>F17+E17</f>
        <v>0</v>
      </c>
      <c r="H17" s="57" t="e">
        <f t="shared" si="0"/>
        <v>#DIV/0!</v>
      </c>
      <c r="I17"/>
    </row>
    <row r="18" spans="2:9" hidden="1" x14ac:dyDescent="0.25">
      <c r="B18" s="24" t="s">
        <v>16</v>
      </c>
      <c r="C18" s="8">
        <f>SUM(C15:C17)</f>
        <v>0</v>
      </c>
      <c r="D18" s="59">
        <f>SUM(D15:D17)</f>
        <v>0</v>
      </c>
      <c r="E18" s="59">
        <f>SUM(E15:E17)</f>
        <v>0</v>
      </c>
      <c r="F18" s="59">
        <f>SUM(F15:F17)</f>
        <v>0</v>
      </c>
      <c r="G18" s="59">
        <f>SUM(G15:G17)</f>
        <v>0</v>
      </c>
      <c r="H18" s="16" t="e">
        <f t="shared" si="0"/>
        <v>#DIV/0!</v>
      </c>
      <c r="I18"/>
    </row>
    <row r="19" spans="2:9" hidden="1" x14ac:dyDescent="0.25">
      <c r="B19" s="60" t="s">
        <v>42</v>
      </c>
      <c r="C19" s="132"/>
      <c r="D19" s="133"/>
      <c r="E19" s="133"/>
      <c r="F19" s="133"/>
      <c r="G19" s="56">
        <f>F19+E19</f>
        <v>0</v>
      </c>
      <c r="H19" s="57" t="e">
        <f t="shared" si="0"/>
        <v>#DIV/0!</v>
      </c>
      <c r="I19"/>
    </row>
    <row r="20" spans="2:9" hidden="1" x14ac:dyDescent="0.25">
      <c r="B20" s="60" t="s">
        <v>22</v>
      </c>
      <c r="C20" s="132"/>
      <c r="D20" s="133"/>
      <c r="E20" s="133"/>
      <c r="F20" s="133"/>
      <c r="G20" s="56">
        <f>F20+E20</f>
        <v>0</v>
      </c>
      <c r="H20" s="57" t="e">
        <f t="shared" si="0"/>
        <v>#DIV/0!</v>
      </c>
      <c r="I20"/>
    </row>
    <row r="21" spans="2:9" hidden="1" x14ac:dyDescent="0.25">
      <c r="B21" s="60" t="s">
        <v>23</v>
      </c>
      <c r="C21" s="132"/>
      <c r="D21" s="133"/>
      <c r="E21" s="122"/>
      <c r="F21" s="122"/>
      <c r="G21" s="58">
        <f>F21+E21</f>
        <v>0</v>
      </c>
      <c r="H21" s="57" t="e">
        <f t="shared" si="0"/>
        <v>#DIV/0!</v>
      </c>
      <c r="I21"/>
    </row>
    <row r="22" spans="2:9" hidden="1" x14ac:dyDescent="0.25">
      <c r="B22" s="24" t="s">
        <v>24</v>
      </c>
      <c r="C22" s="8">
        <f>SUM(C19:C21)</f>
        <v>0</v>
      </c>
      <c r="D22" s="59">
        <f>SUM(D19:D21)</f>
        <v>0</v>
      </c>
      <c r="E22" s="59">
        <f>SUM(E19:E21)</f>
        <v>0</v>
      </c>
      <c r="F22" s="59">
        <f>SUM(F19:F21)</f>
        <v>0</v>
      </c>
      <c r="G22" s="59">
        <f>SUM(G19:G21)</f>
        <v>0</v>
      </c>
      <c r="H22" s="16" t="e">
        <f t="shared" si="0"/>
        <v>#DIV/0!</v>
      </c>
      <c r="I22"/>
    </row>
    <row r="23" spans="2:9" hidden="1" x14ac:dyDescent="0.25">
      <c r="B23" s="60" t="s">
        <v>25</v>
      </c>
      <c r="C23" s="132"/>
      <c r="D23" s="133"/>
      <c r="E23" s="133"/>
      <c r="F23" s="133"/>
      <c r="G23" s="56">
        <f>F23+E23</f>
        <v>0</v>
      </c>
      <c r="H23" s="57" t="e">
        <f t="shared" si="0"/>
        <v>#DIV/0!</v>
      </c>
      <c r="I23"/>
    </row>
    <row r="24" spans="2:9" hidden="1" x14ac:dyDescent="0.25">
      <c r="B24" s="60" t="s">
        <v>26</v>
      </c>
      <c r="C24" s="132"/>
      <c r="D24" s="133"/>
      <c r="E24" s="133"/>
      <c r="F24" s="133"/>
      <c r="G24" s="56">
        <f>F24+E24</f>
        <v>0</v>
      </c>
      <c r="H24" s="57" t="e">
        <f t="shared" si="0"/>
        <v>#DIV/0!</v>
      </c>
      <c r="I24"/>
    </row>
    <row r="25" spans="2:9" hidden="1" x14ac:dyDescent="0.25">
      <c r="B25" s="60" t="s">
        <v>27</v>
      </c>
      <c r="C25" s="132"/>
      <c r="D25" s="133"/>
      <c r="E25" s="122"/>
      <c r="F25" s="122"/>
      <c r="G25" s="58">
        <f>F25+E25</f>
        <v>0</v>
      </c>
      <c r="H25" s="57" t="e">
        <f t="shared" si="0"/>
        <v>#DIV/0!</v>
      </c>
      <c r="I25"/>
    </row>
    <row r="26" spans="2:9" hidden="1" x14ac:dyDescent="0.25">
      <c r="B26" s="24" t="s">
        <v>28</v>
      </c>
      <c r="C26" s="8">
        <f>SUM(C23:C25)</f>
        <v>0</v>
      </c>
      <c r="D26" s="59">
        <f>SUM(D23:D25)</f>
        <v>0</v>
      </c>
      <c r="E26" s="59">
        <f>SUM(E23:E25)</f>
        <v>0</v>
      </c>
      <c r="F26" s="59">
        <f>SUM(F23:F25)</f>
        <v>0</v>
      </c>
      <c r="G26" s="59">
        <f>SUM(G23:G25)</f>
        <v>0</v>
      </c>
      <c r="H26" s="16" t="e">
        <f t="shared" si="0"/>
        <v>#DIV/0!</v>
      </c>
      <c r="I26"/>
    </row>
    <row r="27" spans="2:9" hidden="1" x14ac:dyDescent="0.25">
      <c r="B27" s="61" t="s">
        <v>29</v>
      </c>
      <c r="C27" s="10">
        <f>+C14+C18+C22+C26</f>
        <v>299</v>
      </c>
      <c r="D27" s="10">
        <f>+D14+D18+D22+D26</f>
        <v>19430757.350000005</v>
      </c>
      <c r="E27" s="10">
        <f>+E14+E18+E22+E26</f>
        <v>3527223.9</v>
      </c>
      <c r="F27" s="10">
        <f>+F14+F18+F22+F26</f>
        <v>0</v>
      </c>
      <c r="G27" s="10">
        <f>+G14+G18+G22+G26</f>
        <v>3527223.9</v>
      </c>
      <c r="H27" s="10">
        <f t="shared" si="0"/>
        <v>0.18152786515035138</v>
      </c>
      <c r="I27"/>
    </row>
    <row r="28" spans="2:9" hidden="1" x14ac:dyDescent="0.25">
      <c r="B28"/>
      <c r="C28"/>
      <c r="D28"/>
      <c r="E28"/>
      <c r="F28"/>
      <c r="G28"/>
      <c r="H28"/>
      <c r="I28"/>
    </row>
    <row r="29" spans="2:9" hidden="1" x14ac:dyDescent="0.25">
      <c r="B29"/>
      <c r="C29"/>
      <c r="D29"/>
      <c r="E29"/>
      <c r="F29"/>
      <c r="G29"/>
      <c r="H29"/>
      <c r="I29"/>
    </row>
    <row r="30" spans="2:9" hidden="1" x14ac:dyDescent="0.25">
      <c r="B30"/>
      <c r="C30"/>
      <c r="D30"/>
      <c r="E30"/>
      <c r="F30"/>
      <c r="G30"/>
      <c r="H30"/>
      <c r="I30"/>
    </row>
    <row r="31" spans="2:9" hidden="1" x14ac:dyDescent="0.25">
      <c r="B31"/>
      <c r="C31"/>
      <c r="D31"/>
      <c r="E31"/>
      <c r="F31"/>
      <c r="G31"/>
      <c r="H31"/>
      <c r="I31"/>
    </row>
    <row r="32" spans="2:9" hidden="1" x14ac:dyDescent="0.25">
      <c r="B32"/>
      <c r="C32"/>
      <c r="D32"/>
      <c r="E32"/>
      <c r="F32"/>
      <c r="G32"/>
      <c r="H32"/>
      <c r="I32"/>
    </row>
    <row r="33" spans="2:9" hidden="1" x14ac:dyDescent="0.25">
      <c r="B33"/>
      <c r="C33"/>
      <c r="D33"/>
      <c r="E33"/>
      <c r="F33"/>
      <c r="G33"/>
      <c r="H33"/>
      <c r="I33"/>
    </row>
    <row r="34" spans="2:9" hidden="1" x14ac:dyDescent="0.25">
      <c r="B34"/>
      <c r="C34"/>
      <c r="D34"/>
      <c r="E34"/>
      <c r="F34"/>
      <c r="G34"/>
      <c r="H34"/>
      <c r="I34"/>
    </row>
    <row r="35" spans="2:9" hidden="1" x14ac:dyDescent="0.25">
      <c r="B35"/>
      <c r="C35"/>
      <c r="D35"/>
      <c r="E35"/>
      <c r="F35"/>
      <c r="G35"/>
      <c r="H35"/>
      <c r="I35"/>
    </row>
    <row r="36" spans="2:9" hidden="1" x14ac:dyDescent="0.25">
      <c r="B36"/>
      <c r="C36"/>
      <c r="D36"/>
      <c r="E36"/>
      <c r="F36"/>
      <c r="G36"/>
      <c r="H36"/>
      <c r="I36"/>
    </row>
    <row r="37" spans="2:9" hidden="1" x14ac:dyDescent="0.25">
      <c r="B37"/>
      <c r="C37"/>
      <c r="D37"/>
      <c r="E37"/>
      <c r="F37"/>
      <c r="G37"/>
      <c r="H37"/>
      <c r="I37"/>
    </row>
    <row r="38" spans="2:9" ht="13.5" customHeight="1" x14ac:dyDescent="0.25">
      <c r="B38" s="157" t="s">
        <v>261</v>
      </c>
      <c r="C38"/>
      <c r="D38"/>
      <c r="E38"/>
      <c r="F38"/>
      <c r="G38"/>
      <c r="H38"/>
      <c r="I38"/>
    </row>
    <row r="39" spans="2:9" ht="13.5" customHeight="1" x14ac:dyDescent="0.25">
      <c r="B39" s="157"/>
      <c r="C39"/>
      <c r="D39"/>
      <c r="E39"/>
      <c r="F39"/>
      <c r="G39"/>
      <c r="H39"/>
      <c r="I39"/>
    </row>
    <row r="40" spans="2:9" x14ac:dyDescent="0.25">
      <c r="B40" s="107"/>
      <c r="C40"/>
      <c r="D40"/>
      <c r="E40"/>
      <c r="F40"/>
      <c r="G40"/>
      <c r="H40"/>
      <c r="I40"/>
    </row>
    <row r="41" spans="2:9" x14ac:dyDescent="0.25">
      <c r="B41"/>
      <c r="C41"/>
      <c r="D41"/>
      <c r="E41"/>
      <c r="F41"/>
      <c r="G41"/>
      <c r="H41"/>
      <c r="I41"/>
    </row>
    <row r="42" spans="2:9" x14ac:dyDescent="0.25">
      <c r="B42"/>
      <c r="C42"/>
      <c r="D42"/>
      <c r="E42"/>
      <c r="F42"/>
      <c r="G42"/>
      <c r="H42"/>
      <c r="I42"/>
    </row>
    <row r="43" spans="2:9" x14ac:dyDescent="0.25">
      <c r="B43"/>
      <c r="C43"/>
      <c r="D43"/>
      <c r="E43"/>
      <c r="F43"/>
      <c r="G43"/>
      <c r="H43"/>
      <c r="I43"/>
    </row>
    <row r="44" spans="2:9" x14ac:dyDescent="0.25">
      <c r="B44"/>
      <c r="C44"/>
      <c r="D44"/>
      <c r="E44"/>
      <c r="F44"/>
      <c r="G44"/>
      <c r="H44"/>
      <c r="I44"/>
    </row>
    <row r="45" spans="2:9" x14ac:dyDescent="0.25">
      <c r="B45"/>
      <c r="C45"/>
      <c r="D45"/>
      <c r="E45"/>
      <c r="F45"/>
      <c r="G45"/>
      <c r="H45"/>
      <c r="I45"/>
    </row>
    <row r="46" spans="2:9" x14ac:dyDescent="0.25">
      <c r="B46"/>
      <c r="C46"/>
      <c r="D46"/>
      <c r="E46"/>
      <c r="F46"/>
      <c r="G46"/>
      <c r="H46"/>
      <c r="I46"/>
    </row>
    <row r="47" spans="2:9" x14ac:dyDescent="0.25">
      <c r="B47"/>
      <c r="C47"/>
      <c r="D47"/>
      <c r="E47"/>
      <c r="F47"/>
      <c r="G47"/>
      <c r="H47"/>
      <c r="I47"/>
    </row>
    <row r="48" spans="2:9" x14ac:dyDescent="0.25">
      <c r="B48"/>
      <c r="C48"/>
      <c r="D48"/>
      <c r="E48"/>
      <c r="F48"/>
      <c r="G48"/>
      <c r="H48"/>
      <c r="I48"/>
    </row>
    <row r="49" spans="2:17" x14ac:dyDescent="0.25">
      <c r="B49"/>
      <c r="C49"/>
      <c r="D49"/>
      <c r="E49"/>
      <c r="F49"/>
      <c r="G49"/>
      <c r="H49"/>
      <c r="I49"/>
    </row>
    <row r="50" spans="2:17" x14ac:dyDescent="0.25">
      <c r="B50"/>
      <c r="C50"/>
      <c r="D50"/>
      <c r="E50"/>
      <c r="F50"/>
      <c r="G50"/>
      <c r="H50"/>
      <c r="I50"/>
    </row>
    <row r="51" spans="2:17" x14ac:dyDescent="0.25">
      <c r="B51"/>
      <c r="C51"/>
      <c r="D51"/>
      <c r="E51"/>
      <c r="F51"/>
      <c r="G51"/>
      <c r="H51"/>
      <c r="I51"/>
    </row>
    <row r="52" spans="2:17" x14ac:dyDescent="0.25">
      <c r="B52"/>
      <c r="C52"/>
      <c r="D52"/>
      <c r="E52"/>
      <c r="F52"/>
      <c r="G52"/>
      <c r="H52"/>
      <c r="I52"/>
    </row>
    <row r="53" spans="2:17" x14ac:dyDescent="0.25">
      <c r="B53"/>
      <c r="C53"/>
      <c r="D53"/>
      <c r="E53"/>
      <c r="F53"/>
      <c r="G53"/>
      <c r="H53"/>
      <c r="I53"/>
    </row>
    <row r="54" spans="2:17" x14ac:dyDescent="0.25">
      <c r="B54"/>
      <c r="C54"/>
      <c r="D54"/>
      <c r="E54"/>
      <c r="F54"/>
      <c r="G54"/>
      <c r="H54"/>
      <c r="I54"/>
    </row>
    <row r="55" spans="2:17" x14ac:dyDescent="0.25">
      <c r="B55"/>
      <c r="C55"/>
      <c r="D55"/>
      <c r="E55"/>
      <c r="F55"/>
      <c r="G55"/>
      <c r="H55"/>
      <c r="I55"/>
    </row>
    <row r="56" spans="2:17" x14ac:dyDescent="0.25">
      <c r="B56"/>
      <c r="C56"/>
      <c r="D56"/>
      <c r="E56"/>
      <c r="F56"/>
      <c r="G56"/>
      <c r="H56"/>
      <c r="I56"/>
    </row>
    <row r="57" spans="2:17" x14ac:dyDescent="0.25">
      <c r="B57"/>
      <c r="C57"/>
      <c r="D57"/>
      <c r="E57"/>
      <c r="F57"/>
      <c r="G57"/>
      <c r="H57"/>
      <c r="I57"/>
    </row>
    <row r="58" spans="2:17" x14ac:dyDescent="0.25">
      <c r="B58"/>
      <c r="C58"/>
      <c r="D58"/>
      <c r="E58"/>
      <c r="F58"/>
      <c r="G58"/>
      <c r="H58"/>
      <c r="I58"/>
    </row>
    <row r="59" spans="2:17" x14ac:dyDescent="0.25">
      <c r="B59"/>
      <c r="C59"/>
      <c r="D59"/>
      <c r="E59"/>
      <c r="F59"/>
      <c r="G59"/>
      <c r="H59"/>
      <c r="I59"/>
    </row>
    <row r="60" spans="2:17" x14ac:dyDescent="0.25">
      <c r="B60"/>
      <c r="C60"/>
      <c r="D60"/>
      <c r="E60"/>
      <c r="F60"/>
      <c r="G60"/>
      <c r="H60"/>
      <c r="I60"/>
    </row>
    <row r="61" spans="2:17" x14ac:dyDescent="0.25">
      <c r="B61"/>
      <c r="C61"/>
      <c r="D61"/>
      <c r="E61"/>
      <c r="F61"/>
      <c r="G61"/>
      <c r="H61"/>
      <c r="I61"/>
    </row>
    <row r="62" spans="2:17" x14ac:dyDescent="0.25">
      <c r="B62"/>
      <c r="C62"/>
      <c r="D62"/>
      <c r="E62"/>
      <c r="F62"/>
      <c r="G62"/>
      <c r="H62"/>
      <c r="I62"/>
    </row>
    <row r="63" spans="2:17" x14ac:dyDescent="0.25">
      <c r="K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ht="6" customHeight="1" x14ac:dyDescent="0.25">
      <c r="B66"/>
      <c r="C66"/>
      <c r="D66"/>
      <c r="E66"/>
      <c r="F66"/>
      <c r="G66"/>
      <c r="H66"/>
      <c r="I66"/>
      <c r="J66"/>
      <c r="K66"/>
      <c r="L66"/>
      <c r="M66"/>
      <c r="N66"/>
      <c r="O66"/>
      <c r="P66"/>
      <c r="Q66"/>
    </row>
    <row r="67" spans="2:17" hidden="1" x14ac:dyDescent="0.25">
      <c r="B67"/>
      <c r="C67"/>
      <c r="D67"/>
      <c r="E67"/>
      <c r="F67"/>
      <c r="G67"/>
      <c r="H67"/>
      <c r="I67"/>
      <c r="J67"/>
      <c r="K67"/>
      <c r="L67"/>
      <c r="M67"/>
      <c r="N67"/>
      <c r="O67"/>
      <c r="P67"/>
      <c r="Q67"/>
    </row>
    <row r="68" spans="2:17" hidden="1" x14ac:dyDescent="0.25">
      <c r="B68"/>
      <c r="C68"/>
      <c r="D68"/>
      <c r="E68"/>
      <c r="F68"/>
      <c r="G68"/>
      <c r="H68"/>
      <c r="I68"/>
      <c r="J68"/>
      <c r="K68"/>
      <c r="L68"/>
      <c r="M68"/>
      <c r="N68"/>
      <c r="O68"/>
      <c r="P68"/>
      <c r="Q68"/>
    </row>
    <row r="69" spans="2:17" hidden="1"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sheetData>
  <mergeCells count="5">
    <mergeCell ref="B1:H1"/>
    <mergeCell ref="B2:H2"/>
    <mergeCell ref="B3:H3"/>
    <mergeCell ref="B5:H5"/>
    <mergeCell ref="B4:H4"/>
  </mergeCells>
  <pageMargins left="0.7" right="0.7" top="0.75" bottom="0.75" header="0.3" footer="0.3"/>
  <pageSetup paperSize="9" scale="54" orientation="portrait" r:id="rId1"/>
  <ignoredErrors>
    <ignoredError sqref="G14"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AA85"/>
  <sheetViews>
    <sheetView showGridLines="0" topLeftCell="B15" zoomScaleNormal="100" workbookViewId="0">
      <selection activeCell="M33" sqref="M33:O47"/>
    </sheetView>
  </sheetViews>
  <sheetFormatPr baseColWidth="10" defaultColWidth="11.42578125" defaultRowHeight="15" x14ac:dyDescent="0.25"/>
  <cols>
    <col min="1" max="2" width="6.28515625" style="1" customWidth="1"/>
    <col min="3" max="3" width="45.140625" style="1" customWidth="1"/>
    <col min="4" max="4" width="0.140625" style="1" hidden="1" customWidth="1"/>
    <col min="5" max="5" width="10.85546875" style="1" hidden="1" customWidth="1"/>
    <col min="6" max="6" width="11.42578125" style="1" hidden="1" customWidth="1"/>
    <col min="7" max="7" width="9.42578125" style="1" hidden="1" customWidth="1"/>
    <col min="8" max="8" width="10.85546875" style="1" hidden="1" customWidth="1"/>
    <col min="9" max="9" width="11.42578125" style="1" hidden="1" customWidth="1"/>
    <col min="10" max="10" width="9.42578125" style="1" hidden="1" customWidth="1"/>
    <col min="11" max="11" width="10.85546875" style="1" hidden="1" customWidth="1"/>
    <col min="12" max="12" width="0.28515625" style="1" hidden="1" customWidth="1"/>
    <col min="13" max="13" width="25.7109375" style="1" customWidth="1"/>
    <col min="14" max="14" width="15.28515625" style="1" customWidth="1"/>
    <col min="15" max="15" width="11.42578125" style="1" customWidth="1"/>
    <col min="16" max="16384" width="11.42578125" style="1"/>
  </cols>
  <sheetData>
    <row r="1" spans="1:27" x14ac:dyDescent="0.25">
      <c r="A1" s="22"/>
      <c r="B1" s="22"/>
      <c r="C1" s="536" t="s">
        <v>239</v>
      </c>
      <c r="D1" s="536"/>
      <c r="E1" s="536"/>
      <c r="F1" s="536"/>
      <c r="G1" s="536"/>
      <c r="H1" s="536"/>
      <c r="I1" s="536"/>
      <c r="J1" s="536"/>
      <c r="K1" s="536"/>
      <c r="L1" s="536"/>
      <c r="M1" s="536"/>
      <c r="N1" s="536"/>
      <c r="O1" s="536"/>
    </row>
    <row r="2" spans="1:27" x14ac:dyDescent="0.25">
      <c r="A2" s="22"/>
      <c r="B2" s="22"/>
      <c r="C2" s="536" t="s">
        <v>262</v>
      </c>
      <c r="D2" s="536"/>
      <c r="E2" s="536"/>
      <c r="F2" s="536"/>
      <c r="G2" s="536"/>
      <c r="H2" s="536"/>
      <c r="I2" s="536"/>
      <c r="J2" s="536"/>
      <c r="K2" s="536"/>
      <c r="L2" s="536"/>
      <c r="M2" s="536"/>
      <c r="N2" s="536"/>
      <c r="O2" s="536"/>
    </row>
    <row r="3" spans="1:27" x14ac:dyDescent="0.25">
      <c r="A3" s="22"/>
      <c r="B3" s="22"/>
      <c r="C3" s="536" t="s">
        <v>263</v>
      </c>
      <c r="D3" s="536"/>
      <c r="E3" s="536"/>
      <c r="F3" s="536"/>
      <c r="G3" s="536"/>
      <c r="H3" s="536"/>
      <c r="I3" s="536"/>
      <c r="J3" s="536"/>
      <c r="K3" s="536"/>
      <c r="L3" s="536"/>
      <c r="M3" s="536"/>
      <c r="N3" s="536"/>
      <c r="O3" s="536"/>
    </row>
    <row r="4" spans="1:27" x14ac:dyDescent="0.25">
      <c r="A4" s="22"/>
      <c r="B4" s="22"/>
      <c r="C4" s="536" t="s">
        <v>3</v>
      </c>
      <c r="D4" s="536"/>
      <c r="E4" s="536"/>
      <c r="F4" s="536"/>
      <c r="G4" s="536"/>
      <c r="H4" s="536"/>
      <c r="I4" s="536"/>
      <c r="J4" s="536"/>
      <c r="K4" s="536"/>
      <c r="L4" s="536"/>
      <c r="M4" s="536"/>
      <c r="N4" s="536"/>
      <c r="O4" s="536"/>
      <c r="Y4" s="1" t="s">
        <v>118</v>
      </c>
    </row>
    <row r="5" spans="1:27" x14ac:dyDescent="0.25">
      <c r="A5" s="22"/>
      <c r="B5" s="22"/>
      <c r="C5" s="536" t="s">
        <v>4</v>
      </c>
      <c r="D5" s="536"/>
      <c r="E5" s="536"/>
      <c r="F5" s="536"/>
      <c r="G5" s="536"/>
      <c r="H5" s="536"/>
      <c r="I5" s="536"/>
      <c r="J5" s="536"/>
      <c r="K5" s="536"/>
      <c r="L5" s="536"/>
      <c r="M5" s="536"/>
      <c r="N5" s="536"/>
      <c r="O5" s="536"/>
    </row>
    <row r="8" spans="1:27" ht="15.75" x14ac:dyDescent="0.25">
      <c r="C8" s="580" t="s">
        <v>264</v>
      </c>
      <c r="D8" s="580"/>
      <c r="E8" s="580"/>
      <c r="F8" s="580"/>
      <c r="G8" s="580"/>
      <c r="H8" s="580"/>
      <c r="I8" s="580"/>
      <c r="J8" s="580"/>
      <c r="K8" s="580"/>
      <c r="L8" s="580"/>
      <c r="M8" s="580"/>
      <c r="N8" s="580"/>
      <c r="O8" s="580"/>
      <c r="AA8" s="18"/>
    </row>
    <row r="9" spans="1:27" x14ac:dyDescent="0.25">
      <c r="C9" s="134"/>
      <c r="D9" s="561" t="s">
        <v>15</v>
      </c>
      <c r="E9" s="561"/>
      <c r="F9" s="561"/>
      <c r="G9" s="561" t="s">
        <v>14</v>
      </c>
      <c r="H9" s="561"/>
      <c r="I9" s="561"/>
      <c r="J9" s="561" t="s">
        <v>13</v>
      </c>
      <c r="K9" s="561"/>
      <c r="L9" s="561"/>
      <c r="M9" s="561" t="s">
        <v>16</v>
      </c>
      <c r="N9" s="561"/>
      <c r="O9" s="561"/>
      <c r="P9"/>
      <c r="Q9"/>
      <c r="R9"/>
      <c r="S9"/>
      <c r="T9"/>
      <c r="U9"/>
      <c r="V9"/>
      <c r="W9"/>
    </row>
    <row r="10" spans="1:27" x14ac:dyDescent="0.25">
      <c r="C10" s="48" t="s">
        <v>265</v>
      </c>
      <c r="D10" s="48" t="s">
        <v>266</v>
      </c>
      <c r="E10" s="48" t="s">
        <v>267</v>
      </c>
      <c r="F10" s="48" t="s">
        <v>268</v>
      </c>
      <c r="G10" s="48" t="s">
        <v>266</v>
      </c>
      <c r="H10" s="48" t="s">
        <v>267</v>
      </c>
      <c r="I10" s="48" t="s">
        <v>268</v>
      </c>
      <c r="J10" s="48" t="s">
        <v>266</v>
      </c>
      <c r="K10" s="48" t="s">
        <v>267</v>
      </c>
      <c r="L10" s="48" t="s">
        <v>268</v>
      </c>
      <c r="M10" s="48" t="s">
        <v>266</v>
      </c>
      <c r="N10" s="48" t="s">
        <v>267</v>
      </c>
      <c r="O10" s="48" t="s">
        <v>268</v>
      </c>
      <c r="P10"/>
      <c r="Q10"/>
      <c r="R10"/>
      <c r="S10"/>
      <c r="T10"/>
      <c r="U10"/>
      <c r="V10"/>
      <c r="W10"/>
    </row>
    <row r="11" spans="1:27" x14ac:dyDescent="0.25">
      <c r="A11" s="1">
        <v>1</v>
      </c>
      <c r="C11" s="47" t="s">
        <v>269</v>
      </c>
      <c r="D11" s="182"/>
      <c r="E11" s="182"/>
      <c r="F11" s="183" t="e">
        <f>E11/D11</f>
        <v>#DIV/0!</v>
      </c>
      <c r="G11" s="182"/>
      <c r="H11" s="182"/>
      <c r="I11" s="183" t="e">
        <f>H11/G11</f>
        <v>#DIV/0!</v>
      </c>
      <c r="J11" s="182"/>
      <c r="K11" s="182"/>
      <c r="L11" s="183" t="e">
        <f>K11/J11</f>
        <v>#DIV/0!</v>
      </c>
      <c r="M11" s="443">
        <v>14</v>
      </c>
      <c r="N11" s="444">
        <v>12</v>
      </c>
      <c r="O11" s="184">
        <f>+N11/M11</f>
        <v>0.8571428571428571</v>
      </c>
      <c r="P11">
        <v>1</v>
      </c>
      <c r="Q11">
        <v>1</v>
      </c>
      <c r="R11">
        <v>1</v>
      </c>
      <c r="S11">
        <v>8</v>
      </c>
      <c r="T11">
        <v>8</v>
      </c>
      <c r="U11">
        <v>1</v>
      </c>
      <c r="V11">
        <v>9</v>
      </c>
      <c r="W11">
        <v>7</v>
      </c>
    </row>
    <row r="12" spans="1:27" x14ac:dyDescent="0.25">
      <c r="A12" s="1">
        <v>2</v>
      </c>
      <c r="C12" s="47" t="s">
        <v>270</v>
      </c>
      <c r="D12" s="182"/>
      <c r="E12" s="182"/>
      <c r="F12" s="183" t="e">
        <f t="shared" ref="F12:F23" si="0">E12/D12</f>
        <v>#DIV/0!</v>
      </c>
      <c r="G12" s="182"/>
      <c r="H12" s="182"/>
      <c r="I12" s="183" t="e">
        <f t="shared" ref="I12:I23" si="1">H12/G12</f>
        <v>#DIV/0!</v>
      </c>
      <c r="J12" s="182"/>
      <c r="K12" s="182"/>
      <c r="L12" s="183" t="e">
        <f t="shared" ref="L12:L23" si="2">K12/J12</f>
        <v>#DIV/0!</v>
      </c>
      <c r="M12" s="443">
        <v>473</v>
      </c>
      <c r="N12" s="444">
        <v>465</v>
      </c>
      <c r="O12" s="184">
        <f t="shared" ref="O12:O23" si="3">+N12/M12</f>
        <v>0.9830866807610994</v>
      </c>
      <c r="P12"/>
      <c r="Q12">
        <v>147</v>
      </c>
      <c r="R12">
        <v>0.9932432432432432</v>
      </c>
      <c r="S12">
        <v>178</v>
      </c>
      <c r="T12">
        <v>176</v>
      </c>
      <c r="U12">
        <v>0.9887640449438202</v>
      </c>
      <c r="V12">
        <v>154</v>
      </c>
      <c r="W12">
        <v>151</v>
      </c>
    </row>
    <row r="13" spans="1:27" x14ac:dyDescent="0.25">
      <c r="A13" s="1">
        <v>3</v>
      </c>
      <c r="C13" s="47" t="s">
        <v>271</v>
      </c>
      <c r="D13" s="182"/>
      <c r="E13" s="182"/>
      <c r="F13" s="183" t="e">
        <f t="shared" si="0"/>
        <v>#DIV/0!</v>
      </c>
      <c r="G13" s="182"/>
      <c r="H13" s="182"/>
      <c r="I13" s="183" t="e">
        <f t="shared" si="1"/>
        <v>#DIV/0!</v>
      </c>
      <c r="J13" s="182"/>
      <c r="K13" s="182"/>
      <c r="L13" s="183" t="e">
        <f t="shared" si="2"/>
        <v>#DIV/0!</v>
      </c>
      <c r="M13" s="443">
        <v>123</v>
      </c>
      <c r="N13" s="444">
        <v>56</v>
      </c>
      <c r="O13" s="184">
        <f t="shared" si="3"/>
        <v>0.45528455284552843</v>
      </c>
      <c r="P13" s="64"/>
      <c r="Q13">
        <v>239</v>
      </c>
      <c r="R13">
        <v>0.99583333333333335</v>
      </c>
      <c r="S13">
        <v>159</v>
      </c>
      <c r="T13">
        <v>159</v>
      </c>
      <c r="U13">
        <v>1</v>
      </c>
      <c r="V13">
        <v>44</v>
      </c>
      <c r="W13">
        <v>44</v>
      </c>
    </row>
    <row r="14" spans="1:27" x14ac:dyDescent="0.25">
      <c r="A14" s="1">
        <v>4</v>
      </c>
      <c r="C14" s="47" t="s">
        <v>272</v>
      </c>
      <c r="D14" s="182"/>
      <c r="E14" s="182"/>
      <c r="F14" s="183" t="e">
        <f t="shared" si="0"/>
        <v>#DIV/0!</v>
      </c>
      <c r="G14" s="182"/>
      <c r="H14" s="182"/>
      <c r="I14" s="183" t="e">
        <f t="shared" si="1"/>
        <v>#DIV/0!</v>
      </c>
      <c r="J14" s="182"/>
      <c r="K14" s="182"/>
      <c r="L14" s="183" t="e">
        <f t="shared" si="2"/>
        <v>#DIV/0!</v>
      </c>
      <c r="M14" s="443">
        <v>535</v>
      </c>
      <c r="N14" s="444">
        <v>534</v>
      </c>
      <c r="O14" s="184">
        <f t="shared" si="3"/>
        <v>0.9981308411214953</v>
      </c>
      <c r="P14"/>
      <c r="Q14">
        <v>36</v>
      </c>
      <c r="R14">
        <v>0.92307692307692313</v>
      </c>
      <c r="S14">
        <v>30</v>
      </c>
      <c r="T14">
        <v>26</v>
      </c>
      <c r="U14">
        <v>0.8666666666666667</v>
      </c>
      <c r="V14">
        <v>138</v>
      </c>
      <c r="W14">
        <v>137</v>
      </c>
    </row>
    <row r="15" spans="1:27" x14ac:dyDescent="0.25">
      <c r="A15" s="1">
        <v>5</v>
      </c>
      <c r="C15" s="47" t="s">
        <v>273</v>
      </c>
      <c r="D15" s="182"/>
      <c r="E15" s="182"/>
      <c r="F15" s="183" t="e">
        <f t="shared" si="0"/>
        <v>#DIV/0!</v>
      </c>
      <c r="G15" s="182"/>
      <c r="H15" s="182"/>
      <c r="I15" s="183" t="e">
        <f t="shared" si="1"/>
        <v>#DIV/0!</v>
      </c>
      <c r="J15" s="182"/>
      <c r="K15" s="182"/>
      <c r="L15" s="183" t="e">
        <f t="shared" si="2"/>
        <v>#DIV/0!</v>
      </c>
      <c r="M15" s="443">
        <v>79</v>
      </c>
      <c r="N15" s="444">
        <v>73</v>
      </c>
      <c r="O15" s="184">
        <f t="shared" si="3"/>
        <v>0.92405063291139244</v>
      </c>
      <c r="P15"/>
      <c r="Q15">
        <v>4</v>
      </c>
      <c r="R15">
        <v>1</v>
      </c>
      <c r="S15">
        <v>12</v>
      </c>
      <c r="T15">
        <v>12</v>
      </c>
      <c r="U15">
        <v>1</v>
      </c>
      <c r="V15">
        <v>8</v>
      </c>
      <c r="W15">
        <v>8</v>
      </c>
    </row>
    <row r="16" spans="1:27" x14ac:dyDescent="0.25">
      <c r="A16" s="1">
        <v>6</v>
      </c>
      <c r="C16" s="47" t="s">
        <v>274</v>
      </c>
      <c r="D16" s="182"/>
      <c r="E16" s="182"/>
      <c r="F16" s="183" t="e">
        <f t="shared" si="0"/>
        <v>#DIV/0!</v>
      </c>
      <c r="G16" s="182"/>
      <c r="H16" s="182"/>
      <c r="I16" s="183" t="e">
        <f t="shared" si="1"/>
        <v>#DIV/0!</v>
      </c>
      <c r="J16" s="182"/>
      <c r="K16" s="182"/>
      <c r="L16" s="183" t="e">
        <f t="shared" si="2"/>
        <v>#DIV/0!</v>
      </c>
      <c r="M16" s="443">
        <v>556</v>
      </c>
      <c r="N16" s="444">
        <v>528</v>
      </c>
      <c r="O16" s="184">
        <f t="shared" si="3"/>
        <v>0.94964028776978415</v>
      </c>
      <c r="P16"/>
      <c r="Q16">
        <v>237</v>
      </c>
      <c r="R16">
        <v>0.99579831932773111</v>
      </c>
      <c r="S16">
        <v>230</v>
      </c>
      <c r="T16">
        <v>227</v>
      </c>
      <c r="U16">
        <v>0.9869565217391304</v>
      </c>
      <c r="V16">
        <v>277</v>
      </c>
      <c r="W16">
        <v>275</v>
      </c>
    </row>
    <row r="17" spans="1:23" x14ac:dyDescent="0.25">
      <c r="A17" s="1">
        <v>7</v>
      </c>
      <c r="C17" s="47" t="s">
        <v>275</v>
      </c>
      <c r="D17" s="182"/>
      <c r="E17" s="182"/>
      <c r="F17" s="183" t="e">
        <f t="shared" si="0"/>
        <v>#DIV/0!</v>
      </c>
      <c r="G17" s="182"/>
      <c r="H17" s="182"/>
      <c r="I17" s="183" t="e">
        <f t="shared" si="1"/>
        <v>#DIV/0!</v>
      </c>
      <c r="J17" s="182"/>
      <c r="K17" s="182"/>
      <c r="L17" s="183" t="e">
        <f t="shared" si="2"/>
        <v>#DIV/0!</v>
      </c>
      <c r="M17" s="443">
        <v>272</v>
      </c>
      <c r="N17" s="444">
        <v>267</v>
      </c>
      <c r="O17" s="184">
        <f t="shared" si="3"/>
        <v>0.98161764705882348</v>
      </c>
      <c r="P17"/>
      <c r="Q17">
        <v>7</v>
      </c>
      <c r="R17">
        <v>0.77777777777777779</v>
      </c>
      <c r="S17">
        <v>45</v>
      </c>
      <c r="T17">
        <v>43</v>
      </c>
      <c r="U17">
        <v>0.9555555555555556</v>
      </c>
      <c r="V17">
        <v>30</v>
      </c>
      <c r="W17">
        <v>27</v>
      </c>
    </row>
    <row r="18" spans="1:23" x14ac:dyDescent="0.25">
      <c r="A18" s="1">
        <v>8</v>
      </c>
      <c r="C18" s="47" t="s">
        <v>276</v>
      </c>
      <c r="D18" s="182"/>
      <c r="E18" s="182"/>
      <c r="F18" s="183" t="e">
        <f t="shared" si="0"/>
        <v>#DIV/0!</v>
      </c>
      <c r="G18" s="182"/>
      <c r="H18" s="182"/>
      <c r="I18" s="183" t="e">
        <f t="shared" si="1"/>
        <v>#DIV/0!</v>
      </c>
      <c r="J18" s="182"/>
      <c r="K18" s="182"/>
      <c r="L18" s="183" t="e">
        <f t="shared" si="2"/>
        <v>#DIV/0!</v>
      </c>
      <c r="M18" s="443">
        <v>17</v>
      </c>
      <c r="N18" s="444">
        <v>17</v>
      </c>
      <c r="O18" s="184">
        <f t="shared" si="3"/>
        <v>1</v>
      </c>
      <c r="P18"/>
      <c r="Q18">
        <v>5</v>
      </c>
      <c r="R18">
        <v>1</v>
      </c>
      <c r="S18">
        <v>9</v>
      </c>
      <c r="T18">
        <v>9</v>
      </c>
      <c r="U18">
        <v>1</v>
      </c>
      <c r="V18">
        <v>8</v>
      </c>
      <c r="W18">
        <v>8</v>
      </c>
    </row>
    <row r="19" spans="1:23" x14ac:dyDescent="0.25">
      <c r="A19" s="1">
        <v>9</v>
      </c>
      <c r="C19" s="47" t="s">
        <v>277</v>
      </c>
      <c r="D19" s="182"/>
      <c r="E19" s="182"/>
      <c r="F19" s="183" t="e">
        <f t="shared" si="0"/>
        <v>#DIV/0!</v>
      </c>
      <c r="G19" s="182"/>
      <c r="H19" s="182"/>
      <c r="I19" s="183" t="e">
        <f t="shared" si="1"/>
        <v>#DIV/0!</v>
      </c>
      <c r="J19" s="182"/>
      <c r="K19" s="182"/>
      <c r="L19" s="183" t="e">
        <f t="shared" si="2"/>
        <v>#DIV/0!</v>
      </c>
      <c r="M19" s="443">
        <v>828</v>
      </c>
      <c r="N19" s="444">
        <v>820</v>
      </c>
      <c r="O19" s="184">
        <f t="shared" si="3"/>
        <v>0.99033816425120769</v>
      </c>
      <c r="P19"/>
      <c r="Q19">
        <v>373</v>
      </c>
      <c r="R19">
        <v>1</v>
      </c>
      <c r="S19">
        <v>549</v>
      </c>
      <c r="T19">
        <v>546</v>
      </c>
      <c r="U19">
        <v>0.99453551912568305</v>
      </c>
      <c r="V19">
        <v>666</v>
      </c>
      <c r="W19">
        <v>665</v>
      </c>
    </row>
    <row r="20" spans="1:23" x14ac:dyDescent="0.25">
      <c r="A20" s="1">
        <v>10</v>
      </c>
      <c r="C20" s="47" t="s">
        <v>278</v>
      </c>
      <c r="D20" s="182"/>
      <c r="E20" s="182"/>
      <c r="F20" s="183" t="e">
        <f t="shared" si="0"/>
        <v>#DIV/0!</v>
      </c>
      <c r="G20" s="182"/>
      <c r="H20" s="182"/>
      <c r="I20" s="183" t="e">
        <f t="shared" si="1"/>
        <v>#DIV/0!</v>
      </c>
      <c r="J20" s="182"/>
      <c r="K20" s="182"/>
      <c r="L20" s="183" t="e">
        <f t="shared" si="2"/>
        <v>#DIV/0!</v>
      </c>
      <c r="M20" s="443">
        <v>10025</v>
      </c>
      <c r="N20" s="444">
        <v>9967</v>
      </c>
      <c r="O20" s="184">
        <f t="shared" si="3"/>
        <v>0.99421446384039902</v>
      </c>
      <c r="P20"/>
      <c r="Q20">
        <v>2356</v>
      </c>
      <c r="R20">
        <v>0.99703766398645788</v>
      </c>
      <c r="S20">
        <v>3917</v>
      </c>
      <c r="T20">
        <v>3910</v>
      </c>
      <c r="U20">
        <v>0.99821291804952772</v>
      </c>
      <c r="V20">
        <v>2517</v>
      </c>
      <c r="W20">
        <v>2470</v>
      </c>
    </row>
    <row r="21" spans="1:23" x14ac:dyDescent="0.25">
      <c r="A21" s="1">
        <v>11</v>
      </c>
      <c r="C21" s="47" t="s">
        <v>279</v>
      </c>
      <c r="D21" s="182"/>
      <c r="E21" s="182"/>
      <c r="F21" s="183" t="e">
        <f t="shared" si="0"/>
        <v>#DIV/0!</v>
      </c>
      <c r="G21" s="182"/>
      <c r="H21" s="182"/>
      <c r="I21" s="183" t="e">
        <f t="shared" si="1"/>
        <v>#DIV/0!</v>
      </c>
      <c r="J21" s="182"/>
      <c r="K21" s="182"/>
      <c r="L21" s="183" t="e">
        <f t="shared" si="2"/>
        <v>#DIV/0!</v>
      </c>
      <c r="M21" s="443">
        <v>22</v>
      </c>
      <c r="N21" s="444">
        <v>22</v>
      </c>
      <c r="O21" s="184">
        <f t="shared" si="3"/>
        <v>1</v>
      </c>
      <c r="P21"/>
      <c r="Q21">
        <v>1</v>
      </c>
      <c r="R21">
        <v>0.5</v>
      </c>
      <c r="S21">
        <v>6</v>
      </c>
      <c r="T21">
        <v>6</v>
      </c>
      <c r="U21">
        <v>1</v>
      </c>
      <c r="V21">
        <v>10</v>
      </c>
      <c r="W21">
        <v>9</v>
      </c>
    </row>
    <row r="22" spans="1:23" x14ac:dyDescent="0.25">
      <c r="A22" s="1">
        <v>12</v>
      </c>
      <c r="C22" s="47" t="s">
        <v>280</v>
      </c>
      <c r="D22" s="182"/>
      <c r="E22" s="182"/>
      <c r="F22" s="183" t="e">
        <f t="shared" si="0"/>
        <v>#DIV/0!</v>
      </c>
      <c r="G22" s="182"/>
      <c r="H22" s="182"/>
      <c r="I22" s="183" t="e">
        <f t="shared" si="1"/>
        <v>#DIV/0!</v>
      </c>
      <c r="J22" s="182"/>
      <c r="K22" s="182"/>
      <c r="L22" s="183" t="e">
        <f t="shared" si="2"/>
        <v>#DIV/0!</v>
      </c>
      <c r="M22" s="443">
        <v>124</v>
      </c>
      <c r="N22" s="444">
        <v>122</v>
      </c>
      <c r="O22" s="184">
        <f t="shared" si="3"/>
        <v>0.9838709677419355</v>
      </c>
      <c r="P22"/>
      <c r="Q22">
        <v>46</v>
      </c>
      <c r="R22">
        <v>1</v>
      </c>
      <c r="S22">
        <v>63</v>
      </c>
      <c r="T22">
        <v>63</v>
      </c>
      <c r="U22">
        <v>1</v>
      </c>
      <c r="V22">
        <v>32</v>
      </c>
      <c r="W22">
        <v>32</v>
      </c>
    </row>
    <row r="23" spans="1:23" x14ac:dyDescent="0.25">
      <c r="A23" s="1">
        <v>13</v>
      </c>
      <c r="C23" s="47" t="s">
        <v>281</v>
      </c>
      <c r="D23" s="182"/>
      <c r="E23" s="182"/>
      <c r="F23" s="183" t="e">
        <f t="shared" si="0"/>
        <v>#DIV/0!</v>
      </c>
      <c r="G23" s="182">
        <v>4</v>
      </c>
      <c r="H23" s="182">
        <v>4</v>
      </c>
      <c r="I23" s="183">
        <f t="shared" si="1"/>
        <v>1</v>
      </c>
      <c r="J23" s="182"/>
      <c r="K23" s="182"/>
      <c r="L23" s="183" t="e">
        <f t="shared" si="2"/>
        <v>#DIV/0!</v>
      </c>
      <c r="M23" s="443">
        <v>18682</v>
      </c>
      <c r="N23" s="444">
        <v>18637</v>
      </c>
      <c r="O23" s="184">
        <f t="shared" si="3"/>
        <v>0.99759126431859546</v>
      </c>
      <c r="P23"/>
      <c r="Q23">
        <v>3599</v>
      </c>
      <c r="R23">
        <v>0.99972222222222218</v>
      </c>
      <c r="S23">
        <v>5303</v>
      </c>
      <c r="T23">
        <v>5184</v>
      </c>
      <c r="U23">
        <v>0.97755987177069581</v>
      </c>
      <c r="V23">
        <v>3570</v>
      </c>
      <c r="W23">
        <v>3506</v>
      </c>
    </row>
    <row r="24" spans="1:23" x14ac:dyDescent="0.25">
      <c r="C24" s="262" t="s">
        <v>282</v>
      </c>
      <c r="D24" s="207">
        <f>SUM(D11:D23)</f>
        <v>0</v>
      </c>
      <c r="E24" s="207">
        <f>SUM(E11:E23)</f>
        <v>0</v>
      </c>
      <c r="F24" s="207" t="str">
        <f>IFERROR(E24/D24,"-")</f>
        <v>-</v>
      </c>
      <c r="G24" s="207">
        <f>SUM(G11:G23)</f>
        <v>4</v>
      </c>
      <c r="H24" s="207">
        <f>SUM(H11:H23)</f>
        <v>4</v>
      </c>
      <c r="I24" s="207">
        <f>IFERROR(H24/G24,"-")</f>
        <v>1</v>
      </c>
      <c r="J24" s="207">
        <f>SUM(J11:J23)</f>
        <v>0</v>
      </c>
      <c r="K24" s="207">
        <f>SUM(K11:K23)</f>
        <v>0</v>
      </c>
      <c r="L24" s="207" t="str">
        <f>IFERROR(K24/J24,"-")</f>
        <v>-</v>
      </c>
      <c r="M24" s="445">
        <f>SUM(M11:M23)</f>
        <v>31750</v>
      </c>
      <c r="N24" s="445">
        <f>SUM(N11:N23)</f>
        <v>31520</v>
      </c>
      <c r="O24" s="416">
        <f>+N24/M24</f>
        <v>0.99275590551181103</v>
      </c>
      <c r="P24"/>
      <c r="Q24"/>
      <c r="R24"/>
      <c r="S24"/>
      <c r="T24"/>
      <c r="U24"/>
      <c r="V24"/>
      <c r="W24"/>
    </row>
    <row r="25" spans="1:23" x14ac:dyDescent="0.25">
      <c r="C25" s="111" t="s">
        <v>283</v>
      </c>
      <c r="D25"/>
      <c r="E25"/>
      <c r="F25"/>
      <c r="G25"/>
      <c r="H25"/>
      <c r="I25"/>
      <c r="J25"/>
      <c r="K25"/>
      <c r="L25"/>
      <c r="M25"/>
      <c r="N25"/>
      <c r="O25"/>
      <c r="P25"/>
      <c r="Q25"/>
      <c r="R25"/>
      <c r="S25"/>
      <c r="T25"/>
      <c r="U25"/>
      <c r="V25"/>
      <c r="W25"/>
    </row>
    <row r="26" spans="1:23" x14ac:dyDescent="0.25">
      <c r="C26"/>
      <c r="D26"/>
      <c r="E26"/>
      <c r="F26"/>
      <c r="G26"/>
      <c r="H26"/>
      <c r="I26"/>
      <c r="J26"/>
      <c r="K26"/>
      <c r="L26"/>
      <c r="M26"/>
      <c r="N26"/>
      <c r="O26"/>
      <c r="P26"/>
      <c r="Q26"/>
      <c r="R26"/>
      <c r="S26"/>
      <c r="T26"/>
      <c r="U26"/>
      <c r="V26"/>
      <c r="W26"/>
    </row>
    <row r="27" spans="1:23" x14ac:dyDescent="0.25">
      <c r="C27"/>
      <c r="D27"/>
      <c r="E27"/>
      <c r="F27"/>
      <c r="G27"/>
      <c r="H27"/>
      <c r="I27"/>
      <c r="J27"/>
      <c r="K27"/>
      <c r="L27"/>
      <c r="M27"/>
      <c r="N27"/>
      <c r="O27"/>
      <c r="P27"/>
      <c r="Q27"/>
      <c r="R27"/>
      <c r="S27"/>
      <c r="T27"/>
      <c r="U27"/>
      <c r="V27"/>
      <c r="W27"/>
    </row>
    <row r="28" spans="1:23" x14ac:dyDescent="0.25">
      <c r="C28"/>
      <c r="D28"/>
      <c r="E28"/>
      <c r="F28"/>
      <c r="G28"/>
      <c r="H28"/>
      <c r="I28"/>
      <c r="J28"/>
      <c r="K28"/>
      <c r="L28"/>
      <c r="M28"/>
      <c r="N28"/>
      <c r="O28"/>
      <c r="P28"/>
      <c r="Q28"/>
      <c r="R28"/>
      <c r="S28"/>
      <c r="T28"/>
      <c r="U28"/>
      <c r="V28"/>
      <c r="W28"/>
    </row>
    <row r="29" spans="1:23" x14ac:dyDescent="0.25">
      <c r="C29"/>
      <c r="D29"/>
      <c r="E29"/>
      <c r="F29"/>
      <c r="G29"/>
      <c r="H29"/>
      <c r="I29"/>
      <c r="J29"/>
      <c r="K29"/>
      <c r="L29"/>
      <c r="M29"/>
      <c r="N29"/>
      <c r="O29"/>
      <c r="P29"/>
      <c r="Q29"/>
      <c r="R29"/>
      <c r="S29"/>
      <c r="T29"/>
      <c r="U29"/>
      <c r="V29"/>
      <c r="W29"/>
    </row>
    <row r="30" spans="1:23" ht="15.75" x14ac:dyDescent="0.25">
      <c r="C30" s="582" t="s">
        <v>284</v>
      </c>
      <c r="D30" s="582"/>
      <c r="E30" s="582"/>
      <c r="F30" s="582"/>
      <c r="G30" s="582"/>
      <c r="H30" s="582"/>
      <c r="I30" s="582"/>
      <c r="J30" s="582"/>
      <c r="K30" s="582"/>
      <c r="L30" s="582"/>
      <c r="M30" s="582"/>
      <c r="N30" s="582"/>
      <c r="O30" s="582"/>
      <c r="P30"/>
      <c r="Q30"/>
      <c r="R30"/>
      <c r="S30"/>
      <c r="T30"/>
      <c r="U30"/>
      <c r="V30"/>
      <c r="W30"/>
    </row>
    <row r="31" spans="1:23" x14ac:dyDescent="0.25">
      <c r="C31" s="355"/>
      <c r="D31" s="354" t="s">
        <v>15</v>
      </c>
      <c r="E31" s="352"/>
      <c r="F31" s="352"/>
      <c r="G31" s="352" t="s">
        <v>14</v>
      </c>
      <c r="H31" s="352"/>
      <c r="I31" s="352"/>
      <c r="J31" s="352" t="s">
        <v>13</v>
      </c>
      <c r="K31" s="352"/>
      <c r="L31" s="356"/>
      <c r="M31" s="581" t="s">
        <v>16</v>
      </c>
      <c r="N31" s="581"/>
      <c r="O31" s="581"/>
      <c r="P31"/>
      <c r="Q31"/>
      <c r="R31"/>
      <c r="S31"/>
      <c r="T31"/>
      <c r="U31"/>
      <c r="V31"/>
      <c r="W31"/>
    </row>
    <row r="32" spans="1:23" x14ac:dyDescent="0.25">
      <c r="C32" s="48" t="s">
        <v>265</v>
      </c>
      <c r="D32" s="48" t="s">
        <v>266</v>
      </c>
      <c r="E32" s="48" t="s">
        <v>267</v>
      </c>
      <c r="F32" s="48" t="s">
        <v>62</v>
      </c>
      <c r="G32" s="48" t="s">
        <v>266</v>
      </c>
      <c r="H32" s="48" t="s">
        <v>267</v>
      </c>
      <c r="I32" s="48" t="s">
        <v>268</v>
      </c>
      <c r="J32" s="48" t="s">
        <v>266</v>
      </c>
      <c r="K32" s="48" t="s">
        <v>267</v>
      </c>
      <c r="L32" s="48" t="s">
        <v>268</v>
      </c>
      <c r="M32" s="48" t="s">
        <v>266</v>
      </c>
      <c r="N32" s="48" t="s">
        <v>267</v>
      </c>
      <c r="O32" s="48" t="s">
        <v>268</v>
      </c>
      <c r="P32"/>
      <c r="Q32"/>
      <c r="R32"/>
      <c r="S32"/>
      <c r="T32"/>
      <c r="U32"/>
      <c r="V32"/>
      <c r="W32"/>
    </row>
    <row r="33" spans="1:23" x14ac:dyDescent="0.25">
      <c r="A33" s="1">
        <v>1</v>
      </c>
      <c r="C33" s="348" t="s">
        <v>285</v>
      </c>
      <c r="D33" s="331"/>
      <c r="E33" s="331"/>
      <c r="F33" s="349" t="str">
        <f>IFERROR(E33/D33,"-")</f>
        <v>-</v>
      </c>
      <c r="G33" s="331"/>
      <c r="H33" s="331"/>
      <c r="I33" s="349" t="str">
        <f t="shared" ref="I33:I52" si="4">IFERROR(H33/G33,"-")</f>
        <v>-</v>
      </c>
      <c r="J33" s="331"/>
      <c r="K33" s="331"/>
      <c r="L33" s="349" t="str">
        <f t="shared" ref="L33:L52" si="5">IFERROR(K33/J33,"-")</f>
        <v>-</v>
      </c>
      <c r="M33" s="446">
        <v>23</v>
      </c>
      <c r="N33" s="447">
        <v>23</v>
      </c>
      <c r="O33" s="417">
        <f t="shared" ref="O33:O51" si="6">IFERROR(N33/M33,"-")</f>
        <v>1</v>
      </c>
      <c r="P33"/>
      <c r="Q33"/>
      <c r="R33"/>
      <c r="S33"/>
      <c r="T33"/>
      <c r="U33"/>
      <c r="V33"/>
      <c r="W33"/>
    </row>
    <row r="34" spans="1:23" x14ac:dyDescent="0.25">
      <c r="A34" s="1">
        <v>2</v>
      </c>
      <c r="C34" s="348" t="s">
        <v>286</v>
      </c>
      <c r="D34" s="331"/>
      <c r="E34" s="331"/>
      <c r="F34" s="349" t="str">
        <f t="shared" ref="F34:F51" si="7">IFERROR(E34/D34,"-")</f>
        <v>-</v>
      </c>
      <c r="G34" s="331"/>
      <c r="H34" s="331"/>
      <c r="I34" s="349" t="str">
        <f t="shared" si="4"/>
        <v>-</v>
      </c>
      <c r="J34" s="331"/>
      <c r="K34" s="331"/>
      <c r="L34" s="349" t="str">
        <f t="shared" si="5"/>
        <v>-</v>
      </c>
      <c r="M34" s="446">
        <v>58</v>
      </c>
      <c r="N34" s="447">
        <v>56</v>
      </c>
      <c r="O34" s="417">
        <f t="shared" si="6"/>
        <v>0.96551724137931039</v>
      </c>
      <c r="P34"/>
      <c r="Q34"/>
      <c r="R34"/>
      <c r="S34"/>
      <c r="T34"/>
      <c r="U34"/>
      <c r="V34"/>
      <c r="W34"/>
    </row>
    <row r="35" spans="1:23" x14ac:dyDescent="0.25">
      <c r="A35" s="1">
        <v>3</v>
      </c>
      <c r="C35" s="348" t="s">
        <v>287</v>
      </c>
      <c r="D35" s="331"/>
      <c r="E35" s="331"/>
      <c r="F35" s="349" t="str">
        <f t="shared" si="7"/>
        <v>-</v>
      </c>
      <c r="G35" s="331"/>
      <c r="H35" s="331"/>
      <c r="I35" s="349" t="str">
        <f t="shared" si="4"/>
        <v>-</v>
      </c>
      <c r="J35" s="331"/>
      <c r="K35" s="331"/>
      <c r="L35" s="349" t="str">
        <f t="shared" si="5"/>
        <v>-</v>
      </c>
      <c r="M35" s="446">
        <v>310</v>
      </c>
      <c r="N35" s="447">
        <v>308</v>
      </c>
      <c r="O35" s="417">
        <f t="shared" si="6"/>
        <v>0.99354838709677418</v>
      </c>
      <c r="P35"/>
      <c r="Q35"/>
      <c r="R35"/>
      <c r="S35"/>
      <c r="T35"/>
      <c r="U35"/>
      <c r="V35"/>
      <c r="W35"/>
    </row>
    <row r="36" spans="1:23" x14ac:dyDescent="0.25">
      <c r="A36" s="1">
        <v>4</v>
      </c>
      <c r="C36" s="348" t="s">
        <v>288</v>
      </c>
      <c r="D36" s="331"/>
      <c r="E36" s="331"/>
      <c r="F36" s="349" t="str">
        <f t="shared" si="7"/>
        <v>-</v>
      </c>
      <c r="G36" s="331"/>
      <c r="H36" s="331"/>
      <c r="I36" s="349" t="str">
        <f t="shared" si="4"/>
        <v>-</v>
      </c>
      <c r="J36" s="331"/>
      <c r="K36" s="331"/>
      <c r="L36" s="349" t="str">
        <f t="shared" si="5"/>
        <v>-</v>
      </c>
      <c r="M36" s="446">
        <v>26</v>
      </c>
      <c r="N36" s="447">
        <v>26</v>
      </c>
      <c r="O36" s="417">
        <f t="shared" si="6"/>
        <v>1</v>
      </c>
      <c r="P36"/>
      <c r="Q36"/>
      <c r="R36"/>
      <c r="S36"/>
      <c r="T36"/>
      <c r="U36"/>
      <c r="V36"/>
      <c r="W36"/>
    </row>
    <row r="37" spans="1:23" x14ac:dyDescent="0.25">
      <c r="A37" s="1">
        <v>5</v>
      </c>
      <c r="C37" s="348" t="s">
        <v>289</v>
      </c>
      <c r="D37" s="331"/>
      <c r="E37" s="331"/>
      <c r="F37" s="349" t="str">
        <f t="shared" si="7"/>
        <v>-</v>
      </c>
      <c r="G37" s="331"/>
      <c r="H37" s="331"/>
      <c r="I37" s="349" t="str">
        <f t="shared" si="4"/>
        <v>-</v>
      </c>
      <c r="J37" s="331"/>
      <c r="K37" s="331"/>
      <c r="L37" s="349" t="str">
        <f t="shared" si="5"/>
        <v>-</v>
      </c>
      <c r="M37" s="446">
        <v>5</v>
      </c>
      <c r="N37" s="447">
        <v>5</v>
      </c>
      <c r="O37" s="417">
        <f t="shared" si="6"/>
        <v>1</v>
      </c>
      <c r="P37"/>
      <c r="Q37"/>
      <c r="R37"/>
      <c r="S37"/>
      <c r="T37"/>
      <c r="U37"/>
      <c r="V37"/>
      <c r="W37"/>
    </row>
    <row r="38" spans="1:23" x14ac:dyDescent="0.25">
      <c r="A38" s="1">
        <v>6</v>
      </c>
      <c r="C38" s="348" t="s">
        <v>290</v>
      </c>
      <c r="D38" s="331"/>
      <c r="E38" s="331"/>
      <c r="F38" s="349" t="str">
        <f t="shared" si="7"/>
        <v>-</v>
      </c>
      <c r="G38" s="331"/>
      <c r="H38" s="331"/>
      <c r="I38" s="349" t="str">
        <f t="shared" si="4"/>
        <v>-</v>
      </c>
      <c r="J38" s="331"/>
      <c r="K38" s="331"/>
      <c r="L38" s="349" t="str">
        <f t="shared" si="5"/>
        <v>-</v>
      </c>
      <c r="M38" s="446">
        <v>9</v>
      </c>
      <c r="N38" s="447">
        <v>9</v>
      </c>
      <c r="O38" s="417">
        <f t="shared" si="6"/>
        <v>1</v>
      </c>
      <c r="P38"/>
      <c r="Q38"/>
      <c r="R38"/>
      <c r="S38"/>
      <c r="T38"/>
      <c r="U38"/>
      <c r="V38"/>
      <c r="W38"/>
    </row>
    <row r="39" spans="1:23" x14ac:dyDescent="0.25">
      <c r="A39" s="1">
        <v>7</v>
      </c>
      <c r="C39" s="348" t="s">
        <v>291</v>
      </c>
      <c r="D39" s="331"/>
      <c r="E39" s="331"/>
      <c r="F39" s="349" t="str">
        <f t="shared" si="7"/>
        <v>-</v>
      </c>
      <c r="G39" s="331"/>
      <c r="H39" s="331"/>
      <c r="I39" s="349" t="str">
        <f t="shared" si="4"/>
        <v>-</v>
      </c>
      <c r="J39" s="331"/>
      <c r="K39" s="331"/>
      <c r="L39" s="349" t="str">
        <f t="shared" si="5"/>
        <v>-</v>
      </c>
      <c r="M39" s="446">
        <f t="shared" ref="M39:M51" si="8">D39+G39+J39</f>
        <v>0</v>
      </c>
      <c r="N39" s="447">
        <f t="shared" ref="N39:N51" si="9">E39+H39+K39</f>
        <v>0</v>
      </c>
      <c r="O39" s="417" t="str">
        <f t="shared" si="6"/>
        <v>-</v>
      </c>
      <c r="P39"/>
      <c r="Q39"/>
      <c r="R39"/>
      <c r="S39"/>
      <c r="T39"/>
      <c r="U39"/>
      <c r="V39"/>
      <c r="W39"/>
    </row>
    <row r="40" spans="1:23" x14ac:dyDescent="0.25">
      <c r="A40" s="1">
        <v>8</v>
      </c>
      <c r="C40" s="348" t="s">
        <v>292</v>
      </c>
      <c r="D40" s="331"/>
      <c r="E40" s="331"/>
      <c r="F40" s="349" t="str">
        <f t="shared" si="7"/>
        <v>-</v>
      </c>
      <c r="G40" s="331"/>
      <c r="H40" s="331"/>
      <c r="I40" s="349" t="str">
        <f t="shared" si="4"/>
        <v>-</v>
      </c>
      <c r="J40" s="331"/>
      <c r="K40" s="331"/>
      <c r="L40" s="349" t="str">
        <f t="shared" si="5"/>
        <v>-</v>
      </c>
      <c r="M40" s="446">
        <v>127</v>
      </c>
      <c r="N40" s="447">
        <v>91</v>
      </c>
      <c r="O40" s="417">
        <f t="shared" si="6"/>
        <v>0.71653543307086609</v>
      </c>
      <c r="P40"/>
      <c r="Q40"/>
      <c r="R40"/>
      <c r="S40"/>
      <c r="T40"/>
      <c r="U40"/>
      <c r="V40"/>
      <c r="W40"/>
    </row>
    <row r="41" spans="1:23" x14ac:dyDescent="0.25">
      <c r="A41" s="1">
        <v>9</v>
      </c>
      <c r="C41" s="348" t="s">
        <v>293</v>
      </c>
      <c r="D41" s="331"/>
      <c r="E41" s="331"/>
      <c r="F41" s="349" t="str">
        <f t="shared" si="7"/>
        <v>-</v>
      </c>
      <c r="G41" s="331"/>
      <c r="H41" s="331"/>
      <c r="I41" s="349" t="str">
        <f t="shared" si="4"/>
        <v>-</v>
      </c>
      <c r="J41" s="331"/>
      <c r="K41" s="331"/>
      <c r="L41" s="349" t="str">
        <f t="shared" si="5"/>
        <v>-</v>
      </c>
      <c r="M41" s="446">
        <v>18</v>
      </c>
      <c r="N41" s="447">
        <v>18</v>
      </c>
      <c r="O41" s="417">
        <f t="shared" si="6"/>
        <v>1</v>
      </c>
      <c r="P41"/>
      <c r="Q41"/>
      <c r="R41"/>
      <c r="S41"/>
      <c r="T41"/>
      <c r="U41"/>
      <c r="V41"/>
      <c r="W41"/>
    </row>
    <row r="42" spans="1:23" x14ac:dyDescent="0.25">
      <c r="A42" s="1">
        <v>10</v>
      </c>
      <c r="C42" s="348" t="s">
        <v>294</v>
      </c>
      <c r="D42" s="331"/>
      <c r="E42" s="331"/>
      <c r="F42" s="349" t="str">
        <f t="shared" si="7"/>
        <v>-</v>
      </c>
      <c r="G42" s="331"/>
      <c r="H42" s="331"/>
      <c r="I42" s="349" t="str">
        <f t="shared" si="4"/>
        <v>-</v>
      </c>
      <c r="J42" s="331"/>
      <c r="K42" s="331"/>
      <c r="L42" s="349" t="str">
        <f t="shared" si="5"/>
        <v>-</v>
      </c>
      <c r="M42" s="446">
        <v>184</v>
      </c>
      <c r="N42" s="447">
        <v>146</v>
      </c>
      <c r="O42" s="417">
        <f t="shared" si="6"/>
        <v>0.79347826086956519</v>
      </c>
      <c r="P42"/>
      <c r="Q42"/>
      <c r="R42"/>
      <c r="S42"/>
      <c r="T42"/>
      <c r="U42"/>
      <c r="V42"/>
      <c r="W42"/>
    </row>
    <row r="43" spans="1:23" x14ac:dyDescent="0.25">
      <c r="A43" s="1">
        <v>11</v>
      </c>
      <c r="C43" s="348" t="s">
        <v>295</v>
      </c>
      <c r="D43" s="331"/>
      <c r="E43" s="331"/>
      <c r="F43" s="349" t="str">
        <f t="shared" si="7"/>
        <v>-</v>
      </c>
      <c r="G43" s="331"/>
      <c r="H43" s="331"/>
      <c r="I43" s="349" t="str">
        <f t="shared" si="4"/>
        <v>-</v>
      </c>
      <c r="J43" s="331"/>
      <c r="K43" s="331"/>
      <c r="L43" s="349" t="str">
        <f t="shared" si="5"/>
        <v>-</v>
      </c>
      <c r="M43" s="446">
        <v>88</v>
      </c>
      <c r="N43" s="447">
        <v>72</v>
      </c>
      <c r="O43" s="417">
        <f t="shared" si="6"/>
        <v>0.81818181818181823</v>
      </c>
      <c r="P43"/>
      <c r="Q43"/>
      <c r="R43"/>
      <c r="S43"/>
      <c r="T43"/>
      <c r="U43"/>
      <c r="V43"/>
      <c r="W43"/>
    </row>
    <row r="44" spans="1:23" x14ac:dyDescent="0.25">
      <c r="A44" s="1">
        <v>12</v>
      </c>
      <c r="C44" s="348" t="s">
        <v>296</v>
      </c>
      <c r="D44" s="331"/>
      <c r="E44" s="331"/>
      <c r="F44" s="349" t="str">
        <f t="shared" si="7"/>
        <v>-</v>
      </c>
      <c r="G44" s="331"/>
      <c r="H44" s="331"/>
      <c r="I44" s="349" t="str">
        <f t="shared" si="4"/>
        <v>-</v>
      </c>
      <c r="J44" s="331"/>
      <c r="K44" s="331"/>
      <c r="L44" s="349" t="str">
        <f t="shared" si="5"/>
        <v>-</v>
      </c>
      <c r="M44" s="446">
        <v>1080</v>
      </c>
      <c r="N44" s="447">
        <v>778</v>
      </c>
      <c r="O44" s="417">
        <f t="shared" si="6"/>
        <v>0.72037037037037033</v>
      </c>
      <c r="P44"/>
      <c r="Q44"/>
      <c r="R44"/>
      <c r="S44"/>
      <c r="T44"/>
      <c r="U44"/>
      <c r="V44"/>
      <c r="W44"/>
    </row>
    <row r="45" spans="1:23" x14ac:dyDescent="0.25">
      <c r="A45" s="1">
        <v>13</v>
      </c>
      <c r="C45" s="348" t="s">
        <v>278</v>
      </c>
      <c r="D45" s="331"/>
      <c r="E45" s="331"/>
      <c r="F45" s="349" t="str">
        <f t="shared" si="7"/>
        <v>-</v>
      </c>
      <c r="G45" s="331"/>
      <c r="H45" s="331"/>
      <c r="I45" s="349" t="str">
        <f t="shared" si="4"/>
        <v>-</v>
      </c>
      <c r="J45" s="331"/>
      <c r="K45" s="331"/>
      <c r="L45" s="349" t="str">
        <f t="shared" si="5"/>
        <v>-</v>
      </c>
      <c r="M45" s="446">
        <v>10482</v>
      </c>
      <c r="N45" s="447">
        <v>8925</v>
      </c>
      <c r="O45" s="417">
        <f t="shared" si="6"/>
        <v>0.85145964510589578</v>
      </c>
      <c r="P45"/>
      <c r="Q45"/>
      <c r="R45"/>
      <c r="S45"/>
      <c r="T45"/>
      <c r="U45"/>
      <c r="V45"/>
      <c r="W45"/>
    </row>
    <row r="46" spans="1:23" x14ac:dyDescent="0.25">
      <c r="A46" s="1">
        <v>14</v>
      </c>
      <c r="C46" s="348" t="s">
        <v>297</v>
      </c>
      <c r="D46" s="331"/>
      <c r="E46" s="331"/>
      <c r="F46" s="349" t="str">
        <f t="shared" si="7"/>
        <v>-</v>
      </c>
      <c r="G46" s="331"/>
      <c r="H46" s="331"/>
      <c r="I46" s="349" t="str">
        <f t="shared" si="4"/>
        <v>-</v>
      </c>
      <c r="J46" s="331"/>
      <c r="K46" s="331"/>
      <c r="L46" s="349" t="str">
        <f t="shared" si="5"/>
        <v>-</v>
      </c>
      <c r="M46" s="446">
        <v>90</v>
      </c>
      <c r="N46" s="447">
        <v>90</v>
      </c>
      <c r="O46" s="417">
        <f t="shared" si="6"/>
        <v>1</v>
      </c>
      <c r="P46"/>
      <c r="Q46"/>
      <c r="R46"/>
      <c r="S46"/>
      <c r="T46"/>
      <c r="U46"/>
      <c r="V46"/>
      <c r="W46"/>
    </row>
    <row r="47" spans="1:23" ht="13.5" customHeight="1" x14ac:dyDescent="0.25">
      <c r="A47" s="1">
        <v>15</v>
      </c>
      <c r="C47" s="348" t="s">
        <v>298</v>
      </c>
      <c r="D47" s="331"/>
      <c r="E47" s="331"/>
      <c r="F47" s="349" t="str">
        <f t="shared" si="7"/>
        <v>-</v>
      </c>
      <c r="G47" s="331"/>
      <c r="H47" s="331"/>
      <c r="I47" s="349" t="str">
        <f t="shared" si="4"/>
        <v>-</v>
      </c>
      <c r="J47" s="331"/>
      <c r="K47" s="331"/>
      <c r="L47" s="349" t="str">
        <f t="shared" si="5"/>
        <v>-</v>
      </c>
      <c r="M47" s="446">
        <v>560</v>
      </c>
      <c r="N47" s="447">
        <v>560</v>
      </c>
      <c r="O47" s="417">
        <f t="shared" si="6"/>
        <v>1</v>
      </c>
      <c r="P47"/>
      <c r="Q47"/>
      <c r="R47"/>
      <c r="S47"/>
      <c r="T47"/>
      <c r="U47"/>
      <c r="V47"/>
      <c r="W47"/>
    </row>
    <row r="48" spans="1:23" hidden="1" x14ac:dyDescent="0.25">
      <c r="A48" s="1">
        <v>16</v>
      </c>
      <c r="C48" s="348" t="s">
        <v>299</v>
      </c>
      <c r="D48" s="331">
        <f>IFERROR(VLOOKUP(C48,'[2]Pv Abril'!$A$8:$C$21,2,FALSE),0)</f>
        <v>0</v>
      </c>
      <c r="E48" s="331">
        <f>IFERROR(VLOOKUP(C48,'[2]Pv Abril'!$A$8:$C$21,3,FALSE),0)</f>
        <v>0</v>
      </c>
      <c r="F48" s="349" t="str">
        <f t="shared" si="7"/>
        <v>-</v>
      </c>
      <c r="G48" s="331">
        <f>IFERROR(VLOOKUP(C48,'[2]Pv Mayo'!$A$7:$C$21,2,FALSE),0)</f>
        <v>0</v>
      </c>
      <c r="H48" s="331">
        <f>IFERROR(VLOOKUP(C48,'[2]Pv Mayo'!$A$7:$C$21,3,FALSE),0)</f>
        <v>0</v>
      </c>
      <c r="I48" s="349" t="str">
        <f t="shared" si="4"/>
        <v>-</v>
      </c>
      <c r="J48" s="331">
        <f>IFERROR(VLOOKUP(C48,'[2]pv Junio'!$A$7:$C$19,2,FALSE),0)</f>
        <v>0</v>
      </c>
      <c r="K48" s="331">
        <f>IFERROR(VLOOKUP(C48,'[2]pv Junio'!$A$7:$C$19,3,FALSE),0)</f>
        <v>0</v>
      </c>
      <c r="L48" s="349" t="str">
        <f t="shared" si="5"/>
        <v>-</v>
      </c>
      <c r="M48" s="446">
        <f t="shared" si="8"/>
        <v>0</v>
      </c>
      <c r="N48" s="447">
        <f t="shared" si="9"/>
        <v>0</v>
      </c>
      <c r="O48" s="417" t="str">
        <f t="shared" si="6"/>
        <v>-</v>
      </c>
      <c r="P48"/>
      <c r="Q48"/>
      <c r="R48"/>
      <c r="S48"/>
      <c r="T48"/>
      <c r="U48"/>
      <c r="V48"/>
      <c r="W48"/>
    </row>
    <row r="49" spans="1:23" hidden="1" x14ac:dyDescent="0.25">
      <c r="A49" s="1">
        <v>17</v>
      </c>
      <c r="C49" s="348" t="s">
        <v>300</v>
      </c>
      <c r="D49" s="331">
        <f>IFERROR(VLOOKUP(C49,'[2]Pv Abril'!$A$8:$C$21,2,FALSE),0)</f>
        <v>0</v>
      </c>
      <c r="E49" s="331">
        <f>IFERROR(VLOOKUP(C49,'[2]Pv Abril'!$A$8:$C$21,3,FALSE),0)</f>
        <v>0</v>
      </c>
      <c r="F49" s="349" t="str">
        <f t="shared" si="7"/>
        <v>-</v>
      </c>
      <c r="G49" s="331">
        <f>IFERROR(VLOOKUP(C49,'[2]Pv Mayo'!$A$7:$C$21,2,FALSE),0)</f>
        <v>0</v>
      </c>
      <c r="H49" s="331">
        <f>IFERROR(VLOOKUP(C49,'[2]Pv Mayo'!$A$7:$C$21,3,FALSE),0)</f>
        <v>0</v>
      </c>
      <c r="I49" s="349" t="str">
        <f t="shared" si="4"/>
        <v>-</v>
      </c>
      <c r="J49" s="331">
        <f>IFERROR(VLOOKUP(C49,'[2]pv Junio'!$A$7:$C$19,2,FALSE),0)</f>
        <v>0</v>
      </c>
      <c r="K49" s="331">
        <f>IFERROR(VLOOKUP(C49,'[2]pv Junio'!$A$7:$C$19,3,FALSE),0)</f>
        <v>0</v>
      </c>
      <c r="L49" s="349" t="str">
        <f t="shared" si="5"/>
        <v>-</v>
      </c>
      <c r="M49" s="446">
        <f t="shared" si="8"/>
        <v>0</v>
      </c>
      <c r="N49" s="447">
        <f t="shared" si="9"/>
        <v>0</v>
      </c>
      <c r="O49" s="417" t="str">
        <f t="shared" si="6"/>
        <v>-</v>
      </c>
      <c r="P49"/>
      <c r="Q49"/>
      <c r="R49"/>
      <c r="S49"/>
      <c r="T49"/>
      <c r="U49"/>
      <c r="V49"/>
      <c r="W49"/>
    </row>
    <row r="50" spans="1:23" hidden="1" x14ac:dyDescent="0.25">
      <c r="A50" s="1">
        <v>18</v>
      </c>
      <c r="C50" s="348" t="s">
        <v>301</v>
      </c>
      <c r="D50" s="331">
        <f>IFERROR(VLOOKUP(C50,'[2]Pv Abril'!$A$8:$C$21,2,FALSE),0)</f>
        <v>0</v>
      </c>
      <c r="E50" s="331">
        <f>IFERROR(VLOOKUP(C50,'[2]Pv Abril'!$A$8:$C$21,3,FALSE),0)</f>
        <v>0</v>
      </c>
      <c r="F50" s="349" t="str">
        <f t="shared" si="7"/>
        <v>-</v>
      </c>
      <c r="G50" s="331">
        <f>IFERROR(VLOOKUP(C50,'[2]Pv Mayo'!$A$7:$C$21,2,FALSE),0)</f>
        <v>0</v>
      </c>
      <c r="H50" s="331">
        <f>IFERROR(VLOOKUP(C50,'[2]Pv Mayo'!$A$7:$C$21,3,FALSE),0)</f>
        <v>0</v>
      </c>
      <c r="I50" s="349" t="str">
        <f t="shared" si="4"/>
        <v>-</v>
      </c>
      <c r="J50" s="331">
        <f>IFERROR(VLOOKUP(C50,'[2]pv Junio'!$A$7:$C$19,2,FALSE),0)</f>
        <v>0</v>
      </c>
      <c r="K50" s="331">
        <f>IFERROR(VLOOKUP(C50,'[2]pv Junio'!$A$7:$C$19,3,FALSE),0)</f>
        <v>0</v>
      </c>
      <c r="L50" s="349" t="str">
        <f t="shared" si="5"/>
        <v>-</v>
      </c>
      <c r="M50" s="446">
        <f t="shared" si="8"/>
        <v>0</v>
      </c>
      <c r="N50" s="447">
        <f t="shared" si="9"/>
        <v>0</v>
      </c>
      <c r="O50" s="417" t="str">
        <f t="shared" si="6"/>
        <v>-</v>
      </c>
      <c r="P50"/>
      <c r="Q50"/>
      <c r="R50"/>
      <c r="S50"/>
      <c r="T50"/>
      <c r="U50"/>
      <c r="V50"/>
      <c r="W50"/>
    </row>
    <row r="51" spans="1:23" hidden="1" x14ac:dyDescent="0.25">
      <c r="A51" s="1">
        <v>19</v>
      </c>
      <c r="C51" s="348" t="s">
        <v>302</v>
      </c>
      <c r="D51" s="331">
        <f>IFERROR(VLOOKUP(C51,'[2]Pv Abril'!$A$8:$C$21,2,FALSE),0)</f>
        <v>0</v>
      </c>
      <c r="E51" s="331">
        <f>IFERROR(VLOOKUP(C51,'[2]Pv Abril'!$A$8:$C$21,3,FALSE),0)</f>
        <v>0</v>
      </c>
      <c r="F51" s="349" t="str">
        <f t="shared" si="7"/>
        <v>-</v>
      </c>
      <c r="G51" s="331">
        <f>IFERROR(VLOOKUP(C51,'[2]Pv Mayo'!$A$7:$C$21,2,FALSE),0)</f>
        <v>0</v>
      </c>
      <c r="H51" s="331">
        <f>IFERROR(VLOOKUP(C51,'[2]Pv Mayo'!$A$7:$C$21,3,FALSE),0)</f>
        <v>0</v>
      </c>
      <c r="I51" s="349" t="str">
        <f t="shared" si="4"/>
        <v>-</v>
      </c>
      <c r="J51" s="331">
        <f>IFERROR(VLOOKUP(C51,'[2]pv Junio'!$A$7:$C$19,2,FALSE),0)</f>
        <v>0</v>
      </c>
      <c r="K51" s="331">
        <f>IFERROR(VLOOKUP(C51,'[2]pv Junio'!$A$7:$C$19,3,FALSE),0)</f>
        <v>0</v>
      </c>
      <c r="L51" s="349" t="str">
        <f t="shared" si="5"/>
        <v>-</v>
      </c>
      <c r="M51" s="446">
        <f t="shared" si="8"/>
        <v>0</v>
      </c>
      <c r="N51" s="447">
        <f t="shared" si="9"/>
        <v>0</v>
      </c>
      <c r="O51" s="417" t="str">
        <f t="shared" si="6"/>
        <v>-</v>
      </c>
      <c r="P51"/>
      <c r="Q51"/>
      <c r="R51"/>
      <c r="S51"/>
      <c r="T51"/>
      <c r="U51"/>
      <c r="V51"/>
      <c r="W51"/>
    </row>
    <row r="52" spans="1:23" x14ac:dyDescent="0.25">
      <c r="C52" s="350" t="s">
        <v>282</v>
      </c>
      <c r="D52" s="351">
        <f>SUM(D33:D51)</f>
        <v>0</v>
      </c>
      <c r="E52" s="351">
        <f>SUM(E33:E51)</f>
        <v>0</v>
      </c>
      <c r="F52" s="351" t="str">
        <f>IFERROR(E52/D52,"-")</f>
        <v>-</v>
      </c>
      <c r="G52" s="351">
        <f>SUM(G33:G51)</f>
        <v>0</v>
      </c>
      <c r="H52" s="351">
        <f>SUM(H33:H51)</f>
        <v>0</v>
      </c>
      <c r="I52" s="351" t="str">
        <f t="shared" si="4"/>
        <v>-</v>
      </c>
      <c r="J52" s="351">
        <f>SUM(J33:J51)</f>
        <v>0</v>
      </c>
      <c r="K52" s="351">
        <f>SUM(K33:K51)</f>
        <v>0</v>
      </c>
      <c r="L52" s="351" t="str">
        <f t="shared" si="5"/>
        <v>-</v>
      </c>
      <c r="M52" s="448">
        <f>SUM(M33:M51)</f>
        <v>13060</v>
      </c>
      <c r="N52" s="448">
        <f>SUM(N33:N51)</f>
        <v>11107</v>
      </c>
      <c r="O52" s="418">
        <f>+N52/M52</f>
        <v>0.85045941807044412</v>
      </c>
      <c r="P52"/>
      <c r="Q52"/>
      <c r="R52"/>
      <c r="S52"/>
      <c r="T52"/>
      <c r="U52"/>
      <c r="V52"/>
      <c r="W52"/>
    </row>
    <row r="53" spans="1:23" x14ac:dyDescent="0.25">
      <c r="C53" s="111" t="s">
        <v>303</v>
      </c>
      <c r="D53"/>
      <c r="E53"/>
      <c r="F53"/>
      <c r="G53"/>
      <c r="H53"/>
      <c r="I53"/>
      <c r="J53"/>
      <c r="K53"/>
      <c r="L53"/>
      <c r="M53"/>
      <c r="N53"/>
      <c r="O53"/>
      <c r="P53"/>
      <c r="Q53"/>
      <c r="R53"/>
      <c r="S53"/>
      <c r="T53"/>
      <c r="U53"/>
      <c r="V53"/>
      <c r="W53"/>
    </row>
    <row r="54" spans="1:23" x14ac:dyDescent="0.25">
      <c r="C54" s="189"/>
      <c r="D54"/>
      <c r="E54"/>
      <c r="F54"/>
      <c r="G54"/>
      <c r="H54"/>
      <c r="I54"/>
      <c r="J54"/>
      <c r="K54"/>
      <c r="L54"/>
      <c r="M54"/>
      <c r="N54"/>
      <c r="O54"/>
      <c r="P54"/>
      <c r="Q54"/>
      <c r="R54"/>
      <c r="S54"/>
      <c r="T54"/>
      <c r="U54"/>
      <c r="V54"/>
      <c r="W54"/>
    </row>
    <row r="55" spans="1:23" x14ac:dyDescent="0.25">
      <c r="C55"/>
      <c r="D55"/>
      <c r="E55"/>
      <c r="F55"/>
      <c r="G55"/>
      <c r="H55"/>
      <c r="I55"/>
      <c r="J55"/>
      <c r="K55"/>
      <c r="L55"/>
      <c r="M55"/>
      <c r="N55"/>
      <c r="O55" s="85"/>
      <c r="P55"/>
      <c r="Q55"/>
      <c r="R55"/>
      <c r="S55"/>
      <c r="T55"/>
      <c r="U55"/>
      <c r="V55"/>
      <c r="W55"/>
    </row>
    <row r="56" spans="1:23" x14ac:dyDescent="0.25">
      <c r="C56"/>
      <c r="D56"/>
      <c r="E56"/>
      <c r="F56"/>
      <c r="G56"/>
      <c r="H56"/>
      <c r="I56"/>
      <c r="J56"/>
      <c r="K56"/>
      <c r="L56"/>
      <c r="M56"/>
      <c r="N56"/>
      <c r="O56"/>
      <c r="P56"/>
      <c r="Q56"/>
      <c r="R56"/>
      <c r="S56"/>
      <c r="T56"/>
      <c r="U56"/>
      <c r="V56"/>
      <c r="W56"/>
    </row>
    <row r="57" spans="1:23" x14ac:dyDescent="0.25">
      <c r="C57"/>
      <c r="D57"/>
      <c r="E57"/>
      <c r="F57"/>
      <c r="G57"/>
      <c r="H57"/>
      <c r="I57"/>
      <c r="J57"/>
      <c r="K57"/>
      <c r="L57"/>
      <c r="M57"/>
      <c r="N57"/>
      <c r="O57"/>
      <c r="P57"/>
      <c r="Q57"/>
      <c r="R57"/>
      <c r="S57"/>
      <c r="T57"/>
      <c r="U57"/>
      <c r="V57"/>
      <c r="W57"/>
    </row>
    <row r="63" spans="1:23" ht="15.75" x14ac:dyDescent="0.25">
      <c r="C63" s="582" t="s">
        <v>304</v>
      </c>
      <c r="D63" s="582"/>
      <c r="E63" s="582"/>
      <c r="F63" s="582"/>
      <c r="G63" s="582"/>
      <c r="H63" s="582"/>
      <c r="I63" s="582"/>
      <c r="J63" s="582"/>
      <c r="K63" s="582"/>
      <c r="L63" s="582"/>
      <c r="M63" s="582"/>
      <c r="N63" s="582"/>
      <c r="O63" s="188"/>
    </row>
    <row r="64" spans="1:23" x14ac:dyDescent="0.25">
      <c r="C64" s="228"/>
      <c r="D64" s="228" t="s">
        <v>15</v>
      </c>
      <c r="E64" s="228"/>
      <c r="F64" s="228"/>
      <c r="G64" s="228" t="s">
        <v>14</v>
      </c>
      <c r="H64" s="228"/>
      <c r="I64" s="228"/>
      <c r="J64" s="228"/>
      <c r="K64" s="228" t="s">
        <v>13</v>
      </c>
      <c r="L64" s="228"/>
      <c r="M64" s="561" t="s">
        <v>16</v>
      </c>
      <c r="N64" s="561"/>
    </row>
    <row r="65" spans="3:15" x14ac:dyDescent="0.25">
      <c r="C65" s="48" t="s">
        <v>265</v>
      </c>
      <c r="D65" s="48" t="s">
        <v>266</v>
      </c>
      <c r="E65" s="48" t="s">
        <v>267</v>
      </c>
      <c r="F65" s="48" t="s">
        <v>62</v>
      </c>
      <c r="G65" s="48" t="s">
        <v>266</v>
      </c>
      <c r="H65" s="48" t="s">
        <v>267</v>
      </c>
      <c r="I65" s="48" t="s">
        <v>268</v>
      </c>
      <c r="J65" s="48" t="s">
        <v>266</v>
      </c>
      <c r="K65" s="48" t="s">
        <v>267</v>
      </c>
      <c r="L65" s="48" t="s">
        <v>268</v>
      </c>
      <c r="M65" s="48" t="s">
        <v>266</v>
      </c>
      <c r="N65" s="48" t="s">
        <v>305</v>
      </c>
    </row>
    <row r="66" spans="3:15" x14ac:dyDescent="0.25">
      <c r="C66" s="47" t="s">
        <v>306</v>
      </c>
      <c r="D66" s="103">
        <v>6</v>
      </c>
      <c r="E66" s="103">
        <v>11</v>
      </c>
      <c r="F66" s="185">
        <f>IFERROR(E66/D66,"-")</f>
        <v>1.8333333333333333</v>
      </c>
      <c r="G66" s="103">
        <v>5</v>
      </c>
      <c r="H66" s="103">
        <v>8</v>
      </c>
      <c r="I66" s="185">
        <f>IFERROR(H66/G66,"-")</f>
        <v>1.6</v>
      </c>
      <c r="J66" s="103">
        <v>7</v>
      </c>
      <c r="K66" s="103">
        <v>7</v>
      </c>
      <c r="L66" s="185">
        <f>IFERROR(K66/J66,"-")</f>
        <v>1</v>
      </c>
      <c r="M66" s="103">
        <f>D66+G66+J66</f>
        <v>18</v>
      </c>
      <c r="N66" s="103">
        <f>E66+H66+K66</f>
        <v>26</v>
      </c>
    </row>
    <row r="67" spans="3:15" x14ac:dyDescent="0.25">
      <c r="C67" s="47" t="s">
        <v>307</v>
      </c>
      <c r="D67" s="103">
        <v>9</v>
      </c>
      <c r="E67" s="103">
        <v>10</v>
      </c>
      <c r="F67" s="185">
        <f>IFERROR(E67/D67,"-")</f>
        <v>1.1111111111111112</v>
      </c>
      <c r="G67" s="103">
        <v>3</v>
      </c>
      <c r="H67" s="103">
        <v>5</v>
      </c>
      <c r="I67" s="185">
        <f>IFERROR(H67/G67,"-")</f>
        <v>1.6666666666666667</v>
      </c>
      <c r="J67" s="103">
        <v>5</v>
      </c>
      <c r="K67" s="103">
        <v>9</v>
      </c>
      <c r="L67" s="185">
        <f>IFERROR(K67/J67,"-")</f>
        <v>1.8</v>
      </c>
      <c r="M67" s="103">
        <f t="shared" ref="M67:M69" si="10">D67+G67+J67</f>
        <v>17</v>
      </c>
      <c r="N67" s="103">
        <f t="shared" ref="N67:N69" si="11">E67+H67+K67</f>
        <v>24</v>
      </c>
    </row>
    <row r="68" spans="3:15" x14ac:dyDescent="0.25">
      <c r="C68" s="47" t="s">
        <v>308</v>
      </c>
      <c r="D68" s="103">
        <v>2</v>
      </c>
      <c r="E68" s="103">
        <v>0</v>
      </c>
      <c r="F68" s="185">
        <f>IFERROR(E68/D68,"-")</f>
        <v>0</v>
      </c>
      <c r="G68" s="103">
        <v>1</v>
      </c>
      <c r="H68" s="103">
        <v>2</v>
      </c>
      <c r="I68" s="185">
        <f>IFERROR(H68/G68,"-")</f>
        <v>2</v>
      </c>
      <c r="J68" s="103">
        <v>3</v>
      </c>
      <c r="K68" s="103">
        <v>10</v>
      </c>
      <c r="L68" s="185">
        <f>IFERROR(K68/J68,"-")</f>
        <v>3.3333333333333335</v>
      </c>
      <c r="M68" s="103">
        <f t="shared" si="10"/>
        <v>6</v>
      </c>
      <c r="N68" s="103">
        <f t="shared" si="11"/>
        <v>12</v>
      </c>
    </row>
    <row r="69" spans="3:15" x14ac:dyDescent="0.25">
      <c r="C69" s="47" t="s">
        <v>309</v>
      </c>
      <c r="D69" s="103">
        <v>0</v>
      </c>
      <c r="E69" s="103">
        <v>0</v>
      </c>
      <c r="F69" s="185" t="str">
        <f>IFERROR(E69/D69,"-")</f>
        <v>-</v>
      </c>
      <c r="G69" s="103">
        <v>0</v>
      </c>
      <c r="H69" s="103">
        <v>0</v>
      </c>
      <c r="I69" s="185" t="str">
        <f>IFERROR(H69/G69,"-")</f>
        <v>-</v>
      </c>
      <c r="J69" s="103">
        <v>0</v>
      </c>
      <c r="K69" s="103">
        <v>0</v>
      </c>
      <c r="L69" s="185" t="str">
        <f>IFERROR(K69/J69,"-")</f>
        <v>-</v>
      </c>
      <c r="M69" s="103">
        <f t="shared" si="10"/>
        <v>0</v>
      </c>
      <c r="N69" s="103">
        <f t="shared" si="11"/>
        <v>0</v>
      </c>
    </row>
    <row r="70" spans="3:15" x14ac:dyDescent="0.25">
      <c r="C70" s="40" t="s">
        <v>282</v>
      </c>
      <c r="D70" s="8">
        <f>SUM(D66:D69)</f>
        <v>17</v>
      </c>
      <c r="E70" s="8">
        <f>SUM(E66:E69)</f>
        <v>21</v>
      </c>
      <c r="F70" s="8">
        <f>IFERROR(E70/D70,"-")</f>
        <v>1.2352941176470589</v>
      </c>
      <c r="G70" s="8">
        <f>SUM(G66:G69)</f>
        <v>9</v>
      </c>
      <c r="H70" s="8">
        <f>SUM(H66:H69)</f>
        <v>15</v>
      </c>
      <c r="I70" s="8">
        <f>IFERROR(H70/G70,"-")</f>
        <v>1.6666666666666667</v>
      </c>
      <c r="J70" s="8">
        <f>SUM(J66:J69)</f>
        <v>15</v>
      </c>
      <c r="K70" s="8">
        <f>SUM(K66:K69)</f>
        <v>26</v>
      </c>
      <c r="L70" s="8">
        <f>IFERROR(K70/J70,"-")</f>
        <v>1.7333333333333334</v>
      </c>
      <c r="M70" s="202">
        <f>SUM(M66:M69)</f>
        <v>41</v>
      </c>
      <c r="N70" s="202">
        <f>SUM(N66:N69)</f>
        <v>62</v>
      </c>
    </row>
    <row r="71" spans="3:15" ht="17.25" customHeight="1" x14ac:dyDescent="0.25">
      <c r="C71" s="189" t="s">
        <v>310</v>
      </c>
      <c r="D71" s="189"/>
      <c r="E71" s="189"/>
      <c r="F71" s="189"/>
      <c r="G71" s="189"/>
      <c r="H71" s="189"/>
      <c r="I71" s="189"/>
      <c r="J71" s="189"/>
      <c r="K71" s="189"/>
      <c r="L71" s="189"/>
      <c r="M71" s="189"/>
      <c r="N71" s="189"/>
      <c r="O71" s="189"/>
    </row>
    <row r="72" spans="3:15" ht="57" customHeight="1" x14ac:dyDescent="0.25">
      <c r="C72" s="357" t="s">
        <v>311</v>
      </c>
    </row>
    <row r="85" spans="13:14" x14ac:dyDescent="0.25">
      <c r="M85" s="29"/>
      <c r="N85" s="29"/>
    </row>
  </sheetData>
  <mergeCells count="14">
    <mergeCell ref="M31:O31"/>
    <mergeCell ref="C63:N63"/>
    <mergeCell ref="C5:O5"/>
    <mergeCell ref="C30:O30"/>
    <mergeCell ref="M64:N64"/>
    <mergeCell ref="C1:O1"/>
    <mergeCell ref="C2:O2"/>
    <mergeCell ref="C3:O3"/>
    <mergeCell ref="D9:F9"/>
    <mergeCell ref="C4:O4"/>
    <mergeCell ref="C8:O8"/>
    <mergeCell ref="G9:I9"/>
    <mergeCell ref="J9:L9"/>
    <mergeCell ref="M9:O9"/>
  </mergeCells>
  <pageMargins left="0.7" right="0.7" top="0.75" bottom="0.75" header="0.3" footer="0.3"/>
  <pageSetup paperSize="9" scale="37" orientation="portrait" r:id="rId1"/>
  <colBreaks count="1" manualBreakCount="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AC87"/>
  <sheetViews>
    <sheetView showGridLines="0" zoomScaleNormal="100" zoomScaleSheetLayoutView="100" workbookViewId="0">
      <selection activeCell="P40" sqref="P40"/>
    </sheetView>
  </sheetViews>
  <sheetFormatPr baseColWidth="10" defaultColWidth="11.42578125" defaultRowHeight="15" x14ac:dyDescent="0.25"/>
  <cols>
    <col min="1" max="1" width="12.140625" style="1" customWidth="1"/>
    <col min="2" max="2" width="9.85546875" style="1" customWidth="1"/>
    <col min="3" max="3" width="10.5703125" style="1" customWidth="1"/>
    <col min="4" max="4" width="12.140625" style="1" customWidth="1"/>
    <col min="5" max="5" width="14.5703125" style="1" customWidth="1"/>
    <col min="6" max="6" width="14.140625" style="1" customWidth="1"/>
    <col min="7" max="7" width="12" style="1" customWidth="1"/>
    <col min="8" max="16384" width="11.42578125" style="1"/>
  </cols>
  <sheetData>
    <row r="2" spans="1:16" x14ac:dyDescent="0.25">
      <c r="A2" s="536" t="s">
        <v>0</v>
      </c>
      <c r="B2" s="536"/>
      <c r="C2" s="536"/>
      <c r="D2" s="536"/>
      <c r="E2" s="536"/>
      <c r="F2" s="536"/>
      <c r="G2" s="160"/>
    </row>
    <row r="3" spans="1:16" x14ac:dyDescent="0.25">
      <c r="A3" s="536" t="s">
        <v>31</v>
      </c>
      <c r="B3" s="536"/>
      <c r="C3" s="536"/>
      <c r="D3" s="536"/>
      <c r="E3" s="536"/>
      <c r="F3" s="536"/>
      <c r="G3" s="160"/>
    </row>
    <row r="4" spans="1:16" x14ac:dyDescent="0.25">
      <c r="A4" s="536" t="s">
        <v>32</v>
      </c>
      <c r="B4" s="536"/>
      <c r="C4" s="536"/>
      <c r="D4" s="536"/>
      <c r="E4" s="536"/>
      <c r="F4" s="536"/>
      <c r="G4" s="160"/>
    </row>
    <row r="5" spans="1:16" x14ac:dyDescent="0.25">
      <c r="A5" s="536" t="s">
        <v>3</v>
      </c>
      <c r="B5" s="536"/>
      <c r="C5" s="536"/>
      <c r="D5" s="536"/>
      <c r="E5" s="536"/>
      <c r="F5" s="536"/>
      <c r="G5" s="160"/>
    </row>
    <row r="6" spans="1:16" x14ac:dyDescent="0.25">
      <c r="A6" s="536" t="s">
        <v>4</v>
      </c>
      <c r="B6" s="536"/>
      <c r="C6" s="536"/>
      <c r="D6" s="536"/>
      <c r="E6" s="536"/>
      <c r="F6" s="536"/>
      <c r="G6" s="160"/>
      <c r="P6" s="18"/>
    </row>
    <row r="7" spans="1:16" ht="40.5" customHeight="1" x14ac:dyDescent="0.25">
      <c r="A7" s="37" t="s">
        <v>5</v>
      </c>
      <c r="B7" s="39" t="s">
        <v>33</v>
      </c>
      <c r="C7" s="39" t="s">
        <v>34</v>
      </c>
      <c r="D7" s="39" t="s">
        <v>35</v>
      </c>
      <c r="E7" s="39" t="s">
        <v>36</v>
      </c>
      <c r="F7" s="39" t="s">
        <v>37</v>
      </c>
      <c r="G7" s="39" t="s">
        <v>38</v>
      </c>
      <c r="I7"/>
      <c r="J7"/>
      <c r="K7"/>
    </row>
    <row r="8" spans="1:16" ht="15" customHeight="1" x14ac:dyDescent="0.25">
      <c r="A8" s="192" t="s">
        <v>39</v>
      </c>
      <c r="B8" s="457">
        <v>92553</v>
      </c>
      <c r="C8" s="457">
        <v>23604</v>
      </c>
      <c r="D8" s="161">
        <f>+C8/B8</f>
        <v>0.25503225179086575</v>
      </c>
      <c r="E8" s="459">
        <v>68588</v>
      </c>
      <c r="F8" s="161">
        <f>+E8/B8</f>
        <v>0.74106728036908587</v>
      </c>
      <c r="G8" s="461">
        <v>59827</v>
      </c>
      <c r="H8"/>
      <c r="I8"/>
      <c r="J8"/>
      <c r="K8"/>
    </row>
    <row r="9" spans="1:16" ht="15" customHeight="1" x14ac:dyDescent="0.25">
      <c r="A9" s="192" t="s">
        <v>14</v>
      </c>
      <c r="B9" s="457">
        <v>92196</v>
      </c>
      <c r="C9" s="457">
        <v>23790</v>
      </c>
      <c r="D9" s="161">
        <f>+C9/B9</f>
        <v>0.2580372250423012</v>
      </c>
      <c r="E9" s="459">
        <v>68406</v>
      </c>
      <c r="F9" s="161">
        <f>+E9/B9</f>
        <v>0.7419627749576988</v>
      </c>
      <c r="G9" s="461">
        <v>59767</v>
      </c>
      <c r="H9"/>
      <c r="I9"/>
      <c r="J9"/>
      <c r="K9"/>
    </row>
    <row r="10" spans="1:16" ht="15" customHeight="1" x14ac:dyDescent="0.25">
      <c r="A10" s="193" t="s">
        <v>15</v>
      </c>
      <c r="B10" s="457">
        <v>92199</v>
      </c>
      <c r="C10" s="457">
        <v>23604</v>
      </c>
      <c r="D10" s="161">
        <f>+C10/B10</f>
        <v>0.25601145348648036</v>
      </c>
      <c r="E10" s="459">
        <v>68595</v>
      </c>
      <c r="F10" s="161">
        <f>+E10/B10</f>
        <v>0.74398854651351964</v>
      </c>
      <c r="G10" s="461">
        <v>59681</v>
      </c>
      <c r="H10"/>
      <c r="I10"/>
      <c r="J10"/>
      <c r="K10"/>
    </row>
    <row r="11" spans="1:16" ht="27.75" customHeight="1" x14ac:dyDescent="0.25">
      <c r="A11" s="320" t="s">
        <v>40</v>
      </c>
      <c r="B11" s="458">
        <f>+AVERAGEA(B8:B10)</f>
        <v>92316</v>
      </c>
      <c r="C11" s="458">
        <f t="shared" ref="C11:F11" si="0">+AVERAGEA(C8:C10)</f>
        <v>23666</v>
      </c>
      <c r="D11" s="454">
        <f t="shared" si="0"/>
        <v>0.25636031010654908</v>
      </c>
      <c r="E11" s="460">
        <f t="shared" si="0"/>
        <v>68529.666666666672</v>
      </c>
      <c r="F11" s="454">
        <f t="shared" si="0"/>
        <v>0.7423395339467681</v>
      </c>
      <c r="G11" s="458">
        <f>+AVERAGEA(G8:G10)</f>
        <v>59758.333333333336</v>
      </c>
      <c r="H11"/>
      <c r="I11"/>
      <c r="J11"/>
      <c r="K11"/>
    </row>
    <row r="12" spans="1:16" ht="18" hidden="1" customHeight="1" x14ac:dyDescent="0.25">
      <c r="A12" s="164" t="s">
        <v>17</v>
      </c>
      <c r="B12" s="196">
        <v>93148</v>
      </c>
      <c r="C12" s="196">
        <v>29747</v>
      </c>
      <c r="D12" s="197">
        <f>+C12/B12</f>
        <v>0.31935199896938204</v>
      </c>
      <c r="E12" s="199">
        <v>63401</v>
      </c>
      <c r="F12" s="197">
        <f>+E12/B12</f>
        <v>0.68064800103061796</v>
      </c>
      <c r="G12" s="198">
        <v>54308</v>
      </c>
      <c r="H12"/>
      <c r="I12"/>
      <c r="J12"/>
      <c r="K12"/>
    </row>
    <row r="13" spans="1:16" ht="18" hidden="1" customHeight="1" x14ac:dyDescent="0.25">
      <c r="A13" s="164" t="s">
        <v>18</v>
      </c>
      <c r="B13" s="196">
        <v>92991</v>
      </c>
      <c r="C13" s="196">
        <v>28719</v>
      </c>
      <c r="D13" s="197">
        <f t="shared" ref="D13:D28" si="1">+C13/B13</f>
        <v>0.30883633900054847</v>
      </c>
      <c r="E13" s="199">
        <v>64272</v>
      </c>
      <c r="F13" s="197">
        <f t="shared" ref="F13:F28" si="2">+E13/B13</f>
        <v>0.69116366099945159</v>
      </c>
      <c r="G13" s="196">
        <v>54187</v>
      </c>
      <c r="H13"/>
      <c r="I13"/>
      <c r="J13"/>
      <c r="K13"/>
      <c r="L13" s="64"/>
      <c r="M13"/>
      <c r="N13"/>
      <c r="O13"/>
    </row>
    <row r="14" spans="1:16" ht="18" hidden="1" customHeight="1" x14ac:dyDescent="0.25">
      <c r="A14" s="162" t="s">
        <v>19</v>
      </c>
      <c r="B14" s="196">
        <v>92991</v>
      </c>
      <c r="C14" s="196">
        <v>28682</v>
      </c>
      <c r="D14" s="197">
        <f t="shared" si="1"/>
        <v>0.30843845103289563</v>
      </c>
      <c r="E14" s="199">
        <v>64309</v>
      </c>
      <c r="F14" s="197">
        <f t="shared" si="2"/>
        <v>0.69156154896710431</v>
      </c>
      <c r="G14" s="196">
        <v>54052</v>
      </c>
      <c r="H14"/>
      <c r="I14"/>
      <c r="J14"/>
      <c r="K14"/>
      <c r="L14"/>
      <c r="M14"/>
      <c r="N14"/>
      <c r="O14"/>
    </row>
    <row r="15" spans="1:16" ht="24" hidden="1" customHeight="1" x14ac:dyDescent="0.25">
      <c r="A15" s="166" t="s">
        <v>41</v>
      </c>
      <c r="B15" s="200">
        <f>+AVERAGE(B12:B14)</f>
        <v>93043.333333333328</v>
      </c>
      <c r="C15" s="200">
        <f>+AVERAGE(C12:C14)</f>
        <v>29049.333333333332</v>
      </c>
      <c r="D15" s="201">
        <f t="shared" si="1"/>
        <v>0.31221294737219218</v>
      </c>
      <c r="E15" s="200">
        <f>+AVERAGE(E12:E14)</f>
        <v>63994</v>
      </c>
      <c r="F15" s="201">
        <f t="shared" si="2"/>
        <v>0.68778705262780782</v>
      </c>
      <c r="G15" s="59">
        <f>AVERAGE(G12:G14)</f>
        <v>54182.333333333336</v>
      </c>
      <c r="H15"/>
      <c r="I15"/>
      <c r="J15"/>
      <c r="K15"/>
      <c r="L15" s="163"/>
      <c r="M15"/>
      <c r="N15"/>
      <c r="O15"/>
    </row>
    <row r="16" spans="1:16" hidden="1" x14ac:dyDescent="0.25">
      <c r="A16" s="162" t="s">
        <v>15</v>
      </c>
      <c r="B16" s="109"/>
      <c r="C16" s="109"/>
      <c r="D16" s="161" t="e">
        <f t="shared" si="1"/>
        <v>#DIV/0!</v>
      </c>
      <c r="E16" s="109"/>
      <c r="F16" s="161" t="e">
        <f t="shared" si="2"/>
        <v>#DIV/0!</v>
      </c>
      <c r="G16" s="161"/>
      <c r="H16"/>
      <c r="I16"/>
      <c r="J16"/>
      <c r="K16" s="64"/>
      <c r="L16" s="64"/>
      <c r="M16"/>
      <c r="N16"/>
      <c r="O16"/>
    </row>
    <row r="17" spans="1:15" hidden="1" x14ac:dyDescent="0.25">
      <c r="A17" s="164" t="s">
        <v>14</v>
      </c>
      <c r="B17" s="109"/>
      <c r="C17" s="109"/>
      <c r="D17" s="161" t="e">
        <f t="shared" si="1"/>
        <v>#DIV/0!</v>
      </c>
      <c r="E17" s="109"/>
      <c r="F17" s="161" t="e">
        <f t="shared" si="2"/>
        <v>#DIV/0!</v>
      </c>
      <c r="G17" s="161"/>
      <c r="H17"/>
      <c r="I17"/>
      <c r="J17"/>
      <c r="K17"/>
      <c r="L17" s="64"/>
      <c r="M17"/>
      <c r="N17"/>
      <c r="O17"/>
    </row>
    <row r="18" spans="1:15" hidden="1" x14ac:dyDescent="0.25">
      <c r="A18" s="164" t="s">
        <v>13</v>
      </c>
      <c r="B18" s="109"/>
      <c r="C18" s="109"/>
      <c r="D18" s="161" t="e">
        <f t="shared" si="1"/>
        <v>#DIV/0!</v>
      </c>
      <c r="E18" s="109"/>
      <c r="F18" s="161" t="e">
        <f t="shared" si="2"/>
        <v>#DIV/0!</v>
      </c>
      <c r="G18" s="161"/>
      <c r="H18"/>
      <c r="I18"/>
      <c r="J18"/>
      <c r="K18"/>
      <c r="L18"/>
      <c r="M18"/>
      <c r="N18"/>
      <c r="O18"/>
    </row>
    <row r="19" spans="1:15" ht="24" hidden="1" customHeight="1" x14ac:dyDescent="0.25">
      <c r="A19" s="110" t="s">
        <v>40</v>
      </c>
      <c r="B19" s="8" t="e">
        <f>+AVERAGE(B16:B18)</f>
        <v>#DIV/0!</v>
      </c>
      <c r="C19" s="8" t="e">
        <f>+AVERAGE(C16:C18)</f>
        <v>#DIV/0!</v>
      </c>
      <c r="D19" s="16" t="e">
        <f t="shared" si="1"/>
        <v>#DIV/0!</v>
      </c>
      <c r="E19" s="8" t="e">
        <f>+AVERAGE(E16:E18)</f>
        <v>#DIV/0!</v>
      </c>
      <c r="F19" s="16" t="e">
        <f t="shared" si="2"/>
        <v>#DIV/0!</v>
      </c>
      <c r="G19" s="16"/>
      <c r="H19"/>
      <c r="I19"/>
      <c r="J19"/>
      <c r="K19"/>
      <c r="L19" s="163"/>
      <c r="M19"/>
      <c r="N19"/>
      <c r="O19"/>
    </row>
    <row r="20" spans="1:15" hidden="1" x14ac:dyDescent="0.25">
      <c r="A20" s="162" t="s">
        <v>42</v>
      </c>
      <c r="B20" s="109"/>
      <c r="C20" s="109"/>
      <c r="D20" s="161" t="e">
        <f t="shared" si="1"/>
        <v>#DIV/0!</v>
      </c>
      <c r="E20" s="109"/>
      <c r="F20" s="161" t="e">
        <f t="shared" si="2"/>
        <v>#DIV/0!</v>
      </c>
      <c r="G20" s="161"/>
      <c r="H20"/>
      <c r="I20"/>
      <c r="J20"/>
      <c r="K20" s="64"/>
      <c r="L20" s="64"/>
      <c r="M20"/>
      <c r="N20"/>
      <c r="O20"/>
    </row>
    <row r="21" spans="1:15" hidden="1" x14ac:dyDescent="0.25">
      <c r="A21" s="164" t="s">
        <v>22</v>
      </c>
      <c r="B21" s="109"/>
      <c r="C21" s="109"/>
      <c r="D21" s="161" t="e">
        <f t="shared" si="1"/>
        <v>#DIV/0!</v>
      </c>
      <c r="E21" s="109"/>
      <c r="F21" s="161" t="e">
        <f t="shared" si="2"/>
        <v>#DIV/0!</v>
      </c>
      <c r="G21" s="161"/>
      <c r="H21"/>
      <c r="I21"/>
      <c r="J21"/>
      <c r="K21"/>
      <c r="L21" s="64"/>
      <c r="M21"/>
      <c r="N21"/>
      <c r="O21"/>
    </row>
    <row r="22" spans="1:15" hidden="1" x14ac:dyDescent="0.25">
      <c r="A22" s="164" t="s">
        <v>23</v>
      </c>
      <c r="B22" s="109"/>
      <c r="C22" s="109"/>
      <c r="D22" s="161" t="e">
        <f t="shared" si="1"/>
        <v>#DIV/0!</v>
      </c>
      <c r="E22" s="109"/>
      <c r="F22" s="161" t="e">
        <f t="shared" si="2"/>
        <v>#DIV/0!</v>
      </c>
      <c r="G22" s="161"/>
      <c r="H22"/>
      <c r="I22"/>
      <c r="J22"/>
      <c r="K22"/>
      <c r="L22"/>
      <c r="M22"/>
      <c r="N22"/>
      <c r="O22"/>
    </row>
    <row r="23" spans="1:15" ht="24" hidden="1" customHeight="1" x14ac:dyDescent="0.25">
      <c r="A23" s="110" t="s">
        <v>43</v>
      </c>
      <c r="B23" s="8" t="e">
        <f>+AVERAGE(B20:B22)</f>
        <v>#DIV/0!</v>
      </c>
      <c r="C23" s="8" t="e">
        <f>+AVERAGE(C20:C22)</f>
        <v>#DIV/0!</v>
      </c>
      <c r="D23" s="16" t="e">
        <f t="shared" si="1"/>
        <v>#DIV/0!</v>
      </c>
      <c r="E23" s="8" t="e">
        <f>+AVERAGE(E20:E22)</f>
        <v>#DIV/0!</v>
      </c>
      <c r="F23" s="16" t="e">
        <f t="shared" si="2"/>
        <v>#DIV/0!</v>
      </c>
      <c r="G23" s="16"/>
      <c r="H23"/>
      <c r="I23"/>
      <c r="J23"/>
      <c r="K23"/>
      <c r="L23" s="163"/>
      <c r="M23"/>
      <c r="N23"/>
      <c r="O23"/>
    </row>
    <row r="24" spans="1:15" hidden="1" x14ac:dyDescent="0.25">
      <c r="A24" s="162" t="s">
        <v>25</v>
      </c>
      <c r="B24" s="109"/>
      <c r="C24" s="109"/>
      <c r="D24" s="161" t="e">
        <f t="shared" si="1"/>
        <v>#DIV/0!</v>
      </c>
      <c r="E24" s="109"/>
      <c r="F24" s="161" t="e">
        <f t="shared" si="2"/>
        <v>#DIV/0!</v>
      </c>
      <c r="G24" s="161"/>
      <c r="H24"/>
      <c r="I24"/>
      <c r="J24"/>
      <c r="K24" s="64"/>
      <c r="L24" s="64"/>
      <c r="M24"/>
      <c r="N24"/>
      <c r="O24"/>
    </row>
    <row r="25" spans="1:15" hidden="1" x14ac:dyDescent="0.25">
      <c r="A25" s="164" t="s">
        <v>26</v>
      </c>
      <c r="B25" s="109"/>
      <c r="C25" s="109"/>
      <c r="D25" s="161" t="e">
        <f t="shared" si="1"/>
        <v>#DIV/0!</v>
      </c>
      <c r="E25" s="109"/>
      <c r="F25" s="161" t="e">
        <f t="shared" si="2"/>
        <v>#DIV/0!</v>
      </c>
      <c r="G25" s="161"/>
      <c r="H25"/>
      <c r="I25"/>
      <c r="J25"/>
      <c r="K25"/>
      <c r="L25" s="64"/>
      <c r="M25"/>
      <c r="N25"/>
      <c r="O25"/>
    </row>
    <row r="26" spans="1:15" hidden="1" x14ac:dyDescent="0.25">
      <c r="A26" s="164" t="s">
        <v>27</v>
      </c>
      <c r="B26" s="109"/>
      <c r="C26" s="109"/>
      <c r="D26" s="161" t="e">
        <f t="shared" si="1"/>
        <v>#DIV/0!</v>
      </c>
      <c r="E26" s="109"/>
      <c r="F26" s="161" t="e">
        <f t="shared" si="2"/>
        <v>#DIV/0!</v>
      </c>
      <c r="G26" s="161"/>
      <c r="H26"/>
      <c r="I26"/>
      <c r="J26"/>
      <c r="K26"/>
      <c r="L26"/>
      <c r="M26"/>
      <c r="N26"/>
      <c r="O26"/>
    </row>
    <row r="27" spans="1:15" ht="24" hidden="1" customHeight="1" x14ac:dyDescent="0.25">
      <c r="A27" s="110" t="s">
        <v>44</v>
      </c>
      <c r="B27" s="8" t="e">
        <f>+AVERAGE(B24:B26)</f>
        <v>#DIV/0!</v>
      </c>
      <c r="C27" s="8" t="e">
        <f>+AVERAGE(C24:C26)</f>
        <v>#DIV/0!</v>
      </c>
      <c r="D27" s="16" t="e">
        <f t="shared" si="1"/>
        <v>#DIV/0!</v>
      </c>
      <c r="E27" s="8" t="e">
        <f>+AVERAGE(E24:E26)</f>
        <v>#DIV/0!</v>
      </c>
      <c r="F27" s="16" t="e">
        <f t="shared" si="2"/>
        <v>#DIV/0!</v>
      </c>
      <c r="G27" s="16"/>
      <c r="H27"/>
      <c r="I27"/>
      <c r="J27"/>
      <c r="K27"/>
      <c r="L27" s="163"/>
      <c r="M27"/>
      <c r="N27"/>
      <c r="O27"/>
    </row>
    <row r="28" spans="1:15" hidden="1" x14ac:dyDescent="0.25">
      <c r="A28" s="25" t="s">
        <v>29</v>
      </c>
      <c r="B28" s="10" t="e">
        <f>+AVERAGE(B15,B19,B23,B27)</f>
        <v>#DIV/0!</v>
      </c>
      <c r="C28" s="10" t="e">
        <f>+AVERAGE(C15,C19,C23,C27)</f>
        <v>#DIV/0!</v>
      </c>
      <c r="D28" s="17" t="e">
        <f t="shared" si="1"/>
        <v>#DIV/0!</v>
      </c>
      <c r="E28" s="10" t="e">
        <f>+AVERAGE(E15,E19,E23,E27,)</f>
        <v>#DIV/0!</v>
      </c>
      <c r="F28" s="17" t="e">
        <f t="shared" si="2"/>
        <v>#DIV/0!</v>
      </c>
      <c r="G28" s="17"/>
      <c r="H28"/>
      <c r="I28"/>
      <c r="J28"/>
      <c r="K28"/>
      <c r="L28" s="163"/>
      <c r="M28"/>
      <c r="N28"/>
      <c r="O28"/>
    </row>
    <row r="29" spans="1:15" ht="11.25" customHeight="1" x14ac:dyDescent="0.25">
      <c r="A29" s="274" t="s">
        <v>45</v>
      </c>
      <c r="B29" s="154"/>
      <c r="C29"/>
      <c r="D29" s="163"/>
      <c r="E29"/>
      <c r="F29" s="163"/>
      <c r="G29"/>
      <c r="H29"/>
      <c r="I29"/>
      <c r="J29"/>
      <c r="K29"/>
      <c r="L29" s="163"/>
      <c r="M29"/>
      <c r="N29"/>
      <c r="O29"/>
    </row>
    <row r="30" spans="1:15" x14ac:dyDescent="0.25">
      <c r="A30" s="266" t="s">
        <v>46</v>
      </c>
      <c r="B30" s="109"/>
      <c r="C30" s="109"/>
      <c r="D30" s="161"/>
      <c r="E30" s="109"/>
      <c r="F30" s="161"/>
      <c r="G30" s="161"/>
      <c r="H30"/>
      <c r="I30"/>
      <c r="J30"/>
      <c r="K30"/>
      <c r="L30" s="163"/>
      <c r="M30"/>
      <c r="N30"/>
      <c r="O30"/>
    </row>
    <row r="31" spans="1:15" x14ac:dyDescent="0.25">
      <c r="A31" s="162"/>
      <c r="B31" s="109"/>
      <c r="C31" s="109"/>
      <c r="D31" s="161"/>
      <c r="E31" s="109"/>
      <c r="F31" s="161"/>
      <c r="G31" s="161"/>
      <c r="H31"/>
      <c r="I31"/>
      <c r="J31"/>
      <c r="K31"/>
      <c r="L31"/>
      <c r="M31"/>
      <c r="N31"/>
      <c r="O31"/>
    </row>
    <row r="32" spans="1:15" x14ac:dyDescent="0.25">
      <c r="A32"/>
      <c r="B32"/>
      <c r="C32"/>
      <c r="D32"/>
      <c r="E32"/>
      <c r="F32"/>
      <c r="G32"/>
      <c r="H32"/>
      <c r="I32"/>
      <c r="J32"/>
      <c r="K32"/>
      <c r="L32"/>
      <c r="M32"/>
      <c r="N32"/>
      <c r="O32"/>
    </row>
    <row r="33" spans="1:15" x14ac:dyDescent="0.25">
      <c r="A33"/>
      <c r="B33"/>
      <c r="C33"/>
      <c r="D33"/>
      <c r="E33"/>
      <c r="F33"/>
      <c r="G33"/>
      <c r="H33"/>
      <c r="I33"/>
      <c r="J33"/>
      <c r="K33"/>
      <c r="L33"/>
      <c r="M33"/>
      <c r="N33"/>
      <c r="O33"/>
    </row>
    <row r="34" spans="1:15" x14ac:dyDescent="0.25">
      <c r="A34"/>
      <c r="B34"/>
      <c r="C34"/>
      <c r="D34"/>
      <c r="E34"/>
      <c r="F34"/>
      <c r="G34"/>
      <c r="H34"/>
      <c r="I34"/>
      <c r="J34"/>
      <c r="K34"/>
      <c r="L34"/>
      <c r="M34"/>
      <c r="N34"/>
      <c r="O34"/>
    </row>
    <row r="35" spans="1:15" x14ac:dyDescent="0.25">
      <c r="A35"/>
      <c r="B35"/>
      <c r="C35"/>
      <c r="D35"/>
      <c r="E35"/>
      <c r="F35"/>
      <c r="G35"/>
      <c r="H35"/>
      <c r="I35"/>
      <c r="J35"/>
      <c r="K35"/>
      <c r="L35"/>
      <c r="M35"/>
      <c r="N35"/>
      <c r="O35"/>
    </row>
    <row r="36" spans="1:15" x14ac:dyDescent="0.25">
      <c r="A36"/>
      <c r="B36"/>
      <c r="C36"/>
      <c r="D36"/>
      <c r="E36"/>
      <c r="F36"/>
      <c r="G36"/>
      <c r="H36"/>
      <c r="I36"/>
      <c r="J36"/>
      <c r="K36"/>
      <c r="L36"/>
      <c r="M36"/>
      <c r="N36"/>
      <c r="O36"/>
    </row>
    <row r="37" spans="1:15" x14ac:dyDescent="0.25">
      <c r="A37"/>
      <c r="B37"/>
      <c r="C37"/>
      <c r="D37"/>
      <c r="E37"/>
      <c r="F37"/>
      <c r="G37"/>
      <c r="H37"/>
      <c r="I37"/>
      <c r="J37"/>
      <c r="K37"/>
      <c r="L37"/>
      <c r="M37"/>
      <c r="N37"/>
      <c r="O37"/>
    </row>
    <row r="38" spans="1:15" x14ac:dyDescent="0.25">
      <c r="A38"/>
      <c r="B38"/>
      <c r="C38"/>
      <c r="D38"/>
      <c r="E38"/>
      <c r="F38"/>
      <c r="G38"/>
      <c r="H38"/>
      <c r="I38"/>
      <c r="J38"/>
      <c r="K38"/>
      <c r="L38"/>
      <c r="M38"/>
      <c r="N38"/>
      <c r="O38"/>
    </row>
    <row r="39" spans="1:15" x14ac:dyDescent="0.25">
      <c r="A39"/>
      <c r="B39"/>
      <c r="C39"/>
      <c r="D39"/>
      <c r="E39"/>
      <c r="F39"/>
      <c r="G39"/>
      <c r="H39"/>
      <c r="I39"/>
      <c r="J39"/>
      <c r="K39"/>
      <c r="L39"/>
      <c r="M39"/>
      <c r="N39"/>
      <c r="O39"/>
    </row>
    <row r="40" spans="1:15" x14ac:dyDescent="0.25">
      <c r="A40"/>
      <c r="B40"/>
      <c r="C40"/>
      <c r="D40"/>
      <c r="E40"/>
      <c r="F40"/>
      <c r="G40"/>
      <c r="H40"/>
      <c r="I40"/>
      <c r="J40"/>
      <c r="K40"/>
      <c r="L40"/>
      <c r="M40"/>
      <c r="N40"/>
      <c r="O40"/>
    </row>
    <row r="41" spans="1:15" x14ac:dyDescent="0.25">
      <c r="A41"/>
      <c r="B41"/>
      <c r="C41"/>
      <c r="D41"/>
      <c r="E41"/>
      <c r="F41"/>
      <c r="G41"/>
      <c r="H41"/>
      <c r="I41"/>
      <c r="J41"/>
      <c r="K41"/>
      <c r="L41"/>
      <c r="M41"/>
      <c r="N41"/>
      <c r="O41"/>
    </row>
    <row r="42" spans="1:15" x14ac:dyDescent="0.25">
      <c r="A42"/>
      <c r="B42"/>
      <c r="C42"/>
      <c r="D42"/>
      <c r="E42"/>
      <c r="F42"/>
      <c r="G42"/>
      <c r="H42"/>
      <c r="I42"/>
      <c r="J42"/>
      <c r="K42"/>
      <c r="L42"/>
      <c r="M42"/>
      <c r="N42"/>
      <c r="O42"/>
    </row>
    <row r="43" spans="1:15" x14ac:dyDescent="0.25">
      <c r="A43"/>
      <c r="B43"/>
      <c r="C43"/>
      <c r="D43"/>
      <c r="E43"/>
      <c r="F43"/>
      <c r="G43"/>
      <c r="H43"/>
      <c r="I43"/>
      <c r="J43"/>
      <c r="K43"/>
      <c r="L43"/>
      <c r="M43"/>
      <c r="N43"/>
      <c r="O43"/>
    </row>
    <row r="44" spans="1:15" x14ac:dyDescent="0.25">
      <c r="A44"/>
      <c r="B44"/>
      <c r="C44"/>
      <c r="D44"/>
      <c r="E44"/>
      <c r="F44"/>
      <c r="G44"/>
      <c r="H44"/>
      <c r="I44"/>
      <c r="J44"/>
      <c r="K44"/>
      <c r="L44"/>
      <c r="M44"/>
      <c r="N44"/>
      <c r="O44"/>
    </row>
    <row r="45" spans="1:15" ht="3" customHeight="1" x14ac:dyDescent="0.25">
      <c r="A45"/>
      <c r="B45"/>
      <c r="C45"/>
      <c r="D45"/>
      <c r="E45"/>
      <c r="F45"/>
      <c r="G45"/>
      <c r="H45"/>
      <c r="I45"/>
      <c r="J45"/>
      <c r="K45"/>
      <c r="L45"/>
      <c r="M45"/>
      <c r="N45"/>
      <c r="O45"/>
    </row>
    <row r="46" spans="1:15" hidden="1" x14ac:dyDescent="0.25">
      <c r="A46"/>
      <c r="B46"/>
      <c r="C46"/>
      <c r="D46"/>
      <c r="E46"/>
      <c r="F46"/>
      <c r="G46"/>
      <c r="H46"/>
      <c r="I46"/>
      <c r="J46"/>
      <c r="K46"/>
      <c r="L46"/>
      <c r="M46"/>
      <c r="N46"/>
      <c r="O46"/>
    </row>
    <row r="47" spans="1:15" hidden="1" x14ac:dyDescent="0.25">
      <c r="A47"/>
      <c r="B47"/>
      <c r="C47"/>
      <c r="D47"/>
      <c r="E47"/>
      <c r="F47"/>
      <c r="G47"/>
      <c r="H47"/>
      <c r="I47"/>
      <c r="J47"/>
      <c r="K47"/>
      <c r="L47"/>
      <c r="M47"/>
      <c r="N47" t="s">
        <v>47</v>
      </c>
      <c r="O47"/>
    </row>
    <row r="48" spans="1:15" hidden="1" x14ac:dyDescent="0.25">
      <c r="A48"/>
      <c r="B48"/>
      <c r="C48"/>
      <c r="D48"/>
      <c r="E48"/>
      <c r="F48"/>
      <c r="G48"/>
      <c r="H48"/>
      <c r="I48"/>
      <c r="J48"/>
      <c r="K48"/>
      <c r="L48"/>
      <c r="M48"/>
      <c r="N48"/>
      <c r="O48"/>
    </row>
    <row r="49" spans="1:29" hidden="1" x14ac:dyDescent="0.25">
      <c r="A49"/>
      <c r="B49"/>
      <c r="C49"/>
      <c r="D49"/>
      <c r="E49"/>
      <c r="F49"/>
      <c r="G49"/>
      <c r="H49"/>
      <c r="I49"/>
      <c r="J49"/>
      <c r="K49"/>
      <c r="L49"/>
      <c r="M49"/>
      <c r="N49"/>
      <c r="O49"/>
    </row>
    <row r="50" spans="1:29" hidden="1" x14ac:dyDescent="0.25">
      <c r="A50"/>
      <c r="B50"/>
      <c r="C50"/>
      <c r="D50"/>
      <c r="E50"/>
      <c r="F50"/>
      <c r="G50"/>
      <c r="H50"/>
      <c r="I50"/>
      <c r="J50"/>
      <c r="K50"/>
      <c r="L50"/>
      <c r="M50"/>
      <c r="N50"/>
      <c r="O50"/>
    </row>
    <row r="51" spans="1:29" hidden="1" x14ac:dyDescent="0.25"/>
    <row r="52" spans="1:29" hidden="1" x14ac:dyDescent="0.25"/>
    <row r="53" spans="1:29" hidden="1" x14ac:dyDescent="0.25"/>
    <row r="54" spans="1:29" hidden="1" x14ac:dyDescent="0.25"/>
    <row r="55" spans="1:29" hidden="1" x14ac:dyDescent="0.25"/>
    <row r="56" spans="1:29" hidden="1" x14ac:dyDescent="0.25"/>
    <row r="57" spans="1:29" hidden="1" x14ac:dyDescent="0.25"/>
    <row r="58" spans="1:29" hidden="1" x14ac:dyDescent="0.25"/>
    <row r="59" spans="1:29" hidden="1" x14ac:dyDescent="0.25"/>
    <row r="60" spans="1:29" hidden="1" x14ac:dyDescent="0.25"/>
    <row r="61" spans="1:29" x14ac:dyDescent="0.25">
      <c r="X61" s="39"/>
      <c r="Y61" s="39"/>
      <c r="Z61" s="39"/>
      <c r="AA61" s="39"/>
      <c r="AB61" s="39"/>
      <c r="AC61" s="39"/>
    </row>
    <row r="62" spans="1:29" x14ac:dyDescent="0.25">
      <c r="B62"/>
      <c r="C62" s="165"/>
      <c r="X62" s="195"/>
      <c r="Y62" s="195"/>
      <c r="Z62" s="161"/>
      <c r="AA62" s="194"/>
      <c r="AB62" s="161"/>
      <c r="AC62" s="29"/>
    </row>
    <row r="63" spans="1:29" x14ac:dyDescent="0.25">
      <c r="B63"/>
      <c r="C63" s="18"/>
      <c r="X63" s="195"/>
      <c r="Y63" s="195"/>
      <c r="Z63" s="161"/>
      <c r="AA63" s="194"/>
      <c r="AB63" s="161"/>
      <c r="AC63" s="29"/>
    </row>
    <row r="64" spans="1:29" x14ac:dyDescent="0.25">
      <c r="L64" s="100"/>
      <c r="X64" s="195"/>
      <c r="Y64" s="195"/>
      <c r="Z64" s="161"/>
      <c r="AA64" s="194"/>
      <c r="AB64" s="161"/>
      <c r="AC64" s="29"/>
    </row>
    <row r="65" spans="5:29" x14ac:dyDescent="0.25">
      <c r="L65" s="100"/>
      <c r="X65" s="229"/>
      <c r="Y65" s="229"/>
      <c r="Z65" s="231"/>
      <c r="AA65" s="229"/>
      <c r="AB65" s="231"/>
      <c r="AC65" s="230"/>
    </row>
    <row r="66" spans="5:29" x14ac:dyDescent="0.25">
      <c r="L66" s="100"/>
    </row>
    <row r="67" spans="5:29" x14ac:dyDescent="0.25">
      <c r="L67" s="14"/>
      <c r="Z67" s="1" t="s">
        <v>35</v>
      </c>
      <c r="AB67" s="1" t="s">
        <v>37</v>
      </c>
      <c r="AC67" s="1" t="s">
        <v>38</v>
      </c>
    </row>
    <row r="68" spans="5:29" x14ac:dyDescent="0.25">
      <c r="Y68" s="1">
        <v>28370</v>
      </c>
      <c r="Z68" s="18">
        <v>0.303913271700822</v>
      </c>
      <c r="AA68" s="1">
        <v>64979</v>
      </c>
      <c r="AB68" s="18">
        <v>0.69608672829917839</v>
      </c>
      <c r="AC68" s="1">
        <v>54661</v>
      </c>
    </row>
    <row r="69" spans="5:29" x14ac:dyDescent="0.25">
      <c r="Y69" s="1">
        <v>29370</v>
      </c>
      <c r="Z69" s="18">
        <v>0.31478762285506051</v>
      </c>
      <c r="AA69" s="1">
        <v>64083</v>
      </c>
      <c r="AB69" s="18">
        <v>0.68684151295270146</v>
      </c>
      <c r="AC69" s="1">
        <v>54574</v>
      </c>
    </row>
    <row r="70" spans="5:29" x14ac:dyDescent="0.25">
      <c r="Y70" s="1">
        <v>28435</v>
      </c>
      <c r="Z70" s="18">
        <v>0.30528327410540779</v>
      </c>
      <c r="AA70" s="1">
        <v>64708</v>
      </c>
      <c r="AB70" s="18">
        <v>0.69471672589459221</v>
      </c>
      <c r="AC70" s="1">
        <v>54538</v>
      </c>
    </row>
    <row r="71" spans="5:29" x14ac:dyDescent="0.25">
      <c r="Y71" s="1">
        <v>28725</v>
      </c>
      <c r="AA71" s="1">
        <v>64590</v>
      </c>
      <c r="AC71" s="1">
        <v>54591</v>
      </c>
    </row>
    <row r="75" spans="5:29" x14ac:dyDescent="0.25">
      <c r="Y75" s="220" t="s">
        <v>34</v>
      </c>
      <c r="Z75" s="232">
        <v>0.30799472288709667</v>
      </c>
    </row>
    <row r="76" spans="5:29" x14ac:dyDescent="0.25">
      <c r="Y76" s="220" t="s">
        <v>36</v>
      </c>
      <c r="Z76" s="232">
        <v>0.69254832238215736</v>
      </c>
    </row>
    <row r="78" spans="5:29" x14ac:dyDescent="0.25">
      <c r="E78"/>
      <c r="F78"/>
      <c r="G78"/>
      <c r="H78"/>
      <c r="I78"/>
    </row>
    <row r="79" spans="5:29" x14ac:dyDescent="0.25">
      <c r="E79"/>
      <c r="F79"/>
      <c r="G79"/>
      <c r="H79"/>
      <c r="I79"/>
    </row>
    <row r="80" spans="5:29" x14ac:dyDescent="0.25">
      <c r="E80"/>
      <c r="F80"/>
      <c r="G80"/>
      <c r="H80"/>
      <c r="I80"/>
    </row>
    <row r="81" spans="5:9" x14ac:dyDescent="0.25">
      <c r="E81"/>
      <c r="F81"/>
      <c r="G81"/>
      <c r="H81"/>
      <c r="I81"/>
    </row>
    <row r="82" spans="5:9" x14ac:dyDescent="0.25">
      <c r="E82"/>
      <c r="F82"/>
      <c r="G82"/>
      <c r="H82"/>
      <c r="I82"/>
    </row>
    <row r="83" spans="5:9" x14ac:dyDescent="0.25">
      <c r="E83"/>
      <c r="F83"/>
      <c r="G83"/>
      <c r="H83"/>
      <c r="I83"/>
    </row>
    <row r="84" spans="5:9" x14ac:dyDescent="0.25">
      <c r="E84"/>
      <c r="F84"/>
      <c r="G84"/>
      <c r="H84"/>
      <c r="I84"/>
    </row>
    <row r="85" spans="5:9" x14ac:dyDescent="0.25">
      <c r="E85"/>
      <c r="F85"/>
      <c r="G85"/>
      <c r="H85"/>
      <c r="I85"/>
    </row>
    <row r="86" spans="5:9" x14ac:dyDescent="0.25">
      <c r="E86"/>
      <c r="F86"/>
      <c r="G86"/>
      <c r="H86"/>
      <c r="I86"/>
    </row>
    <row r="87" spans="5:9" x14ac:dyDescent="0.25">
      <c r="E87"/>
      <c r="F87"/>
      <c r="G87"/>
      <c r="H87"/>
      <c r="I87"/>
    </row>
  </sheetData>
  <sortState xmlns:xlrd2="http://schemas.microsoft.com/office/spreadsheetml/2017/richdata2" ref="I11:L12">
    <sortCondition ref="I10:I12"/>
  </sortState>
  <mergeCells count="5">
    <mergeCell ref="A3:F3"/>
    <mergeCell ref="A4:F4"/>
    <mergeCell ref="A6:F6"/>
    <mergeCell ref="A2:F2"/>
    <mergeCell ref="A5:F5"/>
  </mergeCells>
  <pageMargins left="0.7" right="0.7" top="0.75" bottom="0.75" header="0.3" footer="0.3"/>
  <pageSetup paperSize="9" scale="38" orientation="portrait" r:id="rId1"/>
  <ignoredErrors>
    <ignoredError sqref="B11:C11 G11" unlockedFormula="1"/>
    <ignoredError sqref="D11:F11" formula="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50"/>
  <sheetViews>
    <sheetView showGridLines="0" topLeftCell="B6" zoomScale="115" zoomScaleNormal="115" workbookViewId="0">
      <selection activeCell="M38" sqref="M38"/>
    </sheetView>
  </sheetViews>
  <sheetFormatPr baseColWidth="10" defaultColWidth="11.42578125" defaultRowHeight="15" x14ac:dyDescent="0.25"/>
  <cols>
    <col min="1" max="1" width="12.42578125" style="1" customWidth="1"/>
    <col min="2" max="2" width="14.42578125" style="1" customWidth="1"/>
    <col min="3" max="3" width="15.28515625" style="1" bestFit="1" customWidth="1"/>
    <col min="4" max="4" width="16.42578125" style="1" bestFit="1" customWidth="1"/>
    <col min="5" max="6" width="13.28515625" style="1" bestFit="1" customWidth="1"/>
    <col min="7" max="10" width="11.42578125" style="1"/>
    <col min="11" max="11" width="15" style="1" customWidth="1"/>
    <col min="12" max="12" width="6.85546875" style="1" customWidth="1"/>
    <col min="13" max="13" width="10.7109375" style="1" customWidth="1"/>
    <col min="14" max="14" width="10.140625" style="1" customWidth="1"/>
    <col min="15" max="15" width="24.85546875" style="1" customWidth="1"/>
    <col min="16" max="16384" width="11.42578125" style="1"/>
  </cols>
  <sheetData>
    <row r="1" spans="1:15" x14ac:dyDescent="0.25">
      <c r="A1" s="538" t="s">
        <v>0</v>
      </c>
      <c r="B1" s="538"/>
      <c r="C1" s="538"/>
      <c r="D1" s="538"/>
      <c r="E1" s="538"/>
      <c r="F1" s="538"/>
    </row>
    <row r="2" spans="1:15" x14ac:dyDescent="0.25">
      <c r="A2" s="538" t="s">
        <v>31</v>
      </c>
      <c r="B2" s="538"/>
      <c r="C2" s="538"/>
      <c r="D2" s="538"/>
      <c r="E2" s="538"/>
      <c r="F2" s="538"/>
    </row>
    <row r="3" spans="1:15" x14ac:dyDescent="0.25">
      <c r="A3" s="538" t="s">
        <v>48</v>
      </c>
      <c r="B3" s="538"/>
      <c r="C3" s="538"/>
      <c r="D3" s="538"/>
      <c r="E3" s="538"/>
      <c r="F3" s="538"/>
    </row>
    <row r="4" spans="1:15" x14ac:dyDescent="0.25">
      <c r="A4" s="538" t="s">
        <v>3</v>
      </c>
      <c r="B4" s="538"/>
      <c r="C4" s="538"/>
      <c r="D4" s="538"/>
      <c r="E4" s="538"/>
      <c r="F4" s="538"/>
    </row>
    <row r="5" spans="1:15" x14ac:dyDescent="0.25">
      <c r="A5" s="538" t="s">
        <v>4</v>
      </c>
      <c r="B5" s="538"/>
      <c r="C5" s="538"/>
      <c r="D5" s="538"/>
      <c r="E5" s="538"/>
      <c r="F5" s="538"/>
    </row>
    <row r="6" spans="1:15" ht="30.75" customHeight="1" x14ac:dyDescent="0.25">
      <c r="A6" s="537" t="s">
        <v>49</v>
      </c>
      <c r="B6" s="537"/>
      <c r="C6" s="537"/>
      <c r="D6" s="537"/>
      <c r="E6" s="537"/>
      <c r="F6" s="537"/>
      <c r="G6"/>
      <c r="H6"/>
      <c r="I6"/>
      <c r="J6"/>
      <c r="K6"/>
    </row>
    <row r="7" spans="1:15" ht="15" customHeight="1" x14ac:dyDescent="0.25">
      <c r="A7" s="112"/>
      <c r="B7" s="113" t="s">
        <v>50</v>
      </c>
      <c r="C7" s="113" t="s">
        <v>51</v>
      </c>
      <c r="D7" s="113" t="s">
        <v>29</v>
      </c>
      <c r="E7" s="113" t="s">
        <v>52</v>
      </c>
      <c r="F7" s="113" t="s">
        <v>53</v>
      </c>
      <c r="G7"/>
      <c r="H7"/>
      <c r="I7"/>
      <c r="J7"/>
      <c r="K7"/>
      <c r="L7" s="18"/>
      <c r="M7" s="18"/>
      <c r="N7" s="18"/>
    </row>
    <row r="8" spans="1:15" ht="14.25" customHeight="1" x14ac:dyDescent="0.25">
      <c r="A8" s="164" t="s">
        <v>13</v>
      </c>
      <c r="B8" s="462">
        <v>19411.650000000001</v>
      </c>
      <c r="C8" s="462">
        <v>4553.3500000000004</v>
      </c>
      <c r="D8" s="462">
        <f>B8+C8</f>
        <v>23965</v>
      </c>
      <c r="E8" s="463">
        <f t="shared" ref="E8:E14" si="0">B8/D8</f>
        <v>0.81</v>
      </c>
      <c r="F8" s="463">
        <f t="shared" ref="F8:F14" si="1">+C8/D8</f>
        <v>0.19</v>
      </c>
      <c r="G8"/>
      <c r="H8"/>
      <c r="I8"/>
      <c r="J8"/>
      <c r="K8"/>
      <c r="L8" s="18"/>
      <c r="M8" s="18"/>
      <c r="N8" s="18"/>
    </row>
    <row r="9" spans="1:15" ht="14.25" customHeight="1" x14ac:dyDescent="0.25">
      <c r="A9" s="164" t="s">
        <v>14</v>
      </c>
      <c r="B9" s="462">
        <v>19269.900000000001</v>
      </c>
      <c r="C9" s="462">
        <v>4520.1000000000004</v>
      </c>
      <c r="D9" s="462">
        <f>B9+C9</f>
        <v>23790</v>
      </c>
      <c r="E9" s="463">
        <f t="shared" si="0"/>
        <v>0.81</v>
      </c>
      <c r="F9" s="463">
        <f t="shared" si="1"/>
        <v>0.19</v>
      </c>
      <c r="G9" s="127"/>
      <c r="H9"/>
      <c r="I9"/>
      <c r="J9"/>
      <c r="K9"/>
      <c r="L9" s="18"/>
      <c r="M9" s="18"/>
      <c r="N9" s="18"/>
    </row>
    <row r="10" spans="1:15" ht="14.25" customHeight="1" x14ac:dyDescent="0.25">
      <c r="A10" s="164" t="s">
        <v>15</v>
      </c>
      <c r="B10" s="462">
        <v>19119.240000000002</v>
      </c>
      <c r="C10" s="462">
        <v>4484.76</v>
      </c>
      <c r="D10" s="462">
        <f>B10+C10</f>
        <v>23604</v>
      </c>
      <c r="E10" s="463">
        <f t="shared" si="0"/>
        <v>0.81</v>
      </c>
      <c r="F10" s="463">
        <f t="shared" si="1"/>
        <v>0.19</v>
      </c>
      <c r="G10"/>
      <c r="H10"/>
      <c r="I10"/>
      <c r="J10"/>
      <c r="K10"/>
    </row>
    <row r="11" spans="1:15" ht="21.75" customHeight="1" x14ac:dyDescent="0.25">
      <c r="A11" s="289" t="s">
        <v>40</v>
      </c>
      <c r="B11" s="464">
        <f>AVERAGE(B8:B10)</f>
        <v>19266.930000000004</v>
      </c>
      <c r="C11" s="464">
        <f>AVERAGE(C8:C10)</f>
        <v>4519.4033333333336</v>
      </c>
      <c r="D11" s="464">
        <f>AVERAGE(D8:D10)</f>
        <v>23786.333333333332</v>
      </c>
      <c r="E11" s="465">
        <f t="shared" si="0"/>
        <v>0.81000000000000016</v>
      </c>
      <c r="F11" s="466">
        <f t="shared" si="1"/>
        <v>0.19000000000000003</v>
      </c>
      <c r="G11"/>
      <c r="H11"/>
      <c r="I11"/>
      <c r="J11"/>
      <c r="K11"/>
    </row>
    <row r="12" spans="1:15" hidden="1" x14ac:dyDescent="0.25">
      <c r="A12" s="164" t="s">
        <v>17</v>
      </c>
      <c r="B12" s="149">
        <v>24095</v>
      </c>
      <c r="C12" s="149">
        <v>5652</v>
      </c>
      <c r="D12" s="149">
        <f>+B12+C12</f>
        <v>29747</v>
      </c>
      <c r="E12" s="20">
        <f t="shared" si="0"/>
        <v>0.80999764682152819</v>
      </c>
      <c r="F12" s="20">
        <f t="shared" si="1"/>
        <v>0.19000235317847178</v>
      </c>
      <c r="G12"/>
      <c r="H12"/>
      <c r="I12"/>
      <c r="J12"/>
      <c r="K12"/>
      <c r="L12" s="14"/>
    </row>
    <row r="13" spans="1:15" hidden="1" x14ac:dyDescent="0.25">
      <c r="A13" s="164" t="s">
        <v>18</v>
      </c>
      <c r="B13" s="149">
        <v>23262</v>
      </c>
      <c r="C13" s="149">
        <v>5457</v>
      </c>
      <c r="D13" s="149">
        <f t="shared" ref="D13:D26" si="2">+B13+C13</f>
        <v>28719</v>
      </c>
      <c r="E13" s="20">
        <f t="shared" si="0"/>
        <v>0.80998642013997701</v>
      </c>
      <c r="F13" s="20">
        <f t="shared" si="1"/>
        <v>0.19001357986002299</v>
      </c>
      <c r="G13"/>
      <c r="H13"/>
      <c r="I13"/>
      <c r="J13"/>
      <c r="K13"/>
      <c r="L13" s="14"/>
      <c r="O13" s="14"/>
    </row>
    <row r="14" spans="1:15" hidden="1" x14ac:dyDescent="0.25">
      <c r="A14" s="164" t="s">
        <v>19</v>
      </c>
      <c r="B14" s="149">
        <v>23232</v>
      </c>
      <c r="C14" s="149">
        <v>5450</v>
      </c>
      <c r="D14" s="149">
        <f>+B14+C14</f>
        <v>28682</v>
      </c>
      <c r="E14" s="20">
        <f t="shared" si="0"/>
        <v>0.80998535666968829</v>
      </c>
      <c r="F14" s="20">
        <f t="shared" si="1"/>
        <v>0.19001464333031171</v>
      </c>
      <c r="G14"/>
      <c r="H14"/>
      <c r="I14"/>
      <c r="J14"/>
      <c r="K14"/>
      <c r="L14" s="14"/>
      <c r="O14" s="14"/>
    </row>
    <row r="15" spans="1:15" ht="25.5" hidden="1" x14ac:dyDescent="0.25">
      <c r="A15" s="110" t="s">
        <v>54</v>
      </c>
      <c r="B15" s="203">
        <f>AVERAGE(B12:B14)</f>
        <v>23529.666666666668</v>
      </c>
      <c r="C15" s="203">
        <f>AVERAGE(C12:C14)</f>
        <v>5519.666666666667</v>
      </c>
      <c r="D15" s="203">
        <f>AVERAGE(D12:D14)</f>
        <v>29049.333333333332</v>
      </c>
      <c r="E15" s="204">
        <f>+AVERAGE(E12:E14)</f>
        <v>0.80998980787706454</v>
      </c>
      <c r="F15" s="204">
        <f>+AVERAGE(F12:F14)</f>
        <v>0.19001019212293549</v>
      </c>
      <c r="G15"/>
      <c r="H15"/>
      <c r="I15"/>
      <c r="J15"/>
      <c r="K15"/>
      <c r="L15" s="14"/>
      <c r="M15" s="65"/>
      <c r="O15" s="14"/>
    </row>
    <row r="16" spans="1:15" hidden="1" x14ac:dyDescent="0.25">
      <c r="A16" s="47" t="s">
        <v>15</v>
      </c>
      <c r="B16" s="109"/>
      <c r="C16" s="109"/>
      <c r="D16" s="19">
        <f>+B16+C16</f>
        <v>0</v>
      </c>
      <c r="E16" s="20" t="e">
        <f>+B16/D16</f>
        <v>#DIV/0!</v>
      </c>
      <c r="F16" s="20" t="e">
        <f>+C16/D16</f>
        <v>#DIV/0!</v>
      </c>
      <c r="G16"/>
      <c r="H16"/>
      <c r="I16"/>
      <c r="J16"/>
      <c r="K16"/>
    </row>
    <row r="17" spans="1:11" hidden="1" x14ac:dyDescent="0.25">
      <c r="A17" s="47" t="s">
        <v>14</v>
      </c>
      <c r="B17" s="109"/>
      <c r="C17" s="109"/>
      <c r="D17" s="19">
        <f t="shared" si="2"/>
        <v>0</v>
      </c>
      <c r="E17" s="20" t="e">
        <f>+B17/D17</f>
        <v>#DIV/0!</v>
      </c>
      <c r="F17" s="20" t="e">
        <f>+C17/D17</f>
        <v>#DIV/0!</v>
      </c>
      <c r="G17"/>
      <c r="H17"/>
      <c r="I17"/>
      <c r="J17"/>
      <c r="K17"/>
    </row>
    <row r="18" spans="1:11" hidden="1" x14ac:dyDescent="0.25">
      <c r="A18" s="47" t="s">
        <v>13</v>
      </c>
      <c r="B18" s="109"/>
      <c r="C18" s="109"/>
      <c r="D18" s="19">
        <f t="shared" si="2"/>
        <v>0</v>
      </c>
      <c r="E18" s="20" t="e">
        <f>+B18/D18</f>
        <v>#DIV/0!</v>
      </c>
      <c r="F18" s="20" t="e">
        <f>+C18/D18</f>
        <v>#DIV/0!</v>
      </c>
      <c r="G18"/>
      <c r="H18"/>
      <c r="I18"/>
      <c r="J18"/>
      <c r="K18"/>
    </row>
    <row r="19" spans="1:11" ht="25.5" hidden="1" x14ac:dyDescent="0.25">
      <c r="A19" s="110" t="s">
        <v>40</v>
      </c>
      <c r="B19" s="8" t="e">
        <f>AVERAGE(B16:B18)</f>
        <v>#DIV/0!</v>
      </c>
      <c r="C19" s="8" t="e">
        <f>AVERAGE(C16:C18)</f>
        <v>#DIV/0!</v>
      </c>
      <c r="D19" s="8">
        <f>AVERAGE(D16:D18)</f>
        <v>0</v>
      </c>
      <c r="E19" s="16" t="e">
        <f>+AVERAGE(E16:E18)</f>
        <v>#DIV/0!</v>
      </c>
      <c r="F19" s="16" t="e">
        <f>+AVERAGE(F16:F18)</f>
        <v>#DIV/0!</v>
      </c>
      <c r="G19"/>
      <c r="H19"/>
      <c r="I19"/>
      <c r="J19"/>
      <c r="K19"/>
    </row>
    <row r="20" spans="1:11" hidden="1" x14ac:dyDescent="0.25">
      <c r="A20" s="47" t="s">
        <v>42</v>
      </c>
      <c r="B20" s="109"/>
      <c r="C20" s="109"/>
      <c r="D20" s="19">
        <f t="shared" si="2"/>
        <v>0</v>
      </c>
      <c r="E20" s="20" t="e">
        <f>+B20/D20</f>
        <v>#DIV/0!</v>
      </c>
      <c r="F20" s="20" t="e">
        <f>+C20/D20</f>
        <v>#DIV/0!</v>
      </c>
      <c r="G20"/>
      <c r="H20"/>
      <c r="I20"/>
      <c r="J20"/>
      <c r="K20"/>
    </row>
    <row r="21" spans="1:11" hidden="1" x14ac:dyDescent="0.25">
      <c r="A21" s="47" t="s">
        <v>22</v>
      </c>
      <c r="B21" s="109"/>
      <c r="C21" s="109"/>
      <c r="D21" s="19">
        <f t="shared" si="2"/>
        <v>0</v>
      </c>
      <c r="E21" s="20" t="e">
        <f>+B21/D21</f>
        <v>#DIV/0!</v>
      </c>
      <c r="F21" s="20" t="e">
        <f>+C21/D21</f>
        <v>#DIV/0!</v>
      </c>
      <c r="G21"/>
      <c r="H21"/>
      <c r="I21"/>
      <c r="J21"/>
      <c r="K21"/>
    </row>
    <row r="22" spans="1:11" hidden="1" x14ac:dyDescent="0.25">
      <c r="A22" s="47" t="s">
        <v>23</v>
      </c>
      <c r="B22" s="109"/>
      <c r="C22" s="109"/>
      <c r="D22" s="19">
        <f t="shared" si="2"/>
        <v>0</v>
      </c>
      <c r="E22" s="20" t="e">
        <f>+B22/D22</f>
        <v>#DIV/0!</v>
      </c>
      <c r="F22" s="20" t="e">
        <f>+C22/D22</f>
        <v>#DIV/0!</v>
      </c>
      <c r="G22"/>
      <c r="H22"/>
      <c r="I22"/>
      <c r="J22"/>
      <c r="K22"/>
    </row>
    <row r="23" spans="1:11" ht="25.5" hidden="1" x14ac:dyDescent="0.25">
      <c r="A23" s="110" t="s">
        <v>43</v>
      </c>
      <c r="B23" s="8" t="e">
        <f>AVERAGE(B20:B22)</f>
        <v>#DIV/0!</v>
      </c>
      <c r="C23" s="8" t="e">
        <f>AVERAGE(C20:C22)</f>
        <v>#DIV/0!</v>
      </c>
      <c r="D23" s="8">
        <f>AVERAGE(D20:D22)</f>
        <v>0</v>
      </c>
      <c r="E23" s="16" t="e">
        <f>+AVERAGE(E20:E22)</f>
        <v>#DIV/0!</v>
      </c>
      <c r="F23" s="16" t="e">
        <f>+AVERAGE(F20:F22)</f>
        <v>#DIV/0!</v>
      </c>
      <c r="G23"/>
      <c r="H23"/>
      <c r="I23"/>
      <c r="J23"/>
      <c r="K23"/>
    </row>
    <row r="24" spans="1:11" hidden="1" x14ac:dyDescent="0.25">
      <c r="A24" s="47" t="s">
        <v>25</v>
      </c>
      <c r="B24" s="109"/>
      <c r="C24" s="109"/>
      <c r="D24" s="19">
        <f t="shared" si="2"/>
        <v>0</v>
      </c>
      <c r="E24" s="20" t="e">
        <f>+B24/D24</f>
        <v>#DIV/0!</v>
      </c>
      <c r="F24" s="20" t="e">
        <f>+C24/D24</f>
        <v>#DIV/0!</v>
      </c>
      <c r="G24"/>
      <c r="H24"/>
      <c r="I24"/>
      <c r="J24"/>
      <c r="K24"/>
    </row>
    <row r="25" spans="1:11" hidden="1" x14ac:dyDescent="0.25">
      <c r="A25" s="47" t="s">
        <v>26</v>
      </c>
      <c r="B25" s="109"/>
      <c r="C25" s="109"/>
      <c r="D25" s="19">
        <f t="shared" si="2"/>
        <v>0</v>
      </c>
      <c r="E25" s="20" t="e">
        <f>+B25/D25</f>
        <v>#DIV/0!</v>
      </c>
      <c r="F25" s="20" t="e">
        <f>+C25/D25</f>
        <v>#DIV/0!</v>
      </c>
      <c r="G25"/>
      <c r="H25"/>
      <c r="I25"/>
      <c r="J25"/>
      <c r="K25"/>
    </row>
    <row r="26" spans="1:11" hidden="1" x14ac:dyDescent="0.25">
      <c r="A26" s="47" t="s">
        <v>27</v>
      </c>
      <c r="B26" s="109"/>
      <c r="C26" s="109"/>
      <c r="D26" s="19">
        <f t="shared" si="2"/>
        <v>0</v>
      </c>
      <c r="E26" s="20" t="e">
        <f>+B26/D26</f>
        <v>#DIV/0!</v>
      </c>
      <c r="F26" s="20" t="e">
        <f>+C26/D26</f>
        <v>#DIV/0!</v>
      </c>
      <c r="G26"/>
      <c r="H26"/>
      <c r="I26" s="64"/>
      <c r="J26" s="64"/>
      <c r="K26" s="64"/>
    </row>
    <row r="27" spans="1:11" ht="25.5" hidden="1" x14ac:dyDescent="0.25">
      <c r="A27" s="110" t="s">
        <v>44</v>
      </c>
      <c r="B27" s="8" t="e">
        <f t="shared" ref="B27:D28" si="3">AVERAGE(B24:B26)</f>
        <v>#DIV/0!</v>
      </c>
      <c r="C27" s="8" t="e">
        <f t="shared" si="3"/>
        <v>#DIV/0!</v>
      </c>
      <c r="D27" s="8">
        <f t="shared" si="3"/>
        <v>0</v>
      </c>
      <c r="E27" s="16" t="e">
        <f>+AVERAGE(E24:E26)</f>
        <v>#DIV/0!</v>
      </c>
      <c r="F27" s="16" t="e">
        <f>+AVERAGE(F24:F26)</f>
        <v>#DIV/0!</v>
      </c>
      <c r="G27"/>
      <c r="H27"/>
      <c r="I27"/>
      <c r="J27"/>
      <c r="K27"/>
    </row>
    <row r="28" spans="1:11" hidden="1" x14ac:dyDescent="0.25">
      <c r="A28" s="25" t="s">
        <v>29</v>
      </c>
      <c r="B28" s="10" t="e">
        <f t="shared" si="3"/>
        <v>#DIV/0!</v>
      </c>
      <c r="C28" s="10" t="e">
        <f t="shared" si="3"/>
        <v>#DIV/0!</v>
      </c>
      <c r="D28" s="17">
        <f t="shared" si="3"/>
        <v>0</v>
      </c>
      <c r="E28" s="10" t="e">
        <f>+AVERAGE(E25:E27)</f>
        <v>#DIV/0!</v>
      </c>
      <c r="F28" s="17" t="e">
        <f>+AVERAGE(F25:F27)</f>
        <v>#DIV/0!</v>
      </c>
      <c r="G28"/>
      <c r="H28"/>
      <c r="I28"/>
      <c r="J28" s="100">
        <v>24095</v>
      </c>
      <c r="K28"/>
    </row>
    <row r="29" spans="1:11" x14ac:dyDescent="0.25">
      <c r="A29" s="170" t="s">
        <v>55</v>
      </c>
      <c r="B29"/>
      <c r="C29"/>
      <c r="D29"/>
      <c r="E29"/>
      <c r="F29"/>
      <c r="G29"/>
      <c r="H29"/>
      <c r="I29" s="18"/>
    </row>
    <row r="30" spans="1:11" x14ac:dyDescent="0.25">
      <c r="A30" s="362" t="s">
        <v>56</v>
      </c>
      <c r="B30"/>
      <c r="C30"/>
      <c r="D30"/>
      <c r="E30"/>
      <c r="F30"/>
      <c r="G30"/>
      <c r="H30"/>
      <c r="J30" s="267"/>
    </row>
    <row r="31" spans="1:11" x14ac:dyDescent="0.25">
      <c r="A31" s="362"/>
      <c r="B31"/>
      <c r="C31"/>
      <c r="D31"/>
      <c r="E31"/>
      <c r="F31"/>
      <c r="G31"/>
      <c r="H31"/>
      <c r="J31" s="267"/>
    </row>
    <row r="32" spans="1:11" x14ac:dyDescent="0.25">
      <c r="A32"/>
      <c r="B32"/>
      <c r="C32"/>
      <c r="D32"/>
      <c r="E32"/>
      <c r="F32"/>
      <c r="G32"/>
      <c r="H32"/>
      <c r="J32" s="267"/>
    </row>
    <row r="33" spans="1:15" x14ac:dyDescent="0.25">
      <c r="A33"/>
      <c r="B33"/>
      <c r="C33"/>
      <c r="D33"/>
      <c r="E33"/>
      <c r="F33"/>
      <c r="G33"/>
      <c r="H33"/>
      <c r="J33" s="268"/>
    </row>
    <row r="34" spans="1:15" x14ac:dyDescent="0.25">
      <c r="A34"/>
      <c r="B34"/>
      <c r="C34"/>
      <c r="D34"/>
      <c r="E34"/>
      <c r="F34"/>
      <c r="G34"/>
      <c r="H34"/>
      <c r="I34"/>
      <c r="J34"/>
      <c r="K34"/>
      <c r="M34" s="269"/>
    </row>
    <row r="35" spans="1:15" x14ac:dyDescent="0.25">
      <c r="A35"/>
      <c r="B35"/>
      <c r="C35"/>
      <c r="D35"/>
      <c r="E35"/>
      <c r="F35"/>
      <c r="G35"/>
      <c r="H35"/>
      <c r="I35"/>
      <c r="J35"/>
      <c r="K35"/>
    </row>
    <row r="36" spans="1:15" x14ac:dyDescent="0.25">
      <c r="A36"/>
      <c r="B36"/>
      <c r="C36"/>
      <c r="D36"/>
      <c r="E36"/>
      <c r="F36"/>
      <c r="G36"/>
      <c r="H36"/>
      <c r="I36"/>
      <c r="J36"/>
      <c r="K36"/>
    </row>
    <row r="37" spans="1:15" x14ac:dyDescent="0.25">
      <c r="A37"/>
      <c r="B37"/>
      <c r="C37"/>
      <c r="D37"/>
      <c r="E37"/>
      <c r="F37"/>
      <c r="G37"/>
      <c r="H37"/>
      <c r="I37"/>
      <c r="J37" s="47"/>
      <c r="K37" s="149"/>
    </row>
    <row r="38" spans="1:15" x14ac:dyDescent="0.25">
      <c r="A38"/>
      <c r="B38"/>
      <c r="C38"/>
      <c r="D38"/>
      <c r="E38"/>
      <c r="F38"/>
      <c r="G38"/>
      <c r="H38"/>
      <c r="I38"/>
      <c r="J38" s="47"/>
      <c r="K38" s="149"/>
    </row>
    <row r="39" spans="1:15" x14ac:dyDescent="0.25">
      <c r="A39"/>
      <c r="B39"/>
      <c r="C39"/>
      <c r="D39"/>
      <c r="E39"/>
      <c r="F39"/>
      <c r="G39"/>
      <c r="H39"/>
      <c r="I39"/>
      <c r="J39" s="47"/>
      <c r="K39" s="149"/>
      <c r="L39" s="149"/>
      <c r="M39" s="19"/>
      <c r="N39" s="20"/>
      <c r="O39" s="20"/>
    </row>
    <row r="40" spans="1:15" x14ac:dyDescent="0.25">
      <c r="A40"/>
      <c r="B40"/>
      <c r="C40"/>
      <c r="D40"/>
      <c r="E40"/>
      <c r="F40"/>
      <c r="G40"/>
      <c r="H40"/>
      <c r="I40"/>
      <c r="J40"/>
      <c r="K40"/>
      <c r="L40" s="149"/>
      <c r="M40" s="19"/>
      <c r="N40" s="20"/>
      <c r="O40" s="20"/>
    </row>
    <row r="41" spans="1:15" x14ac:dyDescent="0.25">
      <c r="A41"/>
      <c r="B41"/>
      <c r="C41"/>
      <c r="D41"/>
      <c r="E41"/>
      <c r="F41"/>
      <c r="G41"/>
      <c r="H41"/>
      <c r="I41"/>
      <c r="J41"/>
      <c r="K41"/>
      <c r="L41" s="149"/>
      <c r="M41" s="19"/>
      <c r="N41" s="20"/>
      <c r="O41" s="20"/>
    </row>
    <row r="42" spans="1:15" x14ac:dyDescent="0.25">
      <c r="A42"/>
      <c r="B42"/>
      <c r="C42"/>
      <c r="D42"/>
      <c r="E42"/>
      <c r="F42"/>
      <c r="G42"/>
    </row>
    <row r="43" spans="1:15" x14ac:dyDescent="0.25">
      <c r="A43"/>
      <c r="B43"/>
      <c r="C43"/>
      <c r="D43"/>
      <c r="E43"/>
      <c r="F43"/>
      <c r="G43"/>
    </row>
    <row r="49" spans="1:6" x14ac:dyDescent="0.25">
      <c r="A49" s="47"/>
      <c r="B49" s="109"/>
      <c r="C49" s="109"/>
      <c r="D49" s="19"/>
      <c r="E49" s="20"/>
      <c r="F49" s="20"/>
    </row>
    <row r="50" spans="1:6" x14ac:dyDescent="0.25">
      <c r="A50" s="47"/>
      <c r="B50" s="109"/>
      <c r="C50" s="109"/>
      <c r="D50" s="19"/>
      <c r="E50" s="20"/>
      <c r="F50" s="20"/>
    </row>
  </sheetData>
  <mergeCells count="6">
    <mergeCell ref="A6:F6"/>
    <mergeCell ref="A1:F1"/>
    <mergeCell ref="A2:F2"/>
    <mergeCell ref="A3:F3"/>
    <mergeCell ref="A5:F5"/>
    <mergeCell ref="A4:F4"/>
  </mergeCells>
  <pageMargins left="0.7" right="0.7" top="0.75" bottom="0.75" header="0.3" footer="0.3"/>
  <pageSetup paperSize="9" scale="65" orientation="portrait" r:id="rId1"/>
  <ignoredErrors>
    <ignoredError sqref="F15 D1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K45"/>
  <sheetViews>
    <sheetView showGridLines="0" zoomScale="115" zoomScaleNormal="115" workbookViewId="0">
      <selection activeCell="K30" sqref="K30"/>
    </sheetView>
  </sheetViews>
  <sheetFormatPr baseColWidth="10" defaultColWidth="11.42578125" defaultRowHeight="15" x14ac:dyDescent="0.25"/>
  <cols>
    <col min="1" max="1" width="11.7109375" style="1" customWidth="1"/>
    <col min="2" max="2" width="16.5703125" style="1" customWidth="1"/>
    <col min="3" max="3" width="19.7109375" style="1" customWidth="1"/>
    <col min="4" max="4" width="20" style="1" customWidth="1"/>
    <col min="5" max="16384" width="11.42578125" style="1"/>
  </cols>
  <sheetData>
    <row r="1" spans="1:11" x14ac:dyDescent="0.25">
      <c r="A1" s="538" t="s">
        <v>0</v>
      </c>
      <c r="B1" s="538"/>
      <c r="C1" s="538"/>
      <c r="D1" s="538"/>
      <c r="E1" s="21"/>
      <c r="F1" s="21"/>
    </row>
    <row r="2" spans="1:11" x14ac:dyDescent="0.25">
      <c r="A2" s="538" t="s">
        <v>31</v>
      </c>
      <c r="B2" s="538"/>
      <c r="C2" s="538"/>
      <c r="D2" s="538"/>
      <c r="E2" s="22"/>
      <c r="F2" s="22"/>
    </row>
    <row r="3" spans="1:11" x14ac:dyDescent="0.25">
      <c r="A3" s="538" t="s">
        <v>57</v>
      </c>
      <c r="B3" s="538"/>
      <c r="C3" s="538"/>
      <c r="D3" s="538"/>
      <c r="E3" s="22"/>
      <c r="F3" s="22"/>
    </row>
    <row r="4" spans="1:11" x14ac:dyDescent="0.25">
      <c r="A4" s="538" t="s">
        <v>3</v>
      </c>
      <c r="B4" s="538"/>
      <c r="C4" s="538"/>
      <c r="D4" s="538"/>
      <c r="E4" s="21"/>
      <c r="F4" s="21"/>
    </row>
    <row r="5" spans="1:11" x14ac:dyDescent="0.25">
      <c r="A5" s="538" t="s">
        <v>4</v>
      </c>
      <c r="B5" s="538"/>
      <c r="C5" s="538"/>
      <c r="D5" s="538"/>
      <c r="E5" s="22"/>
      <c r="F5" s="22"/>
    </row>
    <row r="6" spans="1:11" x14ac:dyDescent="0.25">
      <c r="A6" s="537" t="s">
        <v>58</v>
      </c>
      <c r="B6" s="537"/>
      <c r="C6" s="537"/>
      <c r="D6" s="537"/>
      <c r="E6"/>
      <c r="F6"/>
      <c r="G6"/>
      <c r="H6"/>
      <c r="I6"/>
      <c r="J6"/>
      <c r="K6"/>
    </row>
    <row r="7" spans="1:11" ht="13.5" customHeight="1" x14ac:dyDescent="0.25">
      <c r="A7" s="112"/>
      <c r="B7" s="99" t="s">
        <v>59</v>
      </c>
      <c r="C7" s="113" t="s">
        <v>60</v>
      </c>
      <c r="D7" s="113" t="s">
        <v>61</v>
      </c>
      <c r="E7"/>
      <c r="F7"/>
      <c r="J7"/>
      <c r="K7"/>
    </row>
    <row r="8" spans="1:11" x14ac:dyDescent="0.25">
      <c r="A8" s="76" t="s">
        <v>13</v>
      </c>
      <c r="B8" s="400">
        <v>79587061.920000002</v>
      </c>
      <c r="C8" s="400">
        <v>18668570.079999998</v>
      </c>
      <c r="D8" s="401">
        <f t="shared" ref="D8:D14" si="0">+B8+C8</f>
        <v>98255632</v>
      </c>
      <c r="E8"/>
      <c r="F8"/>
      <c r="J8"/>
      <c r="K8"/>
    </row>
    <row r="9" spans="1:11" x14ac:dyDescent="0.25">
      <c r="A9" s="76" t="s">
        <v>14</v>
      </c>
      <c r="B9" s="400">
        <v>82189475.030000001</v>
      </c>
      <c r="C9" s="400">
        <v>19279012.66</v>
      </c>
      <c r="D9" s="401">
        <f t="shared" si="0"/>
        <v>101468487.69</v>
      </c>
      <c r="E9"/>
      <c r="F9"/>
      <c r="J9"/>
      <c r="K9"/>
    </row>
    <row r="10" spans="1:11" x14ac:dyDescent="0.25">
      <c r="A10" s="76" t="s">
        <v>15</v>
      </c>
      <c r="B10" s="400">
        <v>78921073.278000027</v>
      </c>
      <c r="C10" s="400">
        <v>18512350.522</v>
      </c>
      <c r="D10" s="401">
        <f t="shared" si="0"/>
        <v>97433423.800000027</v>
      </c>
      <c r="E10"/>
      <c r="F10"/>
      <c r="G10"/>
      <c r="H10"/>
      <c r="I10"/>
      <c r="J10"/>
      <c r="K10"/>
    </row>
    <row r="11" spans="1:11" x14ac:dyDescent="0.25">
      <c r="A11" s="206" t="s">
        <v>16</v>
      </c>
      <c r="B11" s="390">
        <f>SUM(B8:B10)</f>
        <v>240697610.22800002</v>
      </c>
      <c r="C11" s="390">
        <f>SUM(C8:C10)</f>
        <v>56459933.261999995</v>
      </c>
      <c r="D11" s="390">
        <f t="shared" si="0"/>
        <v>297157543.49000001</v>
      </c>
      <c r="E11"/>
      <c r="F11"/>
      <c r="G11"/>
      <c r="H11"/>
      <c r="I11"/>
      <c r="J11"/>
      <c r="K11"/>
    </row>
    <row r="12" spans="1:11" hidden="1" x14ac:dyDescent="0.25">
      <c r="A12" s="60" t="s">
        <v>17</v>
      </c>
      <c r="B12" s="167">
        <v>95864876.870000005</v>
      </c>
      <c r="C12" s="167">
        <v>13072483.210000001</v>
      </c>
      <c r="D12" s="41">
        <f t="shared" si="0"/>
        <v>108937360.08000001</v>
      </c>
      <c r="E12"/>
      <c r="F12" s="115"/>
      <c r="G12" s="115"/>
      <c r="H12"/>
      <c r="I12"/>
      <c r="J12"/>
      <c r="K12"/>
    </row>
    <row r="13" spans="1:11" hidden="1" x14ac:dyDescent="0.25">
      <c r="A13" s="60" t="s">
        <v>18</v>
      </c>
      <c r="B13" s="167">
        <v>89437997.010000005</v>
      </c>
      <c r="C13" s="167">
        <v>12196090.5</v>
      </c>
      <c r="D13" s="41">
        <f t="shared" si="0"/>
        <v>101634087.51000001</v>
      </c>
      <c r="E13"/>
      <c r="F13"/>
      <c r="G13"/>
      <c r="H13"/>
      <c r="I13"/>
      <c r="J13"/>
      <c r="K13"/>
    </row>
    <row r="14" spans="1:11" hidden="1" x14ac:dyDescent="0.25">
      <c r="A14" s="60" t="s">
        <v>19</v>
      </c>
      <c r="B14" s="167">
        <v>90726862.260000005</v>
      </c>
      <c r="C14" s="167">
        <v>12371844.85</v>
      </c>
      <c r="D14" s="41">
        <f t="shared" si="0"/>
        <v>103098707.11</v>
      </c>
      <c r="E14"/>
      <c r="F14"/>
      <c r="G14"/>
      <c r="H14"/>
      <c r="I14"/>
      <c r="J14"/>
      <c r="K14"/>
    </row>
    <row r="15" spans="1:11" ht="23.25" hidden="1" customHeight="1" x14ac:dyDescent="0.25">
      <c r="A15" s="206" t="s">
        <v>20</v>
      </c>
      <c r="B15" s="172">
        <f>SUM(B12:B14)</f>
        <v>276029736.13999999</v>
      </c>
      <c r="C15" s="172">
        <f>SUM(C12:C14)</f>
        <v>37640418.560000002</v>
      </c>
      <c r="D15" s="172">
        <f>SUM(D12:D14)</f>
        <v>313670154.70000005</v>
      </c>
      <c r="E15"/>
      <c r="F15"/>
      <c r="G15"/>
      <c r="H15"/>
      <c r="I15"/>
      <c r="J15"/>
      <c r="K15"/>
    </row>
    <row r="16" spans="1:11" hidden="1" x14ac:dyDescent="0.25">
      <c r="A16" s="174" t="s">
        <v>15</v>
      </c>
      <c r="B16" s="114"/>
      <c r="C16" s="114"/>
      <c r="D16" s="23">
        <f>+B16+C16</f>
        <v>0</v>
      </c>
      <c r="E16"/>
      <c r="F16" s="115"/>
      <c r="G16" s="115"/>
      <c r="H16"/>
      <c r="I16"/>
      <c r="J16"/>
      <c r="K16"/>
    </row>
    <row r="17" spans="1:11" hidden="1" x14ac:dyDescent="0.25">
      <c r="A17" s="174" t="s">
        <v>14</v>
      </c>
      <c r="B17" s="114"/>
      <c r="C17" s="114"/>
      <c r="D17" s="23">
        <f>+B17+C17</f>
        <v>0</v>
      </c>
      <c r="E17"/>
      <c r="F17"/>
      <c r="G17"/>
      <c r="H17"/>
      <c r="I17"/>
      <c r="J17"/>
      <c r="K17"/>
    </row>
    <row r="18" spans="1:11" hidden="1" x14ac:dyDescent="0.25">
      <c r="A18" s="174" t="s">
        <v>13</v>
      </c>
      <c r="B18" s="114"/>
      <c r="C18" s="114"/>
      <c r="D18" s="23">
        <f>+B18+C18</f>
        <v>0</v>
      </c>
      <c r="E18"/>
      <c r="F18"/>
      <c r="G18"/>
      <c r="H18"/>
      <c r="I18"/>
      <c r="J18"/>
      <c r="K18"/>
    </row>
    <row r="19" spans="1:11" hidden="1" x14ac:dyDescent="0.25">
      <c r="A19" s="24" t="s">
        <v>16</v>
      </c>
      <c r="B19" s="8">
        <f>SUM(B16:B18)</f>
        <v>0</v>
      </c>
      <c r="C19" s="8">
        <f>SUM(C16:C18)</f>
        <v>0</v>
      </c>
      <c r="D19" s="8">
        <f>SUM(D16:D18)</f>
        <v>0</v>
      </c>
      <c r="E19"/>
      <c r="F19"/>
      <c r="G19"/>
      <c r="H19"/>
      <c r="I19"/>
      <c r="J19"/>
      <c r="K19"/>
    </row>
    <row r="20" spans="1:11" hidden="1" x14ac:dyDescent="0.25">
      <c r="A20" s="174" t="s">
        <v>42</v>
      </c>
      <c r="B20" s="114"/>
      <c r="C20" s="114"/>
      <c r="D20" s="23">
        <f>+B20+C20</f>
        <v>0</v>
      </c>
      <c r="E20"/>
      <c r="F20" s="115"/>
      <c r="G20" s="115"/>
      <c r="H20"/>
      <c r="I20"/>
      <c r="J20"/>
      <c r="K20"/>
    </row>
    <row r="21" spans="1:11" hidden="1" x14ac:dyDescent="0.25">
      <c r="A21" s="174" t="s">
        <v>22</v>
      </c>
      <c r="B21" s="114"/>
      <c r="C21" s="114"/>
      <c r="D21" s="23">
        <f>+B21+C21</f>
        <v>0</v>
      </c>
      <c r="E21"/>
      <c r="F21"/>
      <c r="G21"/>
      <c r="H21"/>
      <c r="I21"/>
      <c r="J21"/>
      <c r="K21"/>
    </row>
    <row r="22" spans="1:11" hidden="1" x14ac:dyDescent="0.25">
      <c r="A22" s="174" t="s">
        <v>23</v>
      </c>
      <c r="B22" s="114"/>
      <c r="C22" s="114"/>
      <c r="D22" s="23">
        <f>+B22+C22</f>
        <v>0</v>
      </c>
      <c r="E22"/>
      <c r="F22"/>
      <c r="G22"/>
      <c r="H22"/>
      <c r="I22"/>
      <c r="J22"/>
      <c r="K22"/>
    </row>
    <row r="23" spans="1:11" hidden="1" x14ac:dyDescent="0.25">
      <c r="A23" s="24" t="s">
        <v>24</v>
      </c>
      <c r="B23" s="8">
        <f>SUM(B20:B22)</f>
        <v>0</v>
      </c>
      <c r="C23" s="8">
        <f>SUM(C20:C22)</f>
        <v>0</v>
      </c>
      <c r="D23" s="8">
        <f>SUM(D20:D22)</f>
        <v>0</v>
      </c>
      <c r="E23"/>
      <c r="F23"/>
      <c r="G23"/>
      <c r="H23"/>
      <c r="I23"/>
      <c r="J23"/>
      <c r="K23"/>
    </row>
    <row r="24" spans="1:11" hidden="1" x14ac:dyDescent="0.25">
      <c r="A24" s="174" t="s">
        <v>25</v>
      </c>
      <c r="B24" s="114"/>
      <c r="C24" s="114"/>
      <c r="D24" s="23">
        <f>+B24+C24</f>
        <v>0</v>
      </c>
      <c r="E24"/>
      <c r="F24" s="115"/>
      <c r="G24" s="115"/>
      <c r="H24"/>
      <c r="I24"/>
      <c r="J24"/>
      <c r="K24"/>
    </row>
    <row r="25" spans="1:11" hidden="1" x14ac:dyDescent="0.25">
      <c r="A25" s="174" t="s">
        <v>26</v>
      </c>
      <c r="B25" s="114"/>
      <c r="C25" s="114"/>
      <c r="D25" s="23">
        <f>+B25+C25</f>
        <v>0</v>
      </c>
      <c r="E25"/>
      <c r="F25"/>
      <c r="G25"/>
      <c r="H25"/>
      <c r="I25"/>
      <c r="J25"/>
      <c r="K25"/>
    </row>
    <row r="26" spans="1:11" ht="15.75" hidden="1" customHeight="1" x14ac:dyDescent="0.25">
      <c r="A26" s="174" t="s">
        <v>27</v>
      </c>
      <c r="B26" s="114"/>
      <c r="C26" s="114"/>
      <c r="D26" s="23">
        <f>+B26+C26</f>
        <v>0</v>
      </c>
      <c r="E26"/>
      <c r="F26"/>
      <c r="G26"/>
      <c r="H26"/>
      <c r="I26"/>
      <c r="J26"/>
      <c r="K26"/>
    </row>
    <row r="27" spans="1:11" ht="32.25" hidden="1" customHeight="1" x14ac:dyDescent="0.25">
      <c r="A27" s="24" t="s">
        <v>28</v>
      </c>
      <c r="B27" s="8">
        <f>SUM(B24:B26)</f>
        <v>0</v>
      </c>
      <c r="C27" s="8">
        <f>SUM(C24:C26)</f>
        <v>0</v>
      </c>
      <c r="D27" s="8">
        <f>SUM(D24:D26)</f>
        <v>0</v>
      </c>
      <c r="E27"/>
      <c r="F27"/>
      <c r="G27"/>
      <c r="H27"/>
      <c r="I27"/>
      <c r="J27"/>
      <c r="K27"/>
    </row>
    <row r="28" spans="1:11" ht="17.25" hidden="1" customHeight="1" x14ac:dyDescent="0.25">
      <c r="A28" s="396" t="s">
        <v>29</v>
      </c>
      <c r="B28" s="397">
        <f>+B15+B11</f>
        <v>516727346.36800003</v>
      </c>
      <c r="C28" s="397">
        <f>+C15+C11</f>
        <v>94100351.821999997</v>
      </c>
      <c r="D28" s="397">
        <f>+D15+D11</f>
        <v>610827698.19000006</v>
      </c>
      <c r="E28"/>
      <c r="F28"/>
      <c r="G28"/>
      <c r="H28"/>
      <c r="I28"/>
      <c r="J28"/>
      <c r="K28"/>
    </row>
    <row r="29" spans="1:11" ht="19.5" customHeight="1" x14ac:dyDescent="0.25">
      <c r="A29" s="398" t="s">
        <v>62</v>
      </c>
      <c r="B29" s="399">
        <f>B11/D11</f>
        <v>0.81000000000370176</v>
      </c>
      <c r="C29" s="399">
        <f>C11/D11</f>
        <v>0.18999999999629824</v>
      </c>
      <c r="D29" s="398"/>
      <c r="E29"/>
      <c r="F29"/>
      <c r="G29"/>
      <c r="H29"/>
      <c r="I29"/>
      <c r="J29"/>
      <c r="K29"/>
    </row>
    <row r="30" spans="1:11" x14ac:dyDescent="0.25">
      <c r="A30" s="170" t="s">
        <v>55</v>
      </c>
      <c r="B30" s="154"/>
      <c r="C30"/>
      <c r="D30"/>
      <c r="E30"/>
      <c r="F30"/>
      <c r="G30"/>
      <c r="H30"/>
      <c r="I30"/>
      <c r="J30"/>
      <c r="K30"/>
    </row>
    <row r="31" spans="1:11" x14ac:dyDescent="0.25">
      <c r="A31" s="274" t="s">
        <v>63</v>
      </c>
      <c r="B31"/>
      <c r="C31"/>
      <c r="D31"/>
      <c r="E31"/>
      <c r="F31"/>
      <c r="G31"/>
      <c r="H31"/>
      <c r="I31"/>
      <c r="J31"/>
      <c r="K31"/>
    </row>
    <row r="32" spans="1:11" x14ac:dyDescent="0.25">
      <c r="A32"/>
      <c r="B32"/>
      <c r="C32"/>
      <c r="D32"/>
      <c r="E32"/>
      <c r="F32"/>
      <c r="G32"/>
      <c r="H32"/>
      <c r="I32"/>
      <c r="J32"/>
      <c r="K32"/>
    </row>
    <row r="33" spans="1:11" x14ac:dyDescent="0.25">
      <c r="A33"/>
      <c r="B33"/>
      <c r="C33"/>
      <c r="D33"/>
      <c r="E33"/>
      <c r="F33"/>
      <c r="G33"/>
      <c r="H33"/>
      <c r="I33"/>
      <c r="J33"/>
      <c r="K33"/>
    </row>
    <row r="34" spans="1:11" x14ac:dyDescent="0.25">
      <c r="A34"/>
      <c r="B34"/>
      <c r="C34"/>
      <c r="D34"/>
      <c r="E34"/>
      <c r="F34"/>
      <c r="G34"/>
      <c r="H34"/>
      <c r="I34"/>
      <c r="J34"/>
      <c r="K34"/>
    </row>
    <row r="35" spans="1:11" x14ac:dyDescent="0.25">
      <c r="A35"/>
      <c r="B35"/>
      <c r="C35"/>
      <c r="D35"/>
      <c r="E35"/>
      <c r="F35"/>
      <c r="G35"/>
      <c r="H35"/>
      <c r="I35"/>
      <c r="J35"/>
      <c r="K35"/>
    </row>
    <row r="36" spans="1:11" x14ac:dyDescent="0.25">
      <c r="A36"/>
      <c r="B36"/>
      <c r="C36"/>
      <c r="D36"/>
      <c r="E36"/>
      <c r="F36"/>
      <c r="G36"/>
      <c r="H36"/>
      <c r="I36" s="233"/>
      <c r="J36"/>
      <c r="K36"/>
    </row>
    <row r="37" spans="1:11" x14ac:dyDescent="0.25">
      <c r="A37"/>
      <c r="B37"/>
      <c r="C37"/>
      <c r="D37"/>
      <c r="E37"/>
      <c r="F37"/>
      <c r="G37" s="116"/>
      <c r="H37" s="116"/>
      <c r="I37" s="233"/>
      <c r="J37" s="116"/>
      <c r="K37" s="108"/>
    </row>
    <row r="38" spans="1:11" x14ac:dyDescent="0.25">
      <c r="A38"/>
      <c r="B38"/>
      <c r="C38"/>
      <c r="D38"/>
      <c r="E38"/>
      <c r="F38"/>
      <c r="G38"/>
      <c r="H38"/>
      <c r="I38" s="233"/>
      <c r="J38"/>
      <c r="K38"/>
    </row>
    <row r="39" spans="1:11" x14ac:dyDescent="0.25">
      <c r="A39"/>
      <c r="B39"/>
      <c r="C39"/>
      <c r="D39"/>
      <c r="E39"/>
      <c r="F39"/>
      <c r="G39"/>
      <c r="H39"/>
      <c r="I39" s="64"/>
      <c r="J39"/>
      <c r="K39"/>
    </row>
    <row r="40" spans="1:11" x14ac:dyDescent="0.25">
      <c r="A40"/>
      <c r="B40"/>
      <c r="C40"/>
      <c r="D40"/>
      <c r="E40"/>
      <c r="F40"/>
      <c r="G40"/>
      <c r="H40"/>
      <c r="I40"/>
      <c r="J40"/>
      <c r="K40"/>
    </row>
    <row r="41" spans="1:11" x14ac:dyDescent="0.25">
      <c r="A41"/>
      <c r="B41"/>
      <c r="C41"/>
      <c r="D41"/>
      <c r="E41"/>
      <c r="F41"/>
      <c r="G41"/>
      <c r="H41"/>
      <c r="I41"/>
      <c r="J41"/>
      <c r="K41"/>
    </row>
    <row r="42" spans="1:11" x14ac:dyDescent="0.25">
      <c r="A42"/>
      <c r="B42"/>
      <c r="C42"/>
      <c r="D42"/>
      <c r="E42"/>
      <c r="F42"/>
      <c r="G42"/>
      <c r="H42"/>
      <c r="I42"/>
      <c r="J42"/>
      <c r="K42"/>
    </row>
    <row r="43" spans="1:11" x14ac:dyDescent="0.25">
      <c r="A43"/>
      <c r="B43"/>
      <c r="C43"/>
      <c r="D43"/>
      <c r="E43"/>
      <c r="F43"/>
      <c r="G43"/>
      <c r="H43"/>
      <c r="I43"/>
      <c r="J43"/>
      <c r="K43"/>
    </row>
    <row r="44" spans="1:11" x14ac:dyDescent="0.25">
      <c r="A44" s="47"/>
      <c r="B44" s="114"/>
      <c r="C44" s="114"/>
      <c r="D44" s="23"/>
    </row>
    <row r="45" spans="1:11" x14ac:dyDescent="0.25">
      <c r="A45" s="47"/>
      <c r="B45" s="114"/>
      <c r="C45" s="114"/>
      <c r="D45" s="23"/>
    </row>
  </sheetData>
  <mergeCells count="6">
    <mergeCell ref="A6:D6"/>
    <mergeCell ref="A1:D1"/>
    <mergeCell ref="A2:D2"/>
    <mergeCell ref="A3:D3"/>
    <mergeCell ref="A5:D5"/>
    <mergeCell ref="A4:D4"/>
  </mergeCells>
  <pageMargins left="0.7" right="0.7" top="0.75" bottom="0.75" header="0.3" footer="0.3"/>
  <pageSetup paperSize="9" scale="59" orientation="portrait" r:id="rId1"/>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J59"/>
  <sheetViews>
    <sheetView showGridLines="0" zoomScale="115" zoomScaleNormal="115" zoomScaleSheetLayoutView="115" workbookViewId="0">
      <selection activeCell="K35" sqref="K35"/>
    </sheetView>
  </sheetViews>
  <sheetFormatPr baseColWidth="10" defaultColWidth="11.42578125" defaultRowHeight="15" x14ac:dyDescent="0.25"/>
  <cols>
    <col min="1" max="1" width="17.140625" style="1" customWidth="1"/>
    <col min="2" max="2" width="15.7109375" style="1" customWidth="1"/>
    <col min="3" max="3" width="21.140625" style="1" customWidth="1"/>
    <col min="4" max="4" width="16.7109375" style="1" customWidth="1"/>
    <col min="5" max="16384" width="11.42578125" style="1"/>
  </cols>
  <sheetData>
    <row r="1" spans="1:7" x14ac:dyDescent="0.25">
      <c r="A1" s="538" t="s">
        <v>0</v>
      </c>
      <c r="B1" s="538"/>
      <c r="C1" s="538"/>
      <c r="D1" s="538"/>
    </row>
    <row r="2" spans="1:7" x14ac:dyDescent="0.25">
      <c r="A2" s="538" t="s">
        <v>31</v>
      </c>
      <c r="B2" s="538"/>
      <c r="C2" s="538"/>
      <c r="D2" s="538"/>
    </row>
    <row r="3" spans="1:7" x14ac:dyDescent="0.25">
      <c r="A3" s="538" t="s">
        <v>64</v>
      </c>
      <c r="B3" s="538"/>
      <c r="C3" s="538"/>
      <c r="D3" s="538"/>
    </row>
    <row r="4" spans="1:7" x14ac:dyDescent="0.25">
      <c r="A4" s="538" t="s">
        <v>3</v>
      </c>
      <c r="B4" s="538"/>
      <c r="C4" s="538"/>
      <c r="D4" s="538"/>
    </row>
    <row r="5" spans="1:7" x14ac:dyDescent="0.25">
      <c r="A5" s="538" t="s">
        <v>4</v>
      </c>
      <c r="B5" s="538"/>
      <c r="C5" s="538"/>
      <c r="D5" s="538"/>
    </row>
    <row r="6" spans="1:7" x14ac:dyDescent="0.25">
      <c r="A6" s="537" t="s">
        <v>64</v>
      </c>
      <c r="B6" s="537"/>
      <c r="C6" s="537"/>
      <c r="D6" s="537"/>
      <c r="E6"/>
      <c r="F6"/>
      <c r="G6"/>
    </row>
    <row r="7" spans="1:7" x14ac:dyDescent="0.25">
      <c r="A7" s="112"/>
      <c r="B7" s="113" t="s">
        <v>65</v>
      </c>
      <c r="C7" s="113" t="s">
        <v>66</v>
      </c>
      <c r="D7" s="113" t="s">
        <v>67</v>
      </c>
      <c r="E7"/>
      <c r="F7"/>
      <c r="G7"/>
    </row>
    <row r="8" spans="1:7" x14ac:dyDescent="0.25">
      <c r="A8" s="76" t="s">
        <v>13</v>
      </c>
      <c r="B8" s="167">
        <v>77160</v>
      </c>
      <c r="C8" s="124">
        <f>+B8-B9</f>
        <v>5</v>
      </c>
      <c r="D8" s="427">
        <f>+C8/B9</f>
        <v>6.4804614088523099E-5</v>
      </c>
      <c r="E8"/>
      <c r="F8"/>
      <c r="G8"/>
    </row>
    <row r="9" spans="1:7" x14ac:dyDescent="0.25">
      <c r="A9" s="76" t="s">
        <v>14</v>
      </c>
      <c r="B9" s="167">
        <v>77155</v>
      </c>
      <c r="C9" s="124">
        <f>+B9-B10</f>
        <v>-142</v>
      </c>
      <c r="D9" s="427">
        <f>+C9/B10</f>
        <v>-1.8370700027167937E-3</v>
      </c>
      <c r="E9"/>
      <c r="F9"/>
      <c r="G9"/>
    </row>
    <row r="10" spans="1:7" x14ac:dyDescent="0.25">
      <c r="A10" s="76" t="s">
        <v>15</v>
      </c>
      <c r="B10" s="167">
        <v>77297</v>
      </c>
      <c r="C10" s="583">
        <f>+B10-B12</f>
        <v>124</v>
      </c>
      <c r="D10" s="427">
        <f>+C10/B12</f>
        <v>1.6067795731667812E-3</v>
      </c>
      <c r="E10"/>
      <c r="F10"/>
      <c r="G10"/>
    </row>
    <row r="11" spans="1:7" ht="14.25" customHeight="1" x14ac:dyDescent="0.25">
      <c r="A11" s="206" t="s">
        <v>16</v>
      </c>
      <c r="B11" s="172">
        <f>SUM(B8:B10)</f>
        <v>231612</v>
      </c>
      <c r="C11" s="172">
        <f>B11-B15</f>
        <v>-1741</v>
      </c>
      <c r="D11" s="428">
        <f>C11/B15</f>
        <v>-7.460799732593967E-3</v>
      </c>
      <c r="E11"/>
      <c r="F11" s="217"/>
      <c r="G11"/>
    </row>
    <row r="12" spans="1:7" ht="0.75" customHeight="1" x14ac:dyDescent="0.25">
      <c r="A12" s="164" t="s">
        <v>17</v>
      </c>
      <c r="B12" s="234">
        <v>77173</v>
      </c>
      <c r="C12" s="19"/>
      <c r="D12" s="235">
        <f>C12/B13</f>
        <v>0</v>
      </c>
      <c r="E12"/>
      <c r="F12"/>
      <c r="G12"/>
    </row>
    <row r="13" spans="1:7" hidden="1" x14ac:dyDescent="0.25">
      <c r="A13" s="164" t="s">
        <v>18</v>
      </c>
      <c r="B13" s="138">
        <v>82966</v>
      </c>
      <c r="C13" s="109"/>
      <c r="D13" s="20">
        <f>C13/B14</f>
        <v>0</v>
      </c>
      <c r="E13"/>
      <c r="F13"/>
      <c r="G13"/>
    </row>
    <row r="14" spans="1:7" hidden="1" x14ac:dyDescent="0.25">
      <c r="A14" s="164" t="s">
        <v>19</v>
      </c>
      <c r="B14" s="138">
        <v>73214</v>
      </c>
      <c r="C14" s="109"/>
      <c r="D14" s="20">
        <f>C14/31800</f>
        <v>0</v>
      </c>
      <c r="E14"/>
      <c r="F14"/>
      <c r="G14"/>
    </row>
    <row r="15" spans="1:7" hidden="1" x14ac:dyDescent="0.25">
      <c r="A15" s="24" t="s">
        <v>20</v>
      </c>
      <c r="B15" s="70">
        <f>SUM(B12:B14)</f>
        <v>233353</v>
      </c>
      <c r="C15" s="70">
        <f>+B15-95277</f>
        <v>138076</v>
      </c>
      <c r="D15" s="179">
        <f>C15/95277</f>
        <v>1.4492059993492659</v>
      </c>
      <c r="E15"/>
      <c r="F15" s="64"/>
      <c r="G15" s="115"/>
    </row>
    <row r="16" spans="1:7" hidden="1" x14ac:dyDescent="0.25">
      <c r="A16" s="47" t="s">
        <v>15</v>
      </c>
      <c r="B16" s="103"/>
      <c r="C16" s="118"/>
      <c r="D16" s="179">
        <f t="shared" ref="D16:D28" si="0">C16/95277</f>
        <v>0</v>
      </c>
      <c r="E16"/>
      <c r="F16"/>
      <c r="G16"/>
    </row>
    <row r="17" spans="1:7" hidden="1" x14ac:dyDescent="0.25">
      <c r="A17" s="47" t="s">
        <v>14</v>
      </c>
      <c r="B17" s="103"/>
      <c r="C17" s="118">
        <f>+B17-B16</f>
        <v>0</v>
      </c>
      <c r="D17" s="179">
        <f t="shared" si="0"/>
        <v>0</v>
      </c>
      <c r="E17"/>
      <c r="F17"/>
      <c r="G17"/>
    </row>
    <row r="18" spans="1:7" hidden="1" x14ac:dyDescent="0.25">
      <c r="A18" s="47" t="s">
        <v>13</v>
      </c>
      <c r="B18" s="103"/>
      <c r="C18" s="118">
        <f>+B18-B17</f>
        <v>0</v>
      </c>
      <c r="D18" s="179">
        <f t="shared" si="0"/>
        <v>0</v>
      </c>
      <c r="E18"/>
      <c r="F18"/>
      <c r="G18"/>
    </row>
    <row r="19" spans="1:7" hidden="1" x14ac:dyDescent="0.25">
      <c r="A19" s="24" t="s">
        <v>16</v>
      </c>
      <c r="B19" s="8">
        <f>SUM(B16:B18)</f>
        <v>0</v>
      </c>
      <c r="C19" s="63">
        <f>+B19-B15</f>
        <v>-233353</v>
      </c>
      <c r="D19" s="179">
        <f t="shared" si="0"/>
        <v>-2.4492059993492656</v>
      </c>
      <c r="E19"/>
      <c r="F19" s="64"/>
      <c r="G19"/>
    </row>
    <row r="20" spans="1:7" hidden="1" x14ac:dyDescent="0.25">
      <c r="A20" s="47" t="s">
        <v>42</v>
      </c>
      <c r="B20" s="103"/>
      <c r="C20" s="118">
        <f>+B20-B18</f>
        <v>0</v>
      </c>
      <c r="D20" s="179">
        <f t="shared" si="0"/>
        <v>0</v>
      </c>
      <c r="E20"/>
      <c r="F20"/>
      <c r="G20"/>
    </row>
    <row r="21" spans="1:7" hidden="1" x14ac:dyDescent="0.25">
      <c r="A21" s="47" t="s">
        <v>22</v>
      </c>
      <c r="B21" s="103"/>
      <c r="C21" s="118">
        <f>+B21-B20</f>
        <v>0</v>
      </c>
      <c r="D21" s="179">
        <f t="shared" si="0"/>
        <v>0</v>
      </c>
      <c r="E21"/>
      <c r="F21"/>
      <c r="G21"/>
    </row>
    <row r="22" spans="1:7" hidden="1" x14ac:dyDescent="0.25">
      <c r="A22" s="47" t="s">
        <v>23</v>
      </c>
      <c r="B22" s="103"/>
      <c r="C22" s="118">
        <f>+B22-B21</f>
        <v>0</v>
      </c>
      <c r="D22" s="179">
        <f t="shared" si="0"/>
        <v>0</v>
      </c>
      <c r="E22"/>
      <c r="F22"/>
      <c r="G22"/>
    </row>
    <row r="23" spans="1:7" hidden="1" x14ac:dyDescent="0.25">
      <c r="A23" s="24" t="s">
        <v>24</v>
      </c>
      <c r="B23" s="8">
        <f>SUM(B20:B22)</f>
        <v>0</v>
      </c>
      <c r="C23" s="63">
        <f>+B23-B19</f>
        <v>0</v>
      </c>
      <c r="D23" s="179">
        <f t="shared" si="0"/>
        <v>0</v>
      </c>
      <c r="E23"/>
      <c r="F23" s="64"/>
      <c r="G23"/>
    </row>
    <row r="24" spans="1:7" hidden="1" x14ac:dyDescent="0.25">
      <c r="A24" s="47" t="s">
        <v>25</v>
      </c>
      <c r="B24" s="103"/>
      <c r="C24" s="118">
        <f>+B24-B22</f>
        <v>0</v>
      </c>
      <c r="D24" s="179">
        <f t="shared" si="0"/>
        <v>0</v>
      </c>
      <c r="E24"/>
      <c r="F24"/>
      <c r="G24"/>
    </row>
    <row r="25" spans="1:7" hidden="1" x14ac:dyDescent="0.25">
      <c r="A25" s="47" t="s">
        <v>26</v>
      </c>
      <c r="B25" s="103"/>
      <c r="C25" s="118">
        <f>+B25-B24</f>
        <v>0</v>
      </c>
      <c r="D25" s="179">
        <f t="shared" si="0"/>
        <v>0</v>
      </c>
      <c r="E25"/>
      <c r="F25"/>
      <c r="G25"/>
    </row>
    <row r="26" spans="1:7" hidden="1" x14ac:dyDescent="0.25">
      <c r="A26" s="47" t="s">
        <v>27</v>
      </c>
      <c r="B26" s="103"/>
      <c r="C26" s="118">
        <f>+B26-B25</f>
        <v>0</v>
      </c>
      <c r="D26" s="179">
        <f t="shared" si="0"/>
        <v>0</v>
      </c>
      <c r="E26"/>
      <c r="F26"/>
      <c r="G26"/>
    </row>
    <row r="27" spans="1:7" hidden="1" x14ac:dyDescent="0.25">
      <c r="A27" s="24" t="s">
        <v>28</v>
      </c>
      <c r="B27" s="8">
        <f>SUM(B24:B26)</f>
        <v>0</v>
      </c>
      <c r="C27" s="63">
        <f>+B27-B23</f>
        <v>0</v>
      </c>
      <c r="D27" s="179">
        <f t="shared" si="0"/>
        <v>0</v>
      </c>
      <c r="E27"/>
      <c r="F27" s="64"/>
      <c r="G27"/>
    </row>
    <row r="28" spans="1:7" ht="3" hidden="1" customHeight="1" x14ac:dyDescent="0.25">
      <c r="A28" s="208" t="s">
        <v>29</v>
      </c>
      <c r="B28" s="209">
        <f>B15+B11</f>
        <v>464965</v>
      </c>
      <c r="C28" s="209">
        <f>+C15+C11</f>
        <v>136335</v>
      </c>
      <c r="D28" s="210">
        <f t="shared" si="0"/>
        <v>1.4309329638842532</v>
      </c>
      <c r="E28"/>
      <c r="F28"/>
      <c r="G28"/>
    </row>
    <row r="29" spans="1:7" ht="12" customHeight="1" x14ac:dyDescent="0.25">
      <c r="A29" s="539" t="s">
        <v>68</v>
      </c>
      <c r="B29" s="539"/>
      <c r="C29" s="539"/>
      <c r="D29" s="539"/>
      <c r="E29"/>
      <c r="F29"/>
      <c r="G29"/>
    </row>
    <row r="30" spans="1:7" ht="13.5" customHeight="1" x14ac:dyDescent="0.25">
      <c r="A30" s="274" t="s">
        <v>63</v>
      </c>
      <c r="B30"/>
      <c r="C30"/>
      <c r="D30"/>
      <c r="E30" s="108"/>
      <c r="F30" s="108"/>
      <c r="G30"/>
    </row>
    <row r="31" spans="1:7" ht="12.75" customHeight="1" x14ac:dyDescent="0.25"/>
    <row r="32" spans="1:7" x14ac:dyDescent="0.25">
      <c r="A32"/>
      <c r="B32"/>
      <c r="C32"/>
      <c r="D32"/>
    </row>
    <row r="33" spans="1:10" x14ac:dyDescent="0.25">
      <c r="A33"/>
      <c r="B33"/>
      <c r="C33"/>
      <c r="D33"/>
      <c r="E33"/>
      <c r="F33"/>
      <c r="G33"/>
    </row>
    <row r="34" spans="1:10" x14ac:dyDescent="0.25">
      <c r="A34"/>
      <c r="B34"/>
      <c r="C34"/>
      <c r="D34"/>
      <c r="E34"/>
      <c r="F34"/>
      <c r="G34"/>
      <c r="J34" s="28"/>
    </row>
    <row r="35" spans="1:10" x14ac:dyDescent="0.25">
      <c r="A35"/>
      <c r="B35"/>
      <c r="C35"/>
      <c r="D35"/>
      <c r="E35"/>
      <c r="F35"/>
      <c r="G35"/>
    </row>
    <row r="36" spans="1:10" x14ac:dyDescent="0.25">
      <c r="A36"/>
      <c r="B36"/>
      <c r="C36"/>
      <c r="D36"/>
      <c r="E36"/>
      <c r="F36"/>
      <c r="G36"/>
    </row>
    <row r="37" spans="1:10" x14ac:dyDescent="0.25">
      <c r="A37"/>
      <c r="B37"/>
      <c r="C37"/>
      <c r="D37"/>
      <c r="E37"/>
      <c r="F37"/>
      <c r="G37"/>
    </row>
    <row r="38" spans="1:10" x14ac:dyDescent="0.25">
      <c r="A38"/>
      <c r="B38"/>
      <c r="C38"/>
      <c r="D38"/>
      <c r="E38"/>
      <c r="F38"/>
      <c r="G38"/>
    </row>
    <row r="39" spans="1:10" x14ac:dyDescent="0.25">
      <c r="A39"/>
      <c r="B39"/>
      <c r="C39"/>
      <c r="D39"/>
      <c r="E39"/>
      <c r="F39"/>
      <c r="G39"/>
    </row>
    <row r="40" spans="1:10" x14ac:dyDescent="0.25">
      <c r="A40"/>
      <c r="B40"/>
      <c r="C40"/>
      <c r="D40"/>
      <c r="E40"/>
      <c r="F40"/>
      <c r="G40"/>
    </row>
    <row r="41" spans="1:10" x14ac:dyDescent="0.25">
      <c r="A41"/>
      <c r="B41"/>
      <c r="C41"/>
      <c r="D41"/>
      <c r="E41"/>
      <c r="F41"/>
      <c r="G41"/>
    </row>
    <row r="42" spans="1:10" x14ac:dyDescent="0.25">
      <c r="A42"/>
      <c r="B42"/>
      <c r="C42"/>
      <c r="D42"/>
      <c r="E42"/>
      <c r="F42"/>
      <c r="G42"/>
    </row>
    <row r="43" spans="1:10" ht="14.25" customHeight="1" x14ac:dyDescent="0.25">
      <c r="A43"/>
      <c r="B43"/>
      <c r="C43"/>
      <c r="D43"/>
      <c r="E43"/>
      <c r="F43"/>
      <c r="G43"/>
    </row>
    <row r="44" spans="1:10" hidden="1" x14ac:dyDescent="0.25">
      <c r="A44"/>
      <c r="B44"/>
      <c r="C44"/>
      <c r="D44"/>
      <c r="E44"/>
      <c r="F44"/>
      <c r="G44"/>
    </row>
    <row r="45" spans="1:10" hidden="1" x14ac:dyDescent="0.25"/>
    <row r="46" spans="1:10" hidden="1" x14ac:dyDescent="0.25">
      <c r="A46" s="47"/>
      <c r="B46" s="103"/>
      <c r="C46" s="109"/>
      <c r="D46" s="117"/>
    </row>
    <row r="47" spans="1:10" hidden="1" x14ac:dyDescent="0.25">
      <c r="A47" s="47"/>
      <c r="B47" s="103"/>
      <c r="C47" s="109"/>
      <c r="D47" s="20"/>
    </row>
    <row r="48" spans="1:10"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sheetData>
  <mergeCells count="7">
    <mergeCell ref="A29:D29"/>
    <mergeCell ref="A6:D6"/>
    <mergeCell ref="A1:D1"/>
    <mergeCell ref="A2:D2"/>
    <mergeCell ref="A3:D3"/>
    <mergeCell ref="A4:D4"/>
    <mergeCell ref="A5:D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I62"/>
  <sheetViews>
    <sheetView showGridLines="0" topLeftCell="B1" zoomScale="115" zoomScaleNormal="115" zoomScaleSheetLayoutView="130" workbookViewId="0">
      <selection activeCell="I33" sqref="I33"/>
    </sheetView>
  </sheetViews>
  <sheetFormatPr baseColWidth="10" defaultColWidth="11.42578125" defaultRowHeight="15" x14ac:dyDescent="0.25"/>
  <cols>
    <col min="1" max="1" width="15" style="1" customWidth="1"/>
    <col min="2" max="2" width="22" style="1" customWidth="1"/>
    <col min="3" max="3" width="20.42578125" style="1" customWidth="1"/>
    <col min="4" max="4" width="22.42578125" style="1" customWidth="1"/>
    <col min="5" max="16384" width="11.42578125" style="1"/>
  </cols>
  <sheetData>
    <row r="1" spans="1:9" x14ac:dyDescent="0.25">
      <c r="A1" s="540" t="s">
        <v>0</v>
      </c>
      <c r="B1" s="540"/>
      <c r="C1" s="540"/>
      <c r="D1" s="540"/>
      <c r="E1" s="22"/>
      <c r="F1" s="22"/>
      <c r="G1" s="22"/>
    </row>
    <row r="2" spans="1:9" x14ac:dyDescent="0.25">
      <c r="A2" s="538" t="s">
        <v>31</v>
      </c>
      <c r="B2" s="538"/>
      <c r="C2" s="538"/>
      <c r="D2" s="538"/>
      <c r="E2" s="22"/>
      <c r="F2" s="22"/>
      <c r="G2" s="22"/>
    </row>
    <row r="3" spans="1:9" x14ac:dyDescent="0.25">
      <c r="A3" s="538" t="s">
        <v>69</v>
      </c>
      <c r="B3" s="538"/>
      <c r="C3" s="538"/>
      <c r="D3" s="538"/>
      <c r="E3" s="22"/>
      <c r="F3" s="22"/>
      <c r="G3" s="22"/>
    </row>
    <row r="4" spans="1:9" x14ac:dyDescent="0.25">
      <c r="A4" s="540" t="s">
        <v>3</v>
      </c>
      <c r="B4" s="540"/>
      <c r="C4" s="540"/>
      <c r="D4" s="540"/>
      <c r="E4" s="21"/>
      <c r="F4" s="22"/>
      <c r="G4" s="22"/>
    </row>
    <row r="5" spans="1:9" x14ac:dyDescent="0.25">
      <c r="A5" s="538" t="s">
        <v>4</v>
      </c>
      <c r="B5" s="538"/>
      <c r="C5" s="538"/>
      <c r="D5" s="538"/>
      <c r="E5" s="22"/>
      <c r="F5" s="22"/>
      <c r="G5" s="22"/>
    </row>
    <row r="6" spans="1:9" ht="15" customHeight="1" x14ac:dyDescent="0.25">
      <c r="A6" s="537" t="s">
        <v>69</v>
      </c>
      <c r="B6" s="537"/>
      <c r="C6" s="537"/>
      <c r="D6" s="537"/>
      <c r="E6"/>
      <c r="F6"/>
    </row>
    <row r="7" spans="1:9" ht="25.5" customHeight="1" x14ac:dyDescent="0.25">
      <c r="A7" s="112" t="s">
        <v>5</v>
      </c>
      <c r="B7" s="99" t="s">
        <v>70</v>
      </c>
      <c r="C7" s="99" t="s">
        <v>71</v>
      </c>
      <c r="D7" s="99" t="s">
        <v>72</v>
      </c>
      <c r="E7"/>
      <c r="F7"/>
    </row>
    <row r="8" spans="1:9" ht="12" customHeight="1" x14ac:dyDescent="0.25">
      <c r="A8" s="76" t="s">
        <v>13</v>
      </c>
      <c r="B8" s="132">
        <v>10</v>
      </c>
      <c r="C8" s="132">
        <v>4</v>
      </c>
      <c r="D8" s="393">
        <v>103000000</v>
      </c>
      <c r="E8"/>
      <c r="F8"/>
    </row>
    <row r="9" spans="1:9" ht="12" customHeight="1" x14ac:dyDescent="0.25">
      <c r="A9" s="76" t="s">
        <v>14</v>
      </c>
      <c r="B9" s="132">
        <v>0</v>
      </c>
      <c r="C9" s="132">
        <v>2</v>
      </c>
      <c r="D9" s="394">
        <v>0</v>
      </c>
      <c r="E9"/>
      <c r="F9"/>
      <c r="I9" s="28"/>
    </row>
    <row r="10" spans="1:9" ht="12" customHeight="1" x14ac:dyDescent="0.25">
      <c r="A10" s="76" t="s">
        <v>15</v>
      </c>
      <c r="B10" s="132">
        <v>0</v>
      </c>
      <c r="C10" s="132">
        <v>5</v>
      </c>
      <c r="D10" s="394">
        <v>5481304.7000000002</v>
      </c>
      <c r="E10"/>
      <c r="F10"/>
    </row>
    <row r="11" spans="1:9" ht="21" customHeight="1" x14ac:dyDescent="0.25">
      <c r="A11" s="206" t="s">
        <v>16</v>
      </c>
      <c r="B11" s="449">
        <f>SUM(B8:B10)</f>
        <v>10</v>
      </c>
      <c r="C11" s="202">
        <f>SUM(C8:C10)</f>
        <v>11</v>
      </c>
      <c r="D11" s="395">
        <f>SUM(D8:D10)</f>
        <v>108481304.7</v>
      </c>
      <c r="E11"/>
      <c r="F11"/>
    </row>
    <row r="12" spans="1:9" ht="0.75" hidden="1" customHeight="1" x14ac:dyDescent="0.25">
      <c r="A12" s="164" t="s">
        <v>17</v>
      </c>
      <c r="B12" s="119">
        <v>162</v>
      </c>
      <c r="C12" s="119">
        <v>5</v>
      </c>
      <c r="D12" s="211">
        <v>124127103.37</v>
      </c>
      <c r="E12"/>
      <c r="F12"/>
    </row>
    <row r="13" spans="1:9" hidden="1" x14ac:dyDescent="0.25">
      <c r="A13" s="164" t="s">
        <v>18</v>
      </c>
      <c r="B13" s="119">
        <v>1</v>
      </c>
      <c r="C13" s="119">
        <v>1</v>
      </c>
      <c r="D13" s="211">
        <v>4407042.8099999996</v>
      </c>
      <c r="E13"/>
      <c r="F13"/>
      <c r="G13" s="47"/>
    </row>
    <row r="14" spans="1:9" hidden="1" x14ac:dyDescent="0.25">
      <c r="A14" s="164" t="s">
        <v>19</v>
      </c>
      <c r="B14" s="119">
        <v>210</v>
      </c>
      <c r="C14" s="119">
        <v>1</v>
      </c>
      <c r="D14" s="211">
        <v>174414722.21000001</v>
      </c>
      <c r="E14"/>
      <c r="F14"/>
      <c r="G14" s="47"/>
    </row>
    <row r="15" spans="1:9" ht="14.25" hidden="1" customHeight="1" x14ac:dyDescent="0.25">
      <c r="A15" s="24" t="s">
        <v>20</v>
      </c>
      <c r="B15" s="8">
        <f>SUM(B12:B14)</f>
        <v>373</v>
      </c>
      <c r="C15" s="70">
        <f>SUM(C12:C14)</f>
        <v>7</v>
      </c>
      <c r="D15" s="177">
        <f>SUM(D12:D14)</f>
        <v>302948868.38999999</v>
      </c>
      <c r="E15"/>
      <c r="F15"/>
      <c r="G15" s="47"/>
    </row>
    <row r="16" spans="1:9" hidden="1" x14ac:dyDescent="0.25">
      <c r="E16"/>
      <c r="F16"/>
    </row>
    <row r="17" spans="1:6" hidden="1" x14ac:dyDescent="0.25">
      <c r="E17"/>
      <c r="F17"/>
    </row>
    <row r="18" spans="1:6" hidden="1" x14ac:dyDescent="0.25">
      <c r="E18"/>
      <c r="F18"/>
    </row>
    <row r="19" spans="1:6" hidden="1" x14ac:dyDescent="0.25">
      <c r="E19"/>
      <c r="F19"/>
    </row>
    <row r="20" spans="1:6" hidden="1" x14ac:dyDescent="0.25">
      <c r="A20" s="47" t="s">
        <v>42</v>
      </c>
      <c r="B20" s="119"/>
      <c r="C20" s="119"/>
      <c r="D20" s="119"/>
      <c r="E20"/>
      <c r="F20"/>
    </row>
    <row r="21" spans="1:6" hidden="1" x14ac:dyDescent="0.25">
      <c r="A21" s="47" t="s">
        <v>22</v>
      </c>
      <c r="B21" s="119"/>
      <c r="C21" s="119"/>
      <c r="D21" s="119"/>
      <c r="E21"/>
      <c r="F21"/>
    </row>
    <row r="22" spans="1:6" hidden="1" x14ac:dyDescent="0.25">
      <c r="A22" s="47" t="s">
        <v>23</v>
      </c>
      <c r="B22" s="119"/>
      <c r="C22" s="119"/>
      <c r="D22" s="119"/>
      <c r="E22"/>
      <c r="F22"/>
    </row>
    <row r="23" spans="1:6" hidden="1" x14ac:dyDescent="0.25">
      <c r="A23" s="24" t="s">
        <v>73</v>
      </c>
      <c r="B23" s="8">
        <f>SUM(B20:B22)</f>
        <v>0</v>
      </c>
      <c r="C23" s="8">
        <f>SUM(C20:C22)</f>
        <v>0</v>
      </c>
      <c r="D23" s="8"/>
      <c r="E23"/>
      <c r="F23"/>
    </row>
    <row r="24" spans="1:6" hidden="1" x14ac:dyDescent="0.25">
      <c r="A24" s="47" t="s">
        <v>25</v>
      </c>
      <c r="B24" s="119"/>
      <c r="C24" s="119"/>
      <c r="D24" s="119"/>
      <c r="E24"/>
      <c r="F24"/>
    </row>
    <row r="25" spans="1:6" hidden="1" x14ac:dyDescent="0.25">
      <c r="A25" s="47" t="s">
        <v>26</v>
      </c>
      <c r="B25" s="119"/>
      <c r="C25" s="119"/>
      <c r="D25" s="119"/>
      <c r="E25"/>
      <c r="F25"/>
    </row>
    <row r="26" spans="1:6" hidden="1" x14ac:dyDescent="0.25">
      <c r="A26" s="47" t="s">
        <v>27</v>
      </c>
      <c r="B26" s="119"/>
      <c r="C26" s="119"/>
      <c r="D26" s="119"/>
      <c r="E26"/>
      <c r="F26"/>
    </row>
    <row r="27" spans="1:6" hidden="1" x14ac:dyDescent="0.25">
      <c r="A27" s="24" t="s">
        <v>74</v>
      </c>
      <c r="B27" s="8">
        <f>SUM(B24:B26)</f>
        <v>0</v>
      </c>
      <c r="C27" s="8">
        <f>SUM(C24:C26)</f>
        <v>0</v>
      </c>
      <c r="D27" s="8"/>
      <c r="E27"/>
      <c r="F27"/>
    </row>
    <row r="28" spans="1:6" hidden="1" x14ac:dyDescent="0.25">
      <c r="A28" s="212" t="s">
        <v>29</v>
      </c>
      <c r="B28" s="213">
        <f>+B15+B11</f>
        <v>383</v>
      </c>
      <c r="C28" s="213">
        <f>+C15+C11</f>
        <v>18</v>
      </c>
      <c r="D28" s="214">
        <f>+D11+D15</f>
        <v>411430173.08999997</v>
      </c>
      <c r="E28"/>
      <c r="F28"/>
    </row>
    <row r="29" spans="1:6" hidden="1" x14ac:dyDescent="0.25">
      <c r="A29" s="170"/>
      <c r="B29" s="170"/>
      <c r="C29" s="170"/>
      <c r="D29" s="170"/>
      <c r="E29"/>
      <c r="F29"/>
    </row>
    <row r="30" spans="1:6" ht="12" customHeight="1" x14ac:dyDescent="0.25">
      <c r="A30" s="170" t="s">
        <v>75</v>
      </c>
      <c r="B30"/>
      <c r="C30"/>
      <c r="D30"/>
      <c r="E30"/>
      <c r="F30"/>
    </row>
    <row r="31" spans="1:6" x14ac:dyDescent="0.25">
      <c r="A31" s="274" t="s">
        <v>63</v>
      </c>
      <c r="B31"/>
      <c r="C31"/>
      <c r="D31"/>
      <c r="E31"/>
      <c r="F31"/>
    </row>
    <row r="32" spans="1:6" x14ac:dyDescent="0.25">
      <c r="A32"/>
      <c r="B32"/>
      <c r="C32"/>
      <c r="D32"/>
      <c r="E32"/>
      <c r="F32"/>
    </row>
    <row r="33" spans="1:6" x14ac:dyDescent="0.25">
      <c r="A33"/>
      <c r="B33"/>
      <c r="C33"/>
      <c r="D33"/>
      <c r="E33"/>
      <c r="F33"/>
    </row>
    <row r="34" spans="1:6" x14ac:dyDescent="0.25">
      <c r="A34"/>
      <c r="B34"/>
      <c r="C34"/>
      <c r="D34"/>
      <c r="E34"/>
      <c r="F34"/>
    </row>
    <row r="35" spans="1:6" x14ac:dyDescent="0.25">
      <c r="A35"/>
      <c r="B35"/>
      <c r="C35"/>
      <c r="D35"/>
      <c r="E35"/>
      <c r="F35"/>
    </row>
    <row r="36" spans="1:6" x14ac:dyDescent="0.25">
      <c r="A36"/>
      <c r="B36"/>
      <c r="C36"/>
      <c r="D36"/>
      <c r="E36"/>
      <c r="F36"/>
    </row>
    <row r="37" spans="1:6" x14ac:dyDescent="0.25">
      <c r="A37"/>
      <c r="B37"/>
      <c r="C37"/>
      <c r="D37"/>
      <c r="E37" s="47"/>
      <c r="F37" s="99"/>
    </row>
    <row r="38" spans="1:6" x14ac:dyDescent="0.25">
      <c r="A38"/>
      <c r="B38"/>
      <c r="C38"/>
      <c r="D38"/>
      <c r="E38" s="47"/>
      <c r="F38" s="114"/>
    </row>
    <row r="39" spans="1:6" x14ac:dyDescent="0.25">
      <c r="A39"/>
      <c r="B39"/>
      <c r="C39"/>
      <c r="D39"/>
      <c r="E39" s="47"/>
      <c r="F39" s="114"/>
    </row>
    <row r="40" spans="1:6" x14ac:dyDescent="0.25">
      <c r="A40"/>
      <c r="B40"/>
      <c r="C40"/>
      <c r="D40"/>
      <c r="E40"/>
      <c r="F40" s="114"/>
    </row>
    <row r="41" spans="1:6" x14ac:dyDescent="0.25">
      <c r="A41"/>
      <c r="B41"/>
      <c r="C41"/>
      <c r="D41"/>
      <c r="E41"/>
      <c r="F41"/>
    </row>
    <row r="42" spans="1:6" x14ac:dyDescent="0.25">
      <c r="A42"/>
      <c r="B42"/>
      <c r="C42"/>
      <c r="D42"/>
      <c r="E42"/>
      <c r="F42"/>
    </row>
    <row r="43" spans="1:6" x14ac:dyDescent="0.25">
      <c r="A43"/>
      <c r="B43"/>
      <c r="C43"/>
      <c r="D43"/>
      <c r="E43"/>
      <c r="F43"/>
    </row>
    <row r="44" spans="1:6" x14ac:dyDescent="0.25">
      <c r="A44"/>
      <c r="B44"/>
      <c r="C44"/>
      <c r="D44"/>
      <c r="E44"/>
      <c r="F44"/>
    </row>
    <row r="46" spans="1:6" ht="14.25" customHeight="1" x14ac:dyDescent="0.25"/>
    <row r="47" spans="1:6" hidden="1" x14ac:dyDescent="0.25">
      <c r="A47" s="47"/>
      <c r="B47" s="119"/>
      <c r="C47" s="119"/>
      <c r="D47" s="119"/>
    </row>
    <row r="48" spans="1:6" hidden="1" x14ac:dyDescent="0.25">
      <c r="A48" s="47"/>
      <c r="B48" s="119"/>
      <c r="C48" s="119"/>
      <c r="D48" s="119"/>
    </row>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mergeCells count="6">
    <mergeCell ref="A6:D6"/>
    <mergeCell ref="A1:D1"/>
    <mergeCell ref="A2:D2"/>
    <mergeCell ref="A3:D3"/>
    <mergeCell ref="A4:D4"/>
    <mergeCell ref="A5:D5"/>
  </mergeCells>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N104"/>
  <sheetViews>
    <sheetView showGridLines="0" zoomScaleNormal="100" workbookViewId="0">
      <selection activeCell="I15" sqref="I15"/>
    </sheetView>
  </sheetViews>
  <sheetFormatPr baseColWidth="10" defaultColWidth="11.42578125" defaultRowHeight="15" x14ac:dyDescent="0.25"/>
  <cols>
    <col min="1" max="1" width="0.28515625" style="1" customWidth="1"/>
    <col min="2" max="2" width="13" style="1" customWidth="1"/>
    <col min="3" max="5" width="18.140625" style="1" customWidth="1"/>
    <col min="6" max="6" width="19.28515625" style="1" customWidth="1"/>
    <col min="7" max="7" width="13.5703125" style="1" customWidth="1"/>
    <col min="8" max="8" width="18" style="1" customWidth="1"/>
    <col min="9" max="9" width="23.28515625" style="1" customWidth="1"/>
    <col min="10" max="10" width="18.140625" style="1" customWidth="1"/>
    <col min="11" max="17" width="16.28515625" style="1" customWidth="1"/>
    <col min="18" max="16384" width="11.42578125" style="1"/>
  </cols>
  <sheetData>
    <row r="1" spans="2:14" x14ac:dyDescent="0.25">
      <c r="B1" s="536" t="s">
        <v>0</v>
      </c>
      <c r="C1" s="536"/>
      <c r="D1" s="536"/>
      <c r="E1" s="536"/>
      <c r="F1" s="536"/>
      <c r="G1" s="536"/>
      <c r="H1" s="536"/>
      <c r="I1" s="536"/>
    </row>
    <row r="2" spans="2:14" x14ac:dyDescent="0.25">
      <c r="B2" s="536" t="s">
        <v>76</v>
      </c>
      <c r="C2" s="536"/>
      <c r="D2" s="536"/>
      <c r="E2" s="536"/>
      <c r="F2" s="536"/>
      <c r="G2" s="536"/>
      <c r="H2" s="536"/>
      <c r="I2" s="536"/>
    </row>
    <row r="3" spans="2:14" x14ac:dyDescent="0.25">
      <c r="B3" s="536" t="s">
        <v>77</v>
      </c>
      <c r="C3" s="536"/>
      <c r="D3" s="536"/>
      <c r="E3" s="536"/>
      <c r="F3" s="536"/>
      <c r="G3" s="536"/>
      <c r="H3" s="536"/>
      <c r="I3" s="536"/>
    </row>
    <row r="4" spans="2:14" x14ac:dyDescent="0.25">
      <c r="B4" s="536" t="s">
        <v>3</v>
      </c>
      <c r="C4" s="536"/>
      <c r="D4" s="536"/>
      <c r="E4" s="536"/>
      <c r="F4" s="536"/>
      <c r="G4" s="536"/>
      <c r="H4" s="536"/>
      <c r="I4" s="536"/>
    </row>
    <row r="5" spans="2:14" x14ac:dyDescent="0.25">
      <c r="B5" s="536" t="s">
        <v>4</v>
      </c>
      <c r="C5" s="536"/>
      <c r="D5" s="536"/>
      <c r="E5" s="536"/>
      <c r="F5" s="536"/>
      <c r="G5" s="536"/>
      <c r="H5" s="536"/>
      <c r="I5" s="536"/>
    </row>
    <row r="6" spans="2:14" x14ac:dyDescent="0.25">
      <c r="B6" s="190"/>
      <c r="C6" s="541" t="s">
        <v>78</v>
      </c>
      <c r="D6" s="541"/>
      <c r="E6" s="541"/>
      <c r="F6" s="541" t="s">
        <v>79</v>
      </c>
      <c r="G6" s="541"/>
      <c r="H6" s="541"/>
      <c r="I6" s="541"/>
    </row>
    <row r="7" spans="2:14" ht="15" customHeight="1" x14ac:dyDescent="0.25">
      <c r="B7" s="39" t="s">
        <v>5</v>
      </c>
      <c r="C7" s="537" t="s">
        <v>80</v>
      </c>
      <c r="D7" s="537" t="s">
        <v>81</v>
      </c>
      <c r="E7" s="537" t="s">
        <v>82</v>
      </c>
      <c r="F7" s="537" t="s">
        <v>83</v>
      </c>
      <c r="G7" s="537"/>
      <c r="H7" s="537" t="s">
        <v>8</v>
      </c>
      <c r="I7" s="537"/>
      <c r="J7" s="14"/>
    </row>
    <row r="8" spans="2:14" x14ac:dyDescent="0.25">
      <c r="B8" s="39"/>
      <c r="C8" s="537"/>
      <c r="D8" s="537"/>
      <c r="E8" s="537"/>
      <c r="F8" s="537"/>
      <c r="G8" s="537"/>
      <c r="H8" s="537"/>
      <c r="I8" s="537"/>
      <c r="J8" s="14"/>
    </row>
    <row r="9" spans="2:14" ht="13.5" customHeight="1" x14ac:dyDescent="0.25">
      <c r="B9" s="120"/>
      <c r="C9" s="99" t="s">
        <v>9</v>
      </c>
      <c r="D9" s="99" t="s">
        <v>9</v>
      </c>
      <c r="E9" s="99" t="s">
        <v>9</v>
      </c>
      <c r="F9" s="99" t="s">
        <v>10</v>
      </c>
      <c r="G9" s="99" t="s">
        <v>11</v>
      </c>
      <c r="H9" s="382" t="s">
        <v>10</v>
      </c>
      <c r="I9" s="99" t="s">
        <v>11</v>
      </c>
    </row>
    <row r="10" spans="2:14" hidden="1" x14ac:dyDescent="0.25">
      <c r="B10" s="139" t="s">
        <v>12</v>
      </c>
      <c r="C10" s="167"/>
      <c r="D10" s="167"/>
      <c r="E10" s="137"/>
      <c r="F10" s="104"/>
      <c r="G10" s="178" t="e">
        <f>(F10/E10)</f>
        <v>#DIV/0!</v>
      </c>
      <c r="H10" s="383">
        <f>+E10-F10</f>
        <v>0</v>
      </c>
      <c r="I10" s="136" t="e">
        <f>(H10/E10)</f>
        <v>#DIV/0!</v>
      </c>
    </row>
    <row r="11" spans="2:14" ht="2.25" hidden="1" customHeight="1" x14ac:dyDescent="0.25">
      <c r="B11" s="75" t="s">
        <v>17</v>
      </c>
      <c r="C11" s="114">
        <v>2990518195.5700002</v>
      </c>
      <c r="D11" s="114">
        <v>3889644.92</v>
      </c>
      <c r="E11" s="114">
        <v>3043479848.3199997</v>
      </c>
      <c r="F11" s="275">
        <v>2993540874.0500002</v>
      </c>
      <c r="G11" s="2">
        <f>(F11/E11)</f>
        <v>0.98359148844124411</v>
      </c>
      <c r="H11" s="383">
        <f>+E11-F11</f>
        <v>49938974.269999504</v>
      </c>
      <c r="I11" s="276">
        <f>(H11/E11)</f>
        <v>1.6408511558755945E-2</v>
      </c>
      <c r="J11" s="14"/>
    </row>
    <row r="12" spans="2:14" hidden="1" x14ac:dyDescent="0.25">
      <c r="B12" s="75" t="s">
        <v>18</v>
      </c>
      <c r="C12" s="114">
        <v>2952232164</v>
      </c>
      <c r="D12" s="467">
        <v>374463.47000000003</v>
      </c>
      <c r="E12" s="114">
        <v>2991604052.5299993</v>
      </c>
      <c r="F12" s="104">
        <v>2942532044.6999998</v>
      </c>
      <c r="G12" s="2">
        <f>(F12/E12)</f>
        <v>0.98359675713485573</v>
      </c>
      <c r="H12" s="383">
        <f>+E12-F12</f>
        <v>49072007.829999447</v>
      </c>
      <c r="I12" s="276">
        <f>(H12/E12)</f>
        <v>1.6403242865144288E-2</v>
      </c>
      <c r="L12" s="14"/>
      <c r="N12" s="94"/>
    </row>
    <row r="13" spans="2:14" hidden="1" x14ac:dyDescent="0.25">
      <c r="B13" s="75" t="s">
        <v>19</v>
      </c>
      <c r="C13" s="114">
        <v>2987602838.7799997</v>
      </c>
      <c r="D13" s="467">
        <v>0</v>
      </c>
      <c r="E13" s="114">
        <v>2987602838.7799997</v>
      </c>
      <c r="F13" s="277">
        <v>2948605413.7200003</v>
      </c>
      <c r="G13" s="2">
        <f>(F13/E13)</f>
        <v>0.98694691792570255</v>
      </c>
      <c r="H13" s="384">
        <f>+E13-F13</f>
        <v>38997425.059999466</v>
      </c>
      <c r="I13" s="276">
        <f>(H13/E13)</f>
        <v>1.3053082074297475E-2</v>
      </c>
    </row>
    <row r="14" spans="2:14" ht="48" hidden="1" customHeight="1" x14ac:dyDescent="0.25">
      <c r="B14" s="24" t="s">
        <v>20</v>
      </c>
      <c r="C14" s="70">
        <f>SUM(C10:C13)</f>
        <v>8930353198.3499985</v>
      </c>
      <c r="D14" s="8">
        <f>SUM(D10:D13)</f>
        <v>4264108.3899999997</v>
      </c>
      <c r="E14" s="8">
        <f>SUM(E10:E13)</f>
        <v>9022686739.6299973</v>
      </c>
      <c r="F14" s="8">
        <f>SUM(F10:F13)</f>
        <v>8884678332.4700012</v>
      </c>
      <c r="G14" s="278">
        <f>+F14/E14</f>
        <v>0.98470428918319564</v>
      </c>
      <c r="H14" s="385">
        <f>(C14+D14)-F14</f>
        <v>49938974.269996643</v>
      </c>
      <c r="I14" s="180">
        <f>+H14/E14</f>
        <v>5.5348230201378509E-3</v>
      </c>
      <c r="J14" s="18"/>
    </row>
    <row r="15" spans="2:14" x14ac:dyDescent="0.25">
      <c r="B15" s="258" t="s">
        <v>13</v>
      </c>
      <c r="C15" s="468">
        <v>3899615116.6500001</v>
      </c>
      <c r="D15" s="468">
        <v>475170.27999999997</v>
      </c>
      <c r="E15" s="468">
        <v>4106267656.8499999</v>
      </c>
      <c r="F15" s="468">
        <v>3934145625.52</v>
      </c>
      <c r="G15" s="469">
        <f>F15/E15</f>
        <v>0.95808309498703303</v>
      </c>
      <c r="H15" s="386">
        <v>172122031.33000001</v>
      </c>
      <c r="I15" s="469">
        <f>(H15/E15)</f>
        <v>4.1916905012967E-2</v>
      </c>
    </row>
    <row r="16" spans="2:14" x14ac:dyDescent="0.25">
      <c r="B16" s="258" t="s">
        <v>14</v>
      </c>
      <c r="C16" s="468">
        <v>3899615116.6500001</v>
      </c>
      <c r="D16" s="468">
        <v>1340949.3999999999</v>
      </c>
      <c r="E16" s="468">
        <v>4087398883.75</v>
      </c>
      <c r="F16" s="468">
        <v>3881221513.8299999</v>
      </c>
      <c r="G16" s="469">
        <f t="shared" ref="G16:G17" si="0">F16/E16</f>
        <v>0.94955780539558154</v>
      </c>
      <c r="H16" s="386">
        <v>206177369.9199996</v>
      </c>
      <c r="I16" s="469">
        <f>(H16/E16)</f>
        <v>5.0442194604418289E-2</v>
      </c>
    </row>
    <row r="17" spans="2:14" x14ac:dyDescent="0.25">
      <c r="B17" s="258" t="s">
        <v>15</v>
      </c>
      <c r="C17" s="468">
        <v>3899615116.6500001</v>
      </c>
      <c r="D17" s="468">
        <v>1466835.55</v>
      </c>
      <c r="E17" s="468">
        <v>4070986603.7600007</v>
      </c>
      <c r="F17" s="468">
        <v>3884543786.0599999</v>
      </c>
      <c r="G17" s="469">
        <f t="shared" si="0"/>
        <v>0.95420205570615235</v>
      </c>
      <c r="H17" s="386">
        <v>186442817.69999999</v>
      </c>
      <c r="I17" s="469">
        <f>(H17/E17)</f>
        <v>4.5797944293847509E-2</v>
      </c>
    </row>
    <row r="18" spans="2:14" x14ac:dyDescent="0.25">
      <c r="B18" s="206" t="s">
        <v>16</v>
      </c>
      <c r="C18" s="470">
        <f>+C15+C16+C17</f>
        <v>11698845349.950001</v>
      </c>
      <c r="D18" s="470">
        <f>+D15+D16+D17</f>
        <v>3282955.23</v>
      </c>
      <c r="E18" s="470">
        <f>+E15+E16+E17</f>
        <v>12264653144.360001</v>
      </c>
      <c r="F18" s="470">
        <f>+F15+F16+F17</f>
        <v>11699910925.41</v>
      </c>
      <c r="G18" s="471">
        <f>F18/(C18+D18)</f>
        <v>0.99981051483010841</v>
      </c>
      <c r="H18" s="472">
        <f>SUM(H15:H17)</f>
        <v>564742218.94999957</v>
      </c>
      <c r="I18" s="471">
        <f>+H18/E18</f>
        <v>4.6046326162081541E-2</v>
      </c>
      <c r="J18" s="290"/>
      <c r="K18" s="387"/>
    </row>
    <row r="19" spans="2:14" hidden="1" x14ac:dyDescent="0.25">
      <c r="B19" s="75" t="s">
        <v>21</v>
      </c>
      <c r="C19" s="103"/>
      <c r="D19" s="103"/>
      <c r="E19" s="103"/>
      <c r="F19" s="104"/>
      <c r="G19" s="2"/>
      <c r="H19" s="62"/>
      <c r="I19" s="4"/>
    </row>
    <row r="20" spans="2:14" hidden="1" x14ac:dyDescent="0.25">
      <c r="B20" s="75" t="s">
        <v>22</v>
      </c>
      <c r="C20" s="103"/>
      <c r="D20" s="103"/>
      <c r="E20" s="103"/>
      <c r="F20" s="104"/>
      <c r="G20" s="2"/>
      <c r="H20" s="62"/>
      <c r="I20" s="4"/>
    </row>
    <row r="21" spans="2:14" hidden="1" x14ac:dyDescent="0.25">
      <c r="B21" s="75" t="s">
        <v>23</v>
      </c>
      <c r="C21" s="103"/>
      <c r="D21" s="103"/>
      <c r="E21" s="103"/>
      <c r="F21" s="104"/>
      <c r="G21" s="2"/>
      <c r="H21" s="62"/>
      <c r="I21" s="4"/>
    </row>
    <row r="22" spans="2:14" hidden="1" x14ac:dyDescent="0.25">
      <c r="B22" s="24" t="s">
        <v>24</v>
      </c>
      <c r="C22" s="8"/>
      <c r="D22" s="8"/>
      <c r="E22" s="8"/>
      <c r="F22" s="8"/>
      <c r="G22" s="3"/>
      <c r="H22" s="13"/>
      <c r="I22" s="5"/>
    </row>
    <row r="23" spans="2:14" hidden="1" x14ac:dyDescent="0.25">
      <c r="B23" s="75" t="s">
        <v>25</v>
      </c>
      <c r="C23" s="103"/>
      <c r="D23" s="103"/>
      <c r="E23" s="103"/>
      <c r="F23" s="104"/>
      <c r="G23" s="2"/>
      <c r="H23" s="62"/>
      <c r="I23" s="4"/>
    </row>
    <row r="24" spans="2:14" hidden="1" x14ac:dyDescent="0.25">
      <c r="B24" s="75" t="s">
        <v>26</v>
      </c>
      <c r="C24" s="103"/>
      <c r="D24" s="103"/>
      <c r="E24" s="103"/>
      <c r="F24" s="104"/>
      <c r="G24" s="2"/>
      <c r="H24" s="62"/>
      <c r="I24" s="4"/>
    </row>
    <row r="25" spans="2:14" hidden="1" x14ac:dyDescent="0.25">
      <c r="B25" s="75" t="s">
        <v>27</v>
      </c>
      <c r="C25" s="103"/>
      <c r="D25" s="103"/>
      <c r="E25" s="103"/>
      <c r="F25" s="104"/>
      <c r="G25" s="2"/>
      <c r="H25" s="62"/>
      <c r="I25" s="4"/>
    </row>
    <row r="26" spans="2:14" ht="24.75" hidden="1" customHeight="1" x14ac:dyDescent="0.25">
      <c r="B26" s="75" t="s">
        <v>12</v>
      </c>
      <c r="C26" s="103"/>
      <c r="D26" s="103"/>
      <c r="E26" s="103"/>
      <c r="F26" s="104"/>
      <c r="G26" s="2"/>
      <c r="H26" s="62"/>
      <c r="I26" s="4"/>
    </row>
    <row r="27" spans="2:14" ht="50.25" hidden="1" customHeight="1" x14ac:dyDescent="0.25">
      <c r="B27" s="24" t="s">
        <v>28</v>
      </c>
      <c r="C27" s="8">
        <f>SUM(C23:C26)</f>
        <v>0</v>
      </c>
      <c r="D27" s="8"/>
      <c r="E27" s="8"/>
      <c r="F27" s="8">
        <f>SUM(F23:F26)</f>
        <v>0</v>
      </c>
      <c r="G27" s="3" t="e">
        <f>(F27/C27)</f>
        <v>#DIV/0!</v>
      </c>
      <c r="H27" s="13">
        <f>SUM(H23:H26)</f>
        <v>0</v>
      </c>
      <c r="I27" s="5" t="e">
        <f>(H27/C27)</f>
        <v>#DIV/0!</v>
      </c>
      <c r="N27" s="215"/>
    </row>
    <row r="28" spans="2:14" ht="35.25" hidden="1" customHeight="1" x14ac:dyDescent="0.25">
      <c r="B28" s="106" t="s">
        <v>29</v>
      </c>
      <c r="C28" s="10">
        <f>+C14+C18+C22+C27</f>
        <v>20629198548.299999</v>
      </c>
      <c r="D28" s="10"/>
      <c r="E28" s="10"/>
      <c r="F28" s="10">
        <f>+F14+F18+F22+F27</f>
        <v>20584589257.880001</v>
      </c>
      <c r="G28" s="17">
        <f>(F28/C28)</f>
        <v>0.99783756551106173</v>
      </c>
      <c r="H28" s="11">
        <f>+H14+H18+H22+H27</f>
        <v>614681193.21999621</v>
      </c>
      <c r="I28" s="17">
        <v>1</v>
      </c>
    </row>
    <row r="29" spans="2:14" ht="15.75" customHeight="1" x14ac:dyDescent="0.25">
      <c r="B29" s="544" t="s">
        <v>84</v>
      </c>
      <c r="C29" s="545"/>
      <c r="D29" s="545"/>
      <c r="E29" s="545"/>
      <c r="F29" s="545"/>
      <c r="G29" s="545"/>
      <c r="H29" s="545"/>
      <c r="I29" s="545"/>
      <c r="J29" s="28"/>
    </row>
    <row r="30" spans="2:14" ht="13.5" customHeight="1" x14ac:dyDescent="0.25">
      <c r="B30" s="542" t="s">
        <v>85</v>
      </c>
      <c r="C30" s="542"/>
      <c r="D30" s="542"/>
      <c r="E30" s="542"/>
      <c r="F30" s="542"/>
      <c r="G30" s="542"/>
      <c r="H30" s="542"/>
      <c r="I30" s="542"/>
      <c r="J30" s="14"/>
      <c r="K30" s="94"/>
    </row>
    <row r="31" spans="2:14" ht="13.5" customHeight="1" x14ac:dyDescent="0.25">
      <c r="B31" s="375" t="s">
        <v>86</v>
      </c>
      <c r="C31" s="375"/>
      <c r="D31" s="375"/>
      <c r="E31" s="375"/>
      <c r="F31" s="375"/>
      <c r="G31" s="375"/>
      <c r="H31" s="375"/>
      <c r="I31" s="375"/>
      <c r="J31" s="14"/>
      <c r="K31" s="94"/>
    </row>
    <row r="32" spans="2:14" ht="13.5" customHeight="1" x14ac:dyDescent="0.25">
      <c r="B32" s="542" t="s">
        <v>87</v>
      </c>
      <c r="C32" s="542"/>
      <c r="D32" s="542"/>
      <c r="E32" s="542"/>
      <c r="F32" s="542"/>
      <c r="G32" s="542"/>
      <c r="H32" s="542"/>
      <c r="I32" s="542"/>
      <c r="J32" s="14"/>
      <c r="K32" s="94"/>
    </row>
    <row r="33" spans="2:13" ht="12.75" customHeight="1" x14ac:dyDescent="0.25">
      <c r="B33" s="543" t="s">
        <v>88</v>
      </c>
      <c r="C33" s="543"/>
      <c r="D33" s="543"/>
      <c r="E33" s="543"/>
      <c r="F33" s="543"/>
      <c r="G33" s="543"/>
      <c r="H33" s="543"/>
      <c r="I33" s="543"/>
      <c r="K33" s="28"/>
      <c r="M33" s="14"/>
    </row>
    <row r="34" spans="2:13" x14ac:dyDescent="0.25">
      <c r="C34" s="30"/>
      <c r="D34" s="30"/>
      <c r="E34" s="30"/>
      <c r="F34" s="30"/>
      <c r="G34" s="18"/>
      <c r="H34" s="30"/>
      <c r="I34" s="30"/>
      <c r="J34" s="14"/>
    </row>
    <row r="35" spans="2:13" ht="14.25" customHeight="1" x14ac:dyDescent="0.25"/>
    <row r="36" spans="2:13" hidden="1" x14ac:dyDescent="0.25"/>
    <row r="37" spans="2:13" hidden="1" x14ac:dyDescent="0.25"/>
    <row r="38" spans="2:13" hidden="1" x14ac:dyDescent="0.25"/>
    <row r="39" spans="2:13" hidden="1" x14ac:dyDescent="0.25"/>
    <row r="40" spans="2:13" hidden="1" x14ac:dyDescent="0.25"/>
    <row r="41" spans="2:13" hidden="1" x14ac:dyDescent="0.25"/>
    <row r="42" spans="2:13" hidden="1" x14ac:dyDescent="0.25"/>
    <row r="43" spans="2:13" hidden="1" x14ac:dyDescent="0.25"/>
    <row r="44" spans="2:13" hidden="1" x14ac:dyDescent="0.25"/>
    <row r="45" spans="2:13" hidden="1" x14ac:dyDescent="0.25"/>
    <row r="46" spans="2:13" hidden="1" x14ac:dyDescent="0.25"/>
    <row r="47" spans="2:13" hidden="1" x14ac:dyDescent="0.25"/>
    <row r="48" spans="2:13" hidden="1" x14ac:dyDescent="0.25"/>
    <row r="49" spans="5:10" hidden="1" x14ac:dyDescent="0.25"/>
    <row r="50" spans="5:10" hidden="1" x14ac:dyDescent="0.25"/>
    <row r="51" spans="5:10" hidden="1" x14ac:dyDescent="0.25"/>
    <row r="52" spans="5:10" hidden="1" x14ac:dyDescent="0.25"/>
    <row r="53" spans="5:10" hidden="1" x14ac:dyDescent="0.25"/>
    <row r="54" spans="5:10" hidden="1" x14ac:dyDescent="0.25"/>
    <row r="55" spans="5:10" hidden="1" x14ac:dyDescent="0.25"/>
    <row r="56" spans="5:10" hidden="1" x14ac:dyDescent="0.25">
      <c r="J56" s="4"/>
    </row>
    <row r="57" spans="5:10" hidden="1" x14ac:dyDescent="0.25"/>
    <row r="58" spans="5:10" hidden="1" x14ac:dyDescent="0.25">
      <c r="J58" s="4"/>
    </row>
    <row r="59" spans="5:10" hidden="1" x14ac:dyDescent="0.25"/>
    <row r="61" spans="5:10" x14ac:dyDescent="0.25">
      <c r="E61" s="31"/>
    </row>
    <row r="69" spans="2:9" x14ac:dyDescent="0.25">
      <c r="B69" s="543"/>
      <c r="C69" s="543"/>
      <c r="D69" s="543"/>
      <c r="E69" s="543"/>
      <c r="F69" s="543"/>
      <c r="G69" s="543"/>
      <c r="H69" s="543"/>
      <c r="I69" s="543"/>
    </row>
    <row r="70" spans="2:9" x14ac:dyDescent="0.25">
      <c r="B70" s="156"/>
      <c r="C70" s="154"/>
      <c r="D70"/>
      <c r="E70" s="64"/>
      <c r="F70"/>
      <c r="G70"/>
      <c r="H70"/>
      <c r="I70"/>
    </row>
    <row r="71" spans="2:9" x14ac:dyDescent="0.25">
      <c r="B71"/>
      <c r="C71" s="127"/>
      <c r="D71"/>
      <c r="E71" s="127"/>
      <c r="F71"/>
      <c r="G71"/>
      <c r="H71"/>
      <c r="I71"/>
    </row>
    <row r="72" spans="2:9" x14ac:dyDescent="0.25">
      <c r="B72"/>
      <c r="C72"/>
      <c r="D72"/>
      <c r="E72"/>
      <c r="F72"/>
      <c r="G72"/>
      <c r="H72"/>
      <c r="I72"/>
    </row>
    <row r="73" spans="2:9" x14ac:dyDescent="0.25">
      <c r="B73"/>
      <c r="C73"/>
      <c r="D73"/>
      <c r="E73"/>
      <c r="F73"/>
      <c r="G73"/>
      <c r="H73"/>
      <c r="I73"/>
    </row>
    <row r="74" spans="2:9" x14ac:dyDescent="0.25">
      <c r="B74"/>
      <c r="C74"/>
      <c r="D74"/>
      <c r="E74"/>
      <c r="F74"/>
      <c r="G74"/>
      <c r="H74"/>
      <c r="I74"/>
    </row>
    <row r="75" spans="2:9" x14ac:dyDescent="0.25">
      <c r="B75"/>
      <c r="C75"/>
      <c r="D75"/>
      <c r="E75"/>
      <c r="F75"/>
      <c r="G75"/>
      <c r="H75"/>
      <c r="I75"/>
    </row>
    <row r="76" spans="2:9" x14ac:dyDescent="0.25">
      <c r="B76"/>
      <c r="C76"/>
      <c r="D76"/>
      <c r="E76"/>
      <c r="F76"/>
      <c r="G76"/>
      <c r="H76"/>
      <c r="I76"/>
    </row>
    <row r="77" spans="2:9" x14ac:dyDescent="0.25">
      <c r="B77"/>
      <c r="C77"/>
      <c r="D77"/>
      <c r="E77"/>
      <c r="F77"/>
      <c r="G77"/>
      <c r="H77"/>
      <c r="I77"/>
    </row>
    <row r="78" spans="2:9" x14ac:dyDescent="0.25">
      <c r="B78"/>
      <c r="C78"/>
      <c r="D78"/>
      <c r="E78"/>
      <c r="F78"/>
      <c r="G78"/>
      <c r="H78"/>
      <c r="I78"/>
    </row>
    <row r="79" spans="2:9" x14ac:dyDescent="0.25">
      <c r="B79"/>
      <c r="C79"/>
      <c r="D79"/>
      <c r="E79"/>
      <c r="F79"/>
      <c r="G79"/>
      <c r="H79"/>
      <c r="I79"/>
    </row>
    <row r="80" spans="2:9" x14ac:dyDescent="0.25">
      <c r="B80"/>
      <c r="C80"/>
      <c r="D80"/>
      <c r="E80"/>
      <c r="F80"/>
      <c r="G80"/>
      <c r="H80"/>
      <c r="I80"/>
    </row>
    <row r="81" spans="2:9" x14ac:dyDescent="0.25">
      <c r="B81"/>
      <c r="C81"/>
      <c r="D81"/>
      <c r="E81"/>
      <c r="F81"/>
      <c r="G81"/>
      <c r="H81"/>
      <c r="I81"/>
    </row>
    <row r="82" spans="2:9" x14ac:dyDescent="0.25">
      <c r="B82"/>
      <c r="C82"/>
      <c r="D82"/>
      <c r="E82"/>
      <c r="F82"/>
      <c r="G82"/>
      <c r="H82"/>
      <c r="I82"/>
    </row>
    <row r="83" spans="2:9" x14ac:dyDescent="0.25">
      <c r="B83"/>
      <c r="C83"/>
      <c r="D83"/>
      <c r="E83"/>
      <c r="F83"/>
      <c r="G83"/>
      <c r="H83"/>
      <c r="I83"/>
    </row>
    <row r="84" spans="2:9" x14ac:dyDescent="0.25">
      <c r="B84"/>
      <c r="C84"/>
      <c r="D84"/>
      <c r="E84"/>
      <c r="F84"/>
      <c r="G84"/>
      <c r="H84"/>
      <c r="I84"/>
    </row>
    <row r="85" spans="2:9" x14ac:dyDescent="0.25">
      <c r="B85"/>
      <c r="C85"/>
      <c r="D85"/>
      <c r="E85"/>
      <c r="F85"/>
      <c r="G85"/>
      <c r="H85"/>
      <c r="I85"/>
    </row>
    <row r="86" spans="2:9" x14ac:dyDescent="0.25">
      <c r="B86"/>
      <c r="C86"/>
      <c r="D86"/>
      <c r="E86"/>
      <c r="F86"/>
      <c r="G86"/>
      <c r="H86"/>
      <c r="I86"/>
    </row>
    <row r="87" spans="2:9" x14ac:dyDescent="0.25">
      <c r="B87"/>
      <c r="C87"/>
      <c r="D87"/>
      <c r="E87"/>
      <c r="F87"/>
      <c r="G87"/>
      <c r="H87"/>
      <c r="I87"/>
    </row>
    <row r="88" spans="2:9" ht="15" customHeight="1" x14ac:dyDescent="0.25">
      <c r="B88"/>
      <c r="C88"/>
      <c r="D88"/>
      <c r="E88"/>
      <c r="F88"/>
      <c r="G88"/>
      <c r="H88"/>
      <c r="I88"/>
    </row>
    <row r="89" spans="2:9" x14ac:dyDescent="0.25">
      <c r="B89"/>
      <c r="C89"/>
      <c r="D89"/>
      <c r="E89"/>
      <c r="F89"/>
      <c r="G89"/>
      <c r="H89"/>
      <c r="I89"/>
    </row>
    <row r="90" spans="2:9" x14ac:dyDescent="0.25">
      <c r="B90"/>
      <c r="C90"/>
      <c r="D90"/>
      <c r="E90"/>
      <c r="F90"/>
      <c r="G90"/>
      <c r="H90"/>
      <c r="I90"/>
    </row>
    <row r="91" spans="2:9" ht="15" hidden="1" customHeight="1" x14ac:dyDescent="0.25">
      <c r="B91"/>
      <c r="C91"/>
      <c r="D91"/>
      <c r="E91"/>
      <c r="F91"/>
      <c r="G91"/>
      <c r="H91"/>
      <c r="I91"/>
    </row>
    <row r="92" spans="2:9" x14ac:dyDescent="0.25">
      <c r="C92" s="75"/>
      <c r="D92" s="103"/>
      <c r="E92" s="121"/>
      <c r="F92" s="103"/>
      <c r="G92" s="104"/>
      <c r="H92" s="2"/>
      <c r="I92" s="62"/>
    </row>
    <row r="94" spans="2:9" x14ac:dyDescent="0.25">
      <c r="C94" s="75"/>
      <c r="D94" s="121"/>
      <c r="E94" s="103"/>
      <c r="F94" s="103"/>
      <c r="G94" s="104"/>
      <c r="H94" s="2"/>
      <c r="I94" s="96"/>
    </row>
    <row r="96" spans="2:9" x14ac:dyDescent="0.25">
      <c r="C96" s="1">
        <v>3143190720.0000005</v>
      </c>
      <c r="D96" s="1">
        <v>557941.93000000005</v>
      </c>
      <c r="E96" s="1">
        <v>3133552588.0299993</v>
      </c>
      <c r="F96" s="1">
        <v>3099575860.27</v>
      </c>
      <c r="G96" s="1">
        <v>0.98915519124736007</v>
      </c>
      <c r="H96" s="1">
        <v>33976727.759999275</v>
      </c>
    </row>
    <row r="100" spans="2:9" x14ac:dyDescent="0.25">
      <c r="B100" s="220"/>
      <c r="C100" s="220">
        <v>8930353198.3400002</v>
      </c>
      <c r="D100" s="220">
        <v>736884.49</v>
      </c>
      <c r="E100" s="220">
        <v>9019159515.7199993</v>
      </c>
      <c r="F100" s="220">
        <v>8884678332.4700012</v>
      </c>
      <c r="G100" s="232">
        <v>0.99480292107946799</v>
      </c>
      <c r="H100" s="220">
        <v>46411750.359998703</v>
      </c>
      <c r="I100" s="272">
        <v>5.1966501210445951E-3</v>
      </c>
    </row>
    <row r="101" spans="2:9" x14ac:dyDescent="0.25">
      <c r="B101" s="220" t="s">
        <v>15</v>
      </c>
      <c r="C101" s="220">
        <v>3003939801.5499997</v>
      </c>
      <c r="D101" s="220">
        <v>426396.11</v>
      </c>
      <c r="E101" s="220">
        <v>3050777948.019999</v>
      </c>
      <c r="F101" s="220">
        <v>3060974021.9200001</v>
      </c>
      <c r="G101" s="232">
        <v>1.003342589772519</v>
      </c>
      <c r="H101" s="220">
        <v>-10196073.900001049</v>
      </c>
      <c r="I101" s="272">
        <v>-3.3421225909340451E-3</v>
      </c>
    </row>
    <row r="102" spans="2:9" x14ac:dyDescent="0.25">
      <c r="B102" s="220" t="s">
        <v>14</v>
      </c>
      <c r="C102" s="220">
        <v>3143190720.0000005</v>
      </c>
      <c r="D102" s="220">
        <v>557941.93000000005</v>
      </c>
      <c r="E102" s="220">
        <v>3133552588.0299993</v>
      </c>
      <c r="F102" s="220">
        <v>3099575860.27</v>
      </c>
      <c r="G102" s="232">
        <v>0.98915519124736007</v>
      </c>
      <c r="H102" s="220">
        <v>33976727.759999275</v>
      </c>
      <c r="I102" s="272">
        <v>1.0842877789825046E-2</v>
      </c>
    </row>
    <row r="103" spans="2:9" x14ac:dyDescent="0.25">
      <c r="B103" s="220" t="s">
        <v>13</v>
      </c>
      <c r="C103" s="220">
        <v>3155991435.9400001</v>
      </c>
      <c r="D103" s="220">
        <v>1059726.92</v>
      </c>
      <c r="E103" s="220">
        <v>3191027890.6199994</v>
      </c>
      <c r="F103" s="220">
        <v>3131972063.1999998</v>
      </c>
      <c r="G103" s="232">
        <v>0.98148701667558291</v>
      </c>
      <c r="H103" s="220">
        <v>59055827.419999599</v>
      </c>
      <c r="I103" s="272">
        <v>1.8506835240642592E-2</v>
      </c>
    </row>
    <row r="104" spans="2:9" x14ac:dyDescent="0.25">
      <c r="B104" s="220" t="s">
        <v>16</v>
      </c>
      <c r="C104" s="270">
        <v>9303121957.4899998</v>
      </c>
      <c r="D104" s="270">
        <v>2044064.96</v>
      </c>
      <c r="E104" s="270">
        <v>9375358426.6699982</v>
      </c>
      <c r="F104" s="270">
        <v>9292521945.3899994</v>
      </c>
      <c r="G104" s="271">
        <v>0.99368493436565275</v>
      </c>
      <c r="H104" s="270">
        <v>59055827.419998169</v>
      </c>
      <c r="I104" s="273">
        <v>6.3150656343472673E-3</v>
      </c>
    </row>
  </sheetData>
  <mergeCells count="17">
    <mergeCell ref="B32:I32"/>
    <mergeCell ref="B33:I33"/>
    <mergeCell ref="B69:I69"/>
    <mergeCell ref="B29:I29"/>
    <mergeCell ref="B30:I30"/>
    <mergeCell ref="B1:I1"/>
    <mergeCell ref="B2:I2"/>
    <mergeCell ref="B3:I3"/>
    <mergeCell ref="B5:I5"/>
    <mergeCell ref="F7:G8"/>
    <mergeCell ref="H7:I8"/>
    <mergeCell ref="C7:C8"/>
    <mergeCell ref="B4:I4"/>
    <mergeCell ref="D7:D8"/>
    <mergeCell ref="E7:E8"/>
    <mergeCell ref="C6:E6"/>
    <mergeCell ref="F6:I6"/>
  </mergeCells>
  <pageMargins left="0.7" right="0.7" top="0.75" bottom="0.75" header="0.3" footer="0.3"/>
  <pageSetup paperSize="9" scale="66" orientation="portrait" r:id="rId1"/>
  <ignoredErrors>
    <ignoredError sqref="I15:I17 G15:G18"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B1:AP104"/>
  <sheetViews>
    <sheetView showGridLines="0" topLeftCell="H1" zoomScaleNormal="100" zoomScaleSheetLayoutView="130" workbookViewId="0">
      <selection activeCell="AA7" sqref="AA7"/>
    </sheetView>
  </sheetViews>
  <sheetFormatPr baseColWidth="10" defaultColWidth="11.42578125" defaultRowHeight="15" x14ac:dyDescent="0.25"/>
  <cols>
    <col min="1" max="1" width="1.140625" style="1" customWidth="1"/>
    <col min="2" max="2" width="12.42578125" style="1" customWidth="1"/>
    <col min="3" max="3" width="10.28515625" style="1" customWidth="1"/>
    <col min="4" max="4" width="13.42578125" style="1" customWidth="1"/>
    <col min="5" max="5" width="15.7109375" style="1" customWidth="1"/>
    <col min="6" max="6" width="9.5703125" style="1" customWidth="1"/>
    <col min="7" max="7" width="9.140625" style="1" customWidth="1"/>
    <col min="8" max="8" width="18.140625" style="1" customWidth="1"/>
    <col min="9" max="9" width="9.85546875" style="1" customWidth="1"/>
    <col min="10" max="10" width="8.28515625" style="1" customWidth="1"/>
    <col min="11" max="11" width="15.85546875" style="1" bestFit="1" customWidth="1"/>
    <col min="12" max="12" width="10.28515625" style="1" customWidth="1"/>
    <col min="13" max="13" width="10.85546875" style="1" customWidth="1"/>
    <col min="14" max="14" width="19.42578125" style="1" customWidth="1"/>
    <col min="15" max="15" width="11" style="1" customWidth="1"/>
    <col min="16" max="16" width="15.42578125" style="1" hidden="1" customWidth="1"/>
    <col min="17" max="17" width="16.42578125" style="1" hidden="1" customWidth="1"/>
    <col min="18" max="18" width="14.7109375" style="1" hidden="1" customWidth="1"/>
    <col min="19" max="19" width="17.7109375" style="1" hidden="1" customWidth="1"/>
    <col min="20" max="20" width="16.7109375" style="1" hidden="1" customWidth="1"/>
    <col min="21" max="21" width="12.28515625" style="1" hidden="1" customWidth="1"/>
    <col min="22" max="22" width="17.7109375" style="1" hidden="1" customWidth="1"/>
    <col min="23" max="23" width="0" style="1" hidden="1" customWidth="1"/>
    <col min="24" max="26" width="11.42578125" style="1"/>
    <col min="27" max="27" width="17.28515625" style="1" customWidth="1"/>
    <col min="28" max="29" width="11.42578125" style="1"/>
    <col min="30" max="30" width="20.42578125" style="1" customWidth="1"/>
    <col min="31" max="32" width="11.42578125" style="1"/>
    <col min="33" max="33" width="20.5703125" style="1" customWidth="1"/>
    <col min="34" max="34" width="11.42578125" style="1"/>
    <col min="35" max="35" width="29.5703125" style="1" customWidth="1"/>
    <col min="36" max="16384" width="11.42578125" style="1"/>
  </cols>
  <sheetData>
    <row r="1" spans="2:42" x14ac:dyDescent="0.25">
      <c r="B1" s="536" t="s">
        <v>0</v>
      </c>
      <c r="C1" s="536"/>
      <c r="D1" s="536"/>
      <c r="E1" s="536"/>
      <c r="F1" s="536"/>
      <c r="G1" s="536"/>
      <c r="H1" s="536"/>
      <c r="I1" s="536"/>
      <c r="J1" s="536"/>
      <c r="K1" s="536"/>
      <c r="L1" s="536"/>
      <c r="M1" s="536"/>
      <c r="N1" s="536"/>
      <c r="O1" s="22"/>
    </row>
    <row r="2" spans="2:42" x14ac:dyDescent="0.25">
      <c r="B2" s="536" t="s">
        <v>76</v>
      </c>
      <c r="C2" s="536"/>
      <c r="D2" s="536"/>
      <c r="E2" s="536"/>
      <c r="F2" s="536"/>
      <c r="G2" s="536"/>
      <c r="H2" s="536"/>
      <c r="I2" s="536"/>
      <c r="J2" s="536"/>
      <c r="K2" s="536"/>
      <c r="L2" s="536"/>
      <c r="M2" s="536"/>
      <c r="N2" s="536"/>
    </row>
    <row r="3" spans="2:42" x14ac:dyDescent="0.25">
      <c r="B3" s="536" t="s">
        <v>89</v>
      </c>
      <c r="C3" s="536"/>
      <c r="D3" s="536"/>
      <c r="E3" s="536"/>
      <c r="F3" s="536"/>
      <c r="G3" s="536"/>
      <c r="H3" s="536"/>
      <c r="I3" s="536"/>
      <c r="J3" s="536"/>
      <c r="K3" s="536"/>
      <c r="L3" s="536"/>
      <c r="M3" s="536"/>
      <c r="N3" s="536"/>
    </row>
    <row r="4" spans="2:42" x14ac:dyDescent="0.25">
      <c r="B4" s="536" t="s">
        <v>3</v>
      </c>
      <c r="C4" s="536"/>
      <c r="D4" s="536"/>
      <c r="E4" s="536"/>
      <c r="F4" s="536"/>
      <c r="G4" s="536"/>
      <c r="H4" s="536"/>
      <c r="I4" s="536"/>
      <c r="J4" s="536"/>
      <c r="K4" s="536"/>
      <c r="L4" s="536"/>
      <c r="M4" s="536"/>
      <c r="N4" s="536"/>
    </row>
    <row r="5" spans="2:42" x14ac:dyDescent="0.25">
      <c r="B5" s="536" t="s">
        <v>4</v>
      </c>
      <c r="C5" s="536"/>
      <c r="D5" s="536"/>
      <c r="E5" s="536"/>
      <c r="F5" s="536"/>
      <c r="G5" s="536"/>
      <c r="H5" s="536"/>
      <c r="I5" s="536"/>
      <c r="J5" s="536"/>
      <c r="K5" s="536"/>
      <c r="L5" s="536"/>
      <c r="M5" s="536"/>
      <c r="N5" s="536"/>
    </row>
    <row r="6" spans="2:42" x14ac:dyDescent="0.25">
      <c r="B6" s="76"/>
      <c r="C6" s="547" t="s">
        <v>90</v>
      </c>
      <c r="D6" s="547"/>
      <c r="E6" s="547"/>
      <c r="F6" s="550" t="s">
        <v>91</v>
      </c>
      <c r="G6" s="550"/>
      <c r="H6" s="550"/>
      <c r="I6" s="548" t="s">
        <v>92</v>
      </c>
      <c r="J6" s="548"/>
      <c r="K6" s="548"/>
      <c r="L6" s="549" t="s">
        <v>93</v>
      </c>
      <c r="M6" s="549"/>
      <c r="N6" s="549"/>
    </row>
    <row r="7" spans="2:42" ht="38.25" x14ac:dyDescent="0.25">
      <c r="B7" s="39" t="s">
        <v>5</v>
      </c>
      <c r="C7" s="39" t="s">
        <v>94</v>
      </c>
      <c r="D7" s="39" t="s">
        <v>95</v>
      </c>
      <c r="E7" s="39" t="s">
        <v>9</v>
      </c>
      <c r="F7" s="39" t="s">
        <v>94</v>
      </c>
      <c r="G7" s="39" t="s">
        <v>95</v>
      </c>
      <c r="H7" s="39" t="s">
        <v>9</v>
      </c>
      <c r="I7" s="39" t="s">
        <v>94</v>
      </c>
      <c r="J7" s="39" t="s">
        <v>95</v>
      </c>
      <c r="K7" s="39" t="s">
        <v>9</v>
      </c>
      <c r="L7" s="39" t="s">
        <v>94</v>
      </c>
      <c r="M7" s="39" t="s">
        <v>95</v>
      </c>
      <c r="N7" s="39" t="s">
        <v>9</v>
      </c>
      <c r="X7"/>
      <c r="Y7"/>
      <c r="Z7"/>
      <c r="AA7"/>
      <c r="AB7"/>
      <c r="AC7"/>
      <c r="AD7"/>
      <c r="AE7"/>
      <c r="AF7"/>
      <c r="AG7"/>
      <c r="AH7"/>
      <c r="AI7"/>
      <c r="AJ7"/>
      <c r="AK7"/>
      <c r="AL7"/>
      <c r="AM7"/>
      <c r="AN7"/>
      <c r="AO7"/>
      <c r="AP7"/>
    </row>
    <row r="8" spans="2:42" s="140" customFormat="1" hidden="1" x14ac:dyDescent="0.25">
      <c r="B8" s="473" t="s">
        <v>12</v>
      </c>
      <c r="C8" s="474"/>
      <c r="D8" s="474"/>
      <c r="E8" s="474"/>
      <c r="F8" s="475"/>
      <c r="G8" s="475"/>
      <c r="H8" s="475"/>
      <c r="I8" s="475"/>
      <c r="J8" s="475"/>
      <c r="K8" s="475"/>
      <c r="L8" s="476">
        <f>+I8+F8+C8</f>
        <v>0</v>
      </c>
      <c r="M8" s="476">
        <f>+D8+G8+J8</f>
        <v>0</v>
      </c>
      <c r="N8" s="476">
        <f>+E8+H8+K8</f>
        <v>0</v>
      </c>
      <c r="X8"/>
      <c r="Y8"/>
      <c r="Z8"/>
      <c r="AA8"/>
      <c r="AB8"/>
      <c r="AC8"/>
      <c r="AD8"/>
      <c r="AE8"/>
      <c r="AF8"/>
      <c r="AG8"/>
      <c r="AH8"/>
      <c r="AI8"/>
      <c r="AJ8"/>
      <c r="AK8"/>
      <c r="AL8"/>
      <c r="AM8"/>
      <c r="AN8"/>
      <c r="AO8"/>
      <c r="AP8"/>
    </row>
    <row r="9" spans="2:42" s="140" customFormat="1" ht="15.75" customHeight="1" x14ac:dyDescent="0.25">
      <c r="B9" s="473" t="s">
        <v>13</v>
      </c>
      <c r="C9" s="477">
        <v>156779</v>
      </c>
      <c r="D9" s="477">
        <v>169570</v>
      </c>
      <c r="E9" s="478">
        <v>2778253018.48</v>
      </c>
      <c r="F9" s="477">
        <v>55224</v>
      </c>
      <c r="G9" s="477">
        <v>55224</v>
      </c>
      <c r="H9" s="478">
        <v>331344000</v>
      </c>
      <c r="I9" s="477">
        <v>26450</v>
      </c>
      <c r="J9" s="479">
        <v>26556</v>
      </c>
      <c r="K9" s="478">
        <v>824548607.03999996</v>
      </c>
      <c r="L9" s="480">
        <f t="shared" ref="L9:M11" si="0">+C9+F9+I9</f>
        <v>238453</v>
      </c>
      <c r="M9" s="480">
        <f t="shared" si="0"/>
        <v>251350</v>
      </c>
      <c r="N9" s="481">
        <f>+SUM(E9,H9,K9)</f>
        <v>3934145625.52</v>
      </c>
      <c r="X9"/>
      <c r="Y9"/>
      <c r="Z9"/>
      <c r="AA9"/>
      <c r="AB9"/>
      <c r="AC9"/>
      <c r="AD9"/>
      <c r="AE9"/>
      <c r="AF9"/>
      <c r="AG9"/>
      <c r="AH9"/>
      <c r="AI9"/>
      <c r="AJ9"/>
      <c r="AK9"/>
      <c r="AL9"/>
      <c r="AM9"/>
      <c r="AN9"/>
      <c r="AO9"/>
      <c r="AP9"/>
    </row>
    <row r="10" spans="2:42" s="140" customFormat="1" ht="15.75" customHeight="1" x14ac:dyDescent="0.25">
      <c r="B10" s="473" t="s">
        <v>14</v>
      </c>
      <c r="C10" s="477">
        <v>156148</v>
      </c>
      <c r="D10" s="477">
        <v>168919</v>
      </c>
      <c r="E10" s="478">
        <v>2766289418.5100002</v>
      </c>
      <c r="F10" s="477">
        <v>52256</v>
      </c>
      <c r="G10" s="477">
        <v>52256</v>
      </c>
      <c r="H10" s="478">
        <v>313536000</v>
      </c>
      <c r="I10" s="477">
        <v>25640</v>
      </c>
      <c r="J10" s="479">
        <v>25763</v>
      </c>
      <c r="K10" s="478">
        <v>774576392.75</v>
      </c>
      <c r="L10" s="480">
        <f t="shared" si="0"/>
        <v>234044</v>
      </c>
      <c r="M10" s="480">
        <f t="shared" si="0"/>
        <v>246938</v>
      </c>
      <c r="N10" s="481">
        <f>+SUM(E10,H10,K10)</f>
        <v>3854401811.2600002</v>
      </c>
      <c r="X10"/>
      <c r="Y10"/>
      <c r="Z10"/>
      <c r="AA10"/>
      <c r="AB10"/>
      <c r="AC10"/>
      <c r="AD10"/>
      <c r="AE10"/>
      <c r="AF10"/>
      <c r="AG10"/>
      <c r="AH10"/>
      <c r="AI10"/>
      <c r="AJ10"/>
      <c r="AK10"/>
      <c r="AL10"/>
      <c r="AM10"/>
      <c r="AN10"/>
      <c r="AO10"/>
      <c r="AP10"/>
    </row>
    <row r="11" spans="2:42" s="140" customFormat="1" x14ac:dyDescent="0.25">
      <c r="B11" s="473" t="s">
        <v>15</v>
      </c>
      <c r="C11" s="477">
        <v>155393</v>
      </c>
      <c r="D11" s="477">
        <v>168162</v>
      </c>
      <c r="E11" s="478">
        <v>2753235662.71</v>
      </c>
      <c r="F11" s="477">
        <v>52018</v>
      </c>
      <c r="G11" s="477">
        <v>52018</v>
      </c>
      <c r="H11" s="478">
        <v>312108000</v>
      </c>
      <c r="I11" s="477">
        <v>25661</v>
      </c>
      <c r="J11" s="479">
        <v>25754</v>
      </c>
      <c r="K11" s="478">
        <v>774569130.53999996</v>
      </c>
      <c r="L11" s="480">
        <f t="shared" si="0"/>
        <v>233072</v>
      </c>
      <c r="M11" s="480">
        <f t="shared" si="0"/>
        <v>245934</v>
      </c>
      <c r="N11" s="481">
        <f>+SUM(E11,H11,K11)</f>
        <v>3839912793.25</v>
      </c>
      <c r="X11"/>
      <c r="Y11"/>
      <c r="Z11"/>
      <c r="AA11"/>
      <c r="AB11"/>
      <c r="AC11"/>
      <c r="AD11"/>
      <c r="AE11"/>
      <c r="AF11"/>
      <c r="AG11"/>
      <c r="AH11"/>
      <c r="AI11"/>
      <c r="AJ11"/>
      <c r="AK11"/>
      <c r="AL11"/>
      <c r="AM11"/>
      <c r="AN11"/>
      <c r="AO11"/>
      <c r="AP11"/>
    </row>
    <row r="12" spans="2:42" s="140" customFormat="1" ht="20.25" customHeight="1" x14ac:dyDescent="0.25">
      <c r="B12" s="482" t="s">
        <v>16</v>
      </c>
      <c r="C12" s="483">
        <f>+C9</f>
        <v>156779</v>
      </c>
      <c r="D12" s="483">
        <f>+D9</f>
        <v>169570</v>
      </c>
      <c r="E12" s="484">
        <f>+SUM(E9:E11)</f>
        <v>8297778099.6999998</v>
      </c>
      <c r="F12" s="485">
        <f>F9</f>
        <v>55224</v>
      </c>
      <c r="G12" s="485">
        <f>+G9</f>
        <v>55224</v>
      </c>
      <c r="H12" s="484">
        <f>+SUM(H9:H11)</f>
        <v>956988000</v>
      </c>
      <c r="I12" s="485">
        <f>+I9</f>
        <v>26450</v>
      </c>
      <c r="J12" s="486">
        <f>+J9</f>
        <v>26556</v>
      </c>
      <c r="K12" s="484">
        <f>SUM(K9:K11)</f>
        <v>2373694130.3299999</v>
      </c>
      <c r="L12" s="485">
        <f>C12+F12+I12</f>
        <v>238453</v>
      </c>
      <c r="M12" s="485">
        <f>SUM(D12,G12,J12)</f>
        <v>251350</v>
      </c>
      <c r="N12" s="484">
        <f>+SUM(E12,H12,K12)</f>
        <v>11628460230.030001</v>
      </c>
      <c r="X12"/>
      <c r="Y12"/>
      <c r="Z12"/>
      <c r="AA12"/>
      <c r="AB12"/>
      <c r="AC12"/>
      <c r="AD12"/>
      <c r="AE12"/>
      <c r="AF12"/>
      <c r="AG12"/>
      <c r="AH12"/>
      <c r="AI12"/>
      <c r="AJ12"/>
      <c r="AK12"/>
      <c r="AL12"/>
      <c r="AM12"/>
      <c r="AN12"/>
      <c r="AO12"/>
      <c r="AP12"/>
    </row>
    <row r="13" spans="2:42" ht="0.75" hidden="1" customHeight="1" x14ac:dyDescent="0.25">
      <c r="B13" s="131" t="s">
        <v>17</v>
      </c>
      <c r="C13" s="238">
        <v>131472</v>
      </c>
      <c r="D13" s="239">
        <v>143955</v>
      </c>
      <c r="E13" s="237">
        <v>2168518692.8400002</v>
      </c>
      <c r="F13" s="237">
        <v>28481</v>
      </c>
      <c r="G13" s="237">
        <v>28481</v>
      </c>
      <c r="H13" s="237">
        <v>170886000</v>
      </c>
      <c r="I13" s="237">
        <v>24038</v>
      </c>
      <c r="J13" s="237">
        <v>24120</v>
      </c>
      <c r="K13" s="240">
        <v>627907662.75</v>
      </c>
      <c r="L13" s="241">
        <f t="shared" ref="L13:N15" si="1">+C13+I13+F13</f>
        <v>183991</v>
      </c>
      <c r="M13" s="242">
        <f t="shared" si="1"/>
        <v>196556</v>
      </c>
      <c r="N13" s="241">
        <f t="shared" si="1"/>
        <v>2967312355.5900002</v>
      </c>
      <c r="V13" s="89">
        <f>+V35/1000000</f>
        <v>25971.34969925</v>
      </c>
      <c r="X13"/>
      <c r="Y13"/>
      <c r="Z13"/>
      <c r="AA13"/>
      <c r="AB13"/>
      <c r="AC13"/>
      <c r="AD13"/>
      <c r="AE13"/>
      <c r="AF13"/>
      <c r="AG13"/>
      <c r="AH13"/>
      <c r="AI13"/>
      <c r="AJ13"/>
      <c r="AK13"/>
      <c r="AL13"/>
      <c r="AM13"/>
      <c r="AN13"/>
      <c r="AO13"/>
      <c r="AP13"/>
    </row>
    <row r="14" spans="2:42" ht="33.75" hidden="1" customHeight="1" x14ac:dyDescent="0.25">
      <c r="B14" s="131" t="s">
        <v>18</v>
      </c>
      <c r="C14" s="238">
        <v>130586</v>
      </c>
      <c r="D14" s="243">
        <v>143067</v>
      </c>
      <c r="E14" s="239">
        <v>2139856652.8</v>
      </c>
      <c r="F14" s="239">
        <v>26212</v>
      </c>
      <c r="G14" s="239">
        <v>26212</v>
      </c>
      <c r="H14" s="239">
        <v>157272000</v>
      </c>
      <c r="I14" s="239">
        <v>24014</v>
      </c>
      <c r="J14" s="239">
        <v>24094</v>
      </c>
      <c r="K14" s="239">
        <v>626541522.04999995</v>
      </c>
      <c r="L14" s="241">
        <f t="shared" si="1"/>
        <v>180812</v>
      </c>
      <c r="M14" s="242">
        <f t="shared" si="1"/>
        <v>193373</v>
      </c>
      <c r="N14" s="241">
        <f t="shared" si="1"/>
        <v>2923670174.8499999</v>
      </c>
      <c r="R14" s="30">
        <f>+M15-M14</f>
        <v>-2408</v>
      </c>
      <c r="X14"/>
      <c r="Y14"/>
      <c r="Z14"/>
      <c r="AA14"/>
      <c r="AB14"/>
      <c r="AC14"/>
      <c r="AD14"/>
      <c r="AE14"/>
      <c r="AF14"/>
      <c r="AG14"/>
      <c r="AH14"/>
      <c r="AI14"/>
      <c r="AJ14"/>
      <c r="AK14"/>
      <c r="AL14"/>
      <c r="AM14"/>
      <c r="AN14"/>
      <c r="AO14"/>
      <c r="AP14"/>
    </row>
    <row r="15" spans="2:42" ht="42.75" hidden="1" customHeight="1" x14ac:dyDescent="0.25">
      <c r="B15" s="131" t="s">
        <v>19</v>
      </c>
      <c r="C15" s="238">
        <v>129713</v>
      </c>
      <c r="D15" s="239">
        <v>142180</v>
      </c>
      <c r="E15" s="239">
        <v>2120108544.4200001</v>
      </c>
      <c r="F15" s="239">
        <v>24723</v>
      </c>
      <c r="G15" s="239">
        <v>24723</v>
      </c>
      <c r="H15" s="239">
        <v>148338000</v>
      </c>
      <c r="I15" s="239">
        <v>23983</v>
      </c>
      <c r="J15" s="239">
        <v>24062</v>
      </c>
      <c r="K15" s="239">
        <v>625129302.96000004</v>
      </c>
      <c r="L15" s="241">
        <f t="shared" si="1"/>
        <v>178419</v>
      </c>
      <c r="M15" s="242">
        <f t="shared" si="1"/>
        <v>190965</v>
      </c>
      <c r="N15" s="244">
        <f t="shared" si="1"/>
        <v>2893575847.3800001</v>
      </c>
      <c r="T15" s="28"/>
      <c r="W15" s="1">
        <f>+V35/1000000</f>
        <v>25971.34969925</v>
      </c>
      <c r="X15"/>
      <c r="Y15"/>
      <c r="Z15"/>
      <c r="AA15"/>
      <c r="AB15"/>
      <c r="AC15"/>
      <c r="AD15"/>
      <c r="AE15"/>
      <c r="AF15"/>
      <c r="AG15"/>
      <c r="AH15"/>
      <c r="AI15"/>
      <c r="AJ15"/>
      <c r="AK15"/>
      <c r="AL15"/>
      <c r="AM15"/>
      <c r="AN15"/>
      <c r="AO15"/>
      <c r="AP15"/>
    </row>
    <row r="16" spans="2:42" ht="80.25" hidden="1" customHeight="1" x14ac:dyDescent="0.25">
      <c r="B16" s="245" t="s">
        <v>20</v>
      </c>
      <c r="C16" s="246">
        <f>+C13</f>
        <v>131472</v>
      </c>
      <c r="D16" s="246">
        <f>+D13</f>
        <v>143955</v>
      </c>
      <c r="E16" s="246">
        <f>SUM(E8:E15)</f>
        <v>23024040089.459999</v>
      </c>
      <c r="F16" s="246">
        <f>+F13</f>
        <v>28481</v>
      </c>
      <c r="G16" s="246">
        <f>+G13</f>
        <v>28481</v>
      </c>
      <c r="H16" s="246">
        <f>SUM(H8:H15)</f>
        <v>2390472000</v>
      </c>
      <c r="I16" s="246">
        <f>+I13</f>
        <v>24038</v>
      </c>
      <c r="J16" s="246">
        <f>+J13</f>
        <v>24120</v>
      </c>
      <c r="K16" s="247">
        <f>SUM(K8:K15)</f>
        <v>6626966748.4200001</v>
      </c>
      <c r="L16" s="246">
        <f>+L13</f>
        <v>183991</v>
      </c>
      <c r="M16" s="246">
        <f>+M13</f>
        <v>196556</v>
      </c>
      <c r="N16" s="247">
        <f>SUM(N8:N15)</f>
        <v>32041478837.880001</v>
      </c>
      <c r="T16" s="546" t="s">
        <v>96</v>
      </c>
      <c r="U16" s="546"/>
      <c r="V16" s="546"/>
      <c r="X16"/>
      <c r="Y16"/>
      <c r="Z16"/>
      <c r="AA16"/>
      <c r="AB16"/>
      <c r="AC16"/>
      <c r="AD16"/>
      <c r="AE16"/>
      <c r="AF16"/>
      <c r="AG16"/>
      <c r="AH16"/>
      <c r="AI16"/>
      <c r="AJ16"/>
      <c r="AK16"/>
      <c r="AL16"/>
      <c r="AM16"/>
      <c r="AN16"/>
      <c r="AO16"/>
      <c r="AP16"/>
    </row>
    <row r="17" spans="2:42" ht="3" hidden="1" customHeight="1" x14ac:dyDescent="0.25">
      <c r="B17" s="131" t="s">
        <v>15</v>
      </c>
      <c r="C17" s="248"/>
      <c r="D17" s="249"/>
      <c r="E17" s="249">
        <f>SUM(E8:E15)</f>
        <v>23024040089.459999</v>
      </c>
      <c r="F17" s="249"/>
      <c r="G17" s="249"/>
      <c r="H17" s="249">
        <f>SUM(H8:H15)</f>
        <v>2390472000</v>
      </c>
      <c r="I17" s="249"/>
      <c r="J17" s="249"/>
      <c r="K17" s="249">
        <f>SUM(K8:K15)</f>
        <v>6626966748.4200001</v>
      </c>
      <c r="L17" s="241">
        <f t="shared" ref="L17:N19" si="2">+C17+I17+F17</f>
        <v>0</v>
      </c>
      <c r="M17" s="242">
        <f t="shared" si="2"/>
        <v>0</v>
      </c>
      <c r="N17" s="241">
        <f t="shared" si="2"/>
        <v>32041478837.879997</v>
      </c>
      <c r="X17"/>
      <c r="Y17"/>
      <c r="Z17"/>
      <c r="AA17"/>
      <c r="AB17"/>
      <c r="AC17"/>
      <c r="AD17"/>
      <c r="AE17"/>
      <c r="AF17"/>
      <c r="AG17"/>
      <c r="AH17"/>
      <c r="AI17"/>
      <c r="AJ17"/>
      <c r="AK17"/>
      <c r="AL17"/>
      <c r="AM17"/>
      <c r="AN17"/>
      <c r="AO17"/>
      <c r="AP17"/>
    </row>
    <row r="18" spans="2:42" ht="2.25" hidden="1" customHeight="1" x14ac:dyDescent="0.25">
      <c r="B18" s="131" t="s">
        <v>14</v>
      </c>
      <c r="C18" s="248"/>
      <c r="D18" s="250"/>
      <c r="E18" s="249"/>
      <c r="F18" s="249"/>
      <c r="G18" s="249"/>
      <c r="H18" s="249"/>
      <c r="I18" s="249"/>
      <c r="J18" s="249"/>
      <c r="K18" s="249"/>
      <c r="L18" s="241">
        <f t="shared" si="2"/>
        <v>0</v>
      </c>
      <c r="M18" s="242">
        <f t="shared" si="2"/>
        <v>0</v>
      </c>
      <c r="N18" s="241">
        <f t="shared" si="2"/>
        <v>0</v>
      </c>
      <c r="X18"/>
      <c r="Y18"/>
      <c r="Z18"/>
      <c r="AA18"/>
      <c r="AB18"/>
      <c r="AC18"/>
      <c r="AD18"/>
      <c r="AE18"/>
      <c r="AF18"/>
      <c r="AG18"/>
      <c r="AH18"/>
      <c r="AI18"/>
      <c r="AJ18"/>
      <c r="AK18"/>
      <c r="AL18"/>
      <c r="AM18"/>
      <c r="AN18"/>
      <c r="AO18"/>
      <c r="AP18"/>
    </row>
    <row r="19" spans="2:42" ht="19.5" hidden="1" customHeight="1" x14ac:dyDescent="0.25">
      <c r="B19" s="131" t="s">
        <v>13</v>
      </c>
      <c r="C19" s="248"/>
      <c r="D19" s="249"/>
      <c r="E19" s="249"/>
      <c r="F19" s="249"/>
      <c r="G19" s="249"/>
      <c r="H19" s="249"/>
      <c r="I19" s="249"/>
      <c r="J19" s="249"/>
      <c r="K19" s="249"/>
      <c r="L19" s="241">
        <f t="shared" si="2"/>
        <v>0</v>
      </c>
      <c r="M19" s="242">
        <f t="shared" si="2"/>
        <v>0</v>
      </c>
      <c r="N19" s="241">
        <f t="shared" si="2"/>
        <v>0</v>
      </c>
      <c r="R19" s="30">
        <f>+N15-N14</f>
        <v>-30094327.46999979</v>
      </c>
      <c r="T19" s="28"/>
      <c r="X19"/>
      <c r="Y19"/>
      <c r="Z19"/>
      <c r="AA19"/>
      <c r="AB19"/>
      <c r="AC19"/>
      <c r="AD19"/>
      <c r="AE19"/>
      <c r="AF19"/>
      <c r="AG19"/>
      <c r="AH19"/>
      <c r="AI19"/>
      <c r="AJ19"/>
      <c r="AK19"/>
      <c r="AL19"/>
      <c r="AM19"/>
      <c r="AN19"/>
      <c r="AO19"/>
      <c r="AP19"/>
    </row>
    <row r="20" spans="2:42" ht="19.5" hidden="1" customHeight="1" x14ac:dyDescent="0.25">
      <c r="B20" s="245" t="s">
        <v>16</v>
      </c>
      <c r="C20" s="246">
        <f>+C19</f>
        <v>0</v>
      </c>
      <c r="D20" s="246">
        <f>+D19</f>
        <v>0</v>
      </c>
      <c r="E20" s="246">
        <f>+SUM(E17:E19)</f>
        <v>23024040089.459999</v>
      </c>
      <c r="F20" s="246">
        <f>+F19</f>
        <v>0</v>
      </c>
      <c r="G20" s="246">
        <f>+G19</f>
        <v>0</v>
      </c>
      <c r="H20" s="246">
        <f>+SUM(H17:H19)</f>
        <v>2390472000</v>
      </c>
      <c r="I20" s="246">
        <f>+I19</f>
        <v>0</v>
      </c>
      <c r="J20" s="246">
        <f>+J19</f>
        <v>0</v>
      </c>
      <c r="K20" s="246">
        <f>+SUM(K17:K19)</f>
        <v>6626966748.4200001</v>
      </c>
      <c r="L20" s="246">
        <f>+L19</f>
        <v>0</v>
      </c>
      <c r="M20" s="251">
        <f>+M19</f>
        <v>0</v>
      </c>
      <c r="N20" s="246">
        <f>+SUM(N17:N19)</f>
        <v>32041478837.879997</v>
      </c>
      <c r="X20"/>
      <c r="Y20"/>
      <c r="Z20"/>
      <c r="AA20"/>
      <c r="AB20"/>
      <c r="AC20"/>
      <c r="AD20"/>
      <c r="AE20"/>
      <c r="AF20"/>
      <c r="AG20"/>
      <c r="AH20"/>
      <c r="AI20"/>
      <c r="AJ20"/>
      <c r="AK20"/>
      <c r="AL20"/>
      <c r="AM20"/>
      <c r="AN20"/>
      <c r="AO20"/>
      <c r="AP20"/>
    </row>
    <row r="21" spans="2:42" ht="19.5" hidden="1" customHeight="1" x14ac:dyDescent="0.25">
      <c r="B21" s="131" t="s">
        <v>42</v>
      </c>
      <c r="C21" s="248"/>
      <c r="D21" s="249"/>
      <c r="E21" s="249"/>
      <c r="F21" s="249"/>
      <c r="G21" s="249"/>
      <c r="H21" s="249"/>
      <c r="I21" s="249"/>
      <c r="J21" s="249"/>
      <c r="K21" s="249"/>
      <c r="L21" s="241">
        <f t="shared" ref="L21:N23" si="3">+C21+I21+F21</f>
        <v>0</v>
      </c>
      <c r="M21" s="242">
        <f t="shared" si="3"/>
        <v>0</v>
      </c>
      <c r="N21" s="241">
        <f t="shared" si="3"/>
        <v>0</v>
      </c>
      <c r="X21"/>
      <c r="Y21"/>
      <c r="Z21"/>
      <c r="AA21"/>
      <c r="AB21"/>
      <c r="AC21"/>
      <c r="AD21"/>
      <c r="AE21"/>
      <c r="AF21"/>
      <c r="AG21"/>
      <c r="AH21"/>
      <c r="AI21"/>
      <c r="AJ21"/>
      <c r="AK21"/>
      <c r="AL21"/>
      <c r="AM21"/>
      <c r="AN21"/>
      <c r="AO21"/>
      <c r="AP21"/>
    </row>
    <row r="22" spans="2:42" ht="19.5" hidden="1" customHeight="1" x14ac:dyDescent="0.25">
      <c r="B22" s="131" t="s">
        <v>22</v>
      </c>
      <c r="C22" s="248"/>
      <c r="D22" s="250"/>
      <c r="E22" s="249"/>
      <c r="F22" s="249"/>
      <c r="G22" s="249"/>
      <c r="H22" s="249"/>
      <c r="I22" s="249"/>
      <c r="J22" s="249"/>
      <c r="K22" s="249"/>
      <c r="L22" s="241">
        <f t="shared" si="3"/>
        <v>0</v>
      </c>
      <c r="M22" s="242">
        <f t="shared" si="3"/>
        <v>0</v>
      </c>
      <c r="N22" s="241">
        <f t="shared" si="3"/>
        <v>0</v>
      </c>
      <c r="X22"/>
      <c r="Y22"/>
      <c r="Z22"/>
      <c r="AA22"/>
      <c r="AB22"/>
      <c r="AC22"/>
      <c r="AD22"/>
      <c r="AE22"/>
      <c r="AF22"/>
      <c r="AG22"/>
      <c r="AH22"/>
      <c r="AI22"/>
      <c r="AJ22"/>
      <c r="AK22"/>
      <c r="AL22"/>
      <c r="AM22"/>
      <c r="AN22"/>
      <c r="AO22"/>
      <c r="AP22"/>
    </row>
    <row r="23" spans="2:42" ht="19.5" hidden="1" customHeight="1" x14ac:dyDescent="0.25">
      <c r="B23" s="131" t="s">
        <v>23</v>
      </c>
      <c r="C23" s="248"/>
      <c r="D23" s="249"/>
      <c r="E23" s="249"/>
      <c r="F23" s="249"/>
      <c r="G23" s="249"/>
      <c r="H23" s="249"/>
      <c r="I23" s="249"/>
      <c r="J23" s="249"/>
      <c r="K23" s="249"/>
      <c r="L23" s="241">
        <f t="shared" si="3"/>
        <v>0</v>
      </c>
      <c r="M23" s="242">
        <f t="shared" si="3"/>
        <v>0</v>
      </c>
      <c r="N23" s="241">
        <f t="shared" si="3"/>
        <v>0</v>
      </c>
      <c r="T23" s="28"/>
      <c r="X23"/>
      <c r="Y23"/>
      <c r="Z23"/>
      <c r="AA23"/>
      <c r="AB23"/>
      <c r="AC23"/>
      <c r="AD23"/>
      <c r="AE23"/>
      <c r="AF23"/>
      <c r="AG23"/>
      <c r="AH23"/>
      <c r="AI23"/>
      <c r="AJ23"/>
      <c r="AK23"/>
      <c r="AL23"/>
      <c r="AM23"/>
      <c r="AN23"/>
      <c r="AO23"/>
      <c r="AP23"/>
    </row>
    <row r="24" spans="2:42" ht="12" hidden="1" customHeight="1" x14ac:dyDescent="0.25">
      <c r="B24" s="245" t="s">
        <v>24</v>
      </c>
      <c r="C24" s="246">
        <f>+C23</f>
        <v>0</v>
      </c>
      <c r="D24" s="246">
        <f>+D23</f>
        <v>0</v>
      </c>
      <c r="E24" s="246">
        <f>+SUM(E21:E23)</f>
        <v>0</v>
      </c>
      <c r="F24" s="246">
        <f>+F23</f>
        <v>0</v>
      </c>
      <c r="G24" s="246">
        <f>+G23</f>
        <v>0</v>
      </c>
      <c r="H24" s="246">
        <f>+SUM(H21:H23)</f>
        <v>0</v>
      </c>
      <c r="I24" s="246">
        <f>+I23</f>
        <v>0</v>
      </c>
      <c r="J24" s="246">
        <f>+J23</f>
        <v>0</v>
      </c>
      <c r="K24" s="246">
        <f>+SUM(K21:K23)</f>
        <v>0</v>
      </c>
      <c r="L24" s="246">
        <f>+L23</f>
        <v>0</v>
      </c>
      <c r="M24" s="251">
        <f>+M23</f>
        <v>0</v>
      </c>
      <c r="N24" s="246">
        <f>+SUM(N21:N23)</f>
        <v>0</v>
      </c>
      <c r="X24"/>
      <c r="Y24"/>
      <c r="Z24"/>
      <c r="AA24"/>
      <c r="AB24"/>
      <c r="AC24"/>
      <c r="AD24"/>
      <c r="AE24"/>
      <c r="AF24"/>
      <c r="AG24"/>
      <c r="AH24"/>
      <c r="AI24"/>
      <c r="AJ24"/>
      <c r="AK24"/>
      <c r="AL24"/>
      <c r="AM24"/>
      <c r="AN24"/>
      <c r="AO24"/>
      <c r="AP24"/>
    </row>
    <row r="25" spans="2:42" ht="24" hidden="1" customHeight="1" x14ac:dyDescent="0.25">
      <c r="B25" s="131" t="s">
        <v>25</v>
      </c>
      <c r="C25" s="248"/>
      <c r="D25" s="249"/>
      <c r="E25" s="249"/>
      <c r="F25" s="249"/>
      <c r="G25" s="249"/>
      <c r="H25" s="249"/>
      <c r="I25" s="249"/>
      <c r="J25" s="249"/>
      <c r="K25" s="249"/>
      <c r="L25" s="241">
        <f t="shared" ref="L25:N28" si="4">+C25+I25+F25</f>
        <v>0</v>
      </c>
      <c r="M25" s="242">
        <f t="shared" si="4"/>
        <v>0</v>
      </c>
      <c r="N25" s="241">
        <f t="shared" si="4"/>
        <v>0</v>
      </c>
      <c r="X25"/>
      <c r="Y25"/>
      <c r="Z25"/>
      <c r="AA25"/>
      <c r="AB25"/>
      <c r="AC25"/>
      <c r="AD25"/>
      <c r="AE25"/>
      <c r="AF25"/>
      <c r="AG25"/>
      <c r="AH25"/>
      <c r="AI25"/>
      <c r="AJ25"/>
      <c r="AK25"/>
      <c r="AL25"/>
      <c r="AM25"/>
      <c r="AN25"/>
      <c r="AO25"/>
      <c r="AP25"/>
    </row>
    <row r="26" spans="2:42" ht="45.75" hidden="1" customHeight="1" x14ac:dyDescent="0.25">
      <c r="B26" s="131" t="s">
        <v>26</v>
      </c>
      <c r="C26" s="248"/>
      <c r="D26" s="250"/>
      <c r="E26" s="249"/>
      <c r="F26" s="249"/>
      <c r="G26" s="249"/>
      <c r="H26" s="249"/>
      <c r="I26" s="249"/>
      <c r="J26" s="249"/>
      <c r="K26" s="249"/>
      <c r="L26" s="241">
        <f t="shared" si="4"/>
        <v>0</v>
      </c>
      <c r="M26" s="242">
        <f t="shared" si="4"/>
        <v>0</v>
      </c>
      <c r="N26" s="241">
        <f t="shared" si="4"/>
        <v>0</v>
      </c>
      <c r="X26"/>
      <c r="Y26"/>
      <c r="Z26"/>
      <c r="AA26"/>
      <c r="AB26"/>
      <c r="AC26"/>
      <c r="AD26"/>
      <c r="AE26"/>
      <c r="AF26"/>
      <c r="AG26"/>
      <c r="AH26"/>
      <c r="AI26"/>
      <c r="AJ26"/>
      <c r="AK26"/>
      <c r="AL26"/>
      <c r="AM26"/>
      <c r="AN26"/>
      <c r="AO26"/>
      <c r="AP26"/>
    </row>
    <row r="27" spans="2:42" ht="0.75" hidden="1" customHeight="1" x14ac:dyDescent="0.25">
      <c r="B27" s="131" t="s">
        <v>27</v>
      </c>
      <c r="C27" s="248"/>
      <c r="D27" s="249"/>
      <c r="E27" s="249"/>
      <c r="F27" s="249"/>
      <c r="G27" s="249"/>
      <c r="H27" s="249"/>
      <c r="I27" s="249"/>
      <c r="J27" s="249"/>
      <c r="K27" s="249"/>
      <c r="L27" s="241">
        <f t="shared" si="4"/>
        <v>0</v>
      </c>
      <c r="M27" s="242">
        <f t="shared" si="4"/>
        <v>0</v>
      </c>
      <c r="N27" s="241">
        <f t="shared" si="4"/>
        <v>0</v>
      </c>
      <c r="T27" s="28"/>
      <c r="X27"/>
      <c r="Y27"/>
      <c r="Z27"/>
      <c r="AA27"/>
      <c r="AB27"/>
      <c r="AC27"/>
      <c r="AD27"/>
      <c r="AE27"/>
      <c r="AF27"/>
      <c r="AG27"/>
      <c r="AH27"/>
      <c r="AI27"/>
      <c r="AJ27"/>
      <c r="AK27"/>
      <c r="AL27"/>
      <c r="AM27"/>
      <c r="AN27"/>
      <c r="AO27"/>
      <c r="AP27"/>
    </row>
    <row r="28" spans="2:42" ht="13.5" hidden="1" customHeight="1" x14ac:dyDescent="0.25">
      <c r="B28" s="131" t="s">
        <v>12</v>
      </c>
      <c r="C28" s="248"/>
      <c r="D28" s="249"/>
      <c r="E28" s="249"/>
      <c r="F28" s="249"/>
      <c r="G28" s="249"/>
      <c r="H28" s="249"/>
      <c r="I28" s="249"/>
      <c r="J28" s="249"/>
      <c r="K28" s="249"/>
      <c r="L28" s="241">
        <f t="shared" si="4"/>
        <v>0</v>
      </c>
      <c r="M28" s="242">
        <f t="shared" si="4"/>
        <v>0</v>
      </c>
      <c r="N28" s="241">
        <f t="shared" si="4"/>
        <v>0</v>
      </c>
      <c r="X28"/>
      <c r="Y28"/>
      <c r="Z28"/>
      <c r="AA28"/>
      <c r="AB28"/>
      <c r="AC28"/>
      <c r="AD28"/>
      <c r="AE28"/>
      <c r="AF28"/>
      <c r="AG28"/>
      <c r="AH28"/>
      <c r="AI28"/>
      <c r="AJ28"/>
      <c r="AK28"/>
      <c r="AL28"/>
      <c r="AM28"/>
      <c r="AN28"/>
      <c r="AO28"/>
      <c r="AP28"/>
    </row>
    <row r="29" spans="2:42" ht="12" hidden="1" customHeight="1" x14ac:dyDescent="0.25">
      <c r="B29" s="245" t="s">
        <v>28</v>
      </c>
      <c r="C29" s="246">
        <f>+C28</f>
        <v>0</v>
      </c>
      <c r="D29" s="246">
        <f>+D28</f>
        <v>0</v>
      </c>
      <c r="E29" s="246">
        <f>+SUM(E25:E28)</f>
        <v>0</v>
      </c>
      <c r="F29" s="246">
        <f>+F28</f>
        <v>0</v>
      </c>
      <c r="G29" s="246">
        <f>+G28</f>
        <v>0</v>
      </c>
      <c r="H29" s="246">
        <f>+SUM(H25:H28)</f>
        <v>0</v>
      </c>
      <c r="I29" s="246">
        <f>+I28</f>
        <v>0</v>
      </c>
      <c r="J29" s="246">
        <f>+J28</f>
        <v>0</v>
      </c>
      <c r="K29" s="246">
        <f>+SUM(K25:K28)</f>
        <v>0</v>
      </c>
      <c r="L29" s="246">
        <f>+L28</f>
        <v>0</v>
      </c>
      <c r="M29" s="251">
        <f>+M28</f>
        <v>0</v>
      </c>
      <c r="N29" s="246">
        <f>+SUM(N25:N28)</f>
        <v>0</v>
      </c>
      <c r="X29"/>
      <c r="Y29"/>
      <c r="Z29"/>
      <c r="AA29"/>
      <c r="AB29"/>
      <c r="AC29"/>
      <c r="AD29"/>
      <c r="AE29"/>
      <c r="AF29"/>
      <c r="AG29"/>
      <c r="AH29"/>
      <c r="AI29"/>
      <c r="AJ29"/>
      <c r="AK29"/>
      <c r="AL29"/>
      <c r="AM29"/>
      <c r="AN29"/>
      <c r="AO29"/>
      <c r="AP29"/>
    </row>
    <row r="30" spans="2:42" ht="9.75" hidden="1" customHeight="1" x14ac:dyDescent="0.25">
      <c r="B30" s="252" t="s">
        <v>29</v>
      </c>
      <c r="C30" s="253">
        <f>+C29</f>
        <v>0</v>
      </c>
      <c r="D30" s="253">
        <f>+D29</f>
        <v>0</v>
      </c>
      <c r="E30" s="253">
        <f>+E16+E20+E24+E29</f>
        <v>46048080178.919998</v>
      </c>
      <c r="F30" s="253">
        <f>+F29</f>
        <v>0</v>
      </c>
      <c r="G30" s="253">
        <f>+G29</f>
        <v>0</v>
      </c>
      <c r="H30" s="253">
        <f>+H16+H20+H24+H29</f>
        <v>4780944000</v>
      </c>
      <c r="I30" s="253">
        <f>+I29</f>
        <v>0</v>
      </c>
      <c r="J30" s="253">
        <f>+J29</f>
        <v>0</v>
      </c>
      <c r="K30" s="253">
        <f>+K16+K20+K24+K29</f>
        <v>13253933496.84</v>
      </c>
      <c r="L30" s="253">
        <f>+L29</f>
        <v>0</v>
      </c>
      <c r="M30" s="254">
        <f>+M29</f>
        <v>0</v>
      </c>
      <c r="N30" s="253">
        <f>+N16+N20+N24+N29</f>
        <v>64082957675.759995</v>
      </c>
      <c r="X30"/>
      <c r="Y30"/>
      <c r="Z30"/>
      <c r="AA30"/>
      <c r="AB30"/>
      <c r="AC30"/>
      <c r="AD30"/>
      <c r="AE30"/>
      <c r="AF30"/>
      <c r="AG30"/>
      <c r="AH30"/>
      <c r="AI30"/>
      <c r="AJ30"/>
      <c r="AK30"/>
      <c r="AL30"/>
      <c r="AM30"/>
      <c r="AN30"/>
      <c r="AO30"/>
      <c r="AP30"/>
    </row>
    <row r="31" spans="2:42" ht="6" hidden="1" customHeight="1" x14ac:dyDescent="0.25">
      <c r="B31" s="108" t="s">
        <v>28</v>
      </c>
      <c r="C31" s="255"/>
      <c r="D31" s="255"/>
      <c r="E31" s="256">
        <f>+E16/N16</f>
        <v>0.71856983274569008</v>
      </c>
      <c r="F31" s="257"/>
      <c r="G31" s="257"/>
      <c r="H31" s="256">
        <f>+H16/N16</f>
        <v>7.4605545271335658E-2</v>
      </c>
      <c r="I31" s="257"/>
      <c r="J31" s="257"/>
      <c r="K31" s="256">
        <f>+K16/N16</f>
        <v>0.20682462198297424</v>
      </c>
      <c r="L31" s="255"/>
      <c r="M31" s="255"/>
      <c r="N31" s="255"/>
      <c r="S31" s="30"/>
      <c r="X31"/>
      <c r="Y31"/>
      <c r="Z31"/>
      <c r="AA31"/>
      <c r="AB31"/>
      <c r="AC31"/>
      <c r="AD31"/>
      <c r="AE31"/>
      <c r="AF31"/>
      <c r="AG31"/>
      <c r="AH31"/>
      <c r="AI31"/>
      <c r="AJ31"/>
      <c r="AK31"/>
      <c r="AL31"/>
      <c r="AM31"/>
      <c r="AN31"/>
      <c r="AO31"/>
      <c r="AP31"/>
    </row>
    <row r="32" spans="2:42" x14ac:dyDescent="0.25">
      <c r="C32" s="108"/>
      <c r="D32" s="108"/>
      <c r="E32" s="422">
        <f>+E12/N12</f>
        <v>0.7135749648325187</v>
      </c>
      <c r="F32" s="423"/>
      <c r="G32" s="423"/>
      <c r="H32" s="422">
        <f>+H12/N12</f>
        <v>8.2297052324143444E-2</v>
      </c>
      <c r="I32" s="423"/>
      <c r="J32" s="423"/>
      <c r="K32" s="422">
        <f>+K12/N12</f>
        <v>0.2041279828433378</v>
      </c>
      <c r="L32" s="424"/>
      <c r="M32" s="425"/>
      <c r="N32" s="426">
        <f>+SUM(E32,H32,K32)</f>
        <v>0.99999999999999989</v>
      </c>
      <c r="O32" s="140"/>
      <c r="R32" s="1" t="s">
        <v>97</v>
      </c>
      <c r="T32" s="72"/>
      <c r="X32"/>
      <c r="Y32"/>
      <c r="Z32"/>
      <c r="AA32"/>
      <c r="AB32"/>
      <c r="AC32"/>
      <c r="AD32"/>
      <c r="AE32"/>
      <c r="AF32"/>
      <c r="AG32"/>
      <c r="AH32"/>
      <c r="AI32"/>
      <c r="AJ32"/>
      <c r="AK32"/>
      <c r="AL32"/>
      <c r="AM32"/>
      <c r="AN32"/>
      <c r="AO32"/>
      <c r="AP32"/>
    </row>
    <row r="33" spans="2:42" x14ac:dyDescent="0.25">
      <c r="B33" s="280" t="s">
        <v>98</v>
      </c>
      <c r="C33" s="154"/>
      <c r="D33"/>
      <c r="E33" s="217"/>
      <c r="F33"/>
      <c r="G33"/>
      <c r="H33" s="217"/>
      <c r="I33"/>
      <c r="J33"/>
      <c r="K33" s="217"/>
      <c r="L33" s="127"/>
      <c r="M33"/>
      <c r="N33"/>
      <c r="Q33" s="1" t="s">
        <v>99</v>
      </c>
      <c r="R33" s="29" t="s">
        <v>100</v>
      </c>
      <c r="S33" s="66" t="s">
        <v>9</v>
      </c>
      <c r="T33" s="29" t="s">
        <v>101</v>
      </c>
      <c r="U33" s="66" t="s">
        <v>100</v>
      </c>
      <c r="V33" s="1" t="s">
        <v>9</v>
      </c>
      <c r="X33"/>
      <c r="Y33"/>
      <c r="Z33"/>
      <c r="AA33"/>
      <c r="AB33"/>
      <c r="AC33"/>
      <c r="AD33"/>
      <c r="AE33"/>
      <c r="AF33"/>
      <c r="AG33"/>
      <c r="AH33"/>
      <c r="AI33"/>
      <c r="AJ33"/>
      <c r="AK33"/>
      <c r="AL33"/>
      <c r="AM33"/>
      <c r="AN33"/>
      <c r="AO33"/>
      <c r="AP33"/>
    </row>
    <row r="34" spans="2:42" x14ac:dyDescent="0.25">
      <c r="B34" s="108" t="s">
        <v>102</v>
      </c>
      <c r="C34"/>
      <c r="D34"/>
      <c r="F34" s="217"/>
      <c r="G34" s="217"/>
      <c r="I34" s="217"/>
      <c r="J34" s="217"/>
      <c r="L34"/>
      <c r="M34"/>
      <c r="N34" s="216"/>
      <c r="R34" s="64"/>
      <c r="S34" s="31"/>
      <c r="T34" s="65">
        <v>145883</v>
      </c>
      <c r="U34" s="14">
        <v>158341</v>
      </c>
      <c r="V34" s="14">
        <v>6070129138.6299992</v>
      </c>
      <c r="X34"/>
      <c r="Y34"/>
      <c r="Z34"/>
      <c r="AA34"/>
      <c r="AB34"/>
      <c r="AC34"/>
      <c r="AD34"/>
      <c r="AE34"/>
      <c r="AF34"/>
      <c r="AG34"/>
      <c r="AH34"/>
      <c r="AI34"/>
      <c r="AJ34"/>
      <c r="AK34"/>
      <c r="AL34"/>
      <c r="AM34"/>
      <c r="AN34"/>
      <c r="AO34"/>
      <c r="AP34"/>
    </row>
    <row r="35" spans="2:42" x14ac:dyDescent="0.25">
      <c r="B35"/>
      <c r="C35"/>
      <c r="D35"/>
      <c r="E35"/>
      <c r="F35"/>
      <c r="G35"/>
      <c r="H35"/>
      <c r="I35"/>
      <c r="J35"/>
      <c r="K35"/>
      <c r="L35"/>
      <c r="M35"/>
      <c r="N35" s="216"/>
      <c r="R35" s="71"/>
      <c r="S35" s="71"/>
      <c r="T35" s="30">
        <f>+L16-T34</f>
        <v>38108</v>
      </c>
      <c r="U35" s="30">
        <f>+M16-U34</f>
        <v>38215</v>
      </c>
      <c r="V35" s="30">
        <f>+N16-V34</f>
        <v>25971349699.25</v>
      </c>
      <c r="X35"/>
      <c r="Y35"/>
      <c r="Z35"/>
      <c r="AA35"/>
      <c r="AB35"/>
      <c r="AC35"/>
      <c r="AD35"/>
      <c r="AE35"/>
      <c r="AF35"/>
      <c r="AG35"/>
      <c r="AH35"/>
      <c r="AI35"/>
      <c r="AJ35"/>
      <c r="AK35"/>
      <c r="AL35"/>
      <c r="AM35"/>
      <c r="AN35"/>
      <c r="AO35"/>
      <c r="AP35"/>
    </row>
    <row r="36" spans="2:42" x14ac:dyDescent="0.25">
      <c r="B36"/>
      <c r="C36"/>
      <c r="D36"/>
      <c r="E36"/>
      <c r="F36"/>
      <c r="G36"/>
      <c r="H36"/>
      <c r="I36"/>
      <c r="J36"/>
      <c r="K36"/>
      <c r="L36"/>
      <c r="M36"/>
      <c r="N36"/>
      <c r="S36" s="31"/>
      <c r="X36"/>
      <c r="Y36"/>
      <c r="Z36"/>
      <c r="AA36"/>
      <c r="AB36"/>
      <c r="AC36"/>
      <c r="AD36"/>
      <c r="AE36"/>
      <c r="AF36"/>
      <c r="AG36"/>
      <c r="AH36"/>
      <c r="AI36"/>
      <c r="AJ36"/>
      <c r="AK36"/>
      <c r="AL36"/>
      <c r="AM36"/>
      <c r="AN36"/>
      <c r="AO36"/>
      <c r="AP36"/>
    </row>
    <row r="37" spans="2:42" x14ac:dyDescent="0.25">
      <c r="B37"/>
      <c r="C37"/>
      <c r="D37"/>
      <c r="E37"/>
      <c r="F37"/>
      <c r="G37"/>
      <c r="H37"/>
      <c r="I37"/>
      <c r="J37"/>
      <c r="K37"/>
      <c r="L37"/>
      <c r="M37"/>
      <c r="N37"/>
      <c r="X37"/>
      <c r="Y37"/>
      <c r="Z37"/>
      <c r="AA37"/>
      <c r="AB37"/>
      <c r="AC37"/>
      <c r="AD37"/>
      <c r="AE37"/>
      <c r="AF37"/>
      <c r="AG37"/>
      <c r="AH37"/>
      <c r="AI37"/>
      <c r="AJ37"/>
      <c r="AK37"/>
      <c r="AL37"/>
      <c r="AM37"/>
      <c r="AN37"/>
      <c r="AO37"/>
      <c r="AP37"/>
    </row>
    <row r="38" spans="2:42" x14ac:dyDescent="0.25">
      <c r="B38"/>
      <c r="C38"/>
      <c r="D38"/>
      <c r="E38"/>
      <c r="F38"/>
      <c r="G38"/>
      <c r="H38"/>
      <c r="I38"/>
      <c r="J38"/>
      <c r="K38"/>
      <c r="L38"/>
      <c r="M38"/>
      <c r="N38"/>
      <c r="T38" s="73">
        <f>+(L16-T34)/T34</f>
        <v>0.26122303489782911</v>
      </c>
      <c r="U38" s="73">
        <f>+(M16-U34)/U34</f>
        <v>0.24134620849937793</v>
      </c>
      <c r="V38" s="73">
        <f>+(N16-V34)/V34</f>
        <v>4.2785497814156255</v>
      </c>
      <c r="X38"/>
      <c r="Y38"/>
      <c r="Z38"/>
      <c r="AA38"/>
      <c r="AB38"/>
      <c r="AC38"/>
      <c r="AD38"/>
      <c r="AE38"/>
      <c r="AF38"/>
      <c r="AG38"/>
      <c r="AH38"/>
      <c r="AI38"/>
      <c r="AJ38"/>
      <c r="AK38"/>
      <c r="AL38"/>
      <c r="AM38"/>
      <c r="AN38"/>
      <c r="AO38"/>
      <c r="AP38"/>
    </row>
    <row r="39" spans="2:42" x14ac:dyDescent="0.25">
      <c r="B39"/>
      <c r="C39"/>
      <c r="D39"/>
      <c r="E39"/>
      <c r="F39"/>
      <c r="G39"/>
      <c r="H39"/>
      <c r="I39"/>
      <c r="J39"/>
      <c r="K39"/>
      <c r="L39"/>
      <c r="M39"/>
      <c r="N39"/>
      <c r="X39"/>
      <c r="Y39"/>
      <c r="Z39"/>
      <c r="AA39"/>
      <c r="AB39"/>
      <c r="AC39"/>
      <c r="AD39"/>
      <c r="AE39"/>
      <c r="AF39"/>
      <c r="AG39"/>
      <c r="AH39"/>
      <c r="AI39"/>
      <c r="AJ39"/>
      <c r="AK39"/>
      <c r="AL39"/>
      <c r="AM39"/>
      <c r="AN39"/>
      <c r="AO39"/>
      <c r="AP39"/>
    </row>
    <row r="40" spans="2:42" x14ac:dyDescent="0.25">
      <c r="B40"/>
      <c r="C40"/>
      <c r="D40"/>
      <c r="E40"/>
      <c r="F40"/>
      <c r="G40"/>
      <c r="H40"/>
      <c r="I40"/>
      <c r="J40"/>
      <c r="K40"/>
      <c r="L40"/>
      <c r="M40"/>
      <c r="N40"/>
      <c r="X40"/>
      <c r="Y40"/>
      <c r="Z40"/>
      <c r="AA40"/>
      <c r="AB40"/>
      <c r="AC40"/>
      <c r="AD40"/>
      <c r="AE40"/>
      <c r="AF40"/>
      <c r="AG40"/>
      <c r="AH40"/>
      <c r="AI40"/>
      <c r="AJ40"/>
      <c r="AK40"/>
      <c r="AL40"/>
      <c r="AM40"/>
      <c r="AN40"/>
      <c r="AO40"/>
      <c r="AP40"/>
    </row>
    <row r="41" spans="2:42" x14ac:dyDescent="0.25">
      <c r="B41"/>
      <c r="C41"/>
      <c r="D41"/>
      <c r="E41"/>
      <c r="F41"/>
      <c r="G41"/>
      <c r="H41"/>
      <c r="I41"/>
      <c r="J41"/>
      <c r="K41"/>
      <c r="L41"/>
      <c r="M41"/>
      <c r="N41"/>
      <c r="T41" s="1" t="s">
        <v>103</v>
      </c>
      <c r="X41"/>
      <c r="Y41"/>
      <c r="Z41"/>
      <c r="AA41"/>
      <c r="AB41"/>
      <c r="AC41"/>
      <c r="AD41"/>
      <c r="AE41"/>
      <c r="AF41"/>
      <c r="AG41"/>
      <c r="AH41"/>
      <c r="AI41"/>
      <c r="AJ41"/>
      <c r="AK41"/>
      <c r="AL41"/>
      <c r="AM41"/>
      <c r="AN41"/>
      <c r="AO41"/>
      <c r="AP41"/>
    </row>
    <row r="42" spans="2:42" x14ac:dyDescent="0.25">
      <c r="B42"/>
      <c r="C42"/>
      <c r="D42"/>
      <c r="E42"/>
      <c r="F42"/>
      <c r="G42"/>
      <c r="H42"/>
      <c r="I42"/>
      <c r="J42"/>
      <c r="K42"/>
      <c r="L42"/>
      <c r="M42"/>
      <c r="N42"/>
      <c r="T42" s="94" t="s">
        <v>101</v>
      </c>
      <c r="U42" s="94" t="s">
        <v>100</v>
      </c>
      <c r="V42" s="94" t="s">
        <v>9</v>
      </c>
      <c r="X42"/>
      <c r="Y42"/>
      <c r="Z42"/>
      <c r="AA42"/>
      <c r="AB42"/>
      <c r="AC42"/>
      <c r="AD42"/>
      <c r="AE42"/>
      <c r="AF42"/>
      <c r="AG42"/>
      <c r="AH42"/>
      <c r="AI42"/>
      <c r="AJ42"/>
      <c r="AK42"/>
      <c r="AL42"/>
      <c r="AM42"/>
      <c r="AN42"/>
      <c r="AO42"/>
      <c r="AP42"/>
    </row>
    <row r="43" spans="2:42" x14ac:dyDescent="0.25">
      <c r="B43"/>
      <c r="C43"/>
      <c r="D43"/>
      <c r="E43"/>
      <c r="F43"/>
      <c r="G43"/>
      <c r="H43"/>
      <c r="I43"/>
      <c r="J43"/>
      <c r="K43"/>
      <c r="L43"/>
      <c r="M43"/>
      <c r="N43"/>
      <c r="T43" s="94">
        <v>139458</v>
      </c>
      <c r="U43" s="94">
        <v>151810</v>
      </c>
      <c r="V43" s="94">
        <v>5844095640.5</v>
      </c>
      <c r="X43"/>
      <c r="Y43"/>
      <c r="Z43"/>
      <c r="AA43"/>
      <c r="AB43"/>
      <c r="AC43"/>
      <c r="AD43"/>
      <c r="AE43"/>
      <c r="AF43"/>
      <c r="AG43"/>
      <c r="AH43"/>
      <c r="AI43"/>
      <c r="AJ43"/>
      <c r="AK43"/>
      <c r="AL43"/>
      <c r="AM43"/>
      <c r="AN43"/>
      <c r="AO43"/>
      <c r="AP43"/>
    </row>
    <row r="44" spans="2:42" x14ac:dyDescent="0.25">
      <c r="B44"/>
      <c r="C44"/>
      <c r="D44"/>
      <c r="E44"/>
      <c r="F44"/>
      <c r="G44"/>
      <c r="H44"/>
      <c r="I44"/>
      <c r="J44"/>
      <c r="K44"/>
      <c r="L44"/>
      <c r="M44"/>
      <c r="N44"/>
      <c r="T44" s="94">
        <f>L16-T43</f>
        <v>44533</v>
      </c>
      <c r="U44" s="94">
        <f>M16-U43</f>
        <v>44746</v>
      </c>
      <c r="V44" s="94">
        <f>N16-V43</f>
        <v>26197383197.380001</v>
      </c>
      <c r="X44"/>
      <c r="Y44"/>
      <c r="Z44"/>
      <c r="AA44"/>
      <c r="AB44"/>
      <c r="AC44"/>
      <c r="AD44"/>
      <c r="AE44"/>
      <c r="AF44"/>
      <c r="AG44"/>
      <c r="AH44"/>
      <c r="AI44"/>
      <c r="AJ44"/>
      <c r="AK44"/>
      <c r="AL44"/>
      <c r="AM44"/>
      <c r="AN44"/>
      <c r="AO44"/>
      <c r="AP44"/>
    </row>
    <row r="45" spans="2:42" x14ac:dyDescent="0.25">
      <c r="B45"/>
      <c r="C45"/>
      <c r="D45"/>
      <c r="E45"/>
      <c r="F45"/>
      <c r="G45"/>
      <c r="H45"/>
      <c r="I45"/>
      <c r="J45"/>
      <c r="K45"/>
      <c r="L45"/>
      <c r="M45"/>
      <c r="N45"/>
      <c r="T45" s="94"/>
      <c r="U45" s="94"/>
      <c r="V45" s="94"/>
      <c r="X45"/>
      <c r="Y45"/>
      <c r="Z45"/>
      <c r="AA45"/>
      <c r="AB45"/>
      <c r="AC45"/>
      <c r="AD45"/>
      <c r="AE45"/>
      <c r="AF45"/>
      <c r="AG45"/>
      <c r="AH45"/>
      <c r="AI45"/>
      <c r="AJ45"/>
      <c r="AK45"/>
      <c r="AL45"/>
      <c r="AM45"/>
      <c r="AN45"/>
      <c r="AO45"/>
      <c r="AP45"/>
    </row>
    <row r="46" spans="2:42" x14ac:dyDescent="0.25">
      <c r="B46"/>
      <c r="C46"/>
      <c r="D46"/>
      <c r="E46"/>
      <c r="F46"/>
      <c r="G46"/>
      <c r="H46"/>
      <c r="I46"/>
      <c r="J46"/>
      <c r="K46"/>
      <c r="L46"/>
      <c r="M46"/>
      <c r="N46"/>
      <c r="T46" s="94"/>
      <c r="U46" s="94"/>
      <c r="V46" s="94"/>
      <c r="X46"/>
      <c r="Y46"/>
      <c r="Z46"/>
      <c r="AA46"/>
      <c r="AB46"/>
      <c r="AC46"/>
      <c r="AD46"/>
      <c r="AE46"/>
      <c r="AF46"/>
      <c r="AG46"/>
      <c r="AH46"/>
      <c r="AI46"/>
      <c r="AJ46"/>
      <c r="AK46"/>
      <c r="AL46"/>
      <c r="AM46"/>
      <c r="AN46"/>
      <c r="AO46"/>
      <c r="AP46"/>
    </row>
    <row r="47" spans="2:42" x14ac:dyDescent="0.25">
      <c r="B47"/>
      <c r="C47"/>
      <c r="D47"/>
      <c r="E47"/>
      <c r="F47"/>
      <c r="G47"/>
      <c r="H47"/>
      <c r="I47"/>
      <c r="J47"/>
      <c r="K47"/>
      <c r="L47"/>
      <c r="M47"/>
      <c r="N47"/>
      <c r="T47" s="73">
        <f>+(L16-T43)/T43</f>
        <v>0.31932911701013927</v>
      </c>
      <c r="U47" s="73">
        <f>+(M16-U43)/U43</f>
        <v>0.29475001646795335</v>
      </c>
      <c r="V47" s="73">
        <f>+(N16-V43)/V43</f>
        <v>4.4827095258041751</v>
      </c>
      <c r="X47"/>
      <c r="Y47"/>
      <c r="Z47"/>
      <c r="AA47"/>
      <c r="AB47"/>
      <c r="AC47"/>
      <c r="AD47"/>
      <c r="AE47"/>
      <c r="AF47"/>
      <c r="AG47"/>
      <c r="AH47"/>
      <c r="AI47"/>
      <c r="AJ47"/>
      <c r="AK47"/>
      <c r="AL47"/>
      <c r="AM47"/>
      <c r="AN47"/>
      <c r="AO47"/>
      <c r="AP47"/>
    </row>
    <row r="48" spans="2:42" x14ac:dyDescent="0.25">
      <c r="B48"/>
      <c r="C48"/>
      <c r="D48"/>
      <c r="E48"/>
      <c r="F48"/>
      <c r="G48"/>
      <c r="H48"/>
      <c r="I48"/>
      <c r="J48"/>
      <c r="K48"/>
      <c r="L48"/>
      <c r="M48"/>
      <c r="N48"/>
      <c r="X48"/>
      <c r="Y48"/>
      <c r="Z48"/>
      <c r="AA48"/>
      <c r="AB48"/>
      <c r="AC48"/>
      <c r="AD48"/>
      <c r="AE48"/>
      <c r="AF48"/>
      <c r="AG48"/>
      <c r="AH48"/>
      <c r="AI48"/>
      <c r="AJ48"/>
      <c r="AK48"/>
      <c r="AL48"/>
      <c r="AM48"/>
      <c r="AN48"/>
      <c r="AO48"/>
      <c r="AP48"/>
    </row>
    <row r="49" spans="2:42" x14ac:dyDescent="0.25">
      <c r="B49"/>
      <c r="C49"/>
      <c r="D49"/>
      <c r="E49"/>
      <c r="F49"/>
      <c r="G49"/>
      <c r="H49"/>
      <c r="I49"/>
      <c r="J49"/>
      <c r="K49"/>
      <c r="L49"/>
      <c r="M49"/>
      <c r="N49"/>
      <c r="X49"/>
      <c r="Y49"/>
      <c r="Z49"/>
      <c r="AA49"/>
      <c r="AB49"/>
      <c r="AC49"/>
      <c r="AD49"/>
      <c r="AE49"/>
      <c r="AF49"/>
      <c r="AG49"/>
      <c r="AH49"/>
      <c r="AI49"/>
      <c r="AJ49"/>
      <c r="AK49"/>
      <c r="AL49"/>
      <c r="AM49"/>
      <c r="AN49"/>
      <c r="AO49"/>
      <c r="AP49"/>
    </row>
    <row r="50" spans="2:42" x14ac:dyDescent="0.25">
      <c r="B50"/>
      <c r="C50"/>
      <c r="D50"/>
      <c r="E50"/>
      <c r="F50"/>
      <c r="G50"/>
      <c r="H50"/>
      <c r="I50"/>
      <c r="J50"/>
      <c r="K50"/>
      <c r="L50"/>
      <c r="M50"/>
      <c r="N50"/>
      <c r="X50"/>
      <c r="Y50"/>
      <c r="Z50"/>
      <c r="AA50"/>
      <c r="AB50"/>
      <c r="AC50"/>
      <c r="AD50"/>
      <c r="AE50"/>
      <c r="AF50"/>
      <c r="AG50"/>
      <c r="AH50"/>
      <c r="AI50"/>
      <c r="AJ50"/>
      <c r="AK50"/>
      <c r="AL50"/>
      <c r="AM50"/>
      <c r="AN50"/>
      <c r="AO50"/>
      <c r="AP50"/>
    </row>
    <row r="51" spans="2:42" x14ac:dyDescent="0.25">
      <c r="B51"/>
      <c r="C51"/>
      <c r="D51"/>
      <c r="E51"/>
      <c r="F51"/>
      <c r="G51"/>
      <c r="H51"/>
      <c r="I51"/>
      <c r="J51"/>
      <c r="K51"/>
      <c r="L51"/>
      <c r="M51"/>
      <c r="N51"/>
      <c r="X51"/>
      <c r="Y51"/>
      <c r="Z51"/>
      <c r="AA51"/>
      <c r="AB51"/>
      <c r="AC51"/>
      <c r="AD51"/>
      <c r="AE51"/>
      <c r="AF51"/>
      <c r="AG51"/>
      <c r="AH51"/>
      <c r="AI51"/>
      <c r="AJ51"/>
      <c r="AK51"/>
      <c r="AL51"/>
      <c r="AM51"/>
      <c r="AN51"/>
      <c r="AO51"/>
      <c r="AP51"/>
    </row>
    <row r="52" spans="2:42" x14ac:dyDescent="0.25">
      <c r="B52"/>
      <c r="C52"/>
      <c r="D52"/>
      <c r="E52"/>
      <c r="F52"/>
      <c r="G52"/>
      <c r="H52"/>
      <c r="I52"/>
      <c r="J52"/>
      <c r="K52"/>
      <c r="L52"/>
      <c r="M52"/>
      <c r="N52"/>
    </row>
    <row r="53" spans="2:42" x14ac:dyDescent="0.25">
      <c r="B53"/>
      <c r="C53"/>
      <c r="D53"/>
      <c r="E53"/>
      <c r="F53"/>
      <c r="G53"/>
      <c r="H53"/>
      <c r="I53"/>
      <c r="J53"/>
      <c r="K53"/>
      <c r="L53"/>
      <c r="M53"/>
      <c r="N53"/>
    </row>
    <row r="54" spans="2:42" x14ac:dyDescent="0.25">
      <c r="B54"/>
      <c r="C54"/>
      <c r="D54"/>
      <c r="E54"/>
      <c r="F54"/>
      <c r="G54"/>
      <c r="H54"/>
      <c r="I54"/>
      <c r="J54"/>
      <c r="K54"/>
      <c r="L54"/>
      <c r="M54"/>
      <c r="N54"/>
    </row>
    <row r="55" spans="2:42" x14ac:dyDescent="0.25">
      <c r="B55"/>
      <c r="C55"/>
      <c r="D55"/>
      <c r="E55"/>
      <c r="F55"/>
      <c r="G55"/>
      <c r="H55"/>
      <c r="I55"/>
      <c r="J55"/>
      <c r="K55"/>
      <c r="L55"/>
      <c r="M55"/>
      <c r="N55"/>
    </row>
    <row r="56" spans="2:42" x14ac:dyDescent="0.25">
      <c r="B56"/>
      <c r="C56"/>
      <c r="D56"/>
      <c r="E56"/>
      <c r="F56"/>
      <c r="G56"/>
      <c r="H56"/>
      <c r="I56"/>
      <c r="J56"/>
      <c r="K56"/>
      <c r="L56"/>
      <c r="M56"/>
      <c r="N56"/>
    </row>
    <row r="57" spans="2:42" x14ac:dyDescent="0.25">
      <c r="B57"/>
      <c r="C57"/>
      <c r="D57"/>
      <c r="E57"/>
      <c r="F57"/>
      <c r="G57"/>
      <c r="H57"/>
      <c r="I57"/>
      <c r="J57"/>
      <c r="K57"/>
      <c r="L57"/>
      <c r="M57"/>
      <c r="N57"/>
    </row>
    <row r="58" spans="2:42" x14ac:dyDescent="0.25">
      <c r="B58"/>
      <c r="C58"/>
      <c r="D58"/>
      <c r="E58"/>
      <c r="F58"/>
      <c r="G58"/>
      <c r="H58"/>
      <c r="I58"/>
      <c r="J58"/>
      <c r="K58"/>
      <c r="L58"/>
      <c r="M58"/>
      <c r="N58"/>
    </row>
    <row r="59" spans="2:42" x14ac:dyDescent="0.25">
      <c r="B59"/>
      <c r="C59"/>
      <c r="D59"/>
      <c r="E59"/>
      <c r="F59"/>
      <c r="G59"/>
      <c r="H59"/>
      <c r="I59"/>
      <c r="J59"/>
      <c r="K59"/>
      <c r="L59"/>
      <c r="M59"/>
      <c r="N59"/>
    </row>
    <row r="60" spans="2:42" x14ac:dyDescent="0.25">
      <c r="B60"/>
      <c r="C60"/>
      <c r="D60"/>
      <c r="E60"/>
      <c r="F60"/>
      <c r="G60"/>
      <c r="H60"/>
      <c r="I60"/>
      <c r="J60"/>
      <c r="K60"/>
      <c r="L60"/>
      <c r="M60"/>
      <c r="N60"/>
    </row>
    <row r="61" spans="2:42" x14ac:dyDescent="0.25">
      <c r="B61"/>
      <c r="C61"/>
      <c r="D61"/>
      <c r="E61"/>
      <c r="F61"/>
      <c r="G61"/>
      <c r="H61"/>
      <c r="I61"/>
      <c r="J61"/>
      <c r="K61"/>
      <c r="L61"/>
      <c r="M61"/>
      <c r="N61"/>
    </row>
    <row r="62" spans="2:42" x14ac:dyDescent="0.25">
      <c r="B62"/>
      <c r="C62"/>
      <c r="D62"/>
      <c r="E62"/>
      <c r="F62"/>
      <c r="G62"/>
      <c r="H62"/>
      <c r="I62"/>
      <c r="J62"/>
      <c r="K62"/>
      <c r="L62"/>
      <c r="M62"/>
      <c r="N62"/>
    </row>
    <row r="63" spans="2:42" x14ac:dyDescent="0.25">
      <c r="B63"/>
      <c r="C63"/>
      <c r="D63"/>
      <c r="E63"/>
      <c r="F63"/>
      <c r="G63"/>
      <c r="H63"/>
      <c r="I63"/>
      <c r="J63"/>
      <c r="K63"/>
      <c r="L63"/>
      <c r="M63"/>
      <c r="N63"/>
    </row>
    <row r="69" spans="3:15" x14ac:dyDescent="0.25">
      <c r="C69" s="38"/>
      <c r="D69" s="122"/>
      <c r="E69" s="95"/>
      <c r="F69" s="95"/>
      <c r="G69" s="95"/>
      <c r="H69" s="95"/>
      <c r="I69" s="95"/>
      <c r="J69" s="95"/>
      <c r="K69" s="95"/>
      <c r="L69" s="95"/>
      <c r="M69" s="32"/>
      <c r="N69" s="33"/>
      <c r="O69" s="32"/>
    </row>
    <row r="71" spans="3:15" x14ac:dyDescent="0.25">
      <c r="C71" s="38"/>
      <c r="D71" s="122"/>
      <c r="E71" s="95"/>
      <c r="F71" s="95"/>
      <c r="G71" s="95"/>
      <c r="H71" s="95"/>
      <c r="I71" s="95"/>
      <c r="J71" s="95"/>
      <c r="K71" s="95"/>
      <c r="L71" s="95"/>
      <c r="M71" s="32"/>
      <c r="N71" s="33"/>
      <c r="O71" s="97"/>
    </row>
    <row r="73" spans="3:15" ht="5.25" customHeight="1" x14ac:dyDescent="0.25"/>
    <row r="74" spans="3:15" hidden="1" x14ac:dyDescent="0.25"/>
    <row r="75" spans="3:15" hidden="1" x14ac:dyDescent="0.25"/>
    <row r="76" spans="3:15" hidden="1" x14ac:dyDescent="0.25"/>
    <row r="77" spans="3:15" hidden="1" x14ac:dyDescent="0.25"/>
    <row r="78" spans="3:15" hidden="1" x14ac:dyDescent="0.25"/>
    <row r="79" spans="3:15" hidden="1" x14ac:dyDescent="0.25"/>
    <row r="80" spans="3:15"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sheetData>
  <mergeCells count="10">
    <mergeCell ref="T16:V16"/>
    <mergeCell ref="B1:N1"/>
    <mergeCell ref="B2:N2"/>
    <mergeCell ref="B3:N3"/>
    <mergeCell ref="B5:N5"/>
    <mergeCell ref="C6:E6"/>
    <mergeCell ref="I6:K6"/>
    <mergeCell ref="L6:N6"/>
    <mergeCell ref="B4:N4"/>
    <mergeCell ref="F6:H6"/>
  </mergeCells>
  <pageMargins left="0.7" right="0.7" top="0.75" bottom="0.75" header="0.3" footer="0.3"/>
  <pageSetup paperSize="9" scale="53" orientation="portrait" r:id="rId1"/>
  <colBreaks count="1" manualBreakCount="1">
    <brk id="15" max="1048575" man="1"/>
  </colBreaks>
  <ignoredErrors>
    <ignoredError sqref="L16 M16" formula="1"/>
    <ignoredError sqref="C12:G12 I12:N12" unlockedFormula="1"/>
    <ignoredError sqref="H12" formula="1"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B1:U60"/>
  <sheetViews>
    <sheetView showGridLines="0" topLeftCell="A20" zoomScale="91" zoomScaleNormal="91" zoomScaleSheetLayoutView="55" workbookViewId="0">
      <selection activeCell="R28" sqref="R28"/>
    </sheetView>
  </sheetViews>
  <sheetFormatPr baseColWidth="10" defaultColWidth="11.42578125" defaultRowHeight="15" x14ac:dyDescent="0.25"/>
  <cols>
    <col min="1" max="1" width="0.42578125" style="1" customWidth="1"/>
    <col min="2" max="2" width="12.28515625" style="1" customWidth="1"/>
    <col min="3" max="3" width="10.42578125" style="1" customWidth="1"/>
    <col min="4" max="4" width="14.5703125" style="1" customWidth="1"/>
    <col min="5" max="5" width="11.5703125" style="1" customWidth="1"/>
    <col min="6" max="6" width="13" style="1" customWidth="1"/>
    <col min="7" max="7" width="13.140625" style="1" customWidth="1"/>
    <col min="8" max="8" width="7.85546875" style="1" customWidth="1"/>
    <col min="9" max="9" width="13.140625" style="1" customWidth="1"/>
    <col min="10" max="11" width="12.42578125" style="1" customWidth="1"/>
    <col min="12" max="12" width="10.42578125" style="1" customWidth="1"/>
    <col min="13" max="13" width="13" style="1" customWidth="1"/>
    <col min="14" max="14" width="15" style="1" customWidth="1"/>
    <col min="15" max="15" width="17.5703125" style="1" bestFit="1" customWidth="1"/>
    <col min="16" max="16" width="15" style="1" customWidth="1"/>
    <col min="17" max="17" width="12.5703125" style="1" customWidth="1"/>
    <col min="18" max="18" width="17.140625" style="1" customWidth="1"/>
    <col min="19" max="19" width="17" style="1" customWidth="1"/>
    <col min="20" max="16384" width="11.42578125" style="1"/>
  </cols>
  <sheetData>
    <row r="1" spans="2:19" x14ac:dyDescent="0.25">
      <c r="B1" s="536" t="s">
        <v>0</v>
      </c>
      <c r="C1" s="536"/>
      <c r="D1" s="536"/>
      <c r="E1" s="536"/>
      <c r="F1" s="536"/>
      <c r="G1" s="536"/>
      <c r="H1" s="536"/>
      <c r="I1" s="536"/>
      <c r="J1" s="536"/>
      <c r="K1" s="536"/>
      <c r="L1" s="536"/>
      <c r="M1" s="536"/>
      <c r="N1" s="536"/>
      <c r="O1" s="536"/>
      <c r="P1" s="536"/>
      <c r="Q1" s="536"/>
      <c r="R1" s="536"/>
      <c r="S1" s="536"/>
    </row>
    <row r="2" spans="2:19" x14ac:dyDescent="0.25">
      <c r="B2" s="536" t="s">
        <v>76</v>
      </c>
      <c r="C2" s="536"/>
      <c r="D2" s="536"/>
      <c r="E2" s="536"/>
      <c r="F2" s="536"/>
      <c r="G2" s="536"/>
      <c r="H2" s="536"/>
      <c r="I2" s="536"/>
      <c r="J2" s="536"/>
      <c r="K2" s="536"/>
      <c r="L2" s="536"/>
      <c r="M2" s="536"/>
      <c r="N2" s="536"/>
      <c r="O2" s="536"/>
      <c r="P2" s="536"/>
      <c r="Q2" s="536"/>
      <c r="R2" s="536"/>
      <c r="S2" s="536"/>
    </row>
    <row r="3" spans="2:19" x14ac:dyDescent="0.25">
      <c r="B3" s="536" t="s">
        <v>104</v>
      </c>
      <c r="C3" s="536"/>
      <c r="D3" s="536"/>
      <c r="E3" s="536"/>
      <c r="F3" s="536"/>
      <c r="G3" s="536"/>
      <c r="H3" s="536"/>
      <c r="I3" s="536"/>
      <c r="J3" s="536"/>
      <c r="K3" s="536"/>
      <c r="L3" s="536"/>
      <c r="M3" s="536"/>
      <c r="N3" s="536"/>
      <c r="O3" s="536"/>
      <c r="P3" s="536"/>
      <c r="Q3" s="536"/>
      <c r="R3" s="536"/>
      <c r="S3" s="536"/>
    </row>
    <row r="4" spans="2:19" x14ac:dyDescent="0.25">
      <c r="B4" s="536" t="s">
        <v>3</v>
      </c>
      <c r="C4" s="536"/>
      <c r="D4" s="536"/>
      <c r="E4" s="536"/>
      <c r="F4" s="536"/>
      <c r="G4" s="536"/>
      <c r="H4" s="536"/>
      <c r="I4" s="536"/>
      <c r="J4" s="536"/>
      <c r="K4" s="536"/>
      <c r="L4" s="536"/>
      <c r="M4" s="536"/>
      <c r="N4" s="536"/>
      <c r="O4" s="536"/>
      <c r="P4" s="536"/>
      <c r="Q4" s="536"/>
      <c r="R4" s="536"/>
      <c r="S4" s="536"/>
    </row>
    <row r="5" spans="2:19" x14ac:dyDescent="0.25">
      <c r="B5" s="536" t="s">
        <v>4</v>
      </c>
      <c r="C5" s="536"/>
      <c r="D5" s="536"/>
      <c r="E5" s="536"/>
      <c r="F5" s="536"/>
      <c r="G5" s="536"/>
      <c r="H5" s="536"/>
      <c r="I5" s="536"/>
      <c r="J5" s="536"/>
      <c r="K5" s="536"/>
      <c r="L5" s="536"/>
      <c r="M5" s="536"/>
      <c r="N5" s="536"/>
      <c r="O5" s="536"/>
      <c r="P5" s="536"/>
      <c r="Q5" s="536"/>
      <c r="R5" s="536"/>
      <c r="S5" s="536"/>
    </row>
    <row r="6" spans="2:19" ht="31.5" customHeight="1" x14ac:dyDescent="0.25">
      <c r="B6" s="279"/>
      <c r="C6" s="554" t="s">
        <v>105</v>
      </c>
      <c r="D6" s="554"/>
      <c r="E6" s="554"/>
      <c r="F6" s="554"/>
      <c r="G6" s="554"/>
      <c r="H6" s="558" t="s">
        <v>106</v>
      </c>
      <c r="I6" s="558"/>
      <c r="J6" s="558"/>
      <c r="K6" s="558"/>
      <c r="L6" s="558"/>
      <c r="M6" s="559" t="s">
        <v>107</v>
      </c>
      <c r="N6" s="559"/>
      <c r="O6" s="560" t="s">
        <v>108</v>
      </c>
      <c r="P6" s="560"/>
      <c r="Q6" s="556" t="s">
        <v>93</v>
      </c>
      <c r="R6" s="556"/>
      <c r="S6" s="22"/>
    </row>
    <row r="7" spans="2:19" ht="34.5" customHeight="1" x14ac:dyDescent="0.25">
      <c r="B7" s="236" t="s">
        <v>5</v>
      </c>
      <c r="C7" s="236" t="s">
        <v>109</v>
      </c>
      <c r="D7" s="236" t="s">
        <v>110</v>
      </c>
      <c r="E7" s="236" t="s">
        <v>111</v>
      </c>
      <c r="F7" s="236" t="s">
        <v>112</v>
      </c>
      <c r="G7" s="236" t="s">
        <v>113</v>
      </c>
      <c r="H7" s="236" t="s">
        <v>109</v>
      </c>
      <c r="I7" s="236" t="s">
        <v>110</v>
      </c>
      <c r="J7" s="236" t="s">
        <v>111</v>
      </c>
      <c r="K7" s="236" t="s">
        <v>112</v>
      </c>
      <c r="L7" s="236" t="s">
        <v>113</v>
      </c>
      <c r="M7" s="236" t="s">
        <v>109</v>
      </c>
      <c r="N7" s="236" t="s">
        <v>110</v>
      </c>
      <c r="O7" s="236" t="s">
        <v>109</v>
      </c>
      <c r="P7" s="236" t="s">
        <v>114</v>
      </c>
      <c r="Q7" s="236" t="s">
        <v>109</v>
      </c>
      <c r="R7" s="236" t="s">
        <v>110</v>
      </c>
    </row>
    <row r="8" spans="2:19" hidden="1" x14ac:dyDescent="0.25">
      <c r="B8" s="131" t="s">
        <v>12</v>
      </c>
      <c r="C8" s="282"/>
      <c r="D8" s="282"/>
      <c r="E8" s="282" t="s">
        <v>115</v>
      </c>
      <c r="F8" s="282" t="s">
        <v>115</v>
      </c>
      <c r="G8" s="282"/>
      <c r="H8" s="282"/>
      <c r="I8" s="283"/>
      <c r="J8" s="283"/>
      <c r="K8" s="283" t="s">
        <v>115</v>
      </c>
      <c r="L8" s="283"/>
      <c r="M8" s="282"/>
      <c r="N8" s="282"/>
      <c r="O8" s="282"/>
      <c r="P8" s="282"/>
      <c r="Q8" s="283" t="e">
        <f>C8+#REF!+M8+O8</f>
        <v>#REF!</v>
      </c>
      <c r="R8" s="282">
        <f>D8+I8+N8+P8</f>
        <v>0</v>
      </c>
    </row>
    <row r="9" spans="2:19" x14ac:dyDescent="0.25">
      <c r="B9" s="128" t="s">
        <v>13</v>
      </c>
      <c r="C9" s="122">
        <v>224</v>
      </c>
      <c r="D9" s="487">
        <v>2614752.9</v>
      </c>
      <c r="E9" s="487">
        <v>260690.84</v>
      </c>
      <c r="F9" s="487">
        <v>78442.58</v>
      </c>
      <c r="G9" s="487">
        <v>2275619.48</v>
      </c>
      <c r="H9" s="489">
        <v>2</v>
      </c>
      <c r="I9" s="403">
        <v>25000</v>
      </c>
      <c r="J9" s="403">
        <v>2452.5</v>
      </c>
      <c r="K9" s="403">
        <v>750</v>
      </c>
      <c r="L9" s="403">
        <v>21757.5</v>
      </c>
      <c r="M9" s="122">
        <v>643</v>
      </c>
      <c r="N9" s="403">
        <v>11678072.960000001</v>
      </c>
      <c r="O9" s="122">
        <v>955</v>
      </c>
      <c r="P9" s="403">
        <v>11951588.529999999</v>
      </c>
      <c r="Q9" s="435">
        <f>+C9++M9+H9+O9</f>
        <v>1824</v>
      </c>
      <c r="R9" s="451">
        <f>D9+I9+N9+P9</f>
        <v>26269414.390000001</v>
      </c>
    </row>
    <row r="10" spans="2:19" x14ac:dyDescent="0.25">
      <c r="B10" s="128" t="s">
        <v>14</v>
      </c>
      <c r="C10" s="122">
        <v>214</v>
      </c>
      <c r="D10" s="487">
        <v>2471804.98</v>
      </c>
      <c r="E10" s="487">
        <v>246438.95</v>
      </c>
      <c r="F10" s="487">
        <v>74154.14</v>
      </c>
      <c r="G10" s="487">
        <v>2151211.89</v>
      </c>
      <c r="H10" s="489">
        <v>2</v>
      </c>
      <c r="I10" s="403">
        <v>25000</v>
      </c>
      <c r="J10" s="403">
        <v>2452.5</v>
      </c>
      <c r="K10" s="403">
        <v>750</v>
      </c>
      <c r="L10" s="403">
        <v>21757.5</v>
      </c>
      <c r="M10" s="122">
        <v>635</v>
      </c>
      <c r="N10" s="403">
        <v>11516989.710000001</v>
      </c>
      <c r="O10" s="122">
        <v>944</v>
      </c>
      <c r="P10" s="403">
        <v>11715629.970000001</v>
      </c>
      <c r="Q10" s="435">
        <f>+C10++M10+H10+O10</f>
        <v>1795</v>
      </c>
      <c r="R10" s="451">
        <f>D10+I10+N10+P10</f>
        <v>25729424.660000004</v>
      </c>
    </row>
    <row r="11" spans="2:19" x14ac:dyDescent="0.25">
      <c r="B11" s="128" t="s">
        <v>15</v>
      </c>
      <c r="C11" s="122">
        <v>214</v>
      </c>
      <c r="D11" s="487">
        <v>2437308.1800000002</v>
      </c>
      <c r="E11" s="487">
        <v>242999.61</v>
      </c>
      <c r="F11" s="487">
        <v>73119.23</v>
      </c>
      <c r="G11" s="487">
        <v>2121189.34</v>
      </c>
      <c r="H11" s="489">
        <v>2</v>
      </c>
      <c r="I11" s="403">
        <v>25000</v>
      </c>
      <c r="J11" s="403">
        <v>2452.5</v>
      </c>
      <c r="K11" s="403">
        <v>750</v>
      </c>
      <c r="L11" s="403">
        <v>21757.5</v>
      </c>
      <c r="M11" s="122">
        <v>627</v>
      </c>
      <c r="N11" s="403">
        <v>11315893.99</v>
      </c>
      <c r="O11" s="122">
        <v>937</v>
      </c>
      <c r="P11" s="403">
        <v>11523156.15</v>
      </c>
      <c r="Q11" s="435">
        <f>+C11++M11+H11+O11</f>
        <v>1780</v>
      </c>
      <c r="R11" s="451">
        <f>D11+I11+N11+P11</f>
        <v>25301358.32</v>
      </c>
    </row>
    <row r="12" spans="2:19" ht="12.75" customHeight="1" x14ac:dyDescent="0.25">
      <c r="B12" s="373" t="s">
        <v>16</v>
      </c>
      <c r="C12" s="405">
        <f>+C9</f>
        <v>224</v>
      </c>
      <c r="D12" s="404">
        <f t="shared" ref="D12:K12" si="0">+SUM(D9:D11)</f>
        <v>7523866.0600000005</v>
      </c>
      <c r="E12" s="404">
        <f t="shared" si="0"/>
        <v>750129.4</v>
      </c>
      <c r="F12" s="404">
        <f t="shared" si="0"/>
        <v>225715.95</v>
      </c>
      <c r="G12" s="404">
        <f t="shared" si="0"/>
        <v>6548020.71</v>
      </c>
      <c r="H12" s="488">
        <v>2</v>
      </c>
      <c r="I12" s="404">
        <f t="shared" si="0"/>
        <v>75000</v>
      </c>
      <c r="J12" s="404">
        <f t="shared" si="0"/>
        <v>7357.5</v>
      </c>
      <c r="K12" s="404">
        <f t="shared" si="0"/>
        <v>2250</v>
      </c>
      <c r="L12" s="404">
        <f>+SUM(L9:L11)</f>
        <v>65272.5</v>
      </c>
      <c r="M12" s="405">
        <f>+M9</f>
        <v>643</v>
      </c>
      <c r="N12" s="404">
        <f>+SUM(N9:N11)</f>
        <v>34510956.660000004</v>
      </c>
      <c r="O12" s="405">
        <f>+O9</f>
        <v>955</v>
      </c>
      <c r="P12" s="404">
        <f>+SUM(P9:P11)</f>
        <v>35190374.649999999</v>
      </c>
      <c r="Q12" s="434">
        <f>+C12+M12+H12+O12</f>
        <v>1824</v>
      </c>
      <c r="R12" s="452">
        <f>+SUM(R9:R11)</f>
        <v>77300197.370000005</v>
      </c>
    </row>
    <row r="13" spans="2:19" ht="0.75" hidden="1" customHeight="1" x14ac:dyDescent="0.25">
      <c r="B13" s="131" t="s">
        <v>17</v>
      </c>
      <c r="C13" s="282">
        <v>197</v>
      </c>
      <c r="D13" s="282">
        <v>2179212.89</v>
      </c>
      <c r="E13" s="282">
        <v>217267.52</v>
      </c>
      <c r="F13" s="282">
        <v>65376.38</v>
      </c>
      <c r="G13" s="282">
        <v>1896568.99</v>
      </c>
      <c r="H13" s="282"/>
      <c r="I13" s="283">
        <v>25000</v>
      </c>
      <c r="J13" s="283"/>
      <c r="K13" s="283">
        <v>750</v>
      </c>
      <c r="L13" s="283"/>
      <c r="M13" s="282">
        <v>513</v>
      </c>
      <c r="N13" s="282">
        <v>8546125.8599999994</v>
      </c>
      <c r="O13" s="282">
        <v>666</v>
      </c>
      <c r="P13" s="282">
        <v>7640214.7599999998</v>
      </c>
      <c r="Q13" s="284" t="e">
        <f>+M13+O13+C13+#REF!</f>
        <v>#REF!</v>
      </c>
      <c r="R13" s="284">
        <f>+N13+P13+D13+I13</f>
        <v>18390553.509999998</v>
      </c>
    </row>
    <row r="14" spans="2:19" hidden="1" x14ac:dyDescent="0.25">
      <c r="B14" s="131" t="s">
        <v>18</v>
      </c>
      <c r="C14" s="282">
        <v>193</v>
      </c>
      <c r="D14" s="282">
        <v>2121784.19</v>
      </c>
      <c r="E14" s="282">
        <v>211541.89</v>
      </c>
      <c r="F14" s="282">
        <v>63653.52</v>
      </c>
      <c r="G14" s="282">
        <v>1846588.79</v>
      </c>
      <c r="H14" s="282"/>
      <c r="I14" s="283">
        <v>10000</v>
      </c>
      <c r="J14" s="283"/>
      <c r="K14" s="283">
        <v>300</v>
      </c>
      <c r="L14" s="283"/>
      <c r="M14" s="282">
        <v>508</v>
      </c>
      <c r="N14" s="282">
        <v>8389327.0199999996</v>
      </c>
      <c r="O14" s="282">
        <v>654</v>
      </c>
      <c r="P14" s="282">
        <v>7508917.3399999999</v>
      </c>
      <c r="Q14" s="284" t="e">
        <f>+M14+O14+C14+#REF!</f>
        <v>#REF!</v>
      </c>
      <c r="R14" s="284">
        <f>+N14+P14+D14+I14</f>
        <v>18030028.550000001</v>
      </c>
    </row>
    <row r="15" spans="2:19" hidden="1" x14ac:dyDescent="0.25">
      <c r="B15" s="131" t="s">
        <v>19</v>
      </c>
      <c r="C15" s="282">
        <v>196</v>
      </c>
      <c r="D15" s="282">
        <v>2150339.13</v>
      </c>
      <c r="E15" s="282">
        <v>214388.81</v>
      </c>
      <c r="F15" s="282">
        <v>64510.17</v>
      </c>
      <c r="G15" s="282">
        <v>1871440.16</v>
      </c>
      <c r="H15" s="282"/>
      <c r="I15" s="283">
        <v>10000</v>
      </c>
      <c r="J15" s="283"/>
      <c r="K15" s="283">
        <v>300</v>
      </c>
      <c r="L15" s="283"/>
      <c r="M15" s="282">
        <v>501</v>
      </c>
      <c r="N15" s="282">
        <v>8211484.8200000003</v>
      </c>
      <c r="O15" s="282">
        <v>649</v>
      </c>
      <c r="P15" s="282">
        <v>7441713.2999999998</v>
      </c>
      <c r="Q15" s="284" t="e">
        <f>+M15+O15+C15+#REF!</f>
        <v>#REF!</v>
      </c>
      <c r="R15" s="284">
        <f>+N15+P15+D15+I15</f>
        <v>17813537.25</v>
      </c>
    </row>
    <row r="16" spans="2:19" hidden="1" x14ac:dyDescent="0.25">
      <c r="B16" s="245" t="s">
        <v>20</v>
      </c>
      <c r="C16" s="285">
        <f>+C13</f>
        <v>197</v>
      </c>
      <c r="D16" s="286">
        <f>+SUM(D8:D15)</f>
        <v>21499068.330000002</v>
      </c>
      <c r="E16" s="285">
        <f>+SUM(E13:E15)</f>
        <v>643198.22</v>
      </c>
      <c r="F16" s="285">
        <f>+SUM(F13:F15)</f>
        <v>193540.07</v>
      </c>
      <c r="G16" s="285">
        <f>+SUM(G8:G15)</f>
        <v>18710639.359999999</v>
      </c>
      <c r="H16" s="285"/>
      <c r="I16" s="287">
        <f>SUM(I8:I15)</f>
        <v>195000</v>
      </c>
      <c r="J16" s="287"/>
      <c r="K16" s="287">
        <f>SUM(K13:K15)</f>
        <v>1350</v>
      </c>
      <c r="L16" s="287"/>
      <c r="M16" s="285">
        <f>+M13</f>
        <v>513</v>
      </c>
      <c r="N16" s="285">
        <f>+SUM(N8:N15)</f>
        <v>94168851.020000011</v>
      </c>
      <c r="O16" s="285">
        <f>+O13</f>
        <v>666</v>
      </c>
      <c r="P16" s="285">
        <f>+SUM(P8:P15)</f>
        <v>92971594.700000003</v>
      </c>
      <c r="Q16" s="285" t="e">
        <f>+Q13</f>
        <v>#REF!</v>
      </c>
      <c r="R16" s="285">
        <f>SUM(R8:R15)</f>
        <v>208834514.05000001</v>
      </c>
    </row>
    <row r="17" spans="2:21" x14ac:dyDescent="0.25">
      <c r="C17" s="15"/>
      <c r="D17" s="419">
        <f>+D12/R12</f>
        <v>9.7333076964690804E-2</v>
      </c>
      <c r="E17" s="420"/>
      <c r="F17" s="420"/>
      <c r="G17" s="420"/>
      <c r="H17" s="420"/>
      <c r="I17" s="421">
        <f>I12/R12</f>
        <v>9.702433182804174E-4</v>
      </c>
      <c r="J17" s="421"/>
      <c r="K17" s="420"/>
      <c r="L17" s="420"/>
      <c r="M17" s="420"/>
      <c r="N17" s="419">
        <f>N12/R12</f>
        <v>0.44645366809106768</v>
      </c>
      <c r="O17" s="420"/>
      <c r="P17" s="419">
        <f>+P12/R12</f>
        <v>0.45524301162596109</v>
      </c>
      <c r="Q17" s="420"/>
      <c r="R17" s="419">
        <f>+SUM(D17,I17,N17,P17)</f>
        <v>1</v>
      </c>
      <c r="S17" s="140"/>
    </row>
    <row r="18" spans="2:21" ht="11.25" customHeight="1" x14ac:dyDescent="0.25">
      <c r="B18" s="280" t="s">
        <v>116</v>
      </c>
      <c r="C18" s="15"/>
      <c r="D18" s="15"/>
      <c r="E18" s="15"/>
      <c r="F18" s="15"/>
      <c r="G18" s="15"/>
      <c r="H18" s="15"/>
      <c r="I18" s="557"/>
      <c r="J18" s="557"/>
      <c r="K18" s="557"/>
      <c r="L18" s="281"/>
      <c r="M18" s="15"/>
      <c r="N18" s="15"/>
      <c r="O18" s="15"/>
      <c r="P18" s="15"/>
      <c r="Q18" s="15"/>
    </row>
    <row r="19" spans="2:21" ht="11.25" customHeight="1" x14ac:dyDescent="0.25">
      <c r="B19" s="280" t="s">
        <v>117</v>
      </c>
      <c r="C19" s="15"/>
      <c r="D19" s="15"/>
      <c r="E19" s="15"/>
      <c r="F19" s="15"/>
      <c r="G19" s="15"/>
      <c r="H19" s="15"/>
      <c r="I19" s="281"/>
      <c r="J19" s="281"/>
      <c r="K19" s="281"/>
      <c r="L19" s="281"/>
      <c r="M19" s="15"/>
      <c r="N19" s="15"/>
      <c r="O19" s="15"/>
      <c r="P19" s="15"/>
      <c r="Q19" s="15"/>
    </row>
    <row r="20" spans="2:21" ht="45.75" customHeight="1" x14ac:dyDescent="0.25">
      <c r="B20" s="15"/>
      <c r="C20" s="15"/>
      <c r="D20" s="15"/>
      <c r="E20" s="15"/>
      <c r="F20" s="15"/>
      <c r="G20" s="15"/>
      <c r="H20" s="15"/>
      <c r="I20" s="281"/>
      <c r="J20" s="281"/>
      <c r="K20" s="281"/>
      <c r="L20" s="281"/>
      <c r="M20" s="15"/>
      <c r="N20" s="15"/>
      <c r="O20" s="376"/>
      <c r="P20" s="15"/>
      <c r="Q20" s="15"/>
      <c r="R20" s="31"/>
    </row>
    <row r="21" spans="2:21" ht="45.75" customHeight="1" x14ac:dyDescent="0.25">
      <c r="B21" s="15"/>
      <c r="C21" s="15"/>
      <c r="D21" s="15"/>
      <c r="E21" s="15"/>
      <c r="F21" s="15"/>
      <c r="G21" s="15"/>
      <c r="H21" s="15"/>
      <c r="I21" s="281"/>
      <c r="J21" s="281"/>
      <c r="K21" s="281"/>
      <c r="L21" s="281"/>
      <c r="M21" s="15"/>
      <c r="N21" s="15"/>
      <c r="O21" s="15"/>
      <c r="P21" s="15"/>
      <c r="Q21" s="15"/>
      <c r="U21" s="1" t="s">
        <v>118</v>
      </c>
    </row>
    <row r="22" spans="2:21" ht="45.75" customHeight="1" x14ac:dyDescent="0.25">
      <c r="B22" s="15"/>
      <c r="C22" s="15"/>
      <c r="D22" s="15"/>
      <c r="E22" s="15"/>
      <c r="F22" s="15"/>
      <c r="G22" s="15"/>
      <c r="H22" s="15"/>
      <c r="I22" s="281"/>
      <c r="J22" s="281"/>
      <c r="K22" s="281"/>
      <c r="L22" s="281"/>
      <c r="M22" s="15"/>
      <c r="N22" s="15"/>
      <c r="O22" s="15"/>
      <c r="P22" s="15"/>
      <c r="Q22" s="15" t="s">
        <v>118</v>
      </c>
    </row>
    <row r="23" spans="2:21" ht="45.75" customHeight="1" x14ac:dyDescent="0.25">
      <c r="B23" s="15"/>
      <c r="C23" s="15"/>
      <c r="D23" s="15"/>
      <c r="E23" s="15"/>
      <c r="F23" s="15"/>
      <c r="G23" s="15"/>
      <c r="H23" s="15"/>
      <c r="I23" s="281"/>
      <c r="J23" s="281"/>
      <c r="K23" s="281"/>
      <c r="L23" s="281"/>
      <c r="M23" s="15"/>
      <c r="N23" s="15"/>
      <c r="O23" s="15"/>
      <c r="P23" s="15"/>
      <c r="Q23" s="15"/>
    </row>
    <row r="28" spans="2:21" ht="45.75" customHeight="1" x14ac:dyDescent="0.25">
      <c r="Q28" s="30"/>
    </row>
    <row r="29" spans="2:21" ht="33" customHeight="1" x14ac:dyDescent="0.25">
      <c r="B29" s="76"/>
      <c r="C29" s="554" t="s">
        <v>119</v>
      </c>
      <c r="D29" s="554"/>
      <c r="E29" s="551" t="s">
        <v>106</v>
      </c>
      <c r="F29" s="551"/>
      <c r="G29" s="555" t="s">
        <v>120</v>
      </c>
      <c r="H29" s="555"/>
      <c r="I29" s="555"/>
      <c r="J29" s="555"/>
      <c r="K29" s="552" t="s">
        <v>121</v>
      </c>
      <c r="L29" s="552"/>
      <c r="M29" s="552"/>
      <c r="N29" s="553" t="s">
        <v>93</v>
      </c>
      <c r="O29" s="553"/>
      <c r="Q29" s="30"/>
    </row>
    <row r="30" spans="2:21" ht="42.75" customHeight="1" x14ac:dyDescent="0.25">
      <c r="B30" s="39" t="s">
        <v>5</v>
      </c>
      <c r="C30" s="236" t="s">
        <v>109</v>
      </c>
      <c r="D30" s="236" t="s">
        <v>110</v>
      </c>
      <c r="E30" s="377" t="s">
        <v>109</v>
      </c>
      <c r="F30" s="378" t="s">
        <v>110</v>
      </c>
      <c r="G30" s="236" t="s">
        <v>109</v>
      </c>
      <c r="H30" s="236"/>
      <c r="I30" s="236" t="s">
        <v>110</v>
      </c>
      <c r="J30" s="236"/>
      <c r="K30" s="378" t="s">
        <v>122</v>
      </c>
      <c r="L30" s="378"/>
      <c r="M30" s="236" t="s">
        <v>9</v>
      </c>
      <c r="N30" s="236" t="s">
        <v>109</v>
      </c>
      <c r="O30" s="236" t="s">
        <v>110</v>
      </c>
      <c r="P30" s="261"/>
      <c r="R30" s="30"/>
    </row>
    <row r="31" spans="2:21" hidden="1" x14ac:dyDescent="0.25">
      <c r="B31" s="38" t="s">
        <v>12</v>
      </c>
      <c r="C31" s="221">
        <v>0</v>
      </c>
      <c r="D31" s="27" t="s">
        <v>115</v>
      </c>
      <c r="E31" s="222">
        <v>0</v>
      </c>
      <c r="F31" s="222" t="s">
        <v>115</v>
      </c>
      <c r="G31" s="221">
        <v>0</v>
      </c>
      <c r="H31" s="221"/>
      <c r="I31" s="27" t="s">
        <v>115</v>
      </c>
      <c r="J31" s="27"/>
      <c r="K31" s="222">
        <v>0</v>
      </c>
      <c r="L31" s="222"/>
      <c r="M31" s="169" t="s">
        <v>115</v>
      </c>
      <c r="N31" s="176">
        <v>0</v>
      </c>
      <c r="O31" s="221" t="s">
        <v>115</v>
      </c>
    </row>
    <row r="32" spans="2:21" hidden="1" x14ac:dyDescent="0.25">
      <c r="B32" s="38" t="s">
        <v>17</v>
      </c>
      <c r="C32" s="221"/>
      <c r="D32" s="168"/>
      <c r="E32" s="222"/>
      <c r="F32" s="222"/>
      <c r="G32" s="221"/>
      <c r="H32" s="221"/>
      <c r="I32" s="27"/>
      <c r="J32" s="27"/>
      <c r="K32" s="222"/>
      <c r="L32" s="222"/>
      <c r="M32" s="169"/>
      <c r="N32" s="223">
        <f>+G32+K32+C32+E32</f>
        <v>0</v>
      </c>
      <c r="O32" s="223">
        <f>+I32+M32+D32+F32</f>
        <v>0</v>
      </c>
    </row>
    <row r="33" spans="2:16" hidden="1" x14ac:dyDescent="0.25">
      <c r="B33" s="38" t="s">
        <v>18</v>
      </c>
      <c r="C33" s="191"/>
      <c r="D33" s="191"/>
      <c r="E33" s="218">
        <v>0</v>
      </c>
      <c r="F33" s="219"/>
      <c r="G33" s="221"/>
      <c r="H33" s="221"/>
      <c r="I33" s="27"/>
      <c r="J33" s="27"/>
      <c r="K33" s="222"/>
      <c r="L33" s="222"/>
      <c r="M33" s="169"/>
      <c r="N33" s="223">
        <f>+G33+K33+C33+E33</f>
        <v>0</v>
      </c>
      <c r="O33" s="223">
        <f>+I33+M33+D33+F33</f>
        <v>0</v>
      </c>
    </row>
    <row r="34" spans="2:16" hidden="1" x14ac:dyDescent="0.25">
      <c r="B34" s="38" t="s">
        <v>19</v>
      </c>
      <c r="C34" s="169"/>
      <c r="D34" s="168"/>
      <c r="E34" s="218">
        <v>0</v>
      </c>
      <c r="F34" s="218"/>
      <c r="G34" s="169"/>
      <c r="H34" s="169"/>
      <c r="I34" s="169"/>
      <c r="J34" s="169"/>
      <c r="K34" s="222"/>
      <c r="L34" s="222"/>
      <c r="M34" s="169"/>
      <c r="N34" s="223">
        <f>+G34+K34+C34+E34</f>
        <v>0</v>
      </c>
      <c r="O34" s="223">
        <f>+I34+M34+D34+F34</f>
        <v>0</v>
      </c>
    </row>
    <row r="35" spans="2:16" hidden="1" x14ac:dyDescent="0.25">
      <c r="B35" s="24" t="s">
        <v>20</v>
      </c>
      <c r="C35" s="224">
        <f>SUM(C32:C34)</f>
        <v>0</v>
      </c>
      <c r="D35" s="224">
        <f>+SUM(D32:D34)</f>
        <v>0</v>
      </c>
      <c r="E35" s="225">
        <f>SUM(E32:E34)</f>
        <v>0</v>
      </c>
      <c r="F35" s="225">
        <f>SUM(F32:F34)</f>
        <v>0</v>
      </c>
      <c r="G35" s="224">
        <f>SUM(G32:G34)</f>
        <v>0</v>
      </c>
      <c r="H35" s="224"/>
      <c r="I35" s="224">
        <f>+SUM(I32:I34)</f>
        <v>0</v>
      </c>
      <c r="J35" s="224"/>
      <c r="K35" s="225">
        <f>SUM(K32:K34)</f>
        <v>0</v>
      </c>
      <c r="L35" s="225"/>
      <c r="M35" s="224">
        <f>+SUM(M32:M34)</f>
        <v>0</v>
      </c>
      <c r="N35" s="224">
        <f>SUM(N32:N34)</f>
        <v>0</v>
      </c>
      <c r="O35" s="224">
        <f>SUM(O32:O34)</f>
        <v>0</v>
      </c>
    </row>
    <row r="36" spans="2:16" x14ac:dyDescent="0.25">
      <c r="B36" s="38" t="s">
        <v>13</v>
      </c>
      <c r="C36" s="259">
        <v>10</v>
      </c>
      <c r="D36" s="321">
        <v>2647351.2000000002</v>
      </c>
      <c r="E36" s="258">
        <v>13</v>
      </c>
      <c r="F36" s="258">
        <v>2077115</v>
      </c>
      <c r="G36" s="259">
        <v>0</v>
      </c>
      <c r="H36" s="259"/>
      <c r="I36" s="260">
        <v>0</v>
      </c>
      <c r="J36" s="260"/>
      <c r="K36" s="259">
        <v>13</v>
      </c>
      <c r="L36" s="259"/>
      <c r="M36" s="321">
        <v>2371782.2999999998</v>
      </c>
      <c r="N36" s="359">
        <v>36</v>
      </c>
      <c r="O36" s="360">
        <v>7096248.5</v>
      </c>
    </row>
    <row r="37" spans="2:16" x14ac:dyDescent="0.25">
      <c r="B37" s="38" t="s">
        <v>14</v>
      </c>
      <c r="C37" s="259">
        <v>2</v>
      </c>
      <c r="D37" s="321">
        <v>424299</v>
      </c>
      <c r="E37" s="258">
        <v>12</v>
      </c>
      <c r="F37" s="258">
        <v>6441777.9000000004</v>
      </c>
      <c r="G37" s="259">
        <v>0</v>
      </c>
      <c r="H37" s="259"/>
      <c r="I37" s="260">
        <v>0</v>
      </c>
      <c r="J37" s="260"/>
      <c r="K37" s="259">
        <v>16</v>
      </c>
      <c r="L37" s="259"/>
      <c r="M37" s="321">
        <v>3249374.1</v>
      </c>
      <c r="N37" s="359">
        <v>30</v>
      </c>
      <c r="O37" s="360">
        <v>10115451</v>
      </c>
    </row>
    <row r="38" spans="2:16" x14ac:dyDescent="0.25">
      <c r="B38" s="38" t="s">
        <v>15</v>
      </c>
      <c r="C38" s="259">
        <v>2</v>
      </c>
      <c r="D38" s="321">
        <v>162495.1</v>
      </c>
      <c r="E38" s="258">
        <v>13</v>
      </c>
      <c r="F38" s="258">
        <v>4243480.2</v>
      </c>
      <c r="G38" s="259">
        <v>0</v>
      </c>
      <c r="H38" s="259"/>
      <c r="I38" s="260">
        <v>0</v>
      </c>
      <c r="J38" s="260"/>
      <c r="K38" s="259">
        <v>29</v>
      </c>
      <c r="L38" s="259"/>
      <c r="M38" s="321">
        <v>6989879.5999999996</v>
      </c>
      <c r="N38" s="359">
        <v>44</v>
      </c>
      <c r="O38" s="360">
        <v>11395854.899999999</v>
      </c>
    </row>
    <row r="39" spans="2:16" x14ac:dyDescent="0.25">
      <c r="B39" s="317" t="s">
        <v>16</v>
      </c>
      <c r="C39" s="374">
        <f>SUM(C36:C38)</f>
        <v>14</v>
      </c>
      <c r="D39" s="374">
        <f>SUM(D36:D38)</f>
        <v>3234145.3000000003</v>
      </c>
      <c r="E39" s="374">
        <f>SUM(E36:E38)</f>
        <v>38</v>
      </c>
      <c r="F39" s="374">
        <f>SUM(F36:F38)</f>
        <v>12762373.100000001</v>
      </c>
      <c r="G39" s="374">
        <f t="shared" ref="G39" si="1">SUM(G36:G38)</f>
        <v>0</v>
      </c>
      <c r="H39" s="374"/>
      <c r="I39" s="374">
        <f>SUM(I36:I38)</f>
        <v>0</v>
      </c>
      <c r="J39" s="374"/>
      <c r="K39" s="374">
        <f>SUM(K36:K38)</f>
        <v>58</v>
      </c>
      <c r="L39" s="374">
        <f>SUM(L36:L38)</f>
        <v>0</v>
      </c>
      <c r="M39" s="374">
        <f>SUM(M36:M38)</f>
        <v>12611036</v>
      </c>
      <c r="N39" s="374">
        <f>SUM(N36:N38)</f>
        <v>110</v>
      </c>
      <c r="O39" s="374">
        <f>SUM(O36:O38)</f>
        <v>28607554.399999999</v>
      </c>
    </row>
    <row r="40" spans="2:16" x14ac:dyDescent="0.25">
      <c r="B40" s="258"/>
      <c r="C40" s="258"/>
      <c r="D40" s="432">
        <f>+D39/O39</f>
        <v>0.11305214191954838</v>
      </c>
      <c r="E40" s="432"/>
      <c r="F40" s="432">
        <f>+F39/O39</f>
        <v>0.44611898387231597</v>
      </c>
      <c r="G40" s="432"/>
      <c r="H40" s="432"/>
      <c r="I40" s="432">
        <f>+I39/O39</f>
        <v>0</v>
      </c>
      <c r="J40" s="432"/>
      <c r="K40" s="432"/>
      <c r="L40" s="432"/>
      <c r="M40" s="432">
        <f>+M39/O39</f>
        <v>0.44082887420813577</v>
      </c>
      <c r="N40" s="432"/>
      <c r="O40" s="432">
        <f>+SUM(D40,I40,M40)</f>
        <v>0.55388101612768414</v>
      </c>
      <c r="P40" s="140"/>
    </row>
    <row r="41" spans="2:16" ht="12" customHeight="1" x14ac:dyDescent="0.25">
      <c r="B41" s="280" t="s">
        <v>116</v>
      </c>
    </row>
    <row r="42" spans="2:16" ht="13.5" customHeight="1" x14ac:dyDescent="0.25">
      <c r="B42" s="280" t="s">
        <v>117</v>
      </c>
      <c r="F42" s="153"/>
    </row>
    <row r="45" spans="2:16" ht="8.25" customHeight="1" x14ac:dyDescent="0.25"/>
    <row r="46" spans="2:16" ht="41.25" customHeight="1" x14ac:dyDescent="0.25">
      <c r="B46"/>
      <c r="C46"/>
      <c r="D46"/>
      <c r="E46"/>
      <c r="F46"/>
      <c r="G46"/>
      <c r="H46"/>
      <c r="I46"/>
      <c r="J46"/>
      <c r="K46"/>
      <c r="L46"/>
      <c r="M46"/>
      <c r="N46"/>
      <c r="O46"/>
    </row>
    <row r="47" spans="2:16" ht="38.25" customHeight="1" x14ac:dyDescent="0.25">
      <c r="B47"/>
    </row>
    <row r="48" spans="2:16" hidden="1" x14ac:dyDescent="0.25">
      <c r="B48"/>
    </row>
    <row r="49" spans="2:13" x14ac:dyDescent="0.25">
      <c r="B49"/>
    </row>
    <row r="50" spans="2:13" x14ac:dyDescent="0.25">
      <c r="B50"/>
    </row>
    <row r="51" spans="2:13" x14ac:dyDescent="0.25">
      <c r="B51"/>
    </row>
    <row r="52" spans="2:13" x14ac:dyDescent="0.25">
      <c r="B52"/>
    </row>
    <row r="53" spans="2:13" x14ac:dyDescent="0.25">
      <c r="B53"/>
    </row>
    <row r="54" spans="2:13" x14ac:dyDescent="0.25">
      <c r="B54"/>
    </row>
    <row r="55" spans="2:13" ht="15" customHeight="1" x14ac:dyDescent="0.25">
      <c r="B55"/>
    </row>
    <row r="56" spans="2:13" x14ac:dyDescent="0.25">
      <c r="B56"/>
    </row>
    <row r="57" spans="2:13" x14ac:dyDescent="0.25">
      <c r="B57"/>
    </row>
    <row r="58" spans="2:13" x14ac:dyDescent="0.25">
      <c r="B58"/>
    </row>
    <row r="59" spans="2:13" x14ac:dyDescent="0.25">
      <c r="B59"/>
      <c r="C59"/>
      <c r="D59"/>
      <c r="E59"/>
      <c r="F59"/>
      <c r="G59"/>
      <c r="H59"/>
      <c r="I59"/>
      <c r="J59"/>
      <c r="K59"/>
      <c r="L59"/>
      <c r="M59"/>
    </row>
    <row r="60" spans="2:13" x14ac:dyDescent="0.25">
      <c r="B60"/>
      <c r="C60"/>
      <c r="D60"/>
      <c r="E60"/>
      <c r="F60"/>
      <c r="G60"/>
      <c r="H60"/>
      <c r="I60"/>
      <c r="J60"/>
      <c r="K60"/>
      <c r="L60"/>
      <c r="M60"/>
    </row>
  </sheetData>
  <mergeCells count="16">
    <mergeCell ref="I18:K18"/>
    <mergeCell ref="H6:L6"/>
    <mergeCell ref="C6:G6"/>
    <mergeCell ref="M6:N6"/>
    <mergeCell ref="O6:P6"/>
    <mergeCell ref="Q6:R6"/>
    <mergeCell ref="B1:S1"/>
    <mergeCell ref="B2:S2"/>
    <mergeCell ref="B3:S3"/>
    <mergeCell ref="B4:S4"/>
    <mergeCell ref="B5:S5"/>
    <mergeCell ref="E29:F29"/>
    <mergeCell ref="K29:M29"/>
    <mergeCell ref="N29:O29"/>
    <mergeCell ref="C29:D29"/>
    <mergeCell ref="G29:J29"/>
  </mergeCells>
  <pageMargins left="0.7" right="0.7" top="0.75" bottom="0.75" header="0.3" footer="0.3"/>
  <pageSetup paperSize="9" scale="37" orientation="landscape" r:id="rId1"/>
  <ignoredErrors>
    <ignoredError sqref="C16 E16 F16 O16 Q13:Q16 R13:R15 K16 M16 C12:L12 R12 D17 I17 N17 P17 R17 I40 M40:O40 D40:E40" unlockedFormula="1"/>
    <ignoredError sqref="M12:O12 Q12" formula="1" unlockedFormula="1"/>
    <ignoredError sqref="F40" evalError="1"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493686329ED34BB3FCA57F9547B145" ma:contentTypeVersion="15" ma:contentTypeDescription="Create a new document." ma:contentTypeScope="" ma:versionID="4ad2ad0628d58af04a36219439df2f1a">
  <xsd:schema xmlns:xsd="http://www.w3.org/2001/XMLSchema" xmlns:xs="http://www.w3.org/2001/XMLSchema" xmlns:p="http://schemas.microsoft.com/office/2006/metadata/properties" xmlns:ns3="5f679dd1-4131-4e79-bfbb-2ef5f7b29f1c" xmlns:ns4="631dedf2-7fe3-44f9-874d-7599cd1f9e78" targetNamespace="http://schemas.microsoft.com/office/2006/metadata/properties" ma:root="true" ma:fieldsID="0a4fd4dab5bf08fef466177875255070" ns3:_="" ns4:_="">
    <xsd:import namespace="5f679dd1-4131-4e79-bfbb-2ef5f7b29f1c"/>
    <xsd:import namespace="631dedf2-7fe3-44f9-874d-7599cd1f9e7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_activity"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79dd1-4131-4e79-bfbb-2ef5f7b29f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1dedf2-7fe3-44f9-874d-7599cd1f9e7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1dedf2-7fe3-44f9-874d-7599cd1f9e7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4720F8-1715-4450-8987-9A5F2A8EC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79dd1-4131-4e79-bfbb-2ef5f7b29f1c"/>
    <ds:schemaRef ds:uri="631dedf2-7fe3-44f9-874d-7599cd1f9e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2B29A6-FD56-4305-AD98-66C8C88A9453}">
  <ds:schemaRefs>
    <ds:schemaRef ds:uri="http://schemas.microsoft.com/office/2006/metadata/properties"/>
    <ds:schemaRef ds:uri="http://schemas.microsoft.com/office/infopath/2007/PartnerControls"/>
    <ds:schemaRef ds:uri="631dedf2-7fe3-44f9-874d-7599cd1f9e78"/>
  </ds:schemaRefs>
</ds:datastoreItem>
</file>

<file path=customXml/itemProps3.xml><?xml version="1.0" encoding="utf-8"?>
<ds:datastoreItem xmlns:ds="http://schemas.openxmlformats.org/officeDocument/2006/customXml" ds:itemID="{9610D8E8-5630-4E86-BA1E-D985097EFB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14</vt:i4>
      </vt:variant>
    </vt:vector>
  </HeadingPairs>
  <TitlesOfParts>
    <vt:vector size="33" baseType="lpstr">
      <vt:lpstr>Presupuesto Adm.</vt:lpstr>
      <vt:lpstr>Afiliados y Cotizantes</vt:lpstr>
      <vt:lpstr>Cotizantes</vt:lpstr>
      <vt:lpstr>Empleador</vt:lpstr>
      <vt:lpstr>Aportes</vt:lpstr>
      <vt:lpstr>Traspaso</vt:lpstr>
      <vt:lpstr>Presupuesto de Pensiones</vt:lpstr>
      <vt:lpstr>Nómina</vt:lpstr>
      <vt:lpstr>Autoseguro</vt:lpstr>
      <vt:lpstr>Movimientos</vt:lpstr>
      <vt:lpstr>Hoja1</vt:lpstr>
      <vt:lpstr>Tipo de Pension</vt:lpstr>
      <vt:lpstr>Modalidad</vt:lpstr>
      <vt:lpstr>Retroactivos</vt:lpstr>
      <vt:lpstr>Reintegros</vt:lpstr>
      <vt:lpstr>Créditos Rechazados</vt:lpstr>
      <vt:lpstr>PUC</vt:lpstr>
      <vt:lpstr>Recuperación Fondos</vt:lpstr>
      <vt:lpstr>Servicios</vt:lpstr>
      <vt:lpstr>Autoseguro!_Toc172020404</vt:lpstr>
      <vt:lpstr>'Afiliados y Cotizantes'!Área_de_impresión</vt:lpstr>
      <vt:lpstr>Aportes!Área_de_impresión</vt:lpstr>
      <vt:lpstr>Autoseguro!Área_de_impresión</vt:lpstr>
      <vt:lpstr>Cotizantes!Área_de_impresión</vt:lpstr>
      <vt:lpstr>Modalidad!Área_de_impresión</vt:lpstr>
      <vt:lpstr>Movimientos!Área_de_impresión</vt:lpstr>
      <vt:lpstr>Nómina!Área_de_impresión</vt:lpstr>
      <vt:lpstr>'Presupuesto de Pensiones'!Área_de_impresión</vt:lpstr>
      <vt:lpstr>'Recuperación Fondos'!Área_de_impresión</vt:lpstr>
      <vt:lpstr>Retroactivos!Área_de_impresión</vt:lpstr>
      <vt:lpstr>Servicios!Área_de_impresión</vt:lpstr>
      <vt:lpstr>'Tipo de Pension'!Área_de_impresión</vt:lpstr>
      <vt:lpstr>Traspaso!Área_de_impresión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Roa</dc:creator>
  <cp:keywords/>
  <dc:description/>
  <cp:lastModifiedBy>Elangel Graciel Peña Cuello</cp:lastModifiedBy>
  <cp:revision/>
  <dcterms:created xsi:type="dcterms:W3CDTF">2019-06-03T16:17:46Z</dcterms:created>
  <dcterms:modified xsi:type="dcterms:W3CDTF">2025-07-08T13:35:53Z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0x010100A1493686329ED34BB3FCA57F9547B145</vt:lpwstr>
  </property>
</Properties>
</file>