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harts/chart10.xml" ContentType="application/vnd.openxmlformats-officedocument.drawingml.chart+xml"/>
  <Override PartName="/xl/drawings/drawing8.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style5.xml" ContentType="application/vnd.ms-office.chartstyle+xml"/>
  <Override PartName="/xl/charts/colors5.xml" ContentType="application/vnd.ms-office.chartcolorstyle+xml"/>
  <Override PartName="/xl/drawings/drawing9.xml" ContentType="application/vnd.openxmlformats-officedocument.drawing+xml"/>
  <Override PartName="/xl/charts/chart13.xml" ContentType="application/vnd.openxmlformats-officedocument.drawingml.chart+xml"/>
  <Override PartName="/xl/drawings/drawing10.xml" ContentType="application/vnd.openxmlformats-officedocument.drawing+xml"/>
  <Override PartName="/xl/charts/chart14.xml" ContentType="application/vnd.openxmlformats-officedocument.drawingml.chart+xml"/>
  <Override PartName="/xl/drawings/drawing11.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4.xml" ContentType="application/vnd.openxmlformats-officedocument.drawing+xml"/>
  <Override PartName="/xl/charts/chart21.xml" ContentType="application/vnd.openxmlformats-officedocument.drawingml.chart+xml"/>
  <Override PartName="/xl/charts/style8.xml" ContentType="application/vnd.ms-office.chartstyle+xml"/>
  <Override PartName="/xl/charts/colors8.xml" ContentType="application/vnd.ms-office.chartcolorstyle+xml"/>
  <Override PartName="/xl/charts/chart22.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5.xml" ContentType="application/vnd.openxmlformats-officedocument.drawing+xml"/>
  <Override PartName="/xl/charts/chart23.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6.xml" ContentType="application/vnd.openxmlformats-officedocument.drawing+xml"/>
  <Override PartName="/xl/charts/chart24.xml" ContentType="application/vnd.openxmlformats-officedocument.drawingml.chart+xml"/>
  <Override PartName="/xl/drawings/drawing17.xml" ContentType="application/vnd.openxmlformats-officedocument.drawing+xml"/>
  <Override PartName="/xl/charts/chart25.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8.xml" ContentType="application/vnd.openxmlformats-officedocument.drawing+xml"/>
  <Override PartName="/xl/charts/chart26.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9.xml" ContentType="application/vnd.openxmlformats-officedocument.drawing+xml"/>
  <Override PartName="/xl/drawings/drawing20.xml" ContentType="application/vnd.openxmlformats-officedocument.drawing+xml"/>
  <Override PartName="/xl/charts/chart27.xml" ContentType="application/vnd.openxmlformats-officedocument.drawingml.chart+xml"/>
  <Override PartName="/xl/drawings/drawing21.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sefsadfs1\COMPARTIDO PENSIONES\PLANIFICACION Y DESARROLLO\PLANIFICACION\7. Estadísticas\Boletín Estadístico 2025\T1\"/>
    </mc:Choice>
  </mc:AlternateContent>
  <xr:revisionPtr revIDLastSave="0" documentId="13_ncr:1_{14996B08-8229-4B8F-B02A-2225B520345C}" xr6:coauthVersionLast="47" xr6:coauthVersionMax="47" xr10:uidLastSave="{00000000-0000-0000-0000-000000000000}"/>
  <bookViews>
    <workbookView xWindow="-120" yWindow="-120" windowWidth="29040" windowHeight="15720" tabRatio="990" firstSheet="1" activeTab="4" xr2:uid="{00000000-000D-0000-FFFF-FFFF00000000}"/>
  </bookViews>
  <sheets>
    <sheet name="Presupuesto Adm." sheetId="1" r:id="rId1"/>
    <sheet name="Afiliados y Cotizantes" sheetId="21" r:id="rId2"/>
    <sheet name="Cotizantes" sheetId="4" r:id="rId3"/>
    <sheet name="Empleador" sheetId="7" r:id="rId4"/>
    <sheet name="Aportes" sheetId="5" r:id="rId5"/>
    <sheet name="Traspaso" sheetId="6" r:id="rId6"/>
    <sheet name="Presupuesto de Pensiones" sheetId="2" r:id="rId7"/>
    <sheet name="Nómina" sheetId="8" r:id="rId8"/>
    <sheet name="Autoseguro" sheetId="22" r:id="rId9"/>
    <sheet name="Movimientos" sheetId="25" r:id="rId10"/>
    <sheet name="Hoja1" sheetId="18" state="hidden" r:id="rId11"/>
    <sheet name="Tipo de Pension" sheetId="12" r:id="rId12"/>
    <sheet name="Modalidad" sheetId="10" r:id="rId13"/>
    <sheet name="Retroactivos" sheetId="11" r:id="rId14"/>
    <sheet name="Reintegros" sheetId="16" state="hidden" r:id="rId15"/>
    <sheet name="Créditos Rechazados" sheetId="17" state="hidden" r:id="rId16"/>
    <sheet name="PUC" sheetId="24" r:id="rId17"/>
    <sheet name="Recuperación Fondos" sheetId="15" r:id="rId18"/>
    <sheet name="Servicios" sheetId="13" r:id="rId19"/>
  </sheets>
  <definedNames>
    <definedName name="_xlnm.Print_Area" localSheetId="1">'Afiliados y Cotizantes'!$B$1:$O$58</definedName>
    <definedName name="_xlnm.Print_Area" localSheetId="4">Aportes!$A$1:$D$41</definedName>
    <definedName name="_xlnm.Print_Area" localSheetId="8">Autoseguro!$A$1:$R$66</definedName>
    <definedName name="_xlnm.Print_Area" localSheetId="2">Cotizantes!$A$1:$K$40</definedName>
    <definedName name="_xlnm.Print_Area" localSheetId="12">Modalidad!$B$2:$R$45</definedName>
    <definedName name="_xlnm.Print_Area" localSheetId="9">Movimientos!$A$1:$Q$40</definedName>
    <definedName name="_xlnm.Print_Area" localSheetId="7">Nómina!$A$1:$O$55</definedName>
    <definedName name="_xlnm.Print_Area" localSheetId="6">'Presupuesto de Pensiones'!$A$1:$H$52</definedName>
    <definedName name="_xlnm.Print_Area" localSheetId="17">'Recuperación Fondos'!$B$2:$H$57</definedName>
    <definedName name="_xlnm.Print_Area" localSheetId="13">Retroactivos!$B$2:$N$45</definedName>
    <definedName name="_xlnm.Print_Area" localSheetId="18">Servicios!$B$2:$W$60</definedName>
    <definedName name="_xlnm.Print_Area" localSheetId="11">'Tipo de Pension'!$A$2:$AH$30</definedName>
    <definedName name="_xlnm.Print_Area" localSheetId="5">Traspaso!$A$1:$I$42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5" l="1"/>
  <c r="D10" i="5" l="1"/>
  <c r="G10" i="21" l="1"/>
  <c r="E10" i="21"/>
  <c r="C11" i="5"/>
  <c r="C10" i="5"/>
  <c r="D27" i="8" l="1"/>
  <c r="G27" i="8"/>
  <c r="J27" i="8"/>
  <c r="H10" i="21"/>
  <c r="F10" i="21"/>
  <c r="D10" i="21"/>
  <c r="H8" i="15"/>
  <c r="H10" i="15"/>
  <c r="F13" i="11"/>
  <c r="G13" i="11"/>
  <c r="L11" i="11"/>
  <c r="K14" i="10"/>
  <c r="M14" i="10"/>
  <c r="I14" i="10"/>
  <c r="G14" i="10"/>
  <c r="E14" i="10"/>
  <c r="C14" i="10"/>
  <c r="K11" i="12"/>
  <c r="C20" i="12" l="1"/>
  <c r="P12" i="22"/>
  <c r="L12" i="22"/>
  <c r="G12" i="22"/>
  <c r="H12" i="8"/>
  <c r="I12" i="8"/>
  <c r="K12" i="8"/>
  <c r="L12" i="8"/>
  <c r="M12" i="8"/>
  <c r="O12" i="25" l="1"/>
  <c r="J13" i="12"/>
  <c r="J11" i="12"/>
  <c r="C9" i="5"/>
  <c r="C8" i="5"/>
  <c r="B11" i="7"/>
  <c r="C11" i="7"/>
  <c r="D11" i="4"/>
  <c r="C11" i="4"/>
  <c r="B11" i="4"/>
  <c r="D8" i="4"/>
  <c r="L48" i="13"/>
  <c r="E38" i="13"/>
  <c r="E39" i="13"/>
  <c r="E40" i="13"/>
  <c r="E41" i="13"/>
  <c r="E42" i="13"/>
  <c r="E43" i="13"/>
  <c r="E44" i="13"/>
  <c r="E45" i="13"/>
  <c r="E46" i="13"/>
  <c r="E47" i="13"/>
  <c r="E48" i="13"/>
  <c r="E49" i="13"/>
  <c r="E50" i="13"/>
  <c r="L37" i="13"/>
  <c r="M12" i="13"/>
  <c r="L12" i="13"/>
  <c r="K23" i="13"/>
  <c r="L69" i="13"/>
  <c r="K13" i="8"/>
  <c r="K14" i="8" s="1"/>
  <c r="K15" i="8" s="1"/>
  <c r="K16" i="8" s="1"/>
  <c r="K17" i="8" s="1"/>
  <c r="K18" i="8" s="1"/>
  <c r="K19" i="8" s="1"/>
  <c r="K20" i="8" s="1"/>
  <c r="K21" i="8" s="1"/>
  <c r="K22" i="8" s="1"/>
  <c r="K23" i="8" s="1"/>
  <c r="K24" i="8" s="1"/>
  <c r="K25" i="8" s="1"/>
  <c r="K26" i="8" s="1"/>
  <c r="J12" i="8"/>
  <c r="G12" i="8"/>
  <c r="F12" i="8" a="1"/>
  <c r="F12" i="8" s="1"/>
  <c r="E12" i="8" a="1"/>
  <c r="E12" i="8" s="1"/>
  <c r="D12" i="8"/>
  <c r="C12" i="8" a="1"/>
  <c r="C12" i="8" s="1"/>
  <c r="B12" i="8" a="1"/>
  <c r="B12" i="8" s="1"/>
  <c r="C11" i="15"/>
  <c r="D11" i="15"/>
  <c r="E11" i="15"/>
  <c r="C13" i="24"/>
  <c r="B13" i="24"/>
  <c r="K13" i="11"/>
  <c r="J13" i="11"/>
  <c r="I13" i="11"/>
  <c r="E13" i="11"/>
  <c r="D13" i="11"/>
  <c r="C13" i="11"/>
  <c r="Q14" i="10"/>
  <c r="N14" i="10"/>
  <c r="L14" i="10"/>
  <c r="J14" i="10"/>
  <c r="H14" i="10"/>
  <c r="F14" i="10"/>
  <c r="F13" i="1"/>
  <c r="E13" i="1"/>
  <c r="D13" i="1"/>
  <c r="C13" i="1"/>
  <c r="B13" i="1"/>
  <c r="N12" i="25"/>
  <c r="M12" i="25"/>
  <c r="L12" i="25"/>
  <c r="K12" i="25"/>
  <c r="J12" i="25"/>
  <c r="I12" i="25"/>
  <c r="H12" i="25"/>
  <c r="G12" i="25"/>
  <c r="F12" i="25"/>
  <c r="E12" i="25"/>
  <c r="D12" i="25"/>
  <c r="C12" i="25"/>
  <c r="B12" i="25"/>
  <c r="Q12" i="22"/>
  <c r="O12" i="22"/>
  <c r="N12" i="22"/>
  <c r="M12" i="22"/>
  <c r="K12" i="22"/>
  <c r="J12" i="22"/>
  <c r="I12" i="22"/>
  <c r="H12" i="22"/>
  <c r="F12" i="22"/>
  <c r="E12" i="22"/>
  <c r="D12" i="22"/>
  <c r="C12" i="22"/>
  <c r="B12" i="22"/>
  <c r="E7" i="21" l="1"/>
  <c r="E8" i="21"/>
  <c r="E9" i="21"/>
  <c r="G7" i="21" l="1"/>
  <c r="H9" i="15" l="1"/>
  <c r="G11" i="15" l="1"/>
  <c r="M11" i="11"/>
  <c r="L41" i="13" l="1"/>
  <c r="L40" i="13"/>
  <c r="K41" i="13"/>
  <c r="L42" i="13"/>
  <c r="L43" i="13"/>
  <c r="L44" i="13"/>
  <c r="L45" i="13"/>
  <c r="L46" i="13"/>
  <c r="L47" i="13"/>
  <c r="L49" i="13"/>
  <c r="L50" i="13"/>
  <c r="H39" i="13"/>
  <c r="H40" i="13"/>
  <c r="H41" i="13"/>
  <c r="H45" i="13"/>
  <c r="H46" i="13"/>
  <c r="H42" i="13"/>
  <c r="M70" i="13"/>
  <c r="M71" i="13"/>
  <c r="M72" i="13"/>
  <c r="M69" i="13"/>
  <c r="L70" i="13"/>
  <c r="L71" i="13"/>
  <c r="L72" i="13"/>
  <c r="H38" i="13"/>
  <c r="H43" i="13"/>
  <c r="H44" i="13"/>
  <c r="H47" i="13"/>
  <c r="H48" i="13"/>
  <c r="H23" i="13"/>
  <c r="E23" i="13"/>
  <c r="M13" i="13"/>
  <c r="M14" i="13"/>
  <c r="M15" i="13"/>
  <c r="M16" i="13"/>
  <c r="M17" i="13"/>
  <c r="M18" i="13"/>
  <c r="M19" i="13"/>
  <c r="M20" i="13"/>
  <c r="M21" i="13"/>
  <c r="M22" i="13"/>
  <c r="M23" i="13"/>
  <c r="M24" i="13"/>
  <c r="L13" i="13"/>
  <c r="L14" i="13"/>
  <c r="L15" i="13"/>
  <c r="L16" i="13"/>
  <c r="L17" i="13"/>
  <c r="L18" i="13"/>
  <c r="L19" i="13"/>
  <c r="L20" i="13"/>
  <c r="L21" i="13"/>
  <c r="L22" i="13"/>
  <c r="L23" i="13"/>
  <c r="L24" i="13"/>
  <c r="K43" i="13" l="1"/>
  <c r="K45" i="13"/>
  <c r="K39" i="13"/>
  <c r="K44" i="13"/>
  <c r="K42" i="13"/>
  <c r="K38" i="13"/>
  <c r="L39" i="13"/>
  <c r="L38" i="13"/>
  <c r="K40" i="13"/>
  <c r="N12" i="13"/>
  <c r="G11" i="2"/>
  <c r="H11" i="2" s="1"/>
  <c r="E14" i="2"/>
  <c r="L51" i="13" l="1"/>
  <c r="M24" i="25"/>
  <c r="L24" i="25"/>
  <c r="K24" i="25"/>
  <c r="J24" i="25"/>
  <c r="I24" i="25"/>
  <c r="H24" i="25"/>
  <c r="C24" i="25"/>
  <c r="B24" i="25"/>
  <c r="O23" i="25"/>
  <c r="N23" i="25"/>
  <c r="O22" i="25"/>
  <c r="N22" i="25"/>
  <c r="O21" i="25"/>
  <c r="N21" i="25"/>
  <c r="M20" i="25"/>
  <c r="L20" i="25"/>
  <c r="K20" i="25"/>
  <c r="J20" i="25"/>
  <c r="I20" i="25"/>
  <c r="H20" i="25"/>
  <c r="C20" i="25"/>
  <c r="B20" i="25"/>
  <c r="O19" i="25"/>
  <c r="N19" i="25"/>
  <c r="O18" i="25"/>
  <c r="N18" i="25"/>
  <c r="O17" i="25"/>
  <c r="N17" i="25"/>
  <c r="M16" i="25"/>
  <c r="L16" i="25"/>
  <c r="K16" i="25"/>
  <c r="J16" i="25"/>
  <c r="I16" i="25"/>
  <c r="H16" i="25"/>
  <c r="C16" i="25"/>
  <c r="B16" i="25"/>
  <c r="O15" i="25"/>
  <c r="N15" i="25"/>
  <c r="O14" i="25"/>
  <c r="N14" i="25"/>
  <c r="O13" i="25"/>
  <c r="N13" i="25"/>
  <c r="M25" i="25"/>
  <c r="L25" i="25"/>
  <c r="H25" i="25"/>
  <c r="C25" i="25" l="1"/>
  <c r="N20" i="25"/>
  <c r="O24" i="25"/>
  <c r="K25" i="25"/>
  <c r="J25" i="25"/>
  <c r="I25" i="25"/>
  <c r="B25" i="25"/>
  <c r="O16" i="25"/>
  <c r="N24" i="25"/>
  <c r="N16" i="25"/>
  <c r="N25" i="25" s="1"/>
  <c r="O20" i="25"/>
  <c r="M73" i="13"/>
  <c r="L73" i="13"/>
  <c r="O25" i="25" l="1"/>
  <c r="J73" i="13"/>
  <c r="I73" i="13"/>
  <c r="G73" i="13"/>
  <c r="F73" i="13"/>
  <c r="D73" i="13"/>
  <c r="C73" i="13"/>
  <c r="K72" i="13"/>
  <c r="H72" i="13"/>
  <c r="E72" i="13"/>
  <c r="K71" i="13"/>
  <c r="H71" i="13"/>
  <c r="E71" i="13"/>
  <c r="K70" i="13"/>
  <c r="H70" i="13"/>
  <c r="E70" i="13"/>
  <c r="K69" i="13"/>
  <c r="H69" i="13"/>
  <c r="E69" i="13"/>
  <c r="H73" i="13" l="1"/>
  <c r="K73" i="13"/>
  <c r="E73" i="13"/>
  <c r="N23" i="13"/>
  <c r="D13" i="24"/>
  <c r="G13" i="24"/>
  <c r="F13" i="24"/>
  <c r="E13" i="24"/>
  <c r="J9" i="24"/>
  <c r="J10" i="24"/>
  <c r="J11" i="24"/>
  <c r="J12" i="24"/>
  <c r="I9" i="24"/>
  <c r="I11" i="24"/>
  <c r="H9" i="24"/>
  <c r="J13" i="24" l="1"/>
  <c r="I13" i="24"/>
  <c r="H13" i="24"/>
  <c r="L9" i="11" l="1"/>
  <c r="M9" i="11"/>
  <c r="N9" i="11"/>
  <c r="N37" i="22" l="1"/>
  <c r="N38" i="22"/>
  <c r="N36" i="22"/>
  <c r="M37" i="22"/>
  <c r="M38" i="22"/>
  <c r="M36" i="22"/>
  <c r="J39" i="22"/>
  <c r="E9" i="1" l="1"/>
  <c r="F9" i="1" s="1"/>
  <c r="D9" i="1"/>
  <c r="D14" i="10" l="1"/>
  <c r="Q8" i="22"/>
  <c r="P8" i="22"/>
  <c r="D14" i="2"/>
  <c r="C14" i="2"/>
  <c r="B14" i="2"/>
  <c r="F14" i="2" l="1"/>
  <c r="G14" i="2"/>
  <c r="H14" i="2" s="1"/>
  <c r="H20" i="12" l="1"/>
  <c r="G13" i="2" l="1"/>
  <c r="F39" i="22" l="1"/>
  <c r="D39" i="22"/>
  <c r="B39" i="22"/>
  <c r="M39" i="22" l="1"/>
  <c r="H39" i="22"/>
  <c r="H13" i="22" l="1"/>
  <c r="M13" i="22"/>
  <c r="O13" i="22"/>
  <c r="C13" i="22"/>
  <c r="C10" i="21"/>
  <c r="K20" i="13" l="1"/>
  <c r="K16" i="13"/>
  <c r="H20" i="13"/>
  <c r="H16" i="13"/>
  <c r="E20" i="13"/>
  <c r="E16" i="13" l="1"/>
  <c r="E12" i="13"/>
  <c r="H12" i="13"/>
  <c r="E13" i="13"/>
  <c r="H13" i="13"/>
  <c r="E14" i="13"/>
  <c r="H14" i="13"/>
  <c r="E15" i="13"/>
  <c r="H15" i="13"/>
  <c r="E17" i="13"/>
  <c r="H17" i="13"/>
  <c r="E18" i="13"/>
  <c r="H18" i="13"/>
  <c r="E19" i="13"/>
  <c r="H19" i="13"/>
  <c r="E21" i="13"/>
  <c r="H21" i="13"/>
  <c r="E22" i="13"/>
  <c r="H22" i="13"/>
  <c r="E24" i="13"/>
  <c r="H24" i="13"/>
  <c r="L39" i="22" l="1"/>
  <c r="E39" i="22"/>
  <c r="C39" i="22"/>
  <c r="N39" i="22" l="1"/>
  <c r="D11" i="6" l="1"/>
  <c r="G8" i="21"/>
  <c r="G9" i="21"/>
  <c r="E11" i="21"/>
  <c r="G11" i="21"/>
  <c r="E12" i="21"/>
  <c r="G12" i="21"/>
  <c r="E13" i="21"/>
  <c r="G13" i="21"/>
  <c r="C14" i="21"/>
  <c r="C23" i="21" s="1"/>
  <c r="D14" i="21"/>
  <c r="F14" i="21"/>
  <c r="E15" i="21"/>
  <c r="G15" i="21"/>
  <c r="E16" i="21"/>
  <c r="G16" i="21"/>
  <c r="E17" i="21"/>
  <c r="G17" i="21"/>
  <c r="C18" i="21"/>
  <c r="D18" i="21"/>
  <c r="F18" i="21"/>
  <c r="E19" i="21"/>
  <c r="G19" i="21"/>
  <c r="E20" i="21"/>
  <c r="G20" i="21"/>
  <c r="E21" i="21"/>
  <c r="G21" i="21"/>
  <c r="C22" i="21"/>
  <c r="D22" i="21"/>
  <c r="F22" i="21"/>
  <c r="E18" i="21" l="1"/>
  <c r="E14" i="21"/>
  <c r="G14" i="21"/>
  <c r="D23" i="21"/>
  <c r="E23" i="21" s="1"/>
  <c r="G22" i="21"/>
  <c r="E22" i="21"/>
  <c r="G18" i="21"/>
  <c r="F23" i="21"/>
  <c r="G23" i="21" s="1"/>
  <c r="M25" i="13"/>
  <c r="L11" i="12" l="1"/>
  <c r="M11" i="12"/>
  <c r="L16" i="12"/>
  <c r="M12" i="12" l="1"/>
  <c r="M13" i="12"/>
  <c r="M14" i="12"/>
  <c r="M15" i="12"/>
  <c r="M16" i="12"/>
  <c r="M17" i="12"/>
  <c r="M18" i="12"/>
  <c r="M19" i="12"/>
  <c r="L12" i="12"/>
  <c r="L13" i="12"/>
  <c r="L14" i="12"/>
  <c r="L15" i="12"/>
  <c r="L17" i="12"/>
  <c r="L18" i="12"/>
  <c r="L19" i="12"/>
  <c r="K12" i="12"/>
  <c r="K13" i="12"/>
  <c r="K14" i="12"/>
  <c r="K15" i="12"/>
  <c r="K16" i="12"/>
  <c r="K17" i="12"/>
  <c r="K18" i="12"/>
  <c r="K19" i="12"/>
  <c r="J12" i="12"/>
  <c r="J14" i="12"/>
  <c r="J15" i="12"/>
  <c r="J16" i="12"/>
  <c r="J17" i="12"/>
  <c r="J18" i="12"/>
  <c r="J19" i="12"/>
  <c r="B20" i="12" l="1"/>
  <c r="D20" i="12"/>
  <c r="F20" i="12"/>
  <c r="I19" i="12" l="1"/>
  <c r="I16" i="12"/>
  <c r="I13" i="12"/>
  <c r="E20" i="12"/>
  <c r="I11" i="12"/>
  <c r="I18" i="12"/>
  <c r="I15" i="12"/>
  <c r="I12" i="12"/>
  <c r="I14" i="12"/>
  <c r="I17" i="12"/>
  <c r="G17" i="12"/>
  <c r="G16" i="12"/>
  <c r="G13" i="12"/>
  <c r="G11" i="12"/>
  <c r="G19" i="12"/>
  <c r="G12" i="12"/>
  <c r="G14" i="12"/>
  <c r="G18" i="12"/>
  <c r="G15" i="12"/>
  <c r="K20" i="12"/>
  <c r="J20" i="12"/>
  <c r="L20" i="12"/>
  <c r="M20" i="12"/>
  <c r="I20" i="12" l="1"/>
  <c r="G20" i="12"/>
  <c r="K8" i="8" l="1"/>
  <c r="L8" i="8"/>
  <c r="M8" i="8"/>
  <c r="F15" i="2"/>
  <c r="G15" i="2"/>
  <c r="H15" i="2" s="1"/>
  <c r="F16" i="2"/>
  <c r="G16" i="2"/>
  <c r="H16" i="2" s="1"/>
  <c r="R10" i="10" l="1"/>
  <c r="R14" i="10" s="1"/>
  <c r="Q10" i="10"/>
  <c r="P10" i="10"/>
  <c r="P14" i="10" s="1"/>
  <c r="O10" i="10"/>
  <c r="D13" i="8" l="1"/>
  <c r="G13" i="8"/>
  <c r="J13" i="8"/>
  <c r="D10" i="1" l="1"/>
  <c r="I15" i="10" l="1"/>
  <c r="N10" i="11"/>
  <c r="M10" i="11"/>
  <c r="M13" i="11" s="1"/>
  <c r="L10" i="11"/>
  <c r="N12" i="11"/>
  <c r="M12" i="11"/>
  <c r="L12" i="11"/>
  <c r="H13" i="2"/>
  <c r="D8" i="5"/>
  <c r="O14" i="10" l="1"/>
  <c r="S14" i="10"/>
  <c r="F13" i="2"/>
  <c r="F11" i="2"/>
  <c r="D9" i="5" l="1"/>
  <c r="D10" i="7"/>
  <c r="D11" i="7" s="1"/>
  <c r="B25" i="7" s="1"/>
  <c r="D8" i="7"/>
  <c r="D10" i="4"/>
  <c r="F10" i="4" s="1"/>
  <c r="F8" i="4"/>
  <c r="E10" i="1"/>
  <c r="E12" i="1"/>
  <c r="D12" i="1"/>
  <c r="F17" i="2"/>
  <c r="G17" i="2"/>
  <c r="H17" i="2" s="1"/>
  <c r="B18" i="2"/>
  <c r="E18" i="2"/>
  <c r="F19" i="2"/>
  <c r="G19" i="2"/>
  <c r="H19" i="2" s="1"/>
  <c r="F20" i="2"/>
  <c r="G20" i="2"/>
  <c r="F21" i="2"/>
  <c r="G21" i="2"/>
  <c r="H21" i="2" s="1"/>
  <c r="B22" i="2"/>
  <c r="E22" i="2"/>
  <c r="F23" i="2"/>
  <c r="G23" i="2"/>
  <c r="H23" i="2" s="1"/>
  <c r="F24" i="2"/>
  <c r="G24" i="2"/>
  <c r="H24" i="2" s="1"/>
  <c r="F25" i="2"/>
  <c r="G25" i="2"/>
  <c r="H25" i="2" s="1"/>
  <c r="F26" i="2"/>
  <c r="G26" i="2"/>
  <c r="H26" i="2" s="1"/>
  <c r="B27" i="2"/>
  <c r="E27" i="2"/>
  <c r="C25" i="7" l="1"/>
  <c r="F10" i="1"/>
  <c r="F12" i="1"/>
  <c r="G12" i="2"/>
  <c r="F18" i="2"/>
  <c r="G22" i="2"/>
  <c r="H22" i="2" s="1"/>
  <c r="F27" i="2"/>
  <c r="F22" i="2"/>
  <c r="B28" i="2"/>
  <c r="H20" i="2"/>
  <c r="F12" i="2"/>
  <c r="E10" i="4"/>
  <c r="E8" i="4"/>
  <c r="G27" i="2"/>
  <c r="H27" i="2" s="1"/>
  <c r="E28" i="2"/>
  <c r="G18" i="2" l="1"/>
  <c r="H18" i="2" s="1"/>
  <c r="H12" i="2"/>
  <c r="F28" i="2"/>
  <c r="G28" i="2" l="1"/>
  <c r="C72" i="18" l="1"/>
  <c r="D69" i="18" s="1"/>
  <c r="A72" i="18"/>
  <c r="B71" i="18"/>
  <c r="B70" i="18"/>
  <c r="B69" i="18"/>
  <c r="B68" i="18"/>
  <c r="B67" i="18"/>
  <c r="B66" i="18"/>
  <c r="B65" i="18"/>
  <c r="B64" i="18"/>
  <c r="B63" i="18"/>
  <c r="D71" i="18" l="1"/>
  <c r="D65" i="18"/>
  <c r="D68" i="18"/>
  <c r="D66" i="18"/>
  <c r="B72" i="18"/>
  <c r="D63" i="18"/>
  <c r="D70" i="18"/>
  <c r="D64" i="18"/>
  <c r="D67" i="18"/>
  <c r="D72" i="18" l="1"/>
  <c r="G9" i="16" l="1"/>
  <c r="F9" i="16"/>
  <c r="C9" i="16"/>
  <c r="B9" i="16"/>
  <c r="N20" i="13" l="1"/>
  <c r="N16" i="13"/>
  <c r="H13" i="11"/>
  <c r="F17" i="11"/>
  <c r="G17" i="11"/>
  <c r="H17" i="11"/>
  <c r="F21" i="11"/>
  <c r="G21" i="11"/>
  <c r="H21" i="11"/>
  <c r="F25" i="11"/>
  <c r="G25" i="11"/>
  <c r="H25" i="11"/>
  <c r="F26" i="11" l="1"/>
  <c r="G26" i="11"/>
  <c r="H26" i="11"/>
  <c r="P39" i="17" l="1"/>
  <c r="N39" i="17"/>
  <c r="P38" i="17"/>
  <c r="N38" i="17"/>
  <c r="P37" i="17"/>
  <c r="N37" i="17"/>
  <c r="P36" i="17"/>
  <c r="N36" i="17"/>
  <c r="P35" i="17"/>
  <c r="N35" i="17"/>
  <c r="P34" i="17"/>
  <c r="N34" i="17"/>
  <c r="P33" i="17"/>
  <c r="N33" i="17"/>
  <c r="P32" i="17"/>
  <c r="N32" i="17"/>
  <c r="G23" i="17"/>
  <c r="F23" i="17"/>
  <c r="E23" i="17"/>
  <c r="D23" i="17"/>
  <c r="C23" i="17"/>
  <c r="B23" i="17"/>
  <c r="I22" i="17"/>
  <c r="H22" i="17"/>
  <c r="I21" i="17"/>
  <c r="H21" i="17"/>
  <c r="I20" i="17"/>
  <c r="H20" i="17"/>
  <c r="G19" i="17"/>
  <c r="F19" i="17"/>
  <c r="E19" i="17"/>
  <c r="D19" i="17"/>
  <c r="C19" i="17"/>
  <c r="B19" i="17"/>
  <c r="I18" i="17"/>
  <c r="H18" i="17"/>
  <c r="I17" i="17"/>
  <c r="H17" i="17"/>
  <c r="I16" i="17"/>
  <c r="H16" i="17"/>
  <c r="G15" i="17"/>
  <c r="F15" i="17"/>
  <c r="E15" i="17"/>
  <c r="D15" i="17"/>
  <c r="C15" i="17"/>
  <c r="B15" i="17"/>
  <c r="I14" i="17"/>
  <c r="H14" i="17"/>
  <c r="I13" i="17"/>
  <c r="H13" i="17"/>
  <c r="I12" i="17"/>
  <c r="H12" i="17"/>
  <c r="G11" i="17"/>
  <c r="G24" i="17" s="1"/>
  <c r="F11" i="17"/>
  <c r="E11" i="17"/>
  <c r="E24" i="17" s="1"/>
  <c r="D11" i="17"/>
  <c r="C11" i="17"/>
  <c r="B11" i="17"/>
  <c r="I10" i="17"/>
  <c r="H10" i="17"/>
  <c r="I9" i="17"/>
  <c r="H9" i="17"/>
  <c r="I8" i="17"/>
  <c r="H8" i="17"/>
  <c r="P39" i="16"/>
  <c r="N39" i="16"/>
  <c r="P38" i="16"/>
  <c r="N38" i="16"/>
  <c r="P37" i="16"/>
  <c r="N37" i="16"/>
  <c r="P36" i="16"/>
  <c r="N36" i="16"/>
  <c r="P35" i="16"/>
  <c r="N35" i="16"/>
  <c r="P34" i="16"/>
  <c r="N34" i="16"/>
  <c r="P33" i="16"/>
  <c r="N33" i="16"/>
  <c r="P32" i="16"/>
  <c r="N32" i="16"/>
  <c r="G23" i="16"/>
  <c r="F23" i="16"/>
  <c r="E23" i="16"/>
  <c r="D23" i="16"/>
  <c r="C23" i="16"/>
  <c r="B23" i="16"/>
  <c r="I22" i="16"/>
  <c r="H22" i="16"/>
  <c r="I21" i="16"/>
  <c r="H21" i="16"/>
  <c r="I20" i="16"/>
  <c r="H20" i="16"/>
  <c r="G19" i="16"/>
  <c r="F19" i="16"/>
  <c r="E19" i="16"/>
  <c r="D19" i="16"/>
  <c r="C19" i="16"/>
  <c r="B19" i="16"/>
  <c r="I18" i="16"/>
  <c r="H18" i="16"/>
  <c r="I17" i="16"/>
  <c r="H17" i="16"/>
  <c r="I16" i="16"/>
  <c r="H16" i="16"/>
  <c r="G15" i="16"/>
  <c r="F15" i="16"/>
  <c r="E15" i="16"/>
  <c r="D15" i="16"/>
  <c r="C15" i="16"/>
  <c r="B15" i="16"/>
  <c r="I14" i="16"/>
  <c r="H14" i="16"/>
  <c r="I13" i="16"/>
  <c r="H13" i="16"/>
  <c r="I12" i="16"/>
  <c r="H12" i="16"/>
  <c r="G11" i="16"/>
  <c r="G24" i="16" s="1"/>
  <c r="F11" i="16"/>
  <c r="E11" i="16"/>
  <c r="E24" i="16" s="1"/>
  <c r="D11" i="16"/>
  <c r="C11" i="16"/>
  <c r="B11" i="16"/>
  <c r="I10" i="16"/>
  <c r="H10" i="16"/>
  <c r="I9" i="16"/>
  <c r="H9" i="16"/>
  <c r="I8" i="16"/>
  <c r="H8" i="16"/>
  <c r="F24" i="16" l="1"/>
  <c r="B24" i="16"/>
  <c r="F24" i="17"/>
  <c r="D24" i="17"/>
  <c r="H15" i="16"/>
  <c r="H11" i="17"/>
  <c r="H15" i="17"/>
  <c r="H19" i="17"/>
  <c r="D24" i="16"/>
  <c r="I11" i="16"/>
  <c r="B24" i="17"/>
  <c r="H23" i="17"/>
  <c r="I11" i="17"/>
  <c r="C24" i="17"/>
  <c r="H11" i="16"/>
  <c r="H19" i="16"/>
  <c r="H23" i="16"/>
  <c r="C24" i="16"/>
  <c r="I19" i="17"/>
  <c r="I15" i="17"/>
  <c r="I23" i="17"/>
  <c r="I15" i="16"/>
  <c r="I23" i="16"/>
  <c r="I19" i="16"/>
  <c r="H24" i="17" l="1"/>
  <c r="I24" i="16"/>
  <c r="I24" i="17"/>
  <c r="H24" i="16"/>
  <c r="E11" i="1" l="1"/>
  <c r="F11" i="15" l="1"/>
  <c r="C11" i="6"/>
  <c r="B11" i="6"/>
  <c r="B11" i="5"/>
  <c r="J51" i="13" l="1"/>
  <c r="I51" i="13"/>
  <c r="G51" i="13"/>
  <c r="F51" i="13"/>
  <c r="D51" i="13"/>
  <c r="C51" i="13"/>
  <c r="K50" i="13"/>
  <c r="H50" i="13"/>
  <c r="K49" i="13"/>
  <c r="H49" i="13"/>
  <c r="K48" i="13"/>
  <c r="K47" i="13"/>
  <c r="K46" i="13"/>
  <c r="K37" i="13"/>
  <c r="H37" i="13"/>
  <c r="E37" i="13"/>
  <c r="J25" i="13"/>
  <c r="I25" i="13"/>
  <c r="G25" i="13"/>
  <c r="F25" i="13"/>
  <c r="D25" i="13"/>
  <c r="C25" i="13"/>
  <c r="N24" i="13"/>
  <c r="K24" i="13"/>
  <c r="N22" i="13"/>
  <c r="K22" i="13"/>
  <c r="N21" i="13"/>
  <c r="K21" i="13"/>
  <c r="N19" i="13"/>
  <c r="K19" i="13"/>
  <c r="N18" i="13"/>
  <c r="K18" i="13"/>
  <c r="N17" i="13"/>
  <c r="K17" i="13"/>
  <c r="K15" i="13"/>
  <c r="K14" i="13"/>
  <c r="N13" i="13"/>
  <c r="K13" i="13"/>
  <c r="K12" i="13"/>
  <c r="F23" i="15"/>
  <c r="E23" i="15"/>
  <c r="D23" i="15"/>
  <c r="C23" i="15"/>
  <c r="G22" i="15"/>
  <c r="H22" i="15" s="1"/>
  <c r="G21" i="15"/>
  <c r="H21" i="15" s="1"/>
  <c r="G20" i="15"/>
  <c r="H20" i="15" s="1"/>
  <c r="F19" i="15"/>
  <c r="E19" i="15"/>
  <c r="D19" i="15"/>
  <c r="C19" i="15"/>
  <c r="G18" i="15"/>
  <c r="H18" i="15" s="1"/>
  <c r="G17" i="15"/>
  <c r="H17" i="15" s="1"/>
  <c r="G16" i="15"/>
  <c r="H16" i="15" s="1"/>
  <c r="F15" i="15"/>
  <c r="E15" i="15"/>
  <c r="D15" i="15"/>
  <c r="C15" i="15"/>
  <c r="G14" i="15"/>
  <c r="H14" i="15" s="1"/>
  <c r="G13" i="15"/>
  <c r="H13" i="15" s="1"/>
  <c r="G12" i="15"/>
  <c r="H12" i="15" s="1"/>
  <c r="K25" i="11"/>
  <c r="J25" i="11"/>
  <c r="I25" i="11"/>
  <c r="E25" i="11"/>
  <c r="D25" i="11"/>
  <c r="C25" i="11"/>
  <c r="N24" i="11"/>
  <c r="M24" i="11"/>
  <c r="L24" i="11"/>
  <c r="N23" i="11"/>
  <c r="M23" i="11"/>
  <c r="L23" i="11"/>
  <c r="N22" i="11"/>
  <c r="M22" i="11"/>
  <c r="L22" i="11"/>
  <c r="K21" i="11"/>
  <c r="J21" i="11"/>
  <c r="I21" i="11"/>
  <c r="E21" i="11"/>
  <c r="D21" i="11"/>
  <c r="C21" i="11"/>
  <c r="N20" i="11"/>
  <c r="M20" i="11"/>
  <c r="L20" i="11"/>
  <c r="N19" i="11"/>
  <c r="M19" i="11"/>
  <c r="L19" i="11"/>
  <c r="N18" i="11"/>
  <c r="M18" i="11"/>
  <c r="L18" i="11"/>
  <c r="K17" i="11"/>
  <c r="J17" i="11"/>
  <c r="I17" i="11"/>
  <c r="E17" i="11"/>
  <c r="D17" i="11"/>
  <c r="C17" i="11"/>
  <c r="N16" i="11"/>
  <c r="M16" i="11"/>
  <c r="L16" i="11"/>
  <c r="N15" i="11"/>
  <c r="M15" i="11"/>
  <c r="L15" i="11"/>
  <c r="N14" i="11"/>
  <c r="M14" i="11"/>
  <c r="L14" i="11"/>
  <c r="N11" i="11"/>
  <c r="N13" i="11" s="1"/>
  <c r="L13" i="11"/>
  <c r="J27" i="10"/>
  <c r="I27" i="10"/>
  <c r="I28" i="10" s="1"/>
  <c r="H27" i="10"/>
  <c r="G27" i="10"/>
  <c r="G28" i="10" s="1"/>
  <c r="N27" i="10"/>
  <c r="M27" i="10"/>
  <c r="M28" i="10" s="1"/>
  <c r="L27" i="10"/>
  <c r="K27" i="10"/>
  <c r="K28" i="10" s="1"/>
  <c r="F27" i="10"/>
  <c r="E27" i="10"/>
  <c r="E28" i="10" s="1"/>
  <c r="D27" i="10"/>
  <c r="C27" i="10"/>
  <c r="C28" i="10" s="1"/>
  <c r="R26" i="10"/>
  <c r="Q26" i="10"/>
  <c r="P26" i="10"/>
  <c r="O26" i="10"/>
  <c r="R25" i="10"/>
  <c r="Q25" i="10"/>
  <c r="Q27" i="10" s="1"/>
  <c r="Q28" i="10" s="1"/>
  <c r="P25" i="10"/>
  <c r="O25" i="10"/>
  <c r="O27" i="10" s="1"/>
  <c r="O28" i="10" s="1"/>
  <c r="R24" i="10"/>
  <c r="Q24" i="10"/>
  <c r="P24" i="10"/>
  <c r="O24" i="10"/>
  <c r="R23" i="10"/>
  <c r="Q23" i="10"/>
  <c r="P23" i="10"/>
  <c r="O23" i="10"/>
  <c r="J22" i="10"/>
  <c r="I22" i="10"/>
  <c r="H22" i="10"/>
  <c r="G22" i="10"/>
  <c r="N22" i="10"/>
  <c r="M22" i="10"/>
  <c r="L22" i="10"/>
  <c r="K22" i="10"/>
  <c r="F22" i="10"/>
  <c r="E22" i="10"/>
  <c r="D22" i="10"/>
  <c r="C22" i="10"/>
  <c r="R21" i="10"/>
  <c r="Q21" i="10"/>
  <c r="Q22" i="10" s="1"/>
  <c r="P21" i="10"/>
  <c r="O21" i="10"/>
  <c r="O22" i="10" s="1"/>
  <c r="R20" i="10"/>
  <c r="Q20" i="10"/>
  <c r="P20" i="10"/>
  <c r="O20" i="10"/>
  <c r="R19" i="10"/>
  <c r="Q19" i="10"/>
  <c r="P19" i="10"/>
  <c r="O19" i="10"/>
  <c r="J18" i="10"/>
  <c r="I18" i="10"/>
  <c r="H18" i="10"/>
  <c r="G18" i="10"/>
  <c r="N18" i="10"/>
  <c r="M18" i="10"/>
  <c r="L18" i="10"/>
  <c r="K18" i="10"/>
  <c r="F18" i="10"/>
  <c r="E18" i="10"/>
  <c r="D18" i="10"/>
  <c r="C18" i="10"/>
  <c r="R17" i="10"/>
  <c r="Q17" i="10"/>
  <c r="Q18" i="10" s="1"/>
  <c r="P17" i="10"/>
  <c r="O17" i="10"/>
  <c r="O18" i="10" s="1"/>
  <c r="R16" i="10"/>
  <c r="Q16" i="10"/>
  <c r="P16" i="10"/>
  <c r="O16" i="10"/>
  <c r="R15" i="10"/>
  <c r="Q15" i="10"/>
  <c r="P15" i="10"/>
  <c r="O15" i="10"/>
  <c r="G25" i="8"/>
  <c r="F25" i="8"/>
  <c r="F26" i="8" s="1"/>
  <c r="E25" i="8"/>
  <c r="E26" i="8" s="1"/>
  <c r="J25" i="8"/>
  <c r="I25" i="8"/>
  <c r="I26" i="8" s="1"/>
  <c r="H25" i="8"/>
  <c r="H26" i="8" s="1"/>
  <c r="D25" i="8"/>
  <c r="C25" i="8"/>
  <c r="C26" i="8" s="1"/>
  <c r="B25" i="8"/>
  <c r="B26" i="8" s="1"/>
  <c r="M24" i="8"/>
  <c r="L24" i="8"/>
  <c r="L25" i="8" s="1"/>
  <c r="L26" i="8" s="1"/>
  <c r="M23" i="8"/>
  <c r="L23" i="8"/>
  <c r="M22" i="8"/>
  <c r="L22" i="8"/>
  <c r="M21" i="8"/>
  <c r="L21" i="8"/>
  <c r="G20" i="8"/>
  <c r="F20" i="8"/>
  <c r="E20" i="8"/>
  <c r="J20" i="8"/>
  <c r="I20" i="8"/>
  <c r="H20" i="8"/>
  <c r="D20" i="8"/>
  <c r="C20" i="8"/>
  <c r="B20" i="8"/>
  <c r="M19" i="8"/>
  <c r="L19" i="8"/>
  <c r="L20" i="8" s="1"/>
  <c r="M18" i="8"/>
  <c r="L18" i="8"/>
  <c r="M17" i="8"/>
  <c r="L17" i="8"/>
  <c r="G16" i="8"/>
  <c r="F16" i="8"/>
  <c r="E16" i="8"/>
  <c r="J16" i="8"/>
  <c r="I16" i="8"/>
  <c r="H16" i="8"/>
  <c r="D16" i="8"/>
  <c r="C16" i="8"/>
  <c r="B16" i="8"/>
  <c r="M15" i="8"/>
  <c r="L15" i="8"/>
  <c r="L16" i="8" s="1"/>
  <c r="M14" i="8"/>
  <c r="L14" i="8"/>
  <c r="M13" i="8"/>
  <c r="L13" i="8"/>
  <c r="C23" i="6"/>
  <c r="B23" i="6"/>
  <c r="C19" i="6"/>
  <c r="B19" i="6"/>
  <c r="C15" i="6"/>
  <c r="B15" i="6"/>
  <c r="B23" i="5"/>
  <c r="C22" i="5"/>
  <c r="C21" i="5"/>
  <c r="C20" i="5"/>
  <c r="B19" i="5"/>
  <c r="C18" i="5"/>
  <c r="C17" i="5"/>
  <c r="C16" i="5"/>
  <c r="B15" i="5"/>
  <c r="D15" i="5" s="1"/>
  <c r="C14" i="5"/>
  <c r="C13" i="5"/>
  <c r="C12" i="5"/>
  <c r="C23" i="7"/>
  <c r="B23" i="7"/>
  <c r="D22" i="7"/>
  <c r="D21" i="7"/>
  <c r="D20" i="7"/>
  <c r="C19" i="7"/>
  <c r="B19" i="7"/>
  <c r="D18" i="7"/>
  <c r="D17" i="7"/>
  <c r="D16" i="7"/>
  <c r="C15" i="7"/>
  <c r="B15" i="7"/>
  <c r="D14" i="7"/>
  <c r="D13" i="7"/>
  <c r="D12" i="7"/>
  <c r="D9" i="7"/>
  <c r="C23" i="4"/>
  <c r="C24" i="4" s="1"/>
  <c r="B23" i="4"/>
  <c r="B24" i="4" s="1"/>
  <c r="D22" i="4"/>
  <c r="F22" i="4" s="1"/>
  <c r="D21" i="4"/>
  <c r="D20" i="4"/>
  <c r="F20" i="4" s="1"/>
  <c r="F23" i="4" s="1"/>
  <c r="C19" i="4"/>
  <c r="B19" i="4"/>
  <c r="D18" i="4"/>
  <c r="F18" i="4" s="1"/>
  <c r="D17" i="4"/>
  <c r="F17" i="4" s="1"/>
  <c r="D16" i="4"/>
  <c r="F16" i="4" s="1"/>
  <c r="F19" i="4" s="1"/>
  <c r="C15" i="4"/>
  <c r="B15" i="4"/>
  <c r="D14" i="4"/>
  <c r="E14" i="4" s="1"/>
  <c r="D13" i="4"/>
  <c r="E13" i="4" s="1"/>
  <c r="D12" i="4"/>
  <c r="F12" i="4" s="1"/>
  <c r="F15" i="4" s="1"/>
  <c r="D9" i="4"/>
  <c r="O10" i="4" s="1"/>
  <c r="E26" i="1"/>
  <c r="C26" i="1"/>
  <c r="B26" i="1"/>
  <c r="F25" i="1"/>
  <c r="D25" i="1"/>
  <c r="F24" i="1"/>
  <c r="D24" i="1"/>
  <c r="F23" i="1"/>
  <c r="D23" i="1"/>
  <c r="F22" i="1"/>
  <c r="D22" i="1"/>
  <c r="E21" i="1"/>
  <c r="C21" i="1"/>
  <c r="B21" i="1"/>
  <c r="F20" i="1"/>
  <c r="D20" i="1"/>
  <c r="F19" i="1"/>
  <c r="D19" i="1"/>
  <c r="F18" i="1"/>
  <c r="D18" i="1"/>
  <c r="E17" i="1"/>
  <c r="C17" i="1"/>
  <c r="B17" i="1"/>
  <c r="F16" i="1"/>
  <c r="D16" i="1"/>
  <c r="F15" i="1"/>
  <c r="D15" i="1"/>
  <c r="F14" i="1"/>
  <c r="D14" i="1"/>
  <c r="F11" i="1"/>
  <c r="D11" i="1"/>
  <c r="E25" i="13" l="1"/>
  <c r="T14" i="10"/>
  <c r="T29" i="10" s="1"/>
  <c r="H25" i="13"/>
  <c r="D23" i="5"/>
  <c r="C27" i="1"/>
  <c r="C24" i="15"/>
  <c r="E24" i="15"/>
  <c r="K25" i="13"/>
  <c r="F13" i="4"/>
  <c r="D26" i="1"/>
  <c r="C24" i="7"/>
  <c r="M17" i="11"/>
  <c r="B24" i="7"/>
  <c r="D24" i="15"/>
  <c r="D21" i="1"/>
  <c r="C23" i="5"/>
  <c r="K26" i="11"/>
  <c r="N21" i="11"/>
  <c r="F21" i="1"/>
  <c r="F26" i="1"/>
  <c r="D23" i="7"/>
  <c r="E12" i="4"/>
  <c r="E15" i="4" s="1"/>
  <c r="E20" i="4"/>
  <c r="E23" i="4" s="1"/>
  <c r="D19" i="7"/>
  <c r="F14" i="4"/>
  <c r="D15" i="4"/>
  <c r="T41" i="8"/>
  <c r="T38" i="8"/>
  <c r="L28" i="10"/>
  <c r="B27" i="1"/>
  <c r="D23" i="4"/>
  <c r="D24" i="4" s="1"/>
  <c r="E22" i="4"/>
  <c r="F24" i="15"/>
  <c r="D15" i="7"/>
  <c r="S29" i="8"/>
  <c r="S41" i="8"/>
  <c r="S38" i="8"/>
  <c r="L21" i="11"/>
  <c r="E17" i="4"/>
  <c r="G15" i="15"/>
  <c r="H15" i="15" s="1"/>
  <c r="G19" i="15"/>
  <c r="H19" i="15" s="1"/>
  <c r="G23" i="15"/>
  <c r="H23" i="15" s="1"/>
  <c r="D17" i="1"/>
  <c r="D19" i="4"/>
  <c r="C19" i="5"/>
  <c r="P18" i="10"/>
  <c r="O9" i="4"/>
  <c r="F17" i="1"/>
  <c r="E21" i="4"/>
  <c r="E24" i="4" s="1"/>
  <c r="D19" i="5"/>
  <c r="J28" i="10"/>
  <c r="E16" i="4"/>
  <c r="E19" i="4" s="1"/>
  <c r="E18" i="4"/>
  <c r="F21" i="4"/>
  <c r="F24" i="4" s="1"/>
  <c r="J26" i="11"/>
  <c r="L17" i="11"/>
  <c r="M21" i="11"/>
  <c r="L25" i="11"/>
  <c r="N25" i="11"/>
  <c r="N28" i="10"/>
  <c r="P27" i="10"/>
  <c r="M25" i="11"/>
  <c r="E26" i="11"/>
  <c r="N17" i="11"/>
  <c r="I26" i="11"/>
  <c r="C26" i="11"/>
  <c r="D26" i="11"/>
  <c r="S32" i="8"/>
  <c r="E9" i="4"/>
  <c r="E11" i="4" s="1"/>
  <c r="F9" i="4"/>
  <c r="R22" i="10"/>
  <c r="H28" i="10"/>
  <c r="R27" i="10"/>
  <c r="R18" i="10"/>
  <c r="P22" i="10"/>
  <c r="F28" i="10"/>
  <c r="Q15" i="8"/>
  <c r="M16" i="8"/>
  <c r="J26" i="8"/>
  <c r="M20" i="8"/>
  <c r="M25" i="8"/>
  <c r="Q10" i="8"/>
  <c r="T32" i="8"/>
  <c r="T29" i="8"/>
  <c r="D26" i="8"/>
  <c r="G26" i="8"/>
  <c r="B24" i="5"/>
  <c r="C15" i="5"/>
  <c r="D27" i="1" l="1"/>
  <c r="M26" i="11"/>
  <c r="R29" i="10"/>
  <c r="U41" i="8"/>
  <c r="U38" i="8"/>
  <c r="M11" i="4"/>
  <c r="O11" i="4"/>
  <c r="U32" i="8"/>
  <c r="U29" i="8"/>
  <c r="M26" i="8"/>
  <c r="L26" i="11"/>
  <c r="P28" i="10"/>
  <c r="N26" i="11"/>
  <c r="R28" i="10"/>
  <c r="D24" i="7"/>
  <c r="F11" i="4"/>
  <c r="E27" i="1"/>
  <c r="F27" i="1" s="1"/>
  <c r="H11" i="15"/>
  <c r="G24" i="15"/>
  <c r="H24" i="15" s="1"/>
  <c r="N15" i="13"/>
  <c r="N14" i="13"/>
  <c r="L25" i="13"/>
  <c r="P29" i="10" l="1"/>
  <c r="U9" i="8"/>
  <c r="V11" i="8"/>
  <c r="N25" i="13"/>
  <c r="D28"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<sst xmlns="http://schemas.openxmlformats.org/spreadsheetml/2006/main" count="802" uniqueCount="278">
  <si>
    <t>Dirección General de Jubilaciones y Pensiones a Cargo del Estado</t>
  </si>
  <si>
    <t>Departamento Administrativo y Financiero</t>
  </si>
  <si>
    <t>Ejecución Presupuesto Administrativo</t>
  </si>
  <si>
    <t>Mes</t>
  </si>
  <si>
    <t>Presupuesto Programado</t>
  </si>
  <si>
    <t>Presupuesto Ejecutado</t>
  </si>
  <si>
    <t>Restante</t>
  </si>
  <si>
    <t>Monto</t>
  </si>
  <si>
    <t>Absoluto (RD$)</t>
  </si>
  <si>
    <t>Relativo</t>
  </si>
  <si>
    <t>Regalía</t>
  </si>
  <si>
    <t>Diciembre</t>
  </si>
  <si>
    <t>Noviembre</t>
  </si>
  <si>
    <t>Octubre</t>
  </si>
  <si>
    <t>4to Trimestre</t>
  </si>
  <si>
    <t>Abril</t>
  </si>
  <si>
    <t>Mayo</t>
  </si>
  <si>
    <t>Junio</t>
  </si>
  <si>
    <t>2do Trimestre</t>
  </si>
  <si>
    <t xml:space="preserve">Julio </t>
  </si>
  <si>
    <t>Agosto</t>
  </si>
  <si>
    <t>Septiembre</t>
  </si>
  <si>
    <t>3er Trimestre</t>
  </si>
  <si>
    <t>Total</t>
  </si>
  <si>
    <t>Nota:</t>
  </si>
  <si>
    <t>División de Seguimiento al Sistema de Reparto</t>
  </si>
  <si>
    <t>Afiliados y Cotizantes</t>
  </si>
  <si>
    <t>Afiliados al Sistema de Reparto</t>
  </si>
  <si>
    <t>Cotizantes</t>
  </si>
  <si>
    <t>% Cotizantes</t>
  </si>
  <si>
    <t>No Cotizantes</t>
  </si>
  <si>
    <t>% No Cotizantes</t>
  </si>
  <si>
    <t>Afiliados Policia Nacional</t>
  </si>
  <si>
    <t>Promedio
2do Trimestre</t>
  </si>
  <si>
    <t>Julio</t>
  </si>
  <si>
    <t>Promedio
3er Trimestre</t>
  </si>
  <si>
    <t>Promedio
4to Trimestre</t>
  </si>
  <si>
    <t xml:space="preserve"> </t>
  </si>
  <si>
    <t>Distribución de Cotizantes por Tipo de Empleador</t>
  </si>
  <si>
    <t>Cantidad de Cotizantes por Tipo de Empleador</t>
  </si>
  <si>
    <t xml:space="preserve">Público 
</t>
  </si>
  <si>
    <t>Privado</t>
  </si>
  <si>
    <t>% Público</t>
  </si>
  <si>
    <t>% Privado</t>
  </si>
  <si>
    <t>Enero-Abril 2021</t>
  </si>
  <si>
    <t>Individualización por tipo de Empleador</t>
  </si>
  <si>
    <t>Individualización de aportes por tipo de Empleador</t>
  </si>
  <si>
    <t>Público (RD$)</t>
  </si>
  <si>
    <t>Privado (RD$)</t>
  </si>
  <si>
    <t>Total (RD$)</t>
  </si>
  <si>
    <t>Porcentaje</t>
  </si>
  <si>
    <t>Distribución de Aportes</t>
  </si>
  <si>
    <t>Cantidad de Aportes</t>
  </si>
  <si>
    <t>Δ Absoluta</t>
  </si>
  <si>
    <t>Δ Relativa</t>
  </si>
  <si>
    <t>Cantidad de Traspasos</t>
  </si>
  <si>
    <t>Recibidos (SCI a Reparto)</t>
  </si>
  <si>
    <t>Cedidos (Reparto a SCI)</t>
  </si>
  <si>
    <t>Monto Traspasado (RD$)</t>
  </si>
  <si>
    <t>T2</t>
  </si>
  <si>
    <t>T3</t>
  </si>
  <si>
    <t>T4</t>
  </si>
  <si>
    <t>Departamento de Gestión Financiera de Pensiones</t>
  </si>
  <si>
    <t>Ejecución Presupuesto Pensionados</t>
  </si>
  <si>
    <t>Programación Presupuestaria</t>
  </si>
  <si>
    <t>Ejecución Presupuestaria</t>
  </si>
  <si>
    <t>Programación Ordinaria (RD$)</t>
  </si>
  <si>
    <t>Ajuste de Partidas Devengadas</t>
  </si>
  <si>
    <t>Programación Total</t>
  </si>
  <si>
    <t xml:space="preserve"> Ejecutado</t>
  </si>
  <si>
    <t>Nómina de Pensionados</t>
  </si>
  <si>
    <t>Pensiones Civiles</t>
  </si>
  <si>
    <t>Pensiones Solidarias</t>
  </si>
  <si>
    <t>PN</t>
  </si>
  <si>
    <t>TOTAL</t>
  </si>
  <si>
    <t>Cantidad Pensionados</t>
  </si>
  <si>
    <t>Cantidad Pensiones</t>
  </si>
  <si>
    <t>Variaciones</t>
  </si>
  <si>
    <t>Pensiones</t>
  </si>
  <si>
    <t>Pensionados</t>
  </si>
  <si>
    <t>Abril-Junio 2020</t>
  </si>
  <si>
    <t>Nóminas Autoseguro</t>
  </si>
  <si>
    <t>Nómina Mensual Discapacidad Civil</t>
  </si>
  <si>
    <t>Nómina Mensual Discapacidad Policía Nacional</t>
  </si>
  <si>
    <t>Nómina Mensual Sobrevivencia Civil</t>
  </si>
  <si>
    <t>Nómina Mensual Sobrevivencia Policía</t>
  </si>
  <si>
    <t>Cantidad Beneficiarios</t>
  </si>
  <si>
    <t>Monto Bruto
(RD$)</t>
  </si>
  <si>
    <t>AFP
(RD$)</t>
  </si>
  <si>
    <t>SFS
(RD$)</t>
  </si>
  <si>
    <t>Monto Neto
(RD$)</t>
  </si>
  <si>
    <t>Monto
(RD$)</t>
  </si>
  <si>
    <t xml:space="preserve">                                                                                                                                                                                                                                                                                                          </t>
  </si>
  <si>
    <t>Nómina Deuda Retroactiva 
Discapacidad Civil</t>
  </si>
  <si>
    <t>Nómina Deuda Retroactiva
Sobrevivencia Civil</t>
  </si>
  <si>
    <t>Nómina Deuda Retroactiva
Sobrevivencia Policía Nacional</t>
  </si>
  <si>
    <t>-</t>
  </si>
  <si>
    <r>
      <rPr>
        <b/>
        <sz val="8"/>
        <color theme="1"/>
        <rFont val="Calibri"/>
        <family val="2"/>
        <scheme val="minor"/>
      </rPr>
      <t>Fuente:</t>
    </r>
    <r>
      <rPr>
        <sz val="8"/>
        <color theme="1"/>
        <rFont val="Calibri"/>
        <family val="2"/>
        <scheme val="minor"/>
      </rPr>
      <t xml:space="preserve"> División de Nómina</t>
    </r>
  </si>
  <si>
    <t>Movimientos en Nómina</t>
  </si>
  <si>
    <t>TOTAL GENERAL</t>
  </si>
  <si>
    <t>Inclusiones</t>
  </si>
  <si>
    <t>Exclusiones</t>
  </si>
  <si>
    <t>Suspensiones</t>
  </si>
  <si>
    <t>Cantidad</t>
  </si>
  <si>
    <t>Tipo Cantidad Porcentaje Monto Porcentaje</t>
  </si>
  <si>
    <t>PENSIÓN</t>
  </si>
  <si>
    <t>CIVIL</t>
  </si>
  <si>
    <t>IDSS</t>
  </si>
  <si>
    <t>GLORIAS</t>
  </si>
  <si>
    <t>DEL</t>
  </si>
  <si>
    <t>DEPORTE</t>
  </si>
  <si>
    <t>PABELLÓN</t>
  </si>
  <si>
    <t>DE</t>
  </si>
  <si>
    <t>LA</t>
  </si>
  <si>
    <t>FAMA</t>
  </si>
  <si>
    <t>PODER</t>
  </si>
  <si>
    <t>LEGISLATIVO</t>
  </si>
  <si>
    <t>EJECUTIVO</t>
  </si>
  <si>
    <t>POLICÍA</t>
  </si>
  <si>
    <t>NACIONAL</t>
  </si>
  <si>
    <t>SOLIDARIA</t>
  </si>
  <si>
    <t>PENSION</t>
  </si>
  <si>
    <t>POR</t>
  </si>
  <si>
    <t>SOBREVIVENCIA</t>
  </si>
  <si>
    <t>Rango</t>
  </si>
  <si>
    <t>Cantidad*</t>
  </si>
  <si>
    <t>Monto*</t>
  </si>
  <si>
    <t>Menos</t>
  </si>
  <si>
    <t>de</t>
  </si>
  <si>
    <t>RD$5117.50</t>
  </si>
  <si>
    <t>Igual</t>
  </si>
  <si>
    <t>a</t>
  </si>
  <si>
    <t>RD$5117.51</t>
  </si>
  <si>
    <t>&gt;=100,000.00</t>
  </si>
  <si>
    <t>18-30</t>
  </si>
  <si>
    <t>30-40</t>
  </si>
  <si>
    <t>40-50</t>
  </si>
  <si>
    <t>50-60</t>
  </si>
  <si>
    <t>60-70</t>
  </si>
  <si>
    <t>70-80</t>
  </si>
  <si>
    <t>80-90</t>
  </si>
  <si>
    <t>90-100</t>
  </si>
  <si>
    <t>con</t>
  </si>
  <si>
    <t>Nacimiento</t>
  </si>
  <si>
    <t>Trimestre Abril-Junio
Al 30 de Junio 2021</t>
  </si>
  <si>
    <t xml:space="preserve">Cantidad </t>
  </si>
  <si>
    <t xml:space="preserve">Tipo de Pensión </t>
  </si>
  <si>
    <t xml:space="preserve">Tipo  </t>
  </si>
  <si>
    <t>Cantidad 
(Var Absoluta)</t>
  </si>
  <si>
    <t>Porcentaje
(Var Porcentual)</t>
  </si>
  <si>
    <t>Monto
(Var Absoluta)</t>
  </si>
  <si>
    <t>PENSIÓN CIVIL</t>
  </si>
  <si>
    <t>GLORIAS DEL DEPORTE</t>
  </si>
  <si>
    <t>PABELLÓN DE LA FAMA</t>
  </si>
  <si>
    <t>PODER LEGISLATIVO</t>
  </si>
  <si>
    <t>PODER EJECUTIVO</t>
  </si>
  <si>
    <t>POLICÍA NACIONAL</t>
  </si>
  <si>
    <t>PENSIÓN SOLIDARIA</t>
  </si>
  <si>
    <t>PENSION POR SOBREVIVENCIA</t>
  </si>
  <si>
    <t>TOTALES:</t>
  </si>
  <si>
    <r>
      <rPr>
        <b/>
        <sz val="8"/>
        <color theme="1"/>
        <rFont val="Calibri"/>
        <family val="2"/>
        <scheme val="minor"/>
      </rPr>
      <t>Fuente:</t>
    </r>
    <r>
      <rPr>
        <sz val="8"/>
        <color theme="1"/>
        <rFont val="Calibri"/>
        <family val="2"/>
        <scheme val="minor"/>
      </rPr>
      <t xml:space="preserve"> Departamento de Gestión Financiera de Pensiones.</t>
    </r>
  </si>
  <si>
    <t>Modalidad de Pago</t>
  </si>
  <si>
    <t>Electrónico</t>
  </si>
  <si>
    <t>Cheque</t>
  </si>
  <si>
    <t xml:space="preserve">Electrónico </t>
  </si>
  <si>
    <t>Cantidad de Pensiones</t>
  </si>
  <si>
    <t>Cantidad  Pensiones</t>
  </si>
  <si>
    <t>Cantidad Electrónico</t>
  </si>
  <si>
    <t>Cantidad Cheque</t>
  </si>
  <si>
    <t>Pago de Retroactivos</t>
  </si>
  <si>
    <t>Cantidad 
Pensionados</t>
  </si>
  <si>
    <t>Cantidad 
Pensiones</t>
  </si>
  <si>
    <t>Regalia</t>
  </si>
  <si>
    <t>Diciembre**</t>
  </si>
  <si>
    <t xml:space="preserve"> **Estos totales incluyen las nóminas adicionales de regalía de pensionados inactivos.</t>
  </si>
  <si>
    <r>
      <rPr>
        <b/>
        <sz val="8"/>
        <color theme="1"/>
        <rFont val="Calibri"/>
        <family val="2"/>
        <scheme val="minor"/>
      </rPr>
      <t xml:space="preserve">Fuente: </t>
    </r>
    <r>
      <rPr>
        <sz val="8"/>
        <color theme="1"/>
        <rFont val="Calibri"/>
        <family val="2"/>
        <scheme val="minor"/>
      </rPr>
      <t>Departamento de Gestión Financiera de Pensiones.</t>
    </r>
  </si>
  <si>
    <t>Direccion General de Jubilaciones y Pensiones a Cargo del Estado</t>
  </si>
  <si>
    <t>Reintegro de Cheques</t>
  </si>
  <si>
    <t>Estadíticas Trimestre Abril-Junio</t>
  </si>
  <si>
    <t>Año 2021</t>
  </si>
  <si>
    <t>DGJP</t>
  </si>
  <si>
    <t>Cantidad 
de Cheques</t>
  </si>
  <si>
    <t xml:space="preserve"> *Estos totales incluyen las nóminas adicionales de regalía de pensionados inactivos.</t>
  </si>
  <si>
    <t>Fuente: SIJUPEN</t>
  </si>
  <si>
    <t>Créditos Rechazados</t>
  </si>
  <si>
    <t>Estadíticas Trimestre Enero-Marzo</t>
  </si>
  <si>
    <t xml:space="preserve">Cantidad 
</t>
  </si>
  <si>
    <t>Pagos Únicos Compensatorios</t>
  </si>
  <si>
    <t>Recuperación de Fondos</t>
  </si>
  <si>
    <t>Cantidad 
Solicitudes</t>
  </si>
  <si>
    <t>Monto 
Solicitado</t>
  </si>
  <si>
    <t>Monto Recuperado 
Años Anteriores</t>
  </si>
  <si>
    <t>Monto Recuperado 
Año en Curso</t>
  </si>
  <si>
    <t>Total 
Recuperado</t>
  </si>
  <si>
    <t>% Recuperado</t>
  </si>
  <si>
    <t>Dirección de Servicios y Trámite de Pensiones</t>
  </si>
  <si>
    <t>Gestión de Servicios a Pensionados</t>
  </si>
  <si>
    <t>Solicitudes Recibidas</t>
  </si>
  <si>
    <t xml:space="preserve">Descripción </t>
  </si>
  <si>
    <t>Recibidas</t>
  </si>
  <si>
    <t>Procesadas</t>
  </si>
  <si>
    <t>% Eficiencia</t>
  </si>
  <si>
    <t>Modificación Datos Críticos</t>
  </si>
  <si>
    <t>Pensión por sobrevivencia</t>
  </si>
  <si>
    <t>Registro de Poderes</t>
  </si>
  <si>
    <t>Solicitud Aplicación/Suspensión de Descuento 2%</t>
  </si>
  <si>
    <t>Solicitud de actualización de datos  Pensionados</t>
  </si>
  <si>
    <t>Solicitud de Exclusión</t>
  </si>
  <si>
    <t>Solicitud de Inclusión a Nómina</t>
  </si>
  <si>
    <t>Solicitud de Reajuste de Pensión</t>
  </si>
  <si>
    <t>Solicitud de Reclamación de Deuda</t>
  </si>
  <si>
    <t>Solicitud Pago Único Compensatorio</t>
  </si>
  <si>
    <t>Solicitud Pensión</t>
  </si>
  <si>
    <t>Solicitud Re-activación/Re-inclusión Pensión</t>
  </si>
  <si>
    <t>Solicitud Traspaso</t>
  </si>
  <si>
    <t>Total:</t>
  </si>
  <si>
    <r>
      <rPr>
        <b/>
        <sz val="8"/>
        <rFont val="Calibri"/>
        <family val="2"/>
        <scheme val="minor"/>
      </rPr>
      <t>Fuente:</t>
    </r>
    <r>
      <rPr>
        <sz val="8"/>
        <rFont val="Calibri"/>
        <family val="2"/>
        <scheme val="minor"/>
      </rPr>
      <t xml:space="preserve"> Metabase DAP</t>
    </r>
  </si>
  <si>
    <t>Aprobadas</t>
  </si>
  <si>
    <t>Pensión por Sobrevivencia Concubina</t>
  </si>
  <si>
    <t>Pensión por Sobrevivencia Conyugue</t>
  </si>
  <si>
    <t>Pension por Sobrevivencia Estudiante PN</t>
  </si>
  <si>
    <t>Pensión por Sobrevivencia Menor</t>
  </si>
  <si>
    <t>Pensión por Sobrevivencia Padres</t>
  </si>
  <si>
    <t>Reactivacion</t>
  </si>
  <si>
    <t>Reembolso - RE</t>
  </si>
  <si>
    <t>Reinclusion</t>
  </si>
  <si>
    <t>Retroactivo – RT</t>
  </si>
  <si>
    <t>Retroactivo – RTI</t>
  </si>
  <si>
    <t>Solicitud de aplicacion de Descuento ADL</t>
  </si>
  <si>
    <t>Solicitud de Suspension de Descuento SDL</t>
  </si>
  <si>
    <t>Solicitud Modificación Monto Pensión</t>
  </si>
  <si>
    <r>
      <rPr>
        <b/>
        <sz val="8"/>
        <rFont val="Calibri"/>
        <family val="2"/>
        <scheme val="minor"/>
      </rPr>
      <t xml:space="preserve">Fuente: </t>
    </r>
    <r>
      <rPr>
        <sz val="8"/>
        <rFont val="Calibri"/>
        <family val="2"/>
        <scheme val="minor"/>
      </rPr>
      <t>Metabase DMP.</t>
    </r>
  </si>
  <si>
    <t>Otorgadas</t>
  </si>
  <si>
    <t>Sobrevivencia Civil</t>
  </si>
  <si>
    <t>Sobrevivencia Policía Nacional</t>
  </si>
  <si>
    <t>Discapacidad Civil</t>
  </si>
  <si>
    <t>Discapacidad Policía Nacional</t>
  </si>
  <si>
    <r>
      <rPr>
        <b/>
        <sz val="8"/>
        <rFont val="Calibri"/>
        <family val="2"/>
        <scheme val="minor"/>
      </rPr>
      <t xml:space="preserve">Fuente: </t>
    </r>
    <r>
      <rPr>
        <sz val="8"/>
        <rFont val="Calibri"/>
        <family val="2"/>
        <scheme val="minor"/>
      </rPr>
      <t>Departamento de Autoseguro</t>
    </r>
  </si>
  <si>
    <t xml:space="preserve">Marzo </t>
  </si>
  <si>
    <t>Febrero</t>
  </si>
  <si>
    <t>Estadísticas Trimestre Enero-Marzo</t>
  </si>
  <si>
    <t>Enero</t>
  </si>
  <si>
    <t>1er Trimestre</t>
  </si>
  <si>
    <t>Marzo</t>
  </si>
  <si>
    <t xml:space="preserve">Trimestre 1 </t>
  </si>
  <si>
    <t xml:space="preserve">Febrero </t>
  </si>
  <si>
    <t>Estadísticas Trimestre Enero - Marzo</t>
  </si>
  <si>
    <t>Trimestre Enero-Marzo
Al 31 de marzo 2024</t>
  </si>
  <si>
    <t>1er. Trimestre</t>
  </si>
  <si>
    <t>1er.  Trimestre</t>
  </si>
  <si>
    <t>Promedio 1er. Trimestre</t>
  </si>
  <si>
    <t>Promedio
1er Trimestre</t>
  </si>
  <si>
    <t xml:space="preserve">Estadísticas Trimestre Enero - Marzo </t>
  </si>
  <si>
    <r>
      <t xml:space="preserve">Fuente: </t>
    </r>
    <r>
      <rPr>
        <sz val="7"/>
        <rFont val="Calibri"/>
        <family val="2"/>
        <scheme val="minor"/>
      </rPr>
      <t>SIGEF</t>
    </r>
    <r>
      <rPr>
        <b/>
        <sz val="7"/>
        <rFont val="Calibri"/>
        <family val="2"/>
        <scheme val="minor"/>
      </rPr>
      <t xml:space="preserve">, </t>
    </r>
    <r>
      <rPr>
        <sz val="7"/>
        <rFont val="Calibri"/>
        <family val="2"/>
        <scheme val="minor"/>
      </rPr>
      <t>Departamento Financiero.</t>
    </r>
  </si>
  <si>
    <r>
      <rPr>
        <b/>
        <sz val="8"/>
        <color theme="1"/>
        <rFont val="Calibri"/>
        <family val="2"/>
        <scheme val="minor"/>
      </rPr>
      <t>Fuente:</t>
    </r>
    <r>
      <rPr>
        <sz val="8"/>
        <color theme="1"/>
        <rFont val="Calibri"/>
        <family val="2"/>
        <scheme val="minor"/>
      </rPr>
      <t xml:space="preserve"> SIGEF, División de Presupuesto de Pensiones.</t>
    </r>
  </si>
  <si>
    <r>
      <rPr>
        <b/>
        <sz val="8"/>
        <rFont val="Calibri"/>
        <family val="2"/>
        <scheme val="minor"/>
      </rPr>
      <t xml:space="preserve">Nota: </t>
    </r>
    <r>
      <rPr>
        <sz val="8"/>
        <color theme="1"/>
        <rFont val="Calibri"/>
        <family val="2"/>
        <scheme val="minor"/>
      </rPr>
      <t xml:space="preserve">El proceso de análisis de solicitudes de pensiones de autoseguro requiere de la intervención de varias instituciones, siendo un proceso que puede tardar incluso varios meses. Esto provoca que, el número de otorgamientos sea superior al número de expedientes recibidos en algunas ocasiones, y viceversa. </t>
    </r>
  </si>
  <si>
    <r>
      <t xml:space="preserve">Nota:  </t>
    </r>
    <r>
      <rPr>
        <sz val="7"/>
        <rFont val="Calibri"/>
        <family val="2"/>
        <scheme val="minor"/>
      </rPr>
      <t>La desviacion de 5.38% en la ejecución financiera, corresponde a salidas de personal y a retrasos en los procesos burocráticos del MAP en la contratación de personal para las vacantes disponibles.</t>
    </r>
  </si>
  <si>
    <r>
      <rPr>
        <b/>
        <sz val="8"/>
        <color indexed="8"/>
        <rFont val="Calibri"/>
        <family val="2"/>
      </rPr>
      <t>Fuente:</t>
    </r>
    <r>
      <rPr>
        <sz val="8"/>
        <color indexed="8"/>
        <rFont val="Calibri"/>
        <family val="2"/>
      </rPr>
      <t xml:space="preserve"> UNIPAGO. División de Seguimiento al Sistema de Reparto.</t>
    </r>
  </si>
  <si>
    <r>
      <rPr>
        <b/>
        <sz val="8"/>
        <color indexed="8"/>
        <rFont val="Calibri"/>
        <family val="2"/>
      </rPr>
      <t>Fuente:</t>
    </r>
    <r>
      <rPr>
        <sz val="8"/>
        <color indexed="8"/>
        <rFont val="Calibri"/>
        <family val="2"/>
      </rPr>
      <t xml:space="preserve"> Datos recolectados en la DGJP, División de Seguimiento al Sistema de Reparto.</t>
    </r>
  </si>
  <si>
    <r>
      <rPr>
        <b/>
        <sz val="8"/>
        <color indexed="8"/>
        <rFont val="Calibri"/>
        <family val="2"/>
      </rPr>
      <t>Fuente:</t>
    </r>
    <r>
      <rPr>
        <sz val="8"/>
        <color indexed="8"/>
        <rFont val="Calibri"/>
        <family val="2"/>
      </rPr>
      <t xml:space="preserve">  UNIPAGO/  División de Seguimiento al Sistema de Reparto.</t>
    </r>
  </si>
  <si>
    <r>
      <rPr>
        <b/>
        <sz val="8"/>
        <color indexed="8"/>
        <rFont val="Calibri"/>
        <family val="2"/>
      </rPr>
      <t>Fuente:</t>
    </r>
    <r>
      <rPr>
        <sz val="8"/>
        <color indexed="8"/>
        <rFont val="Calibri"/>
        <family val="2"/>
      </rPr>
      <t xml:space="preserve"> UNIPAGO/  División de Seguimiento al Sistema de Reparto.</t>
    </r>
  </si>
  <si>
    <r>
      <rPr>
        <b/>
        <sz val="8"/>
        <color indexed="8"/>
        <rFont val="Calibri"/>
        <family val="2"/>
      </rPr>
      <t>Fuente:</t>
    </r>
    <r>
      <rPr>
        <sz val="8"/>
        <color indexed="8"/>
        <rFont val="Calibri"/>
        <family val="2"/>
      </rPr>
      <t xml:space="preserve">  UNIPAGO / División de Seguimiento al Sistema de Reparto.</t>
    </r>
  </si>
  <si>
    <t>Año 2025</t>
  </si>
  <si>
    <t>Cantidad de solicitudes aprobadas por tipo T1-2025</t>
  </si>
  <si>
    <r>
      <rPr>
        <b/>
        <sz val="8"/>
        <rFont val="Calibri"/>
        <family val="2"/>
        <scheme val="minor"/>
      </rPr>
      <t>Nota 3</t>
    </r>
    <r>
      <rPr>
        <sz val="8"/>
        <rFont val="Calibri"/>
        <family val="2"/>
        <scheme val="minor"/>
      </rPr>
      <t>: Se presenta la información en base a los trámites gestionados dentro del mes por las distintas Divisiones del Departamento de Gestión Financiera.</t>
    </r>
  </si>
  <si>
    <r>
      <rPr>
        <b/>
        <sz val="8"/>
        <rFont val="Calibri"/>
        <family val="2"/>
        <scheme val="minor"/>
      </rPr>
      <t>Nota 2</t>
    </r>
    <r>
      <rPr>
        <sz val="8"/>
        <rFont val="Calibri"/>
        <family val="2"/>
        <scheme val="minor"/>
      </rPr>
      <t>: La programación ordinaria inicial del 2025, se presenta de acuerdo a la programación dispuesta por la DIGEPRES.  Se gestionarán variaciones de acuerdo a las necesidades del pago de las nóminas.</t>
    </r>
  </si>
  <si>
    <r>
      <t xml:space="preserve">Nota 1: </t>
    </r>
    <r>
      <rPr>
        <sz val="8"/>
        <rFont val="Calibri"/>
        <family val="2"/>
        <scheme val="minor"/>
      </rPr>
      <t xml:space="preserve"> El monto de ajuste de partidas deventadas, corresponde a los rechazos en transferencias de las diferentes nominas (civil, policia, solidaria y adicionales).</t>
    </r>
  </si>
  <si>
    <r>
      <rPr>
        <b/>
        <sz val="8"/>
        <color theme="1"/>
        <rFont val="Calibri"/>
        <family val="2"/>
        <scheme val="minor"/>
      </rPr>
      <t>Fuente:</t>
    </r>
    <r>
      <rPr>
        <sz val="8"/>
        <color theme="1"/>
        <rFont val="Calibri"/>
        <family val="2"/>
        <scheme val="minor"/>
      </rPr>
      <t xml:space="preserve"> SJP</t>
    </r>
  </si>
  <si>
    <t>Pensiones Civiles (PC)</t>
  </si>
  <si>
    <t>Pensiones Solidarias (PS)</t>
  </si>
  <si>
    <t>Aumentos</t>
  </si>
  <si>
    <t>Reinclusiones</t>
  </si>
  <si>
    <t xml:space="preserve"> Sobrevivencia</t>
  </si>
  <si>
    <t>Trimestre Enero-Marzo
Al 31 de marzo 2025</t>
  </si>
  <si>
    <t>Trimestre Enero - Marzo 2025</t>
  </si>
  <si>
    <t>Distribución de Pensiones por Tipo y por Montos. Pensionados por edad</t>
  </si>
  <si>
    <r>
      <rPr>
        <b/>
        <sz val="8"/>
        <color theme="1"/>
        <rFont val="Calibri"/>
        <family val="2"/>
        <scheme val="minor"/>
      </rPr>
      <t xml:space="preserve">Fuente: </t>
    </r>
    <r>
      <rPr>
        <sz val="8"/>
        <color theme="1"/>
        <rFont val="Calibri"/>
        <family val="2"/>
        <scheme val="minor"/>
      </rPr>
      <t>SJP, Departamento de Gestión Financiera de Pensiones.</t>
    </r>
  </si>
  <si>
    <t>Solicitudes Recibidas y Otorgadas T1-2025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</si>
</sst>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0.0%"/>
    <numFmt numFmtId="165" formatCode="_(* #,##0_);_(* \(#,##0\);_(* &quot;-&quot;??_);_(@_)"/>
    <numFmt numFmtId="166" formatCode="&quot;$&quot;#,##0.00"/>
    <numFmt numFmtId="167" formatCode="_(* #,##0.0_);_(* \(#,##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0"/>
      <color rgb="FF000000"/>
      <name val="Calibri"/>
      <family val="2"/>
      <scheme val="minor"/>
    </font>
    <font>
      <b/>
      <i/>
      <sz val="10"/>
      <color rgb="FF000000"/>
      <name val="Calibri"/>
      <family val="2"/>
      <scheme val="minor"/>
    </font>
    <font>
      <b/>
      <sz val="10"/>
      <color rgb="FF000000"/>
      <name val="Calibri"/>
      <family val="2"/>
      <scheme val="minor"/>
    </font>
    <font>
      <sz val="10"/>
      <color indexed="8"/>
      <name val="Arial"/>
      <family val="2"/>
    </font>
    <font>
      <b/>
      <sz val="11"/>
      <color rgb="FFFF0000"/>
      <name val="Calibri"/>
      <family val="2"/>
      <scheme val="minor"/>
    </font>
    <font>
      <b/>
      <sz val="12"/>
      <color theme="1"/>
      <name val="Calibri"/>
      <family val="2"/>
      <scheme val="minor"/>
    </font>
    <font>
      <b/>
      <i/>
      <sz val="10"/>
      <color theme="1"/>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b/>
      <sz val="10"/>
      <name val="Calibri"/>
      <family val="2"/>
      <scheme val="minor"/>
    </font>
    <font>
      <b/>
      <i/>
      <sz val="10"/>
      <name val="Calibri"/>
      <family val="2"/>
      <scheme val="minor"/>
    </font>
    <font>
      <sz val="11"/>
      <color rgb="FF000000"/>
      <name val="Calibri"/>
      <family val="2"/>
      <scheme val="minor"/>
    </font>
    <font>
      <sz val="8"/>
      <color rgb="FFFF0000"/>
      <name val="Calibri"/>
      <family val="2"/>
      <scheme val="minor"/>
    </font>
    <font>
      <sz val="8"/>
      <name val="Calibri"/>
      <family val="2"/>
      <scheme val="minor"/>
    </font>
    <font>
      <sz val="10"/>
      <name val="Calibri"/>
      <family val="2"/>
      <scheme val="minor"/>
    </font>
    <font>
      <b/>
      <sz val="8"/>
      <name val="Calibri"/>
      <family val="2"/>
      <scheme val="minor"/>
    </font>
    <font>
      <sz val="11"/>
      <name val="Calibri"/>
      <family val="2"/>
      <scheme val="minor"/>
    </font>
    <font>
      <sz val="7"/>
      <color theme="1"/>
      <name val="Calibri"/>
      <family val="2"/>
      <scheme val="minor"/>
    </font>
    <font>
      <sz val="11"/>
      <color theme="0"/>
      <name val="Calibri"/>
      <family val="2"/>
      <scheme val="minor"/>
    </font>
    <font>
      <i/>
      <sz val="10"/>
      <name val="Calibri"/>
      <family val="2"/>
      <scheme val="minor"/>
    </font>
    <font>
      <b/>
      <i/>
      <sz val="9"/>
      <color rgb="FF000000"/>
      <name val="Calibri"/>
      <family val="2"/>
      <scheme val="minor"/>
    </font>
    <font>
      <b/>
      <sz val="8"/>
      <color indexed="8"/>
      <name val="Calibri"/>
      <family val="2"/>
    </font>
    <font>
      <sz val="8"/>
      <color indexed="8"/>
      <name val="Calibri"/>
      <family val="2"/>
    </font>
    <font>
      <sz val="7"/>
      <name val="Calibri"/>
      <family val="2"/>
      <scheme val="minor"/>
    </font>
    <font>
      <b/>
      <sz val="7"/>
      <name val="Calibri"/>
      <family val="2"/>
      <scheme val="minor"/>
    </font>
    <font>
      <b/>
      <sz val="11"/>
      <color theme="0"/>
      <name val="Calibri"/>
      <family val="2"/>
      <scheme val="minor"/>
    </font>
    <font>
      <sz val="10"/>
      <color rgb="FF000000"/>
      <name val="Calibri"/>
      <family val="2"/>
    </font>
    <font>
      <sz val="10"/>
      <color indexed="8"/>
      <name val="Calibri"/>
      <family val="2"/>
      <scheme val="minor"/>
    </font>
    <font>
      <sz val="12"/>
      <color theme="1"/>
      <name val="Times New Roman"/>
      <family val="1"/>
    </font>
    <font>
      <b/>
      <sz val="12"/>
      <name val="Calibri"/>
      <family val="2"/>
      <scheme val="minor"/>
    </font>
  </fonts>
  <fills count="19">
    <fill>
      <patternFill patternType="none"/>
    </fill>
    <fill>
      <patternFill patternType="gray125"/>
    </fill>
    <fill>
      <patternFill patternType="solid">
        <fgColor theme="6"/>
        <bgColor indexed="64"/>
      </patternFill>
    </fill>
    <fill>
      <patternFill patternType="solid">
        <fgColor theme="4"/>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3"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9"/>
        <bgColor indexed="64"/>
      </patternFill>
    </fill>
    <fill>
      <patternFill patternType="solid">
        <fgColor theme="8" tint="-0.249977111117893"/>
        <bgColor indexed="64"/>
      </patternFill>
    </fill>
    <fill>
      <patternFill patternType="solid">
        <fgColor theme="0" tint="-0.34998626667073579"/>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lignment vertical="top"/>
    </xf>
  </cellStyleXfs>
  <cellXfs count="384">
    <xf numFmtId="0" fontId="0" fillId="0" borderId="0" xfId="0"/>
    <xf numFmtId="0" fontId="0" fillId="0" borderId="0" xfId="0" applyProtection="1">
      <protection locked="0"/>
    </xf>
    <xf numFmtId="9" fontId="5" fillId="0" borderId="0" xfId="0" applyNumberFormat="1" applyFont="1" applyAlignment="1">
      <alignment horizontal="center" vertical="center"/>
    </xf>
    <xf numFmtId="9" fontId="7" fillId="7" borderId="0" xfId="0" applyNumberFormat="1" applyFont="1" applyFill="1" applyAlignment="1">
      <alignment horizontal="center" vertical="center"/>
    </xf>
    <xf numFmtId="9" fontId="4" fillId="0" borderId="0" xfId="0" applyNumberFormat="1" applyFont="1" applyAlignment="1">
      <alignment horizontal="center" vertical="center"/>
    </xf>
    <xf numFmtId="9" fontId="3" fillId="7" borderId="0" xfId="0" applyNumberFormat="1" applyFont="1" applyFill="1" applyAlignment="1">
      <alignment horizontal="center" vertical="center"/>
    </xf>
    <xf numFmtId="9" fontId="3" fillId="10" borderId="0" xfId="0" applyNumberFormat="1" applyFont="1" applyFill="1" applyAlignment="1">
      <alignment horizontal="center" vertical="center"/>
    </xf>
    <xf numFmtId="9" fontId="7" fillId="10" borderId="0" xfId="0" applyNumberFormat="1" applyFont="1" applyFill="1" applyAlignment="1">
      <alignment horizontal="center" vertical="center"/>
    </xf>
    <xf numFmtId="3" fontId="6" fillId="7" borderId="0" xfId="0" applyNumberFormat="1" applyFont="1" applyFill="1" applyAlignment="1">
      <alignment horizontal="center" vertical="center"/>
    </xf>
    <xf numFmtId="165" fontId="6" fillId="7" borderId="0" xfId="2" applyNumberFormat="1" applyFont="1" applyFill="1" applyBorder="1" applyAlignment="1" applyProtection="1">
      <alignment horizontal="center" vertical="center"/>
    </xf>
    <xf numFmtId="3" fontId="6" fillId="10" borderId="0" xfId="0" applyNumberFormat="1" applyFont="1" applyFill="1" applyAlignment="1">
      <alignment horizontal="center" vertical="center"/>
    </xf>
    <xf numFmtId="165" fontId="6" fillId="10" borderId="0" xfId="2" applyNumberFormat="1" applyFont="1" applyFill="1" applyBorder="1" applyAlignment="1" applyProtection="1">
      <alignment horizontal="center" vertical="center"/>
    </xf>
    <xf numFmtId="0" fontId="6" fillId="7" borderId="0" xfId="0" applyFont="1" applyFill="1" applyAlignment="1" applyProtection="1">
      <alignment horizontal="left" vertical="center"/>
      <protection locked="0"/>
    </xf>
    <xf numFmtId="165" fontId="6" fillId="7" borderId="0" xfId="0" applyNumberFormat="1" applyFont="1" applyFill="1" applyAlignment="1">
      <alignment horizontal="center" vertical="center"/>
    </xf>
    <xf numFmtId="3" fontId="0" fillId="0" borderId="0" xfId="0" applyNumberFormat="1" applyProtection="1">
      <protection locked="0"/>
    </xf>
    <xf numFmtId="0" fontId="13" fillId="0" borderId="0" xfId="0" applyFont="1" applyProtection="1">
      <protection locked="0"/>
    </xf>
    <xf numFmtId="9" fontId="6" fillId="7" borderId="0" xfId="1" applyFont="1" applyFill="1" applyBorder="1" applyAlignment="1" applyProtection="1">
      <alignment horizontal="center" vertical="center"/>
    </xf>
    <xf numFmtId="9" fontId="6" fillId="10" borderId="0" xfId="1" applyFont="1" applyFill="1" applyBorder="1" applyAlignment="1" applyProtection="1">
      <alignment horizontal="center" vertical="center"/>
    </xf>
    <xf numFmtId="9" fontId="0" fillId="0" borderId="0" xfId="1" applyFont="1" applyProtection="1">
      <protection locked="0"/>
    </xf>
    <xf numFmtId="3" fontId="2" fillId="0" borderId="0" xfId="0" applyNumberFormat="1" applyFont="1" applyAlignment="1">
      <alignment horizontal="center" vertical="center"/>
    </xf>
    <xf numFmtId="9" fontId="0" fillId="0" borderId="0" xfId="1" applyFont="1" applyAlignment="1" applyProtection="1">
      <alignment horizontal="center" vertical="center"/>
    </xf>
    <xf numFmtId="0" fontId="3" fillId="0" borderId="0" xfId="0" applyFont="1" applyProtection="1">
      <protection locked="0"/>
    </xf>
    <xf numFmtId="0" fontId="2" fillId="0" borderId="0" xfId="0" applyFont="1" applyProtection="1">
      <protection locked="0"/>
    </xf>
    <xf numFmtId="3" fontId="6" fillId="10" borderId="0" xfId="0" applyNumberFormat="1" applyFont="1" applyFill="1" applyAlignment="1">
      <alignment horizontal="left" vertical="center" wrapText="1"/>
    </xf>
    <xf numFmtId="9" fontId="2" fillId="9" borderId="0" xfId="1" applyFont="1" applyFill="1" applyAlignment="1" applyProtection="1">
      <alignment horizontal="center"/>
    </xf>
    <xf numFmtId="0" fontId="2" fillId="9" borderId="0" xfId="0" applyFont="1" applyFill="1"/>
    <xf numFmtId="3" fontId="3" fillId="0" borderId="0" xfId="0" applyNumberFormat="1" applyFont="1" applyAlignment="1">
      <alignment horizontal="center"/>
    </xf>
    <xf numFmtId="0" fontId="6" fillId="7" borderId="0" xfId="0" applyFont="1" applyFill="1" applyAlignment="1">
      <alignment horizontal="left" vertical="center"/>
    </xf>
    <xf numFmtId="0" fontId="6" fillId="10" borderId="0" xfId="0" applyFont="1" applyFill="1" applyAlignment="1">
      <alignment horizontal="left" vertical="center" wrapText="1"/>
    </xf>
    <xf numFmtId="0" fontId="6" fillId="10" borderId="0" xfId="0" applyFont="1" applyFill="1" applyAlignment="1">
      <alignment horizontal="center" vertical="center" wrapText="1"/>
    </xf>
    <xf numFmtId="0" fontId="0" fillId="10" borderId="0" xfId="0" applyFill="1"/>
    <xf numFmtId="0" fontId="4" fillId="0" borderId="0" xfId="0" applyFont="1" applyAlignment="1" applyProtection="1">
      <alignment horizontal="left" vertical="center"/>
      <protection locked="0"/>
    </xf>
    <xf numFmtId="165" fontId="4" fillId="0" borderId="0" xfId="2" applyNumberFormat="1" applyFont="1" applyBorder="1" applyAlignment="1" applyProtection="1">
      <alignment horizontal="center"/>
      <protection locked="0"/>
    </xf>
    <xf numFmtId="2" fontId="0" fillId="0" borderId="0" xfId="0" applyNumberFormat="1" applyProtection="1">
      <protection locked="0"/>
    </xf>
    <xf numFmtId="0" fontId="0" fillId="0" borderId="0" xfId="0" applyAlignment="1" applyProtection="1">
      <alignment horizontal="center"/>
      <protection locked="0"/>
    </xf>
    <xf numFmtId="165" fontId="0" fillId="0" borderId="0" xfId="0" applyNumberFormat="1" applyProtection="1">
      <protection locked="0"/>
    </xf>
    <xf numFmtId="43" fontId="0" fillId="0" borderId="0" xfId="0" applyNumberFormat="1" applyProtection="1">
      <protection locked="0"/>
    </xf>
    <xf numFmtId="165" fontId="3" fillId="0" borderId="0" xfId="2" applyNumberFormat="1" applyFont="1" applyFill="1" applyBorder="1" applyAlignment="1" applyProtection="1">
      <alignment horizontal="center"/>
    </xf>
    <xf numFmtId="165" fontId="3" fillId="0" borderId="0" xfId="2" applyNumberFormat="1" applyFont="1" applyFill="1" applyBorder="1" applyAlignment="1" applyProtection="1">
      <alignment horizontal="center" vertical="center"/>
    </xf>
    <xf numFmtId="165" fontId="11" fillId="7" borderId="0" xfId="2" applyNumberFormat="1" applyFont="1" applyFill="1" applyBorder="1" applyAlignment="1" applyProtection="1">
      <alignment horizontal="center"/>
    </xf>
    <xf numFmtId="165" fontId="11" fillId="7" borderId="0" xfId="2" applyNumberFormat="1" applyFont="1" applyFill="1" applyBorder="1" applyAlignment="1" applyProtection="1">
      <alignment horizontal="center" vertical="center"/>
    </xf>
    <xf numFmtId="165" fontId="11" fillId="10" borderId="0" xfId="2" applyNumberFormat="1" applyFont="1" applyFill="1" applyBorder="1" applyAlignment="1" applyProtection="1">
      <alignment horizontal="center"/>
    </xf>
    <xf numFmtId="165" fontId="11" fillId="10" borderId="0" xfId="2" applyNumberFormat="1" applyFont="1" applyFill="1" applyBorder="1" applyAlignment="1" applyProtection="1">
      <alignment horizontal="center" vertical="center"/>
    </xf>
    <xf numFmtId="0" fontId="3" fillId="5" borderId="0" xfId="0" applyFont="1" applyFill="1" applyAlignment="1">
      <alignment horizontal="left" vertical="center" wrapText="1"/>
    </xf>
    <xf numFmtId="0" fontId="4" fillId="0" borderId="0" xfId="0" applyFont="1" applyAlignment="1">
      <alignment horizontal="left" vertical="center"/>
    </xf>
    <xf numFmtId="0" fontId="3" fillId="5" borderId="0" xfId="0" applyFont="1" applyFill="1" applyAlignment="1">
      <alignment horizontal="center" vertical="center" wrapText="1"/>
    </xf>
    <xf numFmtId="0" fontId="6" fillId="7" borderId="0" xfId="0" applyFont="1" applyFill="1" applyAlignment="1">
      <alignment horizontal="center" vertical="center"/>
    </xf>
    <xf numFmtId="3" fontId="3" fillId="0" borderId="0" xfId="0" applyNumberFormat="1" applyFont="1" applyAlignment="1">
      <alignment horizontal="center" vertical="center"/>
    </xf>
    <xf numFmtId="165" fontId="6" fillId="10" borderId="0" xfId="2" applyNumberFormat="1" applyFont="1" applyFill="1" applyBorder="1" applyAlignment="1" applyProtection="1">
      <alignment horizontal="center"/>
    </xf>
    <xf numFmtId="0" fontId="6" fillId="10" borderId="0" xfId="0" applyFont="1" applyFill="1" applyAlignment="1">
      <alignment horizontal="center" vertical="center"/>
    </xf>
    <xf numFmtId="165" fontId="6" fillId="10" borderId="0" xfId="2" applyNumberFormat="1" applyFont="1" applyFill="1" applyBorder="1" applyAlignment="1" applyProtection="1">
      <alignment horizontal="left" vertical="center"/>
    </xf>
    <xf numFmtId="3" fontId="8" fillId="0" borderId="0" xfId="0" applyNumberFormat="1" applyFont="1" applyAlignment="1" applyProtection="1">
      <alignment horizontal="center" vertical="top"/>
      <protection locked="0"/>
    </xf>
    <xf numFmtId="4" fontId="8" fillId="0" borderId="0" xfId="0" applyNumberFormat="1" applyFont="1" applyAlignment="1" applyProtection="1">
      <alignment horizontal="center" vertical="top"/>
      <protection locked="0"/>
    </xf>
    <xf numFmtId="0" fontId="2" fillId="0" borderId="0" xfId="0" applyFont="1" applyAlignment="1">
      <alignment horizontal="left"/>
    </xf>
    <xf numFmtId="0" fontId="2" fillId="0" borderId="0" xfId="0" applyFont="1" applyAlignment="1">
      <alignment horizontal="center"/>
    </xf>
    <xf numFmtId="165" fontId="11" fillId="7" borderId="0" xfId="2" applyNumberFormat="1" applyFont="1" applyFill="1" applyBorder="1" applyAlignment="1" applyProtection="1">
      <alignment vertical="center"/>
    </xf>
    <xf numFmtId="37" fontId="11" fillId="7" borderId="0" xfId="2" applyNumberFormat="1" applyFont="1" applyFill="1" applyBorder="1" applyAlignment="1" applyProtection="1">
      <alignment horizontal="right" vertical="center"/>
    </xf>
    <xf numFmtId="43" fontId="3" fillId="0" borderId="0" xfId="2" applyFont="1" applyFill="1" applyBorder="1" applyAlignment="1" applyProtection="1">
      <alignment horizontal="center" vertical="center"/>
    </xf>
    <xf numFmtId="165" fontId="11" fillId="10" borderId="0" xfId="2" applyNumberFormat="1" applyFont="1" applyFill="1" applyBorder="1" applyAlignment="1" applyProtection="1">
      <alignment vertical="center"/>
    </xf>
    <xf numFmtId="37" fontId="11" fillId="10" borderId="0" xfId="2" applyNumberFormat="1" applyFont="1" applyFill="1" applyBorder="1" applyAlignment="1" applyProtection="1">
      <alignment horizontal="right" vertical="center"/>
    </xf>
    <xf numFmtId="43" fontId="4" fillId="0" borderId="0" xfId="2" applyFont="1" applyBorder="1" applyAlignment="1" applyProtection="1">
      <alignment horizontal="center"/>
      <protection locked="0"/>
    </xf>
    <xf numFmtId="0" fontId="6" fillId="10" borderId="0" xfId="0" applyFont="1" applyFill="1" applyAlignment="1" applyProtection="1">
      <alignment horizontal="left" vertical="center"/>
      <protection locked="0"/>
    </xf>
    <xf numFmtId="0" fontId="13" fillId="0" borderId="0" xfId="0" applyFont="1" applyAlignment="1" applyProtection="1">
      <alignment horizontal="left" vertical="center"/>
      <protection locked="0"/>
    </xf>
    <xf numFmtId="2" fontId="8" fillId="0" borderId="0" xfId="0" applyNumberFormat="1" applyFont="1" applyAlignment="1" applyProtection="1">
      <alignment horizontal="center" vertical="top"/>
      <protection locked="0"/>
    </xf>
    <xf numFmtId="2" fontId="0" fillId="0" borderId="0" xfId="0" applyNumberFormat="1" applyAlignment="1" applyProtection="1">
      <alignment horizontal="center"/>
      <protection locked="0"/>
    </xf>
    <xf numFmtId="43" fontId="3" fillId="0" borderId="0" xfId="2" applyFont="1" applyFill="1" applyBorder="1" applyAlignment="1" applyProtection="1">
      <alignment horizontal="center"/>
    </xf>
    <xf numFmtId="3" fontId="3" fillId="0" borderId="0" xfId="0" applyNumberFormat="1" applyFont="1"/>
    <xf numFmtId="9" fontId="4" fillId="0" borderId="0" xfId="1" applyFont="1" applyBorder="1" applyAlignment="1" applyProtection="1">
      <alignment horizontal="center"/>
    </xf>
    <xf numFmtId="165" fontId="3" fillId="0" borderId="0" xfId="2" applyNumberFormat="1" applyFont="1" applyBorder="1" applyAlignment="1" applyProtection="1"/>
    <xf numFmtId="3" fontId="6" fillId="7" borderId="0" xfId="0" applyNumberFormat="1" applyFont="1" applyFill="1" applyAlignment="1">
      <alignment horizontal="right" vertical="center"/>
    </xf>
    <xf numFmtId="0" fontId="4" fillId="0" borderId="0" xfId="0" applyFont="1" applyAlignment="1">
      <alignment horizontal="left"/>
    </xf>
    <xf numFmtId="0" fontId="6" fillId="10" borderId="0" xfId="0" applyFont="1" applyFill="1" applyAlignment="1">
      <alignment horizontal="left" vertical="center"/>
    </xf>
    <xf numFmtId="165" fontId="5" fillId="0" borderId="0" xfId="2" applyNumberFormat="1" applyFont="1" applyFill="1" applyBorder="1" applyAlignment="1" applyProtection="1">
      <alignment horizontal="center" vertical="center"/>
    </xf>
    <xf numFmtId="43" fontId="6" fillId="7" borderId="0" xfId="2" applyFont="1" applyFill="1" applyBorder="1" applyAlignment="1" applyProtection="1">
      <alignment horizontal="center" vertical="center"/>
    </xf>
    <xf numFmtId="3" fontId="0" fillId="0" borderId="0" xfId="0" applyNumberFormat="1"/>
    <xf numFmtId="4" fontId="0" fillId="0" borderId="0" xfId="0" applyNumberFormat="1" applyProtection="1">
      <protection locked="0"/>
    </xf>
    <xf numFmtId="165" fontId="0" fillId="0" borderId="0" xfId="0" applyNumberFormat="1" applyAlignment="1" applyProtection="1">
      <alignment horizontal="center"/>
      <protection locked="0"/>
    </xf>
    <xf numFmtId="9" fontId="8" fillId="0" borderId="0" xfId="1" applyFont="1" applyBorder="1" applyAlignment="1" applyProtection="1">
      <alignment horizontal="center" vertical="top"/>
    </xf>
    <xf numFmtId="164" fontId="8" fillId="0" borderId="0" xfId="1" applyNumberFormat="1" applyFont="1" applyBorder="1" applyAlignment="1" applyProtection="1">
      <alignment horizontal="center" vertical="top"/>
    </xf>
    <xf numFmtId="3" fontId="15" fillId="0" borderId="0" xfId="0" applyNumberFormat="1" applyFont="1" applyAlignment="1">
      <alignment horizontal="center" vertical="center"/>
    </xf>
    <xf numFmtId="3" fontId="16" fillId="7" borderId="0" xfId="0" applyNumberFormat="1" applyFont="1" applyFill="1" applyAlignment="1">
      <alignment horizontal="center" vertical="center"/>
    </xf>
    <xf numFmtId="165" fontId="0" fillId="12" borderId="0" xfId="0" applyNumberFormat="1" applyFill="1" applyProtection="1">
      <protection locked="0"/>
    </xf>
    <xf numFmtId="10" fontId="8" fillId="0" borderId="0" xfId="1" applyNumberFormat="1" applyFont="1" applyBorder="1" applyAlignment="1" applyProtection="1">
      <alignment horizontal="center" vertical="top"/>
    </xf>
    <xf numFmtId="10" fontId="0" fillId="0" borderId="0" xfId="1" applyNumberFormat="1" applyFont="1" applyProtection="1">
      <protection locked="0"/>
    </xf>
    <xf numFmtId="0" fontId="5" fillId="0" borderId="0" xfId="0" applyFont="1" applyAlignment="1">
      <alignment vertical="center"/>
    </xf>
    <xf numFmtId="0" fontId="5" fillId="0" borderId="0" xfId="0" applyFont="1" applyAlignment="1">
      <alignment horizontal="left" vertical="center"/>
    </xf>
    <xf numFmtId="0" fontId="4" fillId="0" borderId="0" xfId="0" applyFont="1"/>
    <xf numFmtId="0" fontId="3" fillId="5" borderId="0" xfId="0" applyFont="1" applyFill="1" applyAlignment="1">
      <alignment horizontal="left" vertical="center"/>
    </xf>
    <xf numFmtId="10" fontId="6" fillId="7" borderId="0" xfId="1" applyNumberFormat="1" applyFont="1" applyFill="1" applyBorder="1" applyAlignment="1" applyProtection="1">
      <alignment horizontal="center" vertical="center"/>
    </xf>
    <xf numFmtId="3" fontId="8" fillId="0" borderId="4" xfId="0" applyNumberFormat="1" applyFont="1" applyBorder="1" applyAlignment="1" applyProtection="1">
      <alignment horizontal="center" vertical="top"/>
      <protection locked="0"/>
    </xf>
    <xf numFmtId="9" fontId="0" fillId="0" borderId="5" xfId="1" applyFont="1" applyBorder="1" applyAlignment="1" applyProtection="1">
      <alignment horizontal="center"/>
    </xf>
    <xf numFmtId="164" fontId="0" fillId="0" borderId="5" xfId="1" applyNumberFormat="1" applyFont="1" applyBorder="1" applyAlignment="1" applyProtection="1">
      <alignment horizontal="center"/>
    </xf>
    <xf numFmtId="3" fontId="6" fillId="7" borderId="6" xfId="0" applyNumberFormat="1" applyFont="1" applyFill="1" applyBorder="1" applyAlignment="1">
      <alignment horizontal="center" vertical="center"/>
    </xf>
    <xf numFmtId="9" fontId="6" fillId="7" borderId="7" xfId="1" applyFont="1" applyFill="1" applyBorder="1" applyAlignment="1" applyProtection="1">
      <alignment horizontal="center" vertical="center"/>
    </xf>
    <xf numFmtId="3" fontId="6" fillId="7" borderId="7" xfId="0" applyNumberFormat="1" applyFont="1" applyFill="1" applyBorder="1" applyAlignment="1">
      <alignment horizontal="center" vertical="center"/>
    </xf>
    <xf numFmtId="9" fontId="6" fillId="7" borderId="8" xfId="1" applyFont="1" applyFill="1" applyBorder="1" applyAlignment="1" applyProtection="1">
      <alignment horizontal="center" vertical="center"/>
    </xf>
    <xf numFmtId="0" fontId="2" fillId="0" borderId="10" xfId="0" applyFont="1" applyBorder="1" applyAlignment="1">
      <alignment horizontal="left" vertical="top"/>
    </xf>
    <xf numFmtId="0" fontId="2" fillId="0" borderId="10" xfId="0" applyFont="1" applyBorder="1" applyAlignment="1">
      <alignment vertical="top"/>
    </xf>
    <xf numFmtId="0" fontId="6" fillId="7" borderId="11" xfId="0" applyFont="1" applyFill="1" applyBorder="1" applyAlignment="1">
      <alignment horizontal="center" vertical="center"/>
    </xf>
    <xf numFmtId="9" fontId="0" fillId="0" borderId="0" xfId="0" applyNumberFormat="1"/>
    <xf numFmtId="10" fontId="0" fillId="0" borderId="0" xfId="0" applyNumberFormat="1"/>
    <xf numFmtId="4" fontId="0" fillId="0" borderId="0" xfId="0" applyNumberFormat="1"/>
    <xf numFmtId="0" fontId="2" fillId="0" borderId="10" xfId="0" applyFont="1" applyBorder="1" applyAlignment="1">
      <alignment horizontal="left" vertical="center"/>
    </xf>
    <xf numFmtId="10" fontId="0" fillId="0" borderId="5" xfId="1" applyNumberFormat="1" applyFont="1" applyBorder="1" applyAlignment="1" applyProtection="1">
      <alignment horizontal="center"/>
    </xf>
    <xf numFmtId="14" fontId="0" fillId="0" borderId="0" xfId="0" applyNumberFormat="1"/>
    <xf numFmtId="166" fontId="0" fillId="0" borderId="0" xfId="0" applyNumberFormat="1" applyProtection="1">
      <protection locked="0"/>
    </xf>
    <xf numFmtId="0" fontId="2" fillId="0" borderId="4" xfId="0" applyFont="1" applyBorder="1" applyAlignment="1" applyProtection="1">
      <alignment horizontal="center" vertical="center"/>
      <protection locked="0"/>
    </xf>
    <xf numFmtId="0" fontId="2" fillId="0" borderId="0" xfId="0" applyFont="1" applyAlignment="1">
      <alignment horizontal="center" vertical="center"/>
    </xf>
    <xf numFmtId="0" fontId="2" fillId="0" borderId="0" xfId="0" applyFont="1" applyAlignment="1" applyProtection="1">
      <alignment horizontal="center" vertical="center"/>
      <protection locked="0"/>
    </xf>
    <xf numFmtId="0" fontId="2" fillId="0" borderId="5" xfId="0" applyFont="1" applyBorder="1" applyAlignment="1">
      <alignment horizontal="center" vertical="center"/>
    </xf>
    <xf numFmtId="0" fontId="2" fillId="0" borderId="0" xfId="0" applyFont="1" applyAlignment="1">
      <alignment horizontal="center" vertical="center" wrapText="1"/>
    </xf>
    <xf numFmtId="0" fontId="2" fillId="0" borderId="5" xfId="0" applyFont="1" applyBorder="1" applyAlignment="1">
      <alignment horizontal="center" vertical="center" wrapText="1"/>
    </xf>
    <xf numFmtId="43" fontId="0" fillId="0" borderId="0" xfId="2" applyFont="1" applyProtection="1">
      <protection locked="0"/>
    </xf>
    <xf numFmtId="164" fontId="0" fillId="0" borderId="0" xfId="1" applyNumberFormat="1" applyFont="1" applyBorder="1" applyAlignment="1" applyProtection="1">
      <alignment horizontal="center"/>
    </xf>
    <xf numFmtId="165" fontId="4" fillId="0" borderId="0" xfId="2" applyNumberFormat="1" applyFont="1" applyBorder="1" applyAlignment="1" applyProtection="1">
      <alignment horizontal="center"/>
    </xf>
    <xf numFmtId="165" fontId="20" fillId="0" borderId="0" xfId="2" applyNumberFormat="1" applyFont="1" applyFill="1" applyBorder="1" applyAlignment="1" applyProtection="1">
      <alignment horizontal="center" vertical="center"/>
    </xf>
    <xf numFmtId="165" fontId="15" fillId="0" borderId="0" xfId="2" applyNumberFormat="1" applyFont="1" applyFill="1" applyBorder="1" applyAlignment="1" applyProtection="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3" fontId="17" fillId="0" borderId="0" xfId="0" applyNumberFormat="1" applyFont="1" applyAlignment="1">
      <alignment horizontal="center" vertical="center"/>
    </xf>
    <xf numFmtId="167" fontId="5" fillId="0" borderId="0" xfId="2" applyNumberFormat="1" applyFont="1" applyFill="1" applyBorder="1" applyAlignment="1" applyProtection="1">
      <alignment vertical="center"/>
    </xf>
    <xf numFmtId="0" fontId="6" fillId="7" borderId="0" xfId="0" applyFont="1" applyFill="1" applyAlignment="1">
      <alignment vertical="center"/>
    </xf>
    <xf numFmtId="3" fontId="0" fillId="0" borderId="0" xfId="0" applyNumberFormat="1" applyAlignment="1">
      <alignment horizontal="center"/>
    </xf>
    <xf numFmtId="3" fontId="5" fillId="0" borderId="0" xfId="0" applyNumberFormat="1" applyFont="1" applyAlignment="1">
      <alignment horizontal="center" vertical="center"/>
    </xf>
    <xf numFmtId="43" fontId="5" fillId="0" borderId="0" xfId="2" applyFont="1" applyFill="1" applyBorder="1" applyAlignment="1" applyProtection="1">
      <alignment horizontal="center" vertical="center"/>
    </xf>
    <xf numFmtId="0" fontId="6" fillId="10" borderId="0" xfId="0" applyFont="1" applyFill="1" applyAlignment="1">
      <alignment vertical="center"/>
    </xf>
    <xf numFmtId="0" fontId="23" fillId="0" borderId="0" xfId="0" applyFont="1"/>
    <xf numFmtId="0" fontId="13" fillId="0" borderId="0" xfId="0" applyFont="1"/>
    <xf numFmtId="3" fontId="0" fillId="0" borderId="0" xfId="0" applyNumberFormat="1" applyAlignment="1">
      <alignment horizontal="center" vertical="center"/>
    </xf>
    <xf numFmtId="0" fontId="6" fillId="7" borderId="0" xfId="0" applyFont="1" applyFill="1" applyAlignment="1">
      <alignment horizontal="left" vertical="center" wrapText="1"/>
    </xf>
    <xf numFmtId="0" fontId="19" fillId="0" borderId="0" xfId="0" applyFont="1"/>
    <xf numFmtId="0" fontId="3" fillId="0" borderId="0" xfId="0" applyFont="1" applyAlignment="1">
      <alignment horizontal="left" vertical="center"/>
    </xf>
    <xf numFmtId="0" fontId="3" fillId="0" borderId="0" xfId="0" applyFont="1" applyAlignment="1">
      <alignment horizontal="center" vertical="center"/>
    </xf>
    <xf numFmtId="3" fontId="4" fillId="0" borderId="0" xfId="0" applyNumberFormat="1" applyFont="1" applyAlignment="1">
      <alignment horizontal="center"/>
    </xf>
    <xf numFmtId="9" fontId="0" fillId="0" borderId="0" xfId="1" applyFont="1" applyProtection="1"/>
    <xf numFmtId="0" fontId="2" fillId="9" borderId="0" xfId="0" applyFont="1" applyFill="1" applyAlignment="1">
      <alignment horizontal="left"/>
    </xf>
    <xf numFmtId="0" fontId="18" fillId="0" borderId="0" xfId="0" applyFont="1"/>
    <xf numFmtId="10" fontId="0" fillId="0" borderId="0" xfId="1" applyNumberFormat="1" applyFont="1" applyAlignment="1" applyProtection="1">
      <alignment horizontal="center" vertical="center"/>
    </xf>
    <xf numFmtId="43" fontId="0" fillId="0" borderId="0" xfId="2" applyFont="1" applyBorder="1" applyAlignment="1" applyProtection="1">
      <alignment horizontal="center"/>
    </xf>
    <xf numFmtId="0" fontId="0" fillId="0" borderId="0" xfId="0" applyAlignment="1">
      <alignment horizontal="center"/>
    </xf>
    <xf numFmtId="0" fontId="2" fillId="5" borderId="0" xfId="0" applyFont="1" applyFill="1" applyAlignment="1">
      <alignment horizontal="center"/>
    </xf>
    <xf numFmtId="0" fontId="3" fillId="0" borderId="0" xfId="0" applyFont="1" applyAlignment="1">
      <alignment horizontal="left" vertical="center" wrapText="1"/>
    </xf>
    <xf numFmtId="3" fontId="22" fillId="0" borderId="0" xfId="0" applyNumberFormat="1" applyFont="1" applyAlignment="1">
      <alignment horizontal="center"/>
    </xf>
    <xf numFmtId="165" fontId="4" fillId="0" borderId="0" xfId="2" applyNumberFormat="1" applyFont="1" applyBorder="1" applyAlignment="1" applyProtection="1"/>
    <xf numFmtId="165" fontId="4" fillId="0" borderId="0" xfId="2" applyNumberFormat="1" applyFont="1" applyBorder="1" applyAlignment="1" applyProtection="1">
      <alignment horizontal="center" vertical="center"/>
    </xf>
    <xf numFmtId="0" fontId="4" fillId="5" borderId="0" xfId="0" applyFont="1" applyFill="1"/>
    <xf numFmtId="3" fontId="4" fillId="0" borderId="0" xfId="0" applyNumberFormat="1" applyFont="1" applyAlignment="1">
      <alignment horizontal="center" vertical="center"/>
    </xf>
    <xf numFmtId="0" fontId="3" fillId="6" borderId="9" xfId="0" applyFont="1" applyFill="1" applyBorder="1" applyAlignment="1">
      <alignment vertical="center"/>
    </xf>
    <xf numFmtId="0" fontId="3" fillId="0" borderId="0" xfId="0" applyFont="1" applyAlignment="1">
      <alignment vertical="center"/>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3" fontId="8" fillId="0" borderId="4" xfId="0" applyNumberFormat="1" applyFont="1" applyBorder="1" applyAlignment="1">
      <alignment horizontal="center" vertical="top"/>
    </xf>
    <xf numFmtId="3" fontId="8" fillId="0" borderId="0" xfId="0" applyNumberFormat="1" applyFont="1" applyAlignment="1">
      <alignment horizontal="center" vertical="top"/>
    </xf>
    <xf numFmtId="0" fontId="0" fillId="0" borderId="4" xfId="0" applyBorder="1"/>
    <xf numFmtId="0" fontId="13" fillId="0" borderId="0" xfId="0" applyFont="1" applyAlignment="1">
      <alignment horizontal="left" vertical="top" wrapText="1"/>
    </xf>
    <xf numFmtId="4" fontId="8" fillId="0" borderId="0" xfId="0" applyNumberFormat="1" applyFont="1" applyAlignment="1">
      <alignment horizontal="center" vertical="top"/>
    </xf>
    <xf numFmtId="165" fontId="3" fillId="0" borderId="0" xfId="0" applyNumberFormat="1" applyFont="1" applyAlignment="1">
      <alignment horizontal="center" vertical="center"/>
    </xf>
    <xf numFmtId="39" fontId="4" fillId="0" borderId="0" xfId="2" applyNumberFormat="1" applyFont="1" applyBorder="1" applyAlignment="1" applyProtection="1">
      <alignment horizontal="center" vertical="center"/>
    </xf>
    <xf numFmtId="43" fontId="4" fillId="0" borderId="0" xfId="2" applyFont="1" applyBorder="1" applyAlignment="1" applyProtection="1">
      <alignment horizontal="center" vertical="center"/>
    </xf>
    <xf numFmtId="10" fontId="2" fillId="9" borderId="0" xfId="1" applyNumberFormat="1" applyFont="1" applyFill="1" applyBorder="1" applyAlignment="1" applyProtection="1">
      <alignment horizontal="center"/>
    </xf>
    <xf numFmtId="165" fontId="0" fillId="0" borderId="0" xfId="0" applyNumberFormat="1"/>
    <xf numFmtId="43" fontId="4" fillId="0" borderId="0" xfId="2" applyFont="1" applyBorder="1" applyAlignment="1" applyProtection="1">
      <alignment horizontal="center"/>
    </xf>
    <xf numFmtId="0" fontId="4" fillId="0" borderId="0" xfId="2" applyNumberFormat="1" applyFont="1" applyBorder="1" applyAlignment="1" applyProtection="1">
      <alignment horizontal="center" vertical="center"/>
    </xf>
    <xf numFmtId="0" fontId="4" fillId="0" borderId="0" xfId="2" applyNumberFormat="1" applyFont="1" applyBorder="1" applyAlignment="1" applyProtection="1">
      <alignment horizontal="center"/>
    </xf>
    <xf numFmtId="0" fontId="13" fillId="0" borderId="0" xfId="0" applyFont="1" applyAlignment="1">
      <alignment horizontal="left" vertical="center"/>
    </xf>
    <xf numFmtId="0" fontId="3" fillId="5" borderId="0" xfId="0" applyFont="1" applyFill="1" applyAlignment="1">
      <alignment horizontal="center" vertical="center"/>
    </xf>
    <xf numFmtId="0" fontId="4" fillId="0" borderId="0" xfId="0" applyFont="1" applyAlignment="1">
      <alignment horizontal="center"/>
    </xf>
    <xf numFmtId="3" fontId="20" fillId="0" borderId="0" xfId="2" applyNumberFormat="1" applyFont="1" applyBorder="1" applyAlignment="1" applyProtection="1"/>
    <xf numFmtId="3" fontId="4" fillId="0" borderId="0" xfId="2" applyNumberFormat="1" applyFont="1" applyBorder="1" applyAlignment="1" applyProtection="1"/>
    <xf numFmtId="0" fontId="20" fillId="0" borderId="0" xfId="0" applyFont="1" applyAlignment="1">
      <alignment horizontal="center"/>
    </xf>
    <xf numFmtId="0" fontId="9" fillId="5" borderId="0" xfId="0" applyFont="1" applyFill="1"/>
    <xf numFmtId="0" fontId="4" fillId="0" borderId="0" xfId="0" applyFont="1" applyAlignment="1">
      <alignment vertical="center" wrapText="1"/>
    </xf>
    <xf numFmtId="0" fontId="4" fillId="0" borderId="0" xfId="0" applyFont="1" applyAlignment="1">
      <alignment horizontal="left" vertical="center" wrapText="1"/>
    </xf>
    <xf numFmtId="165" fontId="25" fillId="0" borderId="0" xfId="2" applyNumberFormat="1" applyFont="1" applyBorder="1" applyAlignment="1" applyProtection="1">
      <protection locked="0"/>
    </xf>
    <xf numFmtId="165" fontId="25" fillId="0" borderId="0" xfId="2" applyNumberFormat="1" applyFont="1" applyBorder="1" applyAlignment="1" applyProtection="1">
      <alignment horizontal="center"/>
      <protection locked="0"/>
    </xf>
    <xf numFmtId="165" fontId="20" fillId="0" borderId="0" xfId="2" applyNumberFormat="1" applyFont="1" applyBorder="1" applyAlignment="1" applyProtection="1">
      <alignment horizontal="center"/>
      <protection locked="0"/>
    </xf>
    <xf numFmtId="0" fontId="24" fillId="13" borderId="0" xfId="0" applyFont="1" applyFill="1" applyProtection="1">
      <protection locked="0"/>
    </xf>
    <xf numFmtId="0" fontId="20" fillId="13" borderId="0" xfId="0" applyFont="1" applyFill="1" applyAlignment="1">
      <alignment horizontal="left" vertical="center" wrapText="1"/>
    </xf>
    <xf numFmtId="165" fontId="20" fillId="0" borderId="0" xfId="2" applyNumberFormat="1" applyFont="1" applyBorder="1" applyAlignment="1" applyProtection="1">
      <protection locked="0"/>
    </xf>
    <xf numFmtId="165" fontId="15" fillId="13" borderId="0" xfId="0" applyNumberFormat="1" applyFont="1" applyFill="1" applyAlignment="1">
      <alignment horizontal="center" vertical="center" wrapText="1"/>
    </xf>
    <xf numFmtId="165" fontId="4" fillId="0" borderId="0" xfId="2" applyNumberFormat="1" applyFont="1" applyBorder="1" applyAlignment="1" applyProtection="1">
      <alignment horizontal="center" vertical="center"/>
      <protection locked="0"/>
    </xf>
    <xf numFmtId="165" fontId="3" fillId="0" borderId="0" xfId="0" applyNumberFormat="1" applyFont="1" applyAlignment="1">
      <alignment horizontal="center" vertical="center" wrapText="1"/>
    </xf>
    <xf numFmtId="165" fontId="4" fillId="0" borderId="0" xfId="2" applyNumberFormat="1" applyFont="1" applyBorder="1" applyAlignment="1" applyProtection="1">
      <alignment horizontal="right"/>
      <protection locked="0"/>
    </xf>
    <xf numFmtId="0" fontId="3" fillId="13" borderId="0" xfId="0" applyFont="1" applyFill="1" applyAlignment="1">
      <alignment horizontal="center" vertical="center" wrapText="1"/>
    </xf>
    <xf numFmtId="165" fontId="11" fillId="7" borderId="0" xfId="2" applyNumberFormat="1" applyFont="1" applyFill="1" applyBorder="1" applyAlignment="1" applyProtection="1">
      <alignment horizontal="right"/>
    </xf>
    <xf numFmtId="3" fontId="4" fillId="0" borderId="0" xfId="0" applyNumberFormat="1" applyFont="1" applyAlignment="1" applyProtection="1">
      <alignment horizontal="center" vertical="center"/>
      <protection locked="0"/>
    </xf>
    <xf numFmtId="3" fontId="11" fillId="7" borderId="0" xfId="0" applyNumberFormat="1" applyFont="1" applyFill="1" applyAlignment="1" applyProtection="1">
      <alignment horizontal="center" vertical="center"/>
      <protection locked="0"/>
    </xf>
    <xf numFmtId="3" fontId="11" fillId="13" borderId="0" xfId="0" applyNumberFormat="1" applyFont="1" applyFill="1" applyAlignment="1" applyProtection="1">
      <alignment horizontal="center" vertical="center"/>
      <protection locked="0"/>
    </xf>
    <xf numFmtId="9" fontId="0" fillId="0" borderId="0" xfId="0" applyNumberFormat="1" applyProtection="1">
      <protection locked="0"/>
    </xf>
    <xf numFmtId="0" fontId="0" fillId="13" borderId="0" xfId="0" applyFill="1"/>
    <xf numFmtId="0" fontId="4" fillId="13" borderId="0" xfId="0" applyFont="1" applyFill="1"/>
    <xf numFmtId="0" fontId="13" fillId="13" borderId="0" xfId="0" applyFont="1" applyFill="1"/>
    <xf numFmtId="0" fontId="13" fillId="13" borderId="0" xfId="0" applyFont="1" applyFill="1" applyProtection="1">
      <protection locked="0"/>
    </xf>
    <xf numFmtId="0" fontId="19" fillId="13" borderId="0" xfId="0" applyFont="1" applyFill="1"/>
    <xf numFmtId="9" fontId="0" fillId="0" borderId="0" xfId="1" applyFont="1" applyFill="1" applyBorder="1" applyAlignment="1" applyProtection="1">
      <alignment horizontal="center" vertical="center"/>
    </xf>
    <xf numFmtId="3" fontId="0" fillId="0" borderId="0" xfId="0" applyNumberFormat="1" applyAlignment="1">
      <alignment horizontal="left" vertical="center"/>
    </xf>
    <xf numFmtId="164" fontId="0" fillId="0" borderId="0" xfId="0" applyNumberFormat="1"/>
    <xf numFmtId="0" fontId="0" fillId="0" borderId="0" xfId="0" applyAlignment="1">
      <alignment horizontal="left"/>
    </xf>
    <xf numFmtId="0" fontId="12" fillId="5" borderId="0" xfId="0" applyFont="1" applyFill="1" applyAlignment="1">
      <alignment horizontal="center" vertical="center" wrapText="1"/>
    </xf>
    <xf numFmtId="1" fontId="0" fillId="0" borderId="0" xfId="0" applyNumberFormat="1" applyProtection="1">
      <protection locked="0"/>
    </xf>
    <xf numFmtId="0" fontId="26" fillId="7" borderId="0" xfId="0" applyFont="1" applyFill="1" applyAlignment="1">
      <alignment horizontal="left" vertical="center" wrapText="1"/>
    </xf>
    <xf numFmtId="3" fontId="4" fillId="0" borderId="0" xfId="2" applyNumberFormat="1" applyFont="1" applyBorder="1" applyAlignment="1" applyProtection="1">
      <alignment horizontal="center"/>
      <protection locked="0"/>
    </xf>
    <xf numFmtId="3" fontId="8" fillId="0" borderId="0" xfId="0" applyNumberFormat="1" applyFont="1" applyAlignment="1">
      <alignment horizontal="center"/>
    </xf>
    <xf numFmtId="0" fontId="28" fillId="0" borderId="0" xfId="0" applyFont="1"/>
    <xf numFmtId="3" fontId="15" fillId="7" borderId="0" xfId="0" applyNumberFormat="1" applyFont="1" applyFill="1" applyAlignment="1">
      <alignment horizontal="center" vertical="center"/>
    </xf>
    <xf numFmtId="0" fontId="2" fillId="0" borderId="0" xfId="0" applyFont="1" applyAlignment="1" applyProtection="1">
      <alignment horizontal="center"/>
      <protection locked="0"/>
    </xf>
    <xf numFmtId="0" fontId="3" fillId="0" borderId="0" xfId="0" applyFont="1" applyAlignment="1">
      <alignment horizontal="left"/>
    </xf>
    <xf numFmtId="0" fontId="3" fillId="9" borderId="0" xfId="0" applyFont="1" applyFill="1" applyAlignment="1">
      <alignment horizontal="left"/>
    </xf>
    <xf numFmtId="0" fontId="3" fillId="9" borderId="0" xfId="0" applyFont="1" applyFill="1"/>
    <xf numFmtId="164" fontId="0" fillId="0" borderId="0" xfId="1" applyNumberFormat="1" applyFont="1" applyFill="1" applyBorder="1" applyAlignment="1" applyProtection="1">
      <alignment horizontal="center"/>
    </xf>
    <xf numFmtId="9" fontId="4" fillId="0" borderId="0" xfId="1" applyFont="1" applyFill="1" applyBorder="1" applyAlignment="1" applyProtection="1">
      <alignment horizontal="center" vertical="center" wrapText="1"/>
    </xf>
    <xf numFmtId="4" fontId="0" fillId="0" borderId="0" xfId="0" applyNumberFormat="1" applyAlignment="1" applyProtection="1">
      <alignment horizontal="center"/>
      <protection locked="0"/>
    </xf>
    <xf numFmtId="4" fontId="4" fillId="0" borderId="0" xfId="0" applyNumberFormat="1" applyFont="1" applyAlignment="1">
      <alignment horizontal="center" vertical="center" wrapText="1"/>
    </xf>
    <xf numFmtId="4" fontId="5" fillId="0" borderId="0" xfId="0" applyNumberFormat="1" applyFont="1" applyAlignment="1">
      <alignment horizontal="center" vertical="center"/>
    </xf>
    <xf numFmtId="4" fontId="5" fillId="0" borderId="0" xfId="2" applyNumberFormat="1" applyFont="1" applyFill="1" applyBorder="1" applyAlignment="1" applyProtection="1">
      <alignment horizontal="center" vertical="center"/>
    </xf>
    <xf numFmtId="4" fontId="4" fillId="0" borderId="0" xfId="0" applyNumberFormat="1" applyFont="1" applyAlignment="1">
      <alignment horizontal="center" vertical="center"/>
    </xf>
    <xf numFmtId="4" fontId="20" fillId="0" borderId="0" xfId="2" applyNumberFormat="1" applyFont="1" applyFill="1" applyBorder="1" applyAlignment="1" applyProtection="1">
      <alignment horizontal="center" vertical="center"/>
    </xf>
    <xf numFmtId="10" fontId="20" fillId="0" borderId="0" xfId="1" applyNumberFormat="1" applyFont="1" applyFill="1" applyBorder="1" applyAlignment="1" applyProtection="1">
      <alignment horizontal="center" vertical="center" wrapText="1"/>
    </xf>
    <xf numFmtId="10" fontId="5" fillId="0" borderId="0" xfId="1" applyNumberFormat="1" applyFont="1" applyAlignment="1">
      <alignment horizontal="center" vertical="center"/>
    </xf>
    <xf numFmtId="4" fontId="16" fillId="7" borderId="0" xfId="0" applyNumberFormat="1" applyFont="1" applyFill="1" applyAlignment="1">
      <alignment horizontal="center" vertical="center"/>
    </xf>
    <xf numFmtId="4" fontId="6" fillId="7" borderId="0" xfId="0" applyNumberFormat="1" applyFont="1" applyFill="1" applyAlignment="1">
      <alignment horizontal="center" vertical="center"/>
    </xf>
    <xf numFmtId="10" fontId="4" fillId="0" borderId="0" xfId="1" applyNumberFormat="1" applyFont="1" applyFill="1" applyBorder="1" applyAlignment="1" applyProtection="1">
      <alignment horizontal="center" vertical="center" wrapText="1"/>
    </xf>
    <xf numFmtId="10" fontId="4" fillId="0" borderId="0" xfId="1" applyNumberFormat="1" applyFont="1" applyAlignment="1">
      <alignment horizontal="center" vertical="center"/>
    </xf>
    <xf numFmtId="10" fontId="3" fillId="7" borderId="0" xfId="1" applyNumberFormat="1" applyFont="1" applyFill="1" applyAlignment="1">
      <alignment horizontal="center" vertical="center"/>
    </xf>
    <xf numFmtId="10" fontId="15" fillId="7" borderId="0" xfId="1" applyNumberFormat="1" applyFont="1" applyFill="1" applyAlignment="1">
      <alignment horizontal="center" vertical="center"/>
    </xf>
    <xf numFmtId="43" fontId="20" fillId="0" borderId="0" xfId="2" applyFont="1" applyBorder="1" applyAlignment="1" applyProtection="1">
      <alignment horizontal="center"/>
      <protection locked="0"/>
    </xf>
    <xf numFmtId="43" fontId="25" fillId="0" borderId="0" xfId="2" applyFont="1" applyBorder="1" applyAlignment="1" applyProtection="1">
      <alignment horizontal="center"/>
      <protection locked="0"/>
    </xf>
    <xf numFmtId="43" fontId="15" fillId="13" borderId="0" xfId="0" applyNumberFormat="1" applyFont="1" applyFill="1" applyAlignment="1">
      <alignment horizontal="center" vertical="center" wrapText="1"/>
    </xf>
    <xf numFmtId="43" fontId="4" fillId="0" borderId="0" xfId="2" applyFont="1" applyBorder="1" applyAlignment="1" applyProtection="1">
      <alignment horizontal="center" vertical="center"/>
      <protection locked="0"/>
    </xf>
    <xf numFmtId="43" fontId="11" fillId="7" borderId="0" xfId="2" applyFont="1" applyFill="1" applyBorder="1" applyAlignment="1" applyProtection="1">
      <alignment horizontal="center"/>
    </xf>
    <xf numFmtId="43" fontId="16" fillId="7" borderId="0" xfId="2" applyFont="1" applyFill="1" applyBorder="1" applyAlignment="1" applyProtection="1">
      <alignment horizontal="center"/>
    </xf>
    <xf numFmtId="4" fontId="4" fillId="0" borderId="0" xfId="2" applyNumberFormat="1" applyFont="1" applyBorder="1" applyAlignment="1" applyProtection="1">
      <alignment horizontal="center"/>
      <protection locked="0"/>
    </xf>
    <xf numFmtId="4" fontId="11" fillId="7" borderId="0" xfId="0" applyNumberFormat="1" applyFont="1" applyFill="1" applyAlignment="1" applyProtection="1">
      <alignment horizontal="center" vertical="center"/>
      <protection locked="0"/>
    </xf>
    <xf numFmtId="4" fontId="11" fillId="13" borderId="0" xfId="0" applyNumberFormat="1" applyFont="1" applyFill="1" applyAlignment="1" applyProtection="1">
      <alignment horizontal="center" vertical="center"/>
      <protection locked="0"/>
    </xf>
    <xf numFmtId="43" fontId="11" fillId="7" borderId="0" xfId="0" applyNumberFormat="1" applyFont="1" applyFill="1" applyAlignment="1" applyProtection="1">
      <alignment horizontal="center" vertical="center"/>
      <protection locked="0"/>
    </xf>
    <xf numFmtId="4" fontId="15" fillId="0" borderId="0" xfId="0" applyNumberFormat="1" applyFont="1" applyAlignment="1">
      <alignment horizontal="center" vertical="center"/>
    </xf>
    <xf numFmtId="10" fontId="6" fillId="7" borderId="7" xfId="1" applyNumberFormat="1" applyFont="1" applyFill="1" applyBorder="1" applyAlignment="1" applyProtection="1">
      <alignment horizontal="center" vertical="center"/>
    </xf>
    <xf numFmtId="10" fontId="6" fillId="7" borderId="8" xfId="1" applyNumberFormat="1" applyFont="1" applyFill="1" applyBorder="1" applyAlignment="1" applyProtection="1">
      <alignment horizontal="center" vertical="center"/>
    </xf>
    <xf numFmtId="4" fontId="16" fillId="7" borderId="7" xfId="0" applyNumberFormat="1" applyFont="1" applyFill="1" applyBorder="1" applyAlignment="1">
      <alignment horizontal="center" vertical="center"/>
    </xf>
    <xf numFmtId="4" fontId="6" fillId="7" borderId="7" xfId="0" applyNumberFormat="1" applyFont="1" applyFill="1" applyBorder="1" applyAlignment="1">
      <alignment horizontal="center" vertical="center"/>
    </xf>
    <xf numFmtId="43" fontId="4" fillId="0" borderId="0" xfId="2" applyFont="1" applyBorder="1" applyAlignment="1" applyProtection="1">
      <alignment horizontal="right" vertical="center"/>
      <protection locked="0"/>
    </xf>
    <xf numFmtId="43" fontId="11" fillId="7" borderId="0" xfId="2" applyFont="1" applyFill="1" applyBorder="1" applyAlignment="1" applyProtection="1">
      <alignment vertical="center"/>
    </xf>
    <xf numFmtId="43" fontId="20" fillId="0" borderId="0" xfId="2" applyFont="1" applyBorder="1" applyAlignment="1" applyProtection="1">
      <alignment horizontal="center" vertical="center"/>
      <protection locked="0"/>
    </xf>
    <xf numFmtId="39" fontId="11" fillId="7" borderId="0" xfId="2" applyNumberFormat="1" applyFont="1" applyFill="1" applyBorder="1" applyAlignment="1" applyProtection="1">
      <alignment horizontal="right" vertical="center"/>
    </xf>
    <xf numFmtId="39" fontId="4" fillId="0" borderId="0" xfId="2" applyNumberFormat="1" applyFont="1" applyBorder="1" applyAlignment="1" applyProtection="1">
      <alignment horizontal="right" vertical="center"/>
      <protection locked="0"/>
    </xf>
    <xf numFmtId="39" fontId="11" fillId="7" borderId="0" xfId="2" applyNumberFormat="1" applyFont="1" applyFill="1" applyBorder="1" applyAlignment="1" applyProtection="1">
      <alignment vertical="center"/>
    </xf>
    <xf numFmtId="43" fontId="3" fillId="0" borderId="0" xfId="0" applyNumberFormat="1" applyFont="1" applyAlignment="1">
      <alignment horizontal="center" vertical="center"/>
    </xf>
    <xf numFmtId="0" fontId="3" fillId="13" borderId="0" xfId="0" applyFont="1" applyFill="1" applyAlignment="1">
      <alignment horizontal="left" vertical="center"/>
    </xf>
    <xf numFmtId="43" fontId="11" fillId="7" borderId="0" xfId="2" applyFont="1" applyFill="1" applyBorder="1" applyAlignment="1" applyProtection="1">
      <alignment horizontal="center" vertical="center"/>
    </xf>
    <xf numFmtId="4" fontId="4" fillId="0" borderId="0" xfId="2" applyNumberFormat="1" applyFont="1" applyBorder="1" applyAlignment="1" applyProtection="1">
      <alignment horizontal="right"/>
    </xf>
    <xf numFmtId="4" fontId="16" fillId="7" borderId="0" xfId="0" applyNumberFormat="1" applyFont="1" applyFill="1" applyAlignment="1">
      <alignment horizontal="right"/>
    </xf>
    <xf numFmtId="4" fontId="6" fillId="7" borderId="0" xfId="0" applyNumberFormat="1" applyFont="1" applyFill="1" applyAlignment="1">
      <alignment horizontal="right" vertical="center"/>
    </xf>
    <xf numFmtId="43" fontId="3" fillId="0" borderId="0" xfId="2" applyFont="1" applyBorder="1" applyAlignment="1" applyProtection="1">
      <alignment vertical="center"/>
    </xf>
    <xf numFmtId="43" fontId="6" fillId="7" borderId="0" xfId="0" applyNumberFormat="1" applyFont="1" applyFill="1" applyAlignment="1">
      <alignment vertical="center"/>
    </xf>
    <xf numFmtId="10" fontId="4" fillId="0" borderId="0" xfId="1" applyNumberFormat="1" applyFont="1" applyBorder="1" applyAlignment="1" applyProtection="1">
      <alignment horizontal="center"/>
    </xf>
    <xf numFmtId="4" fontId="17" fillId="0" borderId="0" xfId="0" applyNumberFormat="1" applyFont="1" applyAlignment="1">
      <alignment horizontal="center" vertical="center"/>
    </xf>
    <xf numFmtId="4" fontId="0" fillId="0" borderId="0" xfId="0" applyNumberFormat="1" applyAlignment="1">
      <alignment horizontal="center" vertical="center"/>
    </xf>
    <xf numFmtId="10" fontId="5" fillId="0" borderId="0" xfId="0" applyNumberFormat="1" applyFont="1" applyAlignment="1">
      <alignment horizontal="center" vertical="center"/>
    </xf>
    <xf numFmtId="43" fontId="6" fillId="7" borderId="0" xfId="2" applyFont="1" applyFill="1" applyAlignment="1">
      <alignment horizontal="right" vertical="center"/>
    </xf>
    <xf numFmtId="10" fontId="7" fillId="7" borderId="0" xfId="0" applyNumberFormat="1" applyFont="1" applyFill="1" applyAlignment="1">
      <alignment horizontal="center" vertical="center"/>
    </xf>
    <xf numFmtId="10" fontId="3" fillId="7" borderId="0" xfId="0" applyNumberFormat="1" applyFont="1" applyFill="1" applyAlignment="1">
      <alignment horizontal="center" vertical="center"/>
    </xf>
    <xf numFmtId="43" fontId="5" fillId="0" borderId="0" xfId="2" applyFont="1" applyFill="1" applyBorder="1" applyAlignment="1" applyProtection="1">
      <alignment horizontal="left" vertical="center" indent="1"/>
    </xf>
    <xf numFmtId="43" fontId="5" fillId="0" borderId="0" xfId="2" applyFont="1" applyFill="1" applyBorder="1" applyAlignment="1" applyProtection="1">
      <alignment horizontal="left" vertical="center"/>
    </xf>
    <xf numFmtId="43" fontId="16" fillId="7" borderId="0" xfId="2" applyFont="1" applyFill="1" applyBorder="1" applyAlignment="1" applyProtection="1">
      <alignment horizontal="left" vertical="center"/>
    </xf>
    <xf numFmtId="10" fontId="4" fillId="0" borderId="0" xfId="0" applyNumberFormat="1" applyFont="1" applyAlignment="1">
      <alignment horizontal="center" vertical="center"/>
    </xf>
    <xf numFmtId="43" fontId="4" fillId="0" borderId="0" xfId="2" applyFont="1" applyBorder="1" applyAlignment="1" applyProtection="1">
      <alignment vertical="center"/>
      <protection locked="0"/>
    </xf>
    <xf numFmtId="43" fontId="0" fillId="0" borderId="0" xfId="0" applyNumberFormat="1" applyAlignment="1">
      <alignment horizontal="right" vertical="center"/>
    </xf>
    <xf numFmtId="165" fontId="0" fillId="0" borderId="0" xfId="0" applyNumberFormat="1" applyAlignment="1">
      <alignment horizontal="right" vertical="center"/>
    </xf>
    <xf numFmtId="37" fontId="2" fillId="10" borderId="0" xfId="2" applyNumberFormat="1" applyFont="1" applyFill="1" applyBorder="1" applyAlignment="1" applyProtection="1">
      <alignment horizontal="right" vertical="center"/>
      <protection locked="0"/>
    </xf>
    <xf numFmtId="39" fontId="2" fillId="10" borderId="0" xfId="2" applyNumberFormat="1" applyFont="1" applyFill="1" applyBorder="1" applyAlignment="1" applyProtection="1">
      <alignment horizontal="right" vertical="center"/>
      <protection locked="0"/>
    </xf>
    <xf numFmtId="43" fontId="2" fillId="10" borderId="0" xfId="2" applyFont="1" applyFill="1" applyBorder="1" applyAlignment="1" applyProtection="1">
      <alignment horizontal="right" vertical="center"/>
      <protection locked="0"/>
    </xf>
    <xf numFmtId="0" fontId="19" fillId="0" borderId="0" xfId="0" applyFont="1" applyAlignment="1">
      <alignment wrapText="1"/>
    </xf>
    <xf numFmtId="10" fontId="0" fillId="0" borderId="0" xfId="1" applyNumberFormat="1" applyFont="1" applyFill="1" applyBorder="1" applyAlignment="1" applyProtection="1">
      <alignment horizontal="center" vertical="center"/>
    </xf>
    <xf numFmtId="10" fontId="15" fillId="7" borderId="0" xfId="1" applyNumberFormat="1" applyFont="1" applyFill="1" applyBorder="1" applyAlignment="1" applyProtection="1">
      <alignment horizontal="center" vertical="center"/>
    </xf>
    <xf numFmtId="0" fontId="3" fillId="5" borderId="0" xfId="0" applyFont="1" applyFill="1" applyAlignment="1">
      <alignment vertical="center"/>
    </xf>
    <xf numFmtId="0" fontId="10" fillId="0" borderId="0" xfId="0" applyFont="1"/>
    <xf numFmtId="165" fontId="31" fillId="0" borderId="0" xfId="0" applyNumberFormat="1" applyFont="1" applyAlignment="1" applyProtection="1">
      <alignment horizontal="center"/>
      <protection locked="0"/>
    </xf>
    <xf numFmtId="43" fontId="31" fillId="0" borderId="0" xfId="0" applyNumberFormat="1" applyFont="1" applyProtection="1">
      <protection locked="0"/>
    </xf>
    <xf numFmtId="0" fontId="31" fillId="0" borderId="0" xfId="0" applyFont="1" applyAlignment="1" applyProtection="1">
      <alignment horizontal="center"/>
      <protection locked="0"/>
    </xf>
    <xf numFmtId="0" fontId="24" fillId="0" borderId="0" xfId="0" applyFont="1" applyProtection="1">
      <protection locked="0"/>
    </xf>
    <xf numFmtId="43" fontId="24" fillId="0" borderId="0" xfId="0" applyNumberFormat="1" applyFont="1" applyProtection="1">
      <protection locked="0"/>
    </xf>
    <xf numFmtId="4" fontId="0" fillId="0" borderId="0" xfId="0" applyNumberFormat="1" applyAlignment="1">
      <alignment horizontal="right" vertical="center"/>
    </xf>
    <xf numFmtId="4" fontId="0" fillId="0" borderId="0" xfId="0" applyNumberFormat="1" applyAlignment="1">
      <alignment horizontal="right"/>
    </xf>
    <xf numFmtId="4" fontId="5" fillId="0" borderId="0" xfId="0" applyNumberFormat="1" applyFont="1" applyAlignment="1">
      <alignment horizontal="right" vertical="center"/>
    </xf>
    <xf numFmtId="3" fontId="4" fillId="0" borderId="0" xfId="2" applyNumberFormat="1" applyFont="1" applyBorder="1" applyAlignment="1" applyProtection="1">
      <alignment horizontal="center"/>
    </xf>
    <xf numFmtId="39" fontId="4" fillId="0" borderId="0" xfId="2" applyNumberFormat="1" applyFont="1" applyBorder="1" applyAlignment="1" applyProtection="1">
      <alignment horizontal="right" vertical="center"/>
    </xf>
    <xf numFmtId="37" fontId="4" fillId="0" borderId="0" xfId="2" applyNumberFormat="1" applyFont="1" applyBorder="1" applyAlignment="1" applyProtection="1">
      <alignment horizontal="center"/>
    </xf>
    <xf numFmtId="43" fontId="4" fillId="0" borderId="0" xfId="2" applyFont="1" applyBorder="1" applyAlignment="1" applyProtection="1">
      <alignment horizontal="right"/>
    </xf>
    <xf numFmtId="0" fontId="4" fillId="0" borderId="0" xfId="0" applyFont="1" applyAlignment="1" applyProtection="1">
      <alignment horizontal="center"/>
      <protection locked="0"/>
    </xf>
    <xf numFmtId="40" fontId="4" fillId="0" borderId="0" xfId="2" applyNumberFormat="1" applyFont="1" applyFill="1" applyBorder="1" applyAlignment="1" applyProtection="1">
      <protection locked="0"/>
    </xf>
    <xf numFmtId="3" fontId="33" fillId="0" borderId="4" xfId="0" applyNumberFormat="1" applyFont="1" applyBorder="1" applyAlignment="1">
      <alignment horizontal="center" vertical="top"/>
    </xf>
    <xf numFmtId="10" fontId="33" fillId="0" borderId="0" xfId="1" applyNumberFormat="1" applyFont="1" applyBorder="1" applyAlignment="1" applyProtection="1">
      <alignment horizontal="center" vertical="top"/>
    </xf>
    <xf numFmtId="4" fontId="33" fillId="0" borderId="0" xfId="0" applyNumberFormat="1" applyFont="1" applyAlignment="1">
      <alignment vertical="top"/>
    </xf>
    <xf numFmtId="10" fontId="4" fillId="0" borderId="5" xfId="1" applyNumberFormat="1" applyFont="1" applyBorder="1" applyAlignment="1" applyProtection="1">
      <alignment horizontal="center"/>
    </xf>
    <xf numFmtId="10" fontId="0" fillId="0" borderId="0" xfId="1" applyNumberFormat="1" applyFont="1" applyFill="1" applyAlignment="1" applyProtection="1">
      <alignment horizontal="center" vertical="center"/>
      <protection locked="0"/>
    </xf>
    <xf numFmtId="0" fontId="34" fillId="0" borderId="0" xfId="0" applyFont="1" applyAlignment="1">
      <alignment horizontal="center"/>
    </xf>
    <xf numFmtId="43" fontId="16" fillId="7" borderId="0" xfId="2" applyFont="1" applyFill="1" applyAlignment="1">
      <alignment horizontal="center" vertical="center"/>
    </xf>
    <xf numFmtId="43" fontId="4" fillId="0" borderId="0" xfId="2" applyFont="1" applyAlignment="1" applyProtection="1">
      <alignment horizontal="center" vertical="center"/>
    </xf>
    <xf numFmtId="43" fontId="3" fillId="0" borderId="0" xfId="2" applyFont="1" applyAlignment="1" applyProtection="1">
      <alignment horizontal="center" vertical="center"/>
    </xf>
    <xf numFmtId="9" fontId="3" fillId="9" borderId="0" xfId="1" applyFont="1" applyFill="1" applyAlignment="1" applyProtection="1">
      <alignment vertical="center"/>
    </xf>
    <xf numFmtId="0" fontId="3" fillId="0" borderId="0" xfId="0" applyFont="1" applyAlignment="1">
      <alignment horizontal="right" vertical="center" wrapText="1"/>
    </xf>
    <xf numFmtId="0" fontId="3" fillId="0" borderId="0" xfId="0" applyFont="1" applyAlignment="1">
      <alignment horizontal="right" vertical="center"/>
    </xf>
    <xf numFmtId="10" fontId="16" fillId="7" borderId="0" xfId="1" applyNumberFormat="1" applyFont="1" applyFill="1" applyBorder="1" applyAlignment="1" applyProtection="1">
      <alignment horizontal="center" vertical="center"/>
    </xf>
    <xf numFmtId="43" fontId="34" fillId="0" borderId="0" xfId="2" applyFont="1" applyAlignment="1" applyProtection="1">
      <alignment horizontal="center" vertical="center"/>
    </xf>
    <xf numFmtId="165" fontId="22" fillId="13" borderId="0" xfId="0" applyNumberFormat="1" applyFont="1" applyFill="1" applyAlignment="1">
      <alignment horizontal="center"/>
    </xf>
    <xf numFmtId="37" fontId="32" fillId="0" borderId="0" xfId="2" applyNumberFormat="1" applyFont="1" applyFill="1" applyBorder="1" applyAlignment="1" applyProtection="1">
      <alignment horizontal="right"/>
    </xf>
    <xf numFmtId="43" fontId="32" fillId="0" borderId="0" xfId="2" applyFont="1" applyFill="1" applyBorder="1" applyAlignment="1" applyProtection="1">
      <alignment horizontal="right"/>
    </xf>
    <xf numFmtId="37" fontId="32" fillId="0" borderId="0" xfId="2" applyNumberFormat="1" applyFont="1" applyFill="1" applyBorder="1" applyAlignment="1" applyProtection="1">
      <alignment horizontal="right" vertical="center"/>
    </xf>
    <xf numFmtId="165" fontId="3" fillId="0" borderId="0" xfId="2" applyNumberFormat="1" applyFont="1" applyFill="1" applyBorder="1" applyAlignment="1" applyProtection="1">
      <alignment horizontal="right"/>
    </xf>
    <xf numFmtId="165" fontId="3" fillId="0" borderId="0" xfId="2" applyNumberFormat="1" applyFont="1" applyFill="1" applyBorder="1" applyAlignment="1" applyProtection="1">
      <alignment horizontal="right" vertical="center"/>
    </xf>
    <xf numFmtId="43" fontId="3" fillId="0" borderId="0" xfId="2" applyFont="1" applyFill="1" applyBorder="1" applyAlignment="1" applyProtection="1">
      <alignment horizontal="right"/>
    </xf>
    <xf numFmtId="43" fontId="15" fillId="0" borderId="0" xfId="2" applyFont="1" applyFill="1" applyBorder="1" applyAlignment="1" applyProtection="1">
      <alignment horizontal="right"/>
    </xf>
    <xf numFmtId="4" fontId="11" fillId="7" borderId="0" xfId="0" applyNumberFormat="1" applyFont="1" applyFill="1" applyAlignment="1">
      <alignment horizontal="right" vertical="center"/>
    </xf>
    <xf numFmtId="4" fontId="11" fillId="7" borderId="0" xfId="0" applyNumberFormat="1" applyFont="1" applyFill="1" applyAlignment="1" applyProtection="1">
      <alignment horizontal="right" vertical="center"/>
      <protection locked="0"/>
    </xf>
    <xf numFmtId="3" fontId="11" fillId="7" borderId="0" xfId="0" applyNumberFormat="1" applyFont="1" applyFill="1" applyAlignment="1" applyProtection="1">
      <alignment horizontal="right" vertical="center"/>
      <protection locked="0"/>
    </xf>
    <xf numFmtId="3" fontId="4" fillId="0" borderId="0" xfId="2" applyNumberFormat="1" applyFont="1" applyBorder="1" applyAlignment="1" applyProtection="1">
      <alignment horizontal="right"/>
    </xf>
    <xf numFmtId="37" fontId="4" fillId="0" borderId="0" xfId="2" applyNumberFormat="1" applyFont="1" applyBorder="1" applyAlignment="1" applyProtection="1">
      <alignment horizontal="right" vertical="center"/>
    </xf>
    <xf numFmtId="37" fontId="4" fillId="0" borderId="0" xfId="2" applyNumberFormat="1" applyFont="1" applyBorder="1" applyAlignment="1" applyProtection="1">
      <alignment horizontal="right"/>
    </xf>
    <xf numFmtId="165" fontId="4" fillId="0" borderId="0" xfId="2" applyNumberFormat="1" applyFont="1" applyBorder="1" applyAlignment="1" applyProtection="1">
      <alignment horizontal="right"/>
    </xf>
    <xf numFmtId="165" fontId="6" fillId="7" borderId="0" xfId="0" applyNumberFormat="1" applyFont="1" applyFill="1" applyAlignment="1">
      <alignment horizontal="right" vertical="center"/>
    </xf>
    <xf numFmtId="165" fontId="4" fillId="0" borderId="0" xfId="2" applyNumberFormat="1" applyFont="1" applyBorder="1" applyAlignment="1" applyProtection="1">
      <alignment vertical="center"/>
      <protection locked="0"/>
    </xf>
    <xf numFmtId="165" fontId="4" fillId="0" borderId="0" xfId="2" applyNumberFormat="1" applyFont="1" applyBorder="1" applyAlignment="1" applyProtection="1">
      <alignment horizontal="right" vertical="center"/>
      <protection locked="0"/>
    </xf>
    <xf numFmtId="10" fontId="24" fillId="0" borderId="0" xfId="1" applyNumberFormat="1" applyFont="1" applyFill="1" applyAlignment="1" applyProtection="1">
      <alignment horizontal="center" vertical="center"/>
      <protection locked="0"/>
    </xf>
    <xf numFmtId="37" fontId="4" fillId="0" borderId="0" xfId="2" applyNumberFormat="1" applyFont="1" applyBorder="1" applyAlignment="1" applyProtection="1">
      <alignment horizontal="center" vertical="center"/>
    </xf>
    <xf numFmtId="0" fontId="11" fillId="7" borderId="0" xfId="2" applyNumberFormat="1" applyFont="1"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center" vertical="center"/>
    </xf>
    <xf numFmtId="0" fontId="2" fillId="10" borderId="0" xfId="2" applyNumberFormat="1" applyFont="1" applyFill="1" applyBorder="1" applyAlignment="1" applyProtection="1">
      <alignment horizontal="center" vertical="center"/>
      <protection locked="0"/>
    </xf>
    <xf numFmtId="0" fontId="0" fillId="0" borderId="0" xfId="2" applyNumberFormat="1" applyFont="1" applyAlignment="1">
      <alignment horizontal="right" vertical="center"/>
    </xf>
    <xf numFmtId="1" fontId="0" fillId="0" borderId="0" xfId="2" applyNumberFormat="1" applyFont="1"/>
    <xf numFmtId="9" fontId="0" fillId="0" borderId="0" xfId="1" applyFont="1"/>
    <xf numFmtId="0" fontId="0" fillId="0" borderId="0" xfId="0" applyAlignment="1" applyProtection="1">
      <alignment horizontal="right"/>
      <protection locked="0"/>
    </xf>
    <xf numFmtId="0" fontId="2" fillId="0" borderId="0" xfId="0" applyFont="1" applyAlignment="1" applyProtection="1">
      <alignment horizontal="center"/>
      <protection locked="0"/>
    </xf>
    <xf numFmtId="0" fontId="3" fillId="5" borderId="0" xfId="0" applyFont="1" applyFill="1" applyAlignment="1" applyProtection="1">
      <alignment horizontal="center" vertical="center" wrapText="1"/>
      <protection locked="0"/>
    </xf>
    <xf numFmtId="0" fontId="30" fillId="13" borderId="0" xfId="0" applyFont="1" applyFill="1" applyAlignment="1">
      <alignment horizontal="left" vertical="center" wrapText="1"/>
    </xf>
    <xf numFmtId="0" fontId="29" fillId="13" borderId="0" xfId="0" applyFont="1" applyFill="1" applyAlignment="1">
      <alignment horizontal="left" vertical="center" wrapText="1"/>
    </xf>
    <xf numFmtId="0" fontId="3" fillId="0" borderId="0" xfId="0" applyFont="1" applyAlignment="1" applyProtection="1">
      <alignment horizontal="center"/>
      <protection locked="0"/>
    </xf>
    <xf numFmtId="0" fontId="3" fillId="5" borderId="0" xfId="0" applyFont="1" applyFill="1" applyAlignment="1">
      <alignment horizontal="center" vertical="center" wrapText="1"/>
    </xf>
    <xf numFmtId="0" fontId="13" fillId="0" borderId="0" xfId="0" applyFont="1" applyAlignment="1">
      <alignment horizontal="left" vertical="center" wrapText="1"/>
    </xf>
    <xf numFmtId="0" fontId="12" fillId="0" borderId="0" xfId="0" applyFont="1" applyAlignment="1" applyProtection="1">
      <alignment horizontal="center"/>
      <protection locked="0"/>
    </xf>
    <xf numFmtId="0" fontId="19" fillId="0" borderId="0" xfId="0" applyFont="1" applyAlignment="1">
      <alignment horizontal="left"/>
    </xf>
    <xf numFmtId="0" fontId="2" fillId="5" borderId="0" xfId="0" applyFont="1" applyFill="1" applyAlignment="1">
      <alignment horizontal="center"/>
    </xf>
    <xf numFmtId="0" fontId="13" fillId="0" borderId="0" xfId="0" applyFont="1" applyAlignment="1">
      <alignment horizontal="left" wrapText="1"/>
    </xf>
    <xf numFmtId="0" fontId="21" fillId="0" borderId="0" xfId="0" applyFont="1" applyAlignment="1">
      <alignment horizontal="left" wrapText="1"/>
    </xf>
    <xf numFmtId="0" fontId="3" fillId="5" borderId="0" xfId="0" applyFont="1" applyFill="1" applyAlignment="1">
      <alignment horizontal="left" vertical="center" wrapText="1"/>
    </xf>
    <xf numFmtId="0" fontId="0" fillId="0" borderId="0" xfId="0" applyAlignment="1" applyProtection="1">
      <alignment horizontal="center"/>
      <protection locked="0"/>
    </xf>
    <xf numFmtId="0" fontId="2" fillId="2" borderId="0" xfId="0" applyFont="1" applyFill="1" applyAlignment="1">
      <alignment horizontal="center"/>
    </xf>
    <xf numFmtId="0" fontId="2" fillId="3" borderId="0" xfId="0" applyFont="1" applyFill="1" applyAlignment="1">
      <alignment horizontal="center"/>
    </xf>
    <xf numFmtId="0" fontId="2" fillId="4" borderId="0" xfId="0" applyFont="1" applyFill="1" applyAlignment="1">
      <alignment horizontal="center"/>
    </xf>
    <xf numFmtId="0" fontId="2" fillId="11" borderId="0" xfId="0" applyFont="1" applyFill="1" applyAlignment="1">
      <alignment horizontal="center"/>
    </xf>
    <xf numFmtId="3" fontId="4" fillId="0" borderId="0" xfId="0" applyNumberFormat="1" applyFont="1" applyAlignment="1" applyProtection="1">
      <alignment horizontal="center" vertical="center"/>
      <protection locked="0"/>
    </xf>
    <xf numFmtId="0" fontId="12" fillId="5" borderId="0" xfId="0" applyFont="1" applyFill="1" applyAlignment="1">
      <alignment horizontal="center" vertical="center" wrapText="1"/>
    </xf>
    <xf numFmtId="3" fontId="11" fillId="7" borderId="0" xfId="0" applyNumberFormat="1" applyFont="1" applyFill="1" applyAlignment="1" applyProtection="1">
      <alignment horizontal="center" vertical="center"/>
      <protection locked="0"/>
    </xf>
    <xf numFmtId="3" fontId="3" fillId="5" borderId="0" xfId="0" applyNumberFormat="1" applyFont="1" applyFill="1" applyAlignment="1">
      <alignment horizontal="center" vertical="center" wrapText="1"/>
    </xf>
    <xf numFmtId="165" fontId="4" fillId="0" borderId="0" xfId="0" applyNumberFormat="1" applyFont="1" applyAlignment="1" applyProtection="1">
      <alignment horizontal="center" vertical="center"/>
      <protection locked="0"/>
    </xf>
    <xf numFmtId="0" fontId="2" fillId="11" borderId="0" xfId="0" applyFont="1" applyFill="1" applyAlignment="1">
      <alignment horizontal="center" vertical="center" wrapText="1"/>
    </xf>
    <xf numFmtId="0" fontId="2" fillId="2" borderId="0" xfId="0" applyFont="1" applyFill="1" applyAlignment="1">
      <alignment horizontal="center" wrapText="1"/>
    </xf>
    <xf numFmtId="0" fontId="2" fillId="14" borderId="0" xfId="0" applyFont="1" applyFill="1" applyAlignment="1">
      <alignment horizontal="center" vertical="center"/>
    </xf>
    <xf numFmtId="0" fontId="2" fillId="2" borderId="0" xfId="0" applyFont="1" applyFill="1" applyAlignment="1">
      <alignment horizontal="center" vertical="center" wrapText="1"/>
    </xf>
    <xf numFmtId="0" fontId="2" fillId="3" borderId="0" xfId="0" applyFont="1" applyFill="1" applyAlignment="1">
      <alignment horizontal="center" vertical="center" wrapText="1"/>
    </xf>
    <xf numFmtId="0" fontId="2" fillId="15" borderId="0" xfId="0" applyFont="1" applyFill="1" applyAlignment="1">
      <alignment horizontal="center" vertical="center" wrapText="1"/>
    </xf>
    <xf numFmtId="0" fontId="2" fillId="3" borderId="0" xfId="0" applyFont="1" applyFill="1" applyAlignment="1">
      <alignment horizontal="center" wrapText="1"/>
    </xf>
    <xf numFmtId="0" fontId="3" fillId="5" borderId="0" xfId="0" applyFont="1" applyFill="1" applyAlignment="1">
      <alignment horizontal="center" vertical="center"/>
    </xf>
    <xf numFmtId="0" fontId="3" fillId="6" borderId="1"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protection locked="0"/>
    </xf>
    <xf numFmtId="0" fontId="3" fillId="6" borderId="3" xfId="0" applyFont="1" applyFill="1" applyBorder="1" applyAlignment="1" applyProtection="1">
      <alignment horizontal="center" vertical="center"/>
      <protection locked="0"/>
    </xf>
    <xf numFmtId="0" fontId="13" fillId="0" borderId="0" xfId="0" applyFont="1" applyAlignment="1">
      <alignment horizontal="left" vertical="top" wrapText="1"/>
    </xf>
    <xf numFmtId="0" fontId="2" fillId="0" borderId="0" xfId="0" applyFont="1" applyAlignment="1">
      <alignment horizontal="center"/>
    </xf>
    <xf numFmtId="0" fontId="3" fillId="6" borderId="1"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10" fillId="8" borderId="7" xfId="0" applyFont="1" applyFill="1" applyBorder="1" applyAlignment="1">
      <alignment horizontal="center" vertical="center" wrapText="1"/>
    </xf>
    <xf numFmtId="0" fontId="3" fillId="5" borderId="0" xfId="0" applyFont="1" applyFill="1" applyAlignment="1">
      <alignment horizontal="center"/>
    </xf>
    <xf numFmtId="0" fontId="3" fillId="3" borderId="0" xfId="0" applyFont="1" applyFill="1" applyAlignment="1">
      <alignment horizontal="center"/>
    </xf>
    <xf numFmtId="0" fontId="3" fillId="2" borderId="0" xfId="0" applyFont="1" applyFill="1" applyAlignment="1">
      <alignment horizontal="center"/>
    </xf>
    <xf numFmtId="0" fontId="3" fillId="11" borderId="0" xfId="0" applyFont="1" applyFill="1" applyAlignment="1">
      <alignment horizontal="center"/>
    </xf>
    <xf numFmtId="0" fontId="3" fillId="4" borderId="0" xfId="0" applyFont="1" applyFill="1" applyAlignment="1">
      <alignment horizontal="center"/>
    </xf>
    <xf numFmtId="0" fontId="3" fillId="16" borderId="0" xfId="0" applyFont="1" applyFill="1" applyAlignment="1">
      <alignment horizontal="center"/>
    </xf>
    <xf numFmtId="0" fontId="3" fillId="17" borderId="0" xfId="0" applyFont="1" applyFill="1" applyAlignment="1">
      <alignment horizontal="center"/>
    </xf>
    <xf numFmtId="0" fontId="3" fillId="18" borderId="0" xfId="0" applyFont="1" applyFill="1" applyAlignment="1">
      <alignment horizontal="center"/>
    </xf>
    <xf numFmtId="0" fontId="35" fillId="13" borderId="0" xfId="0" applyFont="1" applyFill="1" applyAlignment="1">
      <alignment horizontal="center"/>
    </xf>
    <xf numFmtId="0" fontId="35" fillId="13" borderId="0" xfId="0" applyFont="1" applyFill="1" applyAlignment="1" applyProtection="1">
      <alignment horizontal="center"/>
      <protection locked="0"/>
    </xf>
    <xf numFmtId="0" fontId="10" fillId="0" borderId="0" xfId="0" applyFont="1" applyAlignment="1">
      <alignment horizontal="center"/>
    </xf>
    <xf numFmtId="0" fontId="19" fillId="0" borderId="0" xfId="0" applyFont="1" applyAlignment="1">
      <alignment horizontal="left" wrapText="1"/>
    </xf>
  </cellXfs>
  <cellStyles count="4">
    <cellStyle name="Millares" xfId="2" builtinId="3"/>
    <cellStyle name="Normal" xfId="0" builtinId="0"/>
    <cellStyle name="Normal 2" xfId="3" xr:uid="{00000000-0005-0000-0000-000002000000}"/>
    <cellStyle name="Porcentaje" xfId="1" builtinId="5"/>
  </cellStyles>
  <dxfs count="0"/>
  <tableStyles count="1" defaultTableStyle="TableStyleMedium2" defaultPivotStyle="PivotStyleLight16">
    <tableStyle name="Invisible" pivot="0" table="0" count="0" xr9:uid="{EB55D738-EBA8-42B6-A2D2-EFAB11F34F90}"/>
  </tableStyles>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2.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3.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6615130463804834"/>
          <c:y val="5.1400554097404488E-2"/>
          <c:w val="0.74836611939844222"/>
          <c:h val="0.72112459900845727"/>
        </c:manualLayout>
      </c:layout>
      <c:barChart>
        <c:barDir val="col"/>
        <c:grouping val="clustered"/>
        <c:varyColors val="0"/>
        <c:ser>
          <c:idx val="0"/>
          <c:order val="0"/>
          <c:tx>
            <c:v>Programado</c:v>
          </c:tx>
          <c:spPr>
            <a:solidFill>
              <a:schemeClr val="accent3">
                <a:lumMod val="60000"/>
                <a:lumOff val="40000"/>
              </a:schemeClr>
            </a:solidFill>
            <a:ln>
              <a:solidFill>
                <a:schemeClr val="accent3">
                  <a:lumMod val="60000"/>
                  <a:lumOff val="40000"/>
                </a:schemeClr>
              </a:solidFill>
            </a:ln>
          </c:spPr>
          <c:invertIfNegative val="0"/>
          <c:dPt>
            <c:idx val="0"/>
            <c:invertIfNegative val="0"/>
            <c:bubble3D val="0"/>
            <c:extLst>
              <c:ext xmlns:c16="http://schemas.microsoft.com/office/drawing/2014/chart" uri="{C3380CC4-5D6E-409C-BE32-E72D297353CC}">
                <c16:uniqueId val="{00000000-AEF6-4BD7-9E37-17072C6B37A1}"/>
              </c:ext>
            </c:extLst>
          </c:dPt>
          <c:dLbls>
            <c:spPr>
              <a:noFill/>
              <a:ln>
                <a:noFill/>
              </a:ln>
              <a:effectLst/>
            </c:spPr>
            <c:txPr>
              <a:bodyPr rot="-5400000" vert="horz"/>
              <a:lstStyle/>
              <a:p>
                <a:pPr>
                  <a:defRPr sz="1050"/>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Adm.'!$A$9:$A$12</c:f>
              <c:strCache>
                <c:ptCount val="3"/>
                <c:pt idx="0">
                  <c:v>Marzo</c:v>
                </c:pt>
                <c:pt idx="1">
                  <c:v>Febrero</c:v>
                </c:pt>
                <c:pt idx="2">
                  <c:v>Enero</c:v>
                </c:pt>
              </c:strCache>
            </c:strRef>
          </c:cat>
          <c:val>
            <c:numRef>
              <c:f>'Presupuesto Adm.'!$B$9:$B$12</c:f>
              <c:numCache>
                <c:formatCode>#,##0.00</c:formatCode>
                <c:ptCount val="3"/>
                <c:pt idx="0">
                  <c:v>39527668.380000003</c:v>
                </c:pt>
                <c:pt idx="1">
                  <c:v>39927668.380000003</c:v>
                </c:pt>
                <c:pt idx="2">
                  <c:v>38175893.130000003</c:v>
                </c:pt>
              </c:numCache>
            </c:numRef>
          </c:val>
          <c:extLst>
            <c:ext xmlns:c16="http://schemas.microsoft.com/office/drawing/2014/chart" uri="{C3380CC4-5D6E-409C-BE32-E72D297353CC}">
              <c16:uniqueId val="{00000004-B26F-49E2-B71B-8A084CE8A512}"/>
            </c:ext>
          </c:extLst>
        </c:ser>
        <c:ser>
          <c:idx val="1"/>
          <c:order val="1"/>
          <c:tx>
            <c:v>Ejecutado</c:v>
          </c:tx>
          <c:spPr>
            <a:solidFill>
              <a:schemeClr val="bg1">
                <a:lumMod val="75000"/>
              </a:schemeClr>
            </a:solidFill>
          </c:spPr>
          <c:invertIfNegative val="0"/>
          <c:dLbls>
            <c:spPr>
              <a:noFill/>
              <a:ln>
                <a:noFill/>
              </a:ln>
              <a:effectLst/>
            </c:spPr>
            <c:txPr>
              <a:bodyPr rot="-5400000" vert="horz"/>
              <a:lstStyle/>
              <a:p>
                <a:pPr>
                  <a:defRPr sz="1050" b="0"/>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Adm.'!$A$9:$A$12</c:f>
              <c:strCache>
                <c:ptCount val="3"/>
                <c:pt idx="0">
                  <c:v>Marzo</c:v>
                </c:pt>
                <c:pt idx="1">
                  <c:v>Febrero</c:v>
                </c:pt>
                <c:pt idx="2">
                  <c:v>Enero</c:v>
                </c:pt>
              </c:strCache>
            </c:strRef>
          </c:cat>
          <c:val>
            <c:numRef>
              <c:f>'Presupuesto Adm.'!$C$10:$C$12</c:f>
              <c:numCache>
                <c:formatCode>#,##0.00</c:formatCode>
                <c:ptCount val="3"/>
                <c:pt idx="0">
                  <c:v>43834130.880000003</c:v>
                </c:pt>
                <c:pt idx="1">
                  <c:v>40709846.409999996</c:v>
                </c:pt>
                <c:pt idx="2">
                  <c:v>33402596.25</c:v>
                </c:pt>
              </c:numCache>
            </c:numRef>
          </c:val>
          <c:extLst>
            <c:ext xmlns:c16="http://schemas.microsoft.com/office/drawing/2014/chart" uri="{C3380CC4-5D6E-409C-BE32-E72D297353CC}">
              <c16:uniqueId val="{00000008-B26F-49E2-B71B-8A084CE8A512}"/>
            </c:ext>
          </c:extLst>
        </c:ser>
        <c:dLbls>
          <c:showLegendKey val="0"/>
          <c:showVal val="1"/>
          <c:showCatName val="0"/>
          <c:showSerName val="0"/>
          <c:showPercent val="0"/>
          <c:showBubbleSize val="0"/>
        </c:dLbls>
        <c:gapWidth val="75"/>
        <c:axId val="1578264528"/>
        <c:axId val="1578266160"/>
      </c:barChart>
      <c:lineChart>
        <c:grouping val="standard"/>
        <c:varyColors val="0"/>
        <c:ser>
          <c:idx val="2"/>
          <c:order val="2"/>
          <c:tx>
            <c:strRef>
              <c:f>'Presupuesto Adm.'!$D$8</c:f>
              <c:strCache>
                <c:ptCount val="1"/>
                <c:pt idx="0">
                  <c:v>Relativo</c:v>
                </c:pt>
              </c:strCache>
            </c:strRef>
          </c:tx>
          <c:spPr>
            <a:ln>
              <a:solidFill>
                <a:schemeClr val="tx2">
                  <a:lumMod val="60000"/>
                  <a:lumOff val="40000"/>
                </a:schemeClr>
              </a:solidFill>
            </a:ln>
          </c:spPr>
          <c:marker>
            <c:spPr>
              <a:solidFill>
                <a:schemeClr val="tx2">
                  <a:lumMod val="60000"/>
                  <a:lumOff val="40000"/>
                </a:schemeClr>
              </a:solidFill>
              <a:ln>
                <a:solidFill>
                  <a:schemeClr val="accent5">
                    <a:lumMod val="75000"/>
                  </a:schemeClr>
                </a:solidFill>
              </a:ln>
            </c:spPr>
          </c:marker>
          <c:dLbls>
            <c:spPr>
              <a:noFill/>
              <a:ln>
                <a:noFill/>
              </a:ln>
              <a:effectLst/>
            </c:spPr>
            <c:txPr>
              <a:bodyPr wrap="square" lIns="38100" tIns="19050" rIns="38100" bIns="19050" anchor="ctr">
                <a:spAutoFit/>
              </a:bodyPr>
              <a:lstStyle/>
              <a:p>
                <a:pPr>
                  <a:defRPr sz="1050" b="1"/>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Adm.'!$A$9:$A$12</c:f>
              <c:strCache>
                <c:ptCount val="3"/>
                <c:pt idx="0">
                  <c:v>Marzo</c:v>
                </c:pt>
                <c:pt idx="1">
                  <c:v>Febrero</c:v>
                </c:pt>
                <c:pt idx="2">
                  <c:v>Enero</c:v>
                </c:pt>
              </c:strCache>
            </c:strRef>
          </c:cat>
          <c:val>
            <c:numRef>
              <c:f>'Presupuesto Adm.'!$D$10:$D$12</c:f>
              <c:numCache>
                <c:formatCode>0.00%</c:formatCode>
                <c:ptCount val="3"/>
                <c:pt idx="0">
                  <c:v>1.1089480527563564</c:v>
                </c:pt>
                <c:pt idx="1">
                  <c:v>1.0195898749347405</c:v>
                </c:pt>
                <c:pt idx="2">
                  <c:v>0.87496567889726795</c:v>
                </c:pt>
              </c:numCache>
            </c:numRef>
          </c:val>
          <c:smooth val="0"/>
          <c:extLst>
            <c:ext xmlns:c16="http://schemas.microsoft.com/office/drawing/2014/chart" uri="{C3380CC4-5D6E-409C-BE32-E72D297353CC}">
              <c16:uniqueId val="{00000009-B26F-49E2-B71B-8A084CE8A512}"/>
            </c:ext>
          </c:extLst>
        </c:ser>
        <c:dLbls>
          <c:showLegendKey val="0"/>
          <c:showVal val="1"/>
          <c:showCatName val="0"/>
          <c:showSerName val="0"/>
          <c:showPercent val="0"/>
          <c:showBubbleSize val="0"/>
        </c:dLbls>
        <c:marker val="1"/>
        <c:smooth val="0"/>
        <c:axId val="1578270512"/>
        <c:axId val="1578269424"/>
      </c:lineChart>
      <c:catAx>
        <c:axId val="1578264528"/>
        <c:scaling>
          <c:orientation val="minMax"/>
        </c:scaling>
        <c:delete val="0"/>
        <c:axPos val="b"/>
        <c:numFmt formatCode="General" sourceLinked="0"/>
        <c:majorTickMark val="none"/>
        <c:minorTickMark val="none"/>
        <c:tickLblPos val="nextTo"/>
        <c:crossAx val="1578266160"/>
        <c:crosses val="autoZero"/>
        <c:auto val="1"/>
        <c:lblAlgn val="ctr"/>
        <c:lblOffset val="100"/>
        <c:noMultiLvlLbl val="0"/>
      </c:catAx>
      <c:valAx>
        <c:axId val="1578266160"/>
        <c:scaling>
          <c:orientation val="minMax"/>
          <c:min val="6000000"/>
        </c:scaling>
        <c:delete val="0"/>
        <c:axPos val="l"/>
        <c:numFmt formatCode="#,##0.00" sourceLinked="1"/>
        <c:majorTickMark val="none"/>
        <c:minorTickMark val="none"/>
        <c:tickLblPos val="nextTo"/>
        <c:crossAx val="1578264528"/>
        <c:crosses val="autoZero"/>
        <c:crossBetween val="between"/>
        <c:majorUnit val="12000000"/>
      </c:valAx>
      <c:valAx>
        <c:axId val="1578269424"/>
        <c:scaling>
          <c:orientation val="minMax"/>
          <c:max val="1.2"/>
          <c:min val="0.5"/>
        </c:scaling>
        <c:delete val="0"/>
        <c:axPos val="r"/>
        <c:numFmt formatCode="0.00%" sourceLinked="1"/>
        <c:majorTickMark val="out"/>
        <c:minorTickMark val="none"/>
        <c:tickLblPos val="nextTo"/>
        <c:crossAx val="1578270512"/>
        <c:crosses val="max"/>
        <c:crossBetween val="between"/>
      </c:valAx>
      <c:catAx>
        <c:axId val="1578270512"/>
        <c:scaling>
          <c:orientation val="minMax"/>
        </c:scaling>
        <c:delete val="1"/>
        <c:axPos val="b"/>
        <c:numFmt formatCode="General" sourceLinked="1"/>
        <c:majorTickMark val="out"/>
        <c:minorTickMark val="none"/>
        <c:tickLblPos val="nextTo"/>
        <c:crossAx val="1578269424"/>
        <c:crosses val="autoZero"/>
        <c:auto val="1"/>
        <c:lblAlgn val="ctr"/>
        <c:lblOffset val="100"/>
        <c:noMultiLvlLbl val="0"/>
      </c:catAx>
    </c:plotArea>
    <c:legend>
      <c:legendPos val="b"/>
      <c:overlay val="0"/>
      <c:txPr>
        <a:bodyPr/>
        <a:lstStyle/>
        <a:p>
          <a:pPr>
            <a:defRPr sz="800"/>
          </a:pPr>
          <a:endParaRPr lang="es-ES"/>
        </a:p>
      </c:txPr>
    </c:legend>
    <c:plotVisOnly val="1"/>
    <c:dispBlanksAs val="gap"/>
    <c:showDLblsOverMax val="0"/>
  </c:chart>
  <c:spPr>
    <a:ln>
      <a:noFill/>
    </a:ln>
  </c:sp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sz="800">
                <a:solidFill>
                  <a:schemeClr val="accent1">
                    <a:lumMod val="75000"/>
                  </a:schemeClr>
                </a:solidFill>
              </a:rPr>
              <a:t>Distribución de</a:t>
            </a:r>
            <a:r>
              <a:rPr lang="es-ES" sz="800" baseline="0">
                <a:solidFill>
                  <a:schemeClr val="accent1">
                    <a:lumMod val="75000"/>
                  </a:schemeClr>
                </a:solidFill>
              </a:rPr>
              <a:t> Aportes</a:t>
            </a:r>
            <a:endParaRPr lang="es-ES" sz="800">
              <a:solidFill>
                <a:schemeClr val="accent1">
                  <a:lumMod val="75000"/>
                </a:schemeClr>
              </a:solidFill>
            </a:endParaRPr>
          </a:p>
        </c:rich>
      </c:tx>
      <c:layout>
        <c:manualLayout>
          <c:xMode val="edge"/>
          <c:yMode val="edge"/>
          <c:x val="0.36509152799625716"/>
          <c:y val="1.4417744497132913E-2"/>
        </c:manualLayout>
      </c:layout>
      <c:overlay val="0"/>
    </c:title>
    <c:autoTitleDeleted val="0"/>
    <c:plotArea>
      <c:layout/>
      <c:barChart>
        <c:barDir val="col"/>
        <c:grouping val="clustered"/>
        <c:varyColors val="0"/>
        <c:ser>
          <c:idx val="0"/>
          <c:order val="0"/>
          <c:spPr>
            <a:solidFill>
              <a:schemeClr val="bg1">
                <a:lumMod val="75000"/>
              </a:schemeClr>
            </a:solidFill>
            <a:ln>
              <a:solidFill>
                <a:schemeClr val="bg1">
                  <a:lumMod val="75000"/>
                </a:schemeClr>
              </a:solidFill>
            </a:ln>
          </c:spPr>
          <c:invertIfNegative val="0"/>
          <c:dPt>
            <c:idx val="1"/>
            <c:invertIfNegative val="0"/>
            <c:bubble3D val="0"/>
            <c:spPr>
              <a:solidFill>
                <a:schemeClr val="accent3">
                  <a:lumMod val="60000"/>
                  <a:lumOff val="40000"/>
                </a:schemeClr>
              </a:solidFill>
              <a:ln>
                <a:solidFill>
                  <a:schemeClr val="accent3">
                    <a:lumMod val="60000"/>
                    <a:lumOff val="40000"/>
                  </a:schemeClr>
                </a:solidFill>
              </a:ln>
            </c:spPr>
            <c:extLst>
              <c:ext xmlns:c16="http://schemas.microsoft.com/office/drawing/2014/chart" uri="{C3380CC4-5D6E-409C-BE32-E72D297353CC}">
                <c16:uniqueId val="{00000001-96C4-4E72-86CD-26E8823546DB}"/>
              </c:ext>
            </c:extLst>
          </c:dPt>
          <c:dPt>
            <c:idx val="2"/>
            <c:invertIfNegative val="0"/>
            <c:bubble3D val="0"/>
            <c:spPr>
              <a:solidFill>
                <a:schemeClr val="accent1">
                  <a:lumMod val="60000"/>
                  <a:lumOff val="40000"/>
                </a:schemeClr>
              </a:solidFill>
              <a:ln>
                <a:solidFill>
                  <a:schemeClr val="accent1">
                    <a:lumMod val="60000"/>
                    <a:lumOff val="40000"/>
                  </a:schemeClr>
                </a:solidFill>
              </a:ln>
            </c:spPr>
            <c:extLst>
              <c:ext xmlns:c16="http://schemas.microsoft.com/office/drawing/2014/chart" uri="{C3380CC4-5D6E-409C-BE32-E72D297353CC}">
                <c16:uniqueId val="{00000003-96C4-4E72-86CD-26E8823546DB}"/>
              </c:ext>
            </c:extLst>
          </c:dPt>
          <c:dLbls>
            <c:dLbl>
              <c:idx val="0"/>
              <c:layout>
                <c:manualLayout>
                  <c:x val="-2.7579408140791677E-3"/>
                  <c:y val="0.2277682320286147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6C4-4E72-86CD-26E8823546DB}"/>
                </c:ext>
              </c:extLst>
            </c:dLbl>
            <c:dLbl>
              <c:idx val="1"/>
              <c:layout>
                <c:manualLayout>
                  <c:x val="3.645867423629125E-3"/>
                  <c:y val="0.216660274489001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6C4-4E72-86CD-26E8823546DB}"/>
                </c:ext>
              </c:extLst>
            </c:dLbl>
            <c:dLbl>
              <c:idx val="2"/>
              <c:layout>
                <c:manualLayout>
                  <c:x val="6.423616493789394E-3"/>
                  <c:y val="0.209249867382357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6C4-4E72-86CD-26E8823546DB}"/>
                </c:ext>
              </c:extLst>
            </c:dLbl>
            <c:spPr>
              <a:noFill/>
              <a:ln>
                <a:noFill/>
              </a:ln>
              <a:effectLst/>
            </c:spPr>
            <c:txPr>
              <a:bodyPr rot="-5400000" vert="horz"/>
              <a:lstStyle/>
              <a:p>
                <a:pPr>
                  <a:defRPr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Aportes!$A$8:$A$10</c:f>
              <c:strCache>
                <c:ptCount val="3"/>
                <c:pt idx="0">
                  <c:v>Marzo</c:v>
                </c:pt>
                <c:pt idx="1">
                  <c:v>Febrero</c:v>
                </c:pt>
                <c:pt idx="2">
                  <c:v>Enero</c:v>
                </c:pt>
              </c:strCache>
            </c:strRef>
          </c:cat>
          <c:val>
            <c:numRef>
              <c:f>Aportes!$B$8:$B$10</c:f>
              <c:numCache>
                <c:formatCode>#,##0</c:formatCode>
                <c:ptCount val="3"/>
                <c:pt idx="0">
                  <c:v>26349</c:v>
                </c:pt>
                <c:pt idx="1">
                  <c:v>26207</c:v>
                </c:pt>
                <c:pt idx="2">
                  <c:v>26349</c:v>
                </c:pt>
              </c:numCache>
            </c:numRef>
          </c:val>
          <c:extLst>
            <c:ext xmlns:c16="http://schemas.microsoft.com/office/drawing/2014/chart" uri="{C3380CC4-5D6E-409C-BE32-E72D297353CC}">
              <c16:uniqueId val="{00000005-96C4-4E72-86CD-26E8823546DB}"/>
            </c:ext>
          </c:extLst>
        </c:ser>
        <c:dLbls>
          <c:showLegendKey val="0"/>
          <c:showVal val="1"/>
          <c:showCatName val="0"/>
          <c:showSerName val="0"/>
          <c:showPercent val="0"/>
          <c:showBubbleSize val="0"/>
        </c:dLbls>
        <c:gapWidth val="75"/>
        <c:axId val="1667765120"/>
        <c:axId val="1667765664"/>
      </c:barChart>
      <c:catAx>
        <c:axId val="1667765120"/>
        <c:scaling>
          <c:orientation val="minMax"/>
        </c:scaling>
        <c:delete val="0"/>
        <c:axPos val="b"/>
        <c:numFmt formatCode="General" sourceLinked="0"/>
        <c:majorTickMark val="none"/>
        <c:minorTickMark val="none"/>
        <c:tickLblPos val="nextTo"/>
        <c:crossAx val="1667765664"/>
        <c:crosses val="autoZero"/>
        <c:auto val="1"/>
        <c:lblAlgn val="ctr"/>
        <c:lblOffset val="100"/>
        <c:noMultiLvlLbl val="0"/>
      </c:catAx>
      <c:valAx>
        <c:axId val="1667765664"/>
        <c:scaling>
          <c:orientation val="minMax"/>
        </c:scaling>
        <c:delete val="0"/>
        <c:axPos val="l"/>
        <c:numFmt formatCode="#,##0" sourceLinked="1"/>
        <c:majorTickMark val="none"/>
        <c:minorTickMark val="none"/>
        <c:tickLblPos val="nextTo"/>
        <c:crossAx val="1667765120"/>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es-ES" sz="1000">
                <a:solidFill>
                  <a:schemeClr val="accent1">
                    <a:lumMod val="75000"/>
                  </a:schemeClr>
                </a:solidFill>
              </a:rPr>
              <a:t>Cantidad de Traspasos</a:t>
            </a:r>
          </a:p>
        </c:rich>
      </c:tx>
      <c:layout>
        <c:manualLayout>
          <c:xMode val="edge"/>
          <c:yMode val="edge"/>
          <c:x val="0.31884374193575465"/>
          <c:y val="0"/>
        </c:manualLayout>
      </c:layout>
      <c:overlay val="0"/>
    </c:title>
    <c:autoTitleDeleted val="0"/>
    <c:plotArea>
      <c:layout>
        <c:manualLayout>
          <c:layoutTarget val="inner"/>
          <c:xMode val="edge"/>
          <c:yMode val="edge"/>
          <c:x val="0.12016285132106767"/>
          <c:y val="0.18401209406649208"/>
          <c:w val="0.83717921431840892"/>
          <c:h val="0.61610024514896233"/>
        </c:manualLayout>
      </c:layout>
      <c:barChart>
        <c:barDir val="col"/>
        <c:grouping val="clustered"/>
        <c:varyColors val="0"/>
        <c:ser>
          <c:idx val="1"/>
          <c:order val="1"/>
          <c:tx>
            <c:strRef>
              <c:f>Traspaso!$C$7</c:f>
              <c:strCache>
                <c:ptCount val="1"/>
                <c:pt idx="0">
                  <c:v>Cedidos (Reparto a SCI)</c:v>
                </c:pt>
              </c:strCache>
            </c:strRef>
          </c:tx>
          <c:spPr>
            <a:solidFill>
              <a:schemeClr val="accent3">
                <a:lumMod val="60000"/>
                <a:lumOff val="40000"/>
              </a:schemeClr>
            </a:solidFill>
            <a:ln>
              <a:solidFill>
                <a:schemeClr val="accent3">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Traspaso!$A$8:$A$10</c:f>
              <c:strCache>
                <c:ptCount val="3"/>
                <c:pt idx="0">
                  <c:v>Marzo</c:v>
                </c:pt>
                <c:pt idx="1">
                  <c:v>Febrero</c:v>
                </c:pt>
                <c:pt idx="2">
                  <c:v>Enero</c:v>
                </c:pt>
              </c:strCache>
            </c:strRef>
          </c:cat>
          <c:val>
            <c:numRef>
              <c:f>Traspaso!$C$8:$C$10</c:f>
              <c:numCache>
                <c:formatCode>General</c:formatCode>
                <c:ptCount val="3"/>
                <c:pt idx="0">
                  <c:v>3</c:v>
                </c:pt>
                <c:pt idx="1">
                  <c:v>0</c:v>
                </c:pt>
                <c:pt idx="2">
                  <c:v>2</c:v>
                </c:pt>
              </c:numCache>
            </c:numRef>
          </c:val>
          <c:extLst>
            <c:ext xmlns:c16="http://schemas.microsoft.com/office/drawing/2014/chart" uri="{C3380CC4-5D6E-409C-BE32-E72D297353CC}">
              <c16:uniqueId val="{00000004-FB1B-4846-AF71-C6243F490D5B}"/>
            </c:ext>
          </c:extLst>
        </c:ser>
        <c:dLbls>
          <c:showLegendKey val="0"/>
          <c:showVal val="0"/>
          <c:showCatName val="0"/>
          <c:showSerName val="0"/>
          <c:showPercent val="0"/>
          <c:showBubbleSize val="0"/>
        </c:dLbls>
        <c:gapWidth val="75"/>
        <c:axId val="1665019632"/>
        <c:axId val="1665020176"/>
      </c:barChart>
      <c:lineChart>
        <c:grouping val="standard"/>
        <c:varyColors val="0"/>
        <c:ser>
          <c:idx val="0"/>
          <c:order val="0"/>
          <c:tx>
            <c:strRef>
              <c:f>Traspaso!$B$7</c:f>
              <c:strCache>
                <c:ptCount val="1"/>
                <c:pt idx="0">
                  <c:v>Recibidos (SCI a Reparto)</c:v>
                </c:pt>
              </c:strCache>
            </c:strRef>
          </c:tx>
          <c:spPr>
            <a:ln>
              <a:solidFill>
                <a:schemeClr val="bg1">
                  <a:lumMod val="75000"/>
                </a:schemeClr>
              </a:solidFill>
            </a:ln>
          </c:spPr>
          <c:dLbls>
            <c:dLbl>
              <c:idx val="1"/>
              <c:layout>
                <c:manualLayout>
                  <c:x val="-6.5108600752827747E-2"/>
                  <c:y val="-0.2667695662080227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3A7-4275-A789-0D686E766E43}"/>
                </c:ext>
              </c:extLst>
            </c:dLbl>
            <c:dLbl>
              <c:idx val="2"/>
              <c:layout>
                <c:manualLayout>
                  <c:x val="-5.5459230022475735E-2"/>
                  <c:y val="-0.1813671662384020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B1B-4846-AF71-C6243F490D5B}"/>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Traspaso!$A$8:$A$10</c:f>
              <c:strCache>
                <c:ptCount val="3"/>
                <c:pt idx="0">
                  <c:v>Marzo</c:v>
                </c:pt>
                <c:pt idx="1">
                  <c:v>Febrero</c:v>
                </c:pt>
                <c:pt idx="2">
                  <c:v>Enero</c:v>
                </c:pt>
              </c:strCache>
            </c:strRef>
          </c:cat>
          <c:val>
            <c:numRef>
              <c:f>Traspaso!$B$8:$B$10</c:f>
              <c:numCache>
                <c:formatCode>General</c:formatCode>
                <c:ptCount val="3"/>
                <c:pt idx="0">
                  <c:v>20</c:v>
                </c:pt>
                <c:pt idx="1">
                  <c:v>0</c:v>
                </c:pt>
                <c:pt idx="2">
                  <c:v>3</c:v>
                </c:pt>
              </c:numCache>
            </c:numRef>
          </c:val>
          <c:smooth val="0"/>
          <c:extLst>
            <c:ext xmlns:c16="http://schemas.microsoft.com/office/drawing/2014/chart" uri="{C3380CC4-5D6E-409C-BE32-E72D297353CC}">
              <c16:uniqueId val="{00000002-FB1B-4846-AF71-C6243F490D5B}"/>
            </c:ext>
          </c:extLst>
        </c:ser>
        <c:dLbls>
          <c:showLegendKey val="0"/>
          <c:showVal val="1"/>
          <c:showCatName val="0"/>
          <c:showSerName val="0"/>
          <c:showPercent val="0"/>
          <c:showBubbleSize val="0"/>
        </c:dLbls>
        <c:marker val="1"/>
        <c:smooth val="0"/>
        <c:axId val="1862418912"/>
        <c:axId val="1862406848"/>
      </c:lineChart>
      <c:catAx>
        <c:axId val="1665019632"/>
        <c:scaling>
          <c:orientation val="minMax"/>
        </c:scaling>
        <c:delete val="0"/>
        <c:axPos val="b"/>
        <c:numFmt formatCode="General" sourceLinked="0"/>
        <c:majorTickMark val="none"/>
        <c:minorTickMark val="none"/>
        <c:tickLblPos val="nextTo"/>
        <c:crossAx val="1665020176"/>
        <c:crosses val="autoZero"/>
        <c:auto val="1"/>
        <c:lblAlgn val="ctr"/>
        <c:lblOffset val="100"/>
        <c:noMultiLvlLbl val="0"/>
      </c:catAx>
      <c:valAx>
        <c:axId val="1665020176"/>
        <c:scaling>
          <c:orientation val="minMax"/>
        </c:scaling>
        <c:delete val="0"/>
        <c:axPos val="l"/>
        <c:numFmt formatCode="General" sourceLinked="1"/>
        <c:majorTickMark val="none"/>
        <c:minorTickMark val="none"/>
        <c:tickLblPos val="nextTo"/>
        <c:crossAx val="1665019632"/>
        <c:crosses val="autoZero"/>
        <c:crossBetween val="between"/>
      </c:valAx>
      <c:valAx>
        <c:axId val="1862406848"/>
        <c:scaling>
          <c:orientation val="minMax"/>
        </c:scaling>
        <c:delete val="0"/>
        <c:axPos val="r"/>
        <c:numFmt formatCode="General" sourceLinked="1"/>
        <c:majorTickMark val="out"/>
        <c:minorTickMark val="none"/>
        <c:tickLblPos val="nextTo"/>
        <c:crossAx val="1862418912"/>
        <c:crosses val="max"/>
        <c:crossBetween val="between"/>
      </c:valAx>
      <c:catAx>
        <c:axId val="1862418912"/>
        <c:scaling>
          <c:orientation val="minMax"/>
        </c:scaling>
        <c:delete val="1"/>
        <c:axPos val="b"/>
        <c:numFmt formatCode="General" sourceLinked="1"/>
        <c:majorTickMark val="out"/>
        <c:minorTickMark val="none"/>
        <c:tickLblPos val="nextTo"/>
        <c:crossAx val="1862406848"/>
        <c:crosses val="autoZero"/>
        <c:auto val="1"/>
        <c:lblAlgn val="ctr"/>
        <c:lblOffset val="100"/>
        <c:noMultiLvlLbl val="0"/>
      </c:catAx>
    </c:plotArea>
    <c:legend>
      <c:legendPos val="b"/>
      <c:layout>
        <c:manualLayout>
          <c:xMode val="edge"/>
          <c:yMode val="edge"/>
          <c:x val="6.4975526654232419E-3"/>
          <c:y val="0.89408638814698549"/>
          <c:w val="0.97827692204584993"/>
          <c:h val="8.4775034493234272E-2"/>
        </c:manualLayout>
      </c:layout>
      <c:overlay val="0"/>
      <c:txPr>
        <a:bodyPr/>
        <a:lstStyle/>
        <a:p>
          <a:pPr>
            <a:defRPr sz="900"/>
          </a:pPr>
          <a:endParaRPr lang="es-ES"/>
        </a:p>
      </c:txPr>
    </c:legend>
    <c:plotVisOnly val="1"/>
    <c:dispBlanksAs val="gap"/>
    <c:showDLblsOverMax val="0"/>
  </c:chart>
  <c:spPr>
    <a:ln>
      <a:noFill/>
    </a:ln>
  </c:sp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lang="es-DO" sz="1100" b="1" i="0" u="none" strike="noStrike" kern="1200" spc="0" baseline="0">
                <a:solidFill>
                  <a:schemeClr val="accent1">
                    <a:lumMod val="75000"/>
                  </a:schemeClr>
                </a:solidFill>
                <a:latin typeface="+mn-lt"/>
                <a:ea typeface="+mn-ea"/>
                <a:cs typeface="+mn-cs"/>
              </a:defRPr>
            </a:pPr>
            <a:r>
              <a:rPr lang="es-DO" sz="1100" b="1" i="0" u="none" strike="noStrike" kern="1200" baseline="0">
                <a:solidFill>
                  <a:schemeClr val="accent1">
                    <a:lumMod val="75000"/>
                  </a:schemeClr>
                </a:solidFill>
                <a:latin typeface="+mn-lt"/>
                <a:ea typeface="+mn-ea"/>
                <a:cs typeface="+mn-cs"/>
              </a:rPr>
              <a:t>Monto Traspasado</a:t>
            </a:r>
          </a:p>
        </c:rich>
      </c:tx>
      <c:layout>
        <c:manualLayout>
          <c:xMode val="edge"/>
          <c:yMode val="edge"/>
          <c:x val="0.40124417233232712"/>
          <c:y val="5.0031259688632229E-3"/>
        </c:manualLayout>
      </c:layout>
      <c:overlay val="0"/>
      <c:spPr>
        <a:noFill/>
        <a:ln>
          <a:noFill/>
        </a:ln>
        <a:effectLst/>
      </c:spPr>
      <c:txPr>
        <a:bodyPr rot="0" spcFirstLastPara="1" vertOverflow="ellipsis" vert="horz" wrap="square" anchor="ctr" anchorCtr="1"/>
        <a:lstStyle/>
        <a:p>
          <a:pPr>
            <a:defRPr lang="es-DO" sz="1100" b="1" i="0" u="none" strike="noStrike" kern="1200" spc="0" baseline="0">
              <a:solidFill>
                <a:schemeClr val="accent1">
                  <a:lumMod val="75000"/>
                </a:schemeClr>
              </a:solidFill>
              <a:latin typeface="+mn-lt"/>
              <a:ea typeface="+mn-ea"/>
              <a:cs typeface="+mn-cs"/>
            </a:defRPr>
          </a:pPr>
          <a:endParaRPr lang="es-ES"/>
        </a:p>
      </c:txPr>
    </c:title>
    <c:autoTitleDeleted val="0"/>
    <c:plotArea>
      <c:layout/>
      <c:barChart>
        <c:barDir val="col"/>
        <c:grouping val="clustered"/>
        <c:varyColors val="0"/>
        <c:ser>
          <c:idx val="0"/>
          <c:order val="0"/>
          <c:tx>
            <c:strRef>
              <c:f>Traspaso!$A$8</c:f>
              <c:strCache>
                <c:ptCount val="1"/>
                <c:pt idx="0">
                  <c:v>Marzo</c:v>
                </c:pt>
              </c:strCache>
            </c:strRef>
          </c:tx>
          <c:spPr>
            <a:solidFill>
              <a:schemeClr val="bg1">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Traspaso!$D$7</c:f>
              <c:strCache>
                <c:ptCount val="1"/>
                <c:pt idx="0">
                  <c:v>Monto Traspasado (RD$)</c:v>
                </c:pt>
              </c:strCache>
            </c:strRef>
          </c:cat>
          <c:val>
            <c:numRef>
              <c:f>Traspaso!$D$8</c:f>
              <c:numCache>
                <c:formatCode>_(* #,##0.00_);_(* \(#,##0.00\);_(* "-"??_);_(@_)</c:formatCode>
                <c:ptCount val="1"/>
                <c:pt idx="0">
                  <c:v>13584639.800000001</c:v>
                </c:pt>
              </c:numCache>
            </c:numRef>
          </c:val>
          <c:extLst>
            <c:ext xmlns:c16="http://schemas.microsoft.com/office/drawing/2014/chart" uri="{C3380CC4-5D6E-409C-BE32-E72D297353CC}">
              <c16:uniqueId val="{00000000-3626-45AA-AADE-47CA6C4D53AA}"/>
            </c:ext>
          </c:extLst>
        </c:ser>
        <c:ser>
          <c:idx val="1"/>
          <c:order val="1"/>
          <c:tx>
            <c:strRef>
              <c:f>Traspaso!$A$9</c:f>
              <c:strCache>
                <c:ptCount val="1"/>
                <c:pt idx="0">
                  <c:v>Febrero</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Traspaso!$D$7</c:f>
              <c:strCache>
                <c:ptCount val="1"/>
                <c:pt idx="0">
                  <c:v>Monto Traspasado (RD$)</c:v>
                </c:pt>
              </c:strCache>
            </c:strRef>
          </c:cat>
          <c:val>
            <c:numRef>
              <c:f>Traspaso!$D$9</c:f>
              <c:numCache>
                <c:formatCode>_(* #,##0.00_);_(* \(#,##0.00\);_(* "-"??_);_(@_)</c:formatCode>
                <c:ptCount val="1"/>
                <c:pt idx="0">
                  <c:v>1249294.08</c:v>
                </c:pt>
              </c:numCache>
            </c:numRef>
          </c:val>
          <c:extLst>
            <c:ext xmlns:c16="http://schemas.microsoft.com/office/drawing/2014/chart" uri="{C3380CC4-5D6E-409C-BE32-E72D297353CC}">
              <c16:uniqueId val="{00000001-3626-45AA-AADE-47CA6C4D53AA}"/>
            </c:ext>
          </c:extLst>
        </c:ser>
        <c:ser>
          <c:idx val="2"/>
          <c:order val="2"/>
          <c:tx>
            <c:strRef>
              <c:f>Traspaso!$A$10</c:f>
              <c:strCache>
                <c:ptCount val="1"/>
                <c:pt idx="0">
                  <c:v>Enero</c:v>
                </c:pt>
              </c:strCache>
            </c:strRef>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Traspaso!$D$7</c:f>
              <c:strCache>
                <c:ptCount val="1"/>
                <c:pt idx="0">
                  <c:v>Monto Traspasado (RD$)</c:v>
                </c:pt>
              </c:strCache>
            </c:strRef>
          </c:cat>
          <c:val>
            <c:numRef>
              <c:f>Traspaso!$D$10</c:f>
              <c:numCache>
                <c:formatCode>_(* #,##0.00_);_(* \(#,##0.00\);_(* "-"??_);_(@_)</c:formatCode>
                <c:ptCount val="1"/>
                <c:pt idx="0">
                  <c:v>1358463.98</c:v>
                </c:pt>
              </c:numCache>
            </c:numRef>
          </c:val>
          <c:extLst>
            <c:ext xmlns:c16="http://schemas.microsoft.com/office/drawing/2014/chart" uri="{C3380CC4-5D6E-409C-BE32-E72D297353CC}">
              <c16:uniqueId val="{00000002-3626-45AA-AADE-47CA6C4D53AA}"/>
            </c:ext>
          </c:extLst>
        </c:ser>
        <c:dLbls>
          <c:dLblPos val="outEnd"/>
          <c:showLegendKey val="0"/>
          <c:showVal val="1"/>
          <c:showCatName val="0"/>
          <c:showSerName val="0"/>
          <c:showPercent val="0"/>
          <c:showBubbleSize val="0"/>
        </c:dLbls>
        <c:gapWidth val="219"/>
        <c:overlap val="-27"/>
        <c:axId val="204719503"/>
        <c:axId val="204723247"/>
      </c:barChart>
      <c:catAx>
        <c:axId val="204719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ES"/>
          </a:p>
        </c:txPr>
        <c:crossAx val="204723247"/>
        <c:crosses val="autoZero"/>
        <c:auto val="1"/>
        <c:lblAlgn val="ctr"/>
        <c:lblOffset val="100"/>
        <c:noMultiLvlLbl val="0"/>
      </c:catAx>
      <c:valAx>
        <c:axId val="204723247"/>
        <c:scaling>
          <c:orientation val="minMax"/>
        </c:scaling>
        <c:delete val="0"/>
        <c:axPos val="l"/>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204719503"/>
        <c:crosses val="autoZero"/>
        <c:crossBetween val="between"/>
      </c:valAx>
      <c:spPr>
        <a:noFill/>
        <a:ln>
          <a:noFill/>
        </a:ln>
        <a:effectLst/>
      </c:spPr>
    </c:plotArea>
    <c:legend>
      <c:legendPos val="b"/>
      <c:layout>
        <c:manualLayout>
          <c:xMode val="edge"/>
          <c:yMode val="edge"/>
          <c:x val="0.24552822872449589"/>
          <c:y val="0.88555290254186381"/>
          <c:w val="0.60496527440242809"/>
          <c:h val="8.4428341644956911E-2"/>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col"/>
        <c:grouping val="clustered"/>
        <c:varyColors val="0"/>
        <c:ser>
          <c:idx val="0"/>
          <c:order val="0"/>
          <c:tx>
            <c:v>Programación</c:v>
          </c:tx>
          <c:spPr>
            <a:solidFill>
              <a:schemeClr val="accent3">
                <a:lumMod val="60000"/>
                <a:lumOff val="40000"/>
              </a:schemeClr>
            </a:solidFill>
          </c:spPr>
          <c:invertIfNegative val="0"/>
          <c:dLbls>
            <c:dLbl>
              <c:idx val="0"/>
              <c:layout>
                <c:manualLayout>
                  <c:x val="-7.3450187226680689E-4"/>
                  <c:y val="0.5587900518052099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A6-4785-8F6A-565385A8559A}"/>
                </c:ext>
              </c:extLst>
            </c:dLbl>
            <c:spPr>
              <a:noFill/>
              <a:ln>
                <a:noFill/>
              </a:ln>
              <a:effectLst/>
            </c:spPr>
            <c:txPr>
              <a:bodyPr rot="-5400000" vert="horz" anchor="ctr" anchorCtr="0"/>
              <a:lstStyle/>
              <a:p>
                <a:pPr>
                  <a:defRPr/>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de Pensiones'!$A$10:$A$13</c:f>
              <c:strCache>
                <c:ptCount val="3"/>
                <c:pt idx="0">
                  <c:v>Marzo </c:v>
                </c:pt>
                <c:pt idx="1">
                  <c:v>Febrero</c:v>
                </c:pt>
                <c:pt idx="2">
                  <c:v>Enero</c:v>
                </c:pt>
              </c:strCache>
            </c:strRef>
          </c:cat>
          <c:val>
            <c:numRef>
              <c:f>'Presupuesto de Pensiones'!$D$10:$D$13</c:f>
              <c:numCache>
                <c:formatCode>#,##0.00</c:formatCode>
                <c:ptCount val="3"/>
                <c:pt idx="0">
                  <c:v>4020548949.6700001</c:v>
                </c:pt>
                <c:pt idx="1">
                  <c:v>3991000828.0100002</c:v>
                </c:pt>
                <c:pt idx="2">
                  <c:v>3899615116.6500001</c:v>
                </c:pt>
              </c:numCache>
            </c:numRef>
          </c:val>
          <c:extLst>
            <c:ext xmlns:c16="http://schemas.microsoft.com/office/drawing/2014/chart" uri="{C3380CC4-5D6E-409C-BE32-E72D297353CC}">
              <c16:uniqueId val="{00000000-1C01-44D8-A584-F0F60B69051B}"/>
            </c:ext>
          </c:extLst>
        </c:ser>
        <c:ser>
          <c:idx val="1"/>
          <c:order val="1"/>
          <c:tx>
            <c:v>Ejecutado</c:v>
          </c:tx>
          <c:spPr>
            <a:solidFill>
              <a:schemeClr val="bg1">
                <a:lumMod val="75000"/>
              </a:schemeClr>
            </a:solidFill>
          </c:spPr>
          <c:invertIfNegative val="0"/>
          <c:dLbls>
            <c:dLbl>
              <c:idx val="0"/>
              <c:layout>
                <c:manualLayout>
                  <c:x val="1.6631054675137952E-2"/>
                  <c:y val="0.4618329143272084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2A6-4785-8F6A-565385A8559A}"/>
                </c:ext>
              </c:extLst>
            </c:dLbl>
            <c:spPr>
              <a:noFill/>
              <a:ln>
                <a:noFill/>
              </a:ln>
              <a:effectLst/>
            </c:spPr>
            <c:txPr>
              <a:bodyPr rot="-5400000" vert="horz"/>
              <a:lstStyle/>
              <a:p>
                <a:pPr>
                  <a:defRPr/>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de Pensiones'!$A$10:$A$13</c:f>
              <c:strCache>
                <c:ptCount val="3"/>
                <c:pt idx="0">
                  <c:v>Marzo </c:v>
                </c:pt>
                <c:pt idx="1">
                  <c:v>Febrero</c:v>
                </c:pt>
                <c:pt idx="2">
                  <c:v>Enero</c:v>
                </c:pt>
              </c:strCache>
            </c:strRef>
          </c:cat>
          <c:val>
            <c:numRef>
              <c:f>'Presupuesto de Pensiones'!$E$10:$E$13</c:f>
              <c:numCache>
                <c:formatCode>#,##0.00</c:formatCode>
                <c:ptCount val="3"/>
                <c:pt idx="0">
                  <c:v>3850644304.1099997</c:v>
                </c:pt>
                <c:pt idx="1">
                  <c:v>3871137100.1800003</c:v>
                </c:pt>
                <c:pt idx="2">
                  <c:v>3810004344.77</c:v>
                </c:pt>
              </c:numCache>
            </c:numRef>
          </c:val>
          <c:extLst>
            <c:ext xmlns:c16="http://schemas.microsoft.com/office/drawing/2014/chart" uri="{C3380CC4-5D6E-409C-BE32-E72D297353CC}">
              <c16:uniqueId val="{00000001-1C01-44D8-A584-F0F60B69051B}"/>
            </c:ext>
          </c:extLst>
        </c:ser>
        <c:dLbls>
          <c:showLegendKey val="0"/>
          <c:showVal val="1"/>
          <c:showCatName val="0"/>
          <c:showSerName val="0"/>
          <c:showPercent val="0"/>
          <c:showBubbleSize val="0"/>
        </c:dLbls>
        <c:gapWidth val="75"/>
        <c:axId val="1665021264"/>
        <c:axId val="1665032144"/>
      </c:barChart>
      <c:lineChart>
        <c:grouping val="standard"/>
        <c:varyColors val="0"/>
        <c:ser>
          <c:idx val="2"/>
          <c:order val="2"/>
          <c:tx>
            <c:v>% Ejecutado</c:v>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Pt>
            <c:idx val="0"/>
            <c:bubble3D val="0"/>
            <c:extLst>
              <c:ext xmlns:c16="http://schemas.microsoft.com/office/drawing/2014/chart" uri="{C3380CC4-5D6E-409C-BE32-E72D297353CC}">
                <c16:uniqueId val="{00000002-A2A6-4785-8F6A-565385A8559A}"/>
              </c:ext>
            </c:extLst>
          </c:dPt>
          <c:dPt>
            <c:idx val="1"/>
            <c:bubble3D val="0"/>
            <c:extLst>
              <c:ext xmlns:c16="http://schemas.microsoft.com/office/drawing/2014/chart" uri="{C3380CC4-5D6E-409C-BE32-E72D297353CC}">
                <c16:uniqueId val="{00000002-1C01-44D8-A584-F0F60B69051B}"/>
              </c:ext>
            </c:extLst>
          </c:dPt>
          <c:dLbls>
            <c:spPr>
              <a:noFill/>
              <a:ln>
                <a:noFill/>
              </a:ln>
              <a:effectLst/>
            </c:spPr>
            <c:txPr>
              <a:bodyPr rot="0" vert="horz" wrap="square" lIns="38100" tIns="19050" rIns="38100" bIns="19050" anchor="ctr">
                <a:spAutoFit/>
              </a:bodyPr>
              <a:lstStyle/>
              <a:p>
                <a:pPr>
                  <a:defRPr sz="1050" b="1"/>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de Pensiones'!$A$10:$A$13</c:f>
              <c:strCache>
                <c:ptCount val="3"/>
                <c:pt idx="0">
                  <c:v>Marzo </c:v>
                </c:pt>
                <c:pt idx="1">
                  <c:v>Febrero</c:v>
                </c:pt>
                <c:pt idx="2">
                  <c:v>Enero</c:v>
                </c:pt>
              </c:strCache>
            </c:strRef>
          </c:cat>
          <c:val>
            <c:numRef>
              <c:f>'Presupuesto de Pensiones'!$F$10:$F$13</c:f>
              <c:numCache>
                <c:formatCode>0.00%</c:formatCode>
                <c:ptCount val="3"/>
                <c:pt idx="0">
                  <c:v>0.95774093346781763</c:v>
                </c:pt>
                <c:pt idx="1">
                  <c:v>0.96996649888199438</c:v>
                </c:pt>
                <c:pt idx="2">
                  <c:v>0.97702061121432382</c:v>
                </c:pt>
              </c:numCache>
            </c:numRef>
          </c:val>
          <c:smooth val="0"/>
          <c:extLst>
            <c:ext xmlns:c16="http://schemas.microsoft.com/office/drawing/2014/chart" uri="{C3380CC4-5D6E-409C-BE32-E72D297353CC}">
              <c16:uniqueId val="{00000004-1C01-44D8-A584-F0F60B69051B}"/>
            </c:ext>
          </c:extLst>
        </c:ser>
        <c:dLbls>
          <c:showLegendKey val="0"/>
          <c:showVal val="1"/>
          <c:showCatName val="0"/>
          <c:showSerName val="0"/>
          <c:showPercent val="0"/>
          <c:showBubbleSize val="0"/>
        </c:dLbls>
        <c:marker val="1"/>
        <c:smooth val="0"/>
        <c:axId val="1665032688"/>
        <c:axId val="1665026160"/>
      </c:lineChart>
      <c:catAx>
        <c:axId val="1665021264"/>
        <c:scaling>
          <c:orientation val="minMax"/>
        </c:scaling>
        <c:delete val="0"/>
        <c:axPos val="b"/>
        <c:numFmt formatCode="General" sourceLinked="0"/>
        <c:majorTickMark val="none"/>
        <c:minorTickMark val="none"/>
        <c:tickLblPos val="nextTo"/>
        <c:crossAx val="1665032144"/>
        <c:crosses val="autoZero"/>
        <c:auto val="1"/>
        <c:lblAlgn val="ctr"/>
        <c:lblOffset val="100"/>
        <c:noMultiLvlLbl val="0"/>
      </c:catAx>
      <c:valAx>
        <c:axId val="1665032144"/>
        <c:scaling>
          <c:orientation val="minMax"/>
          <c:max val="3840000000"/>
          <c:min val="3000000000"/>
        </c:scaling>
        <c:delete val="0"/>
        <c:axPos val="l"/>
        <c:numFmt formatCode="#,##0.00" sourceLinked="1"/>
        <c:majorTickMark val="none"/>
        <c:minorTickMark val="none"/>
        <c:tickLblPos val="nextTo"/>
        <c:crossAx val="1665021264"/>
        <c:crosses val="autoZero"/>
        <c:crossBetween val="between"/>
        <c:majorUnit val="200000000"/>
      </c:valAx>
      <c:valAx>
        <c:axId val="1665026160"/>
        <c:scaling>
          <c:orientation val="minMax"/>
          <c:max val="1"/>
          <c:min val="0.88000000000000012"/>
        </c:scaling>
        <c:delete val="0"/>
        <c:axPos val="r"/>
        <c:numFmt formatCode="0.00%" sourceLinked="1"/>
        <c:majorTickMark val="out"/>
        <c:minorTickMark val="none"/>
        <c:tickLblPos val="nextTo"/>
        <c:crossAx val="1665032688"/>
        <c:crosses val="max"/>
        <c:crossBetween val="between"/>
        <c:majorUnit val="2.0000000000000004E-2"/>
        <c:minorUnit val="5.000000000000001E-3"/>
      </c:valAx>
      <c:catAx>
        <c:axId val="1665032688"/>
        <c:scaling>
          <c:orientation val="minMax"/>
        </c:scaling>
        <c:delete val="1"/>
        <c:axPos val="b"/>
        <c:numFmt formatCode="General" sourceLinked="1"/>
        <c:majorTickMark val="out"/>
        <c:minorTickMark val="none"/>
        <c:tickLblPos val="nextTo"/>
        <c:crossAx val="1665026160"/>
        <c:crosses val="autoZero"/>
        <c:auto val="1"/>
        <c:lblAlgn val="ctr"/>
        <c:lblOffset val="100"/>
        <c:noMultiLvlLbl val="0"/>
      </c:catAx>
    </c:plotArea>
    <c:legend>
      <c:legendPos val="b"/>
      <c:overlay val="0"/>
    </c:legend>
    <c:plotVisOnly val="1"/>
    <c:dispBlanksAs val="gap"/>
    <c:showDLblsOverMax val="0"/>
  </c:chart>
  <c:spPr>
    <a:ln>
      <a:solidFill>
        <a:schemeClr val="bg1"/>
      </a:solidFill>
    </a:ln>
  </c:sp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31471526098266"/>
          <c:y val="0.13154844993940878"/>
          <c:w val="0.82866557875303415"/>
          <c:h val="0.69190263993496037"/>
        </c:manualLayout>
      </c:layout>
      <c:barChart>
        <c:barDir val="col"/>
        <c:grouping val="clustered"/>
        <c:varyColors val="0"/>
        <c:ser>
          <c:idx val="0"/>
          <c:order val="0"/>
          <c:tx>
            <c:v>PC</c:v>
          </c:tx>
          <c:spPr>
            <a:solidFill>
              <a:schemeClr val="accent3"/>
            </a:solidFill>
          </c:spPr>
          <c:invertIfNegative val="0"/>
          <c:dLbls>
            <c:dLbl>
              <c:idx val="0"/>
              <c:layout>
                <c:manualLayout>
                  <c:x val="8.2366115236005497E-3"/>
                  <c:y val="0.2794206104604114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3D9-494F-9FD7-D7A98F07ECC5}"/>
                </c:ext>
              </c:extLst>
            </c:dLbl>
            <c:dLbl>
              <c:idx val="1"/>
              <c:layout>
                <c:manualLayout>
                  <c:x val="-1.9338092923303063E-4"/>
                  <c:y val="0.28115330922095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3D9-494F-9FD7-D7A98F07ECC5}"/>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Nómina!$A$9:$A$11</c:f>
              <c:strCache>
                <c:ptCount val="3"/>
                <c:pt idx="0">
                  <c:v>Marzo</c:v>
                </c:pt>
                <c:pt idx="1">
                  <c:v>Febrero</c:v>
                </c:pt>
                <c:pt idx="2">
                  <c:v>Enero</c:v>
                </c:pt>
              </c:strCache>
            </c:strRef>
          </c:cat>
          <c:val>
            <c:numRef>
              <c:f>Nómina!$B$9:$B$11</c:f>
              <c:numCache>
                <c:formatCode>#,##0_);\(#,##0\)</c:formatCode>
                <c:ptCount val="3"/>
                <c:pt idx="0">
                  <c:v>154605</c:v>
                </c:pt>
                <c:pt idx="1">
                  <c:v>154080</c:v>
                </c:pt>
                <c:pt idx="2">
                  <c:v>153429</c:v>
                </c:pt>
              </c:numCache>
            </c:numRef>
          </c:val>
          <c:extLst>
            <c:ext xmlns:c16="http://schemas.microsoft.com/office/drawing/2014/chart" uri="{C3380CC4-5D6E-409C-BE32-E72D297353CC}">
              <c16:uniqueId val="{00000003-53D9-494F-9FD7-D7A98F07ECC5}"/>
            </c:ext>
          </c:extLst>
        </c:ser>
        <c:ser>
          <c:idx val="1"/>
          <c:order val="1"/>
          <c:tx>
            <c:v>PS</c:v>
          </c:tx>
          <c:spPr>
            <a:solidFill>
              <a:schemeClr val="accent6">
                <a:lumMod val="60000"/>
                <a:lumOff val="40000"/>
              </a:schemeClr>
            </a:solidFill>
          </c:spPr>
          <c:invertIfNegative val="0"/>
          <c:dLbls>
            <c:dLbl>
              <c:idx val="0"/>
              <c:layout>
                <c:manualLayout>
                  <c:x val="1.388888888888888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3D9-494F-9FD7-D7A98F07ECC5}"/>
                </c:ext>
              </c:extLst>
            </c:dLbl>
            <c:dLbl>
              <c:idx val="1"/>
              <c:layout>
                <c:manualLayout>
                  <c:x val="1.666666666666666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3D9-494F-9FD7-D7A98F07ECC5}"/>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Nómina!$A$9:$A$11</c:f>
              <c:strCache>
                <c:ptCount val="3"/>
                <c:pt idx="0">
                  <c:v>Marzo</c:v>
                </c:pt>
                <c:pt idx="1">
                  <c:v>Febrero</c:v>
                </c:pt>
                <c:pt idx="2">
                  <c:v>Enero</c:v>
                </c:pt>
              </c:strCache>
            </c:strRef>
          </c:cat>
          <c:val>
            <c:numRef>
              <c:f>Nómina!$E$9:$E$11</c:f>
              <c:numCache>
                <c:formatCode>#,##0_);\(#,##0\)</c:formatCode>
                <c:ptCount val="3"/>
                <c:pt idx="0">
                  <c:v>51921</c:v>
                </c:pt>
                <c:pt idx="1">
                  <c:v>52014</c:v>
                </c:pt>
                <c:pt idx="2">
                  <c:v>52012</c:v>
                </c:pt>
              </c:numCache>
            </c:numRef>
          </c:val>
          <c:extLst>
            <c:ext xmlns:c16="http://schemas.microsoft.com/office/drawing/2014/chart" uri="{C3380CC4-5D6E-409C-BE32-E72D297353CC}">
              <c16:uniqueId val="{00000007-53D9-494F-9FD7-D7A98F07ECC5}"/>
            </c:ext>
          </c:extLst>
        </c:ser>
        <c:ser>
          <c:idx val="2"/>
          <c:order val="2"/>
          <c:tx>
            <c:v>PN</c:v>
          </c:tx>
          <c:spPr>
            <a:solidFill>
              <a:schemeClr val="tx2">
                <a:lumMod val="60000"/>
                <a:lumOff val="40000"/>
              </a:schemeClr>
            </a:solidFill>
          </c:spPr>
          <c:invertIfNegative val="0"/>
          <c:dLbls>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Nómina!$H$9:$H$11</c:f>
              <c:numCache>
                <c:formatCode>#,##0_);\(#,##0\)</c:formatCode>
                <c:ptCount val="3"/>
                <c:pt idx="0">
                  <c:v>25676</c:v>
                </c:pt>
                <c:pt idx="1">
                  <c:v>25651</c:v>
                </c:pt>
                <c:pt idx="2">
                  <c:v>25420</c:v>
                </c:pt>
              </c:numCache>
            </c:numRef>
          </c:val>
          <c:extLst>
            <c:ext xmlns:c16="http://schemas.microsoft.com/office/drawing/2014/chart" uri="{C3380CC4-5D6E-409C-BE32-E72D297353CC}">
              <c16:uniqueId val="{00000000-C68F-40C1-B7CC-955B6C3781D2}"/>
            </c:ext>
          </c:extLst>
        </c:ser>
        <c:dLbls>
          <c:showLegendKey val="0"/>
          <c:showVal val="1"/>
          <c:showCatName val="0"/>
          <c:showSerName val="0"/>
          <c:showPercent val="0"/>
          <c:showBubbleSize val="0"/>
        </c:dLbls>
        <c:gapWidth val="75"/>
        <c:axId val="1665033232"/>
        <c:axId val="1665027248"/>
      </c:barChart>
      <c:catAx>
        <c:axId val="1665033232"/>
        <c:scaling>
          <c:orientation val="minMax"/>
        </c:scaling>
        <c:delete val="0"/>
        <c:axPos val="b"/>
        <c:numFmt formatCode="General" sourceLinked="0"/>
        <c:majorTickMark val="none"/>
        <c:minorTickMark val="none"/>
        <c:tickLblPos val="nextTo"/>
        <c:crossAx val="1665027248"/>
        <c:crosses val="autoZero"/>
        <c:auto val="1"/>
        <c:lblAlgn val="ctr"/>
        <c:lblOffset val="100"/>
        <c:noMultiLvlLbl val="0"/>
      </c:catAx>
      <c:valAx>
        <c:axId val="1665027248"/>
        <c:scaling>
          <c:orientation val="minMax"/>
        </c:scaling>
        <c:delete val="0"/>
        <c:axPos val="l"/>
        <c:numFmt formatCode="#,##0_);\(#,##0\)" sourceLinked="1"/>
        <c:majorTickMark val="none"/>
        <c:minorTickMark val="none"/>
        <c:tickLblPos val="nextTo"/>
        <c:crossAx val="1665033232"/>
        <c:crosses val="autoZero"/>
        <c:crossBetween val="between"/>
      </c:valAx>
    </c:plotArea>
    <c:legend>
      <c:legendPos val="b"/>
      <c:layout>
        <c:manualLayout>
          <c:xMode val="edge"/>
          <c:yMode val="edge"/>
          <c:x val="0.41335770283434614"/>
          <c:y val="0.93137511312911292"/>
          <c:w val="0.22633816425502665"/>
          <c:h val="6.5109557839156396E-2"/>
        </c:manualLayout>
      </c:layout>
      <c:overlay val="0"/>
    </c:legend>
    <c:plotVisOnly val="1"/>
    <c:dispBlanksAs val="gap"/>
    <c:showDLblsOverMax val="0"/>
  </c:chart>
  <c:spPr>
    <a:ln>
      <a:solidFill>
        <a:schemeClr val="bg1"/>
      </a:solidFill>
    </a:ln>
  </c:spPr>
  <c:printSettings>
    <c:headerFooter/>
    <c:pageMargins b="0.75" l="0.7" r="0.7" t="0.75" header="0.3" footer="0.3"/>
    <c:pageSetup orientation="portrait"/>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PC</c:v>
          </c:tx>
          <c:spPr>
            <a:solidFill>
              <a:schemeClr val="accent3"/>
            </a:solidFill>
          </c:spPr>
          <c:invertIfNegative val="0"/>
          <c:dLbls>
            <c:dLbl>
              <c:idx val="0"/>
              <c:layout>
                <c:manualLayout>
                  <c:x val="-9.5208122101056675E-4"/>
                  <c:y val="0.1782414984419148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BD-4A0D-BE09-D21C77B6043E}"/>
                </c:ext>
              </c:extLst>
            </c:dLbl>
            <c:dLbl>
              <c:idx val="1"/>
              <c:layout>
                <c:manualLayout>
                  <c:x val="1.8258793274707537E-3"/>
                  <c:y val="0.1886208852676180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CBD-4A0D-BE09-D21C77B6043E}"/>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Nómina!$A$9:$A$11</c:f>
              <c:strCache>
                <c:ptCount val="3"/>
                <c:pt idx="0">
                  <c:v>Marzo</c:v>
                </c:pt>
                <c:pt idx="1">
                  <c:v>Febrero</c:v>
                </c:pt>
                <c:pt idx="2">
                  <c:v>Enero</c:v>
                </c:pt>
              </c:strCache>
            </c:strRef>
          </c:cat>
          <c:val>
            <c:numRef>
              <c:f>Nómina!$C$9:$C$11</c:f>
              <c:numCache>
                <c:formatCode>#,##0_);\(#,##0\)</c:formatCode>
                <c:ptCount val="3"/>
                <c:pt idx="0">
                  <c:v>167358</c:v>
                </c:pt>
                <c:pt idx="1">
                  <c:v>166856</c:v>
                </c:pt>
                <c:pt idx="2">
                  <c:v>166208</c:v>
                </c:pt>
              </c:numCache>
            </c:numRef>
          </c:val>
          <c:extLst>
            <c:ext xmlns:c16="http://schemas.microsoft.com/office/drawing/2014/chart" uri="{C3380CC4-5D6E-409C-BE32-E72D297353CC}">
              <c16:uniqueId val="{00000003-9CBD-4A0D-BE09-D21C77B6043E}"/>
            </c:ext>
          </c:extLst>
        </c:ser>
        <c:ser>
          <c:idx val="1"/>
          <c:order val="1"/>
          <c:tx>
            <c:v>PS</c:v>
          </c:tx>
          <c:spPr>
            <a:solidFill>
              <a:schemeClr val="accent6">
                <a:lumMod val="60000"/>
                <a:lumOff val="40000"/>
              </a:schemeClr>
            </a:solidFill>
          </c:spPr>
          <c:invertIfNegative val="0"/>
          <c:dLbls>
            <c:dLbl>
              <c:idx val="0"/>
              <c:layout>
                <c:manualLayout>
                  <c:x val="-9.5208122101056675E-4"/>
                  <c:y val="1.72491772685724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CBD-4A0D-BE09-D21C77B6043E}"/>
                </c:ext>
              </c:extLst>
            </c:dLbl>
            <c:dLbl>
              <c:idx val="1"/>
              <c:layout>
                <c:manualLayout>
                  <c:x val="1.304057958836161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CBD-4A0D-BE09-D21C77B6043E}"/>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Nómina!$A$9:$A$11</c:f>
              <c:strCache>
                <c:ptCount val="3"/>
                <c:pt idx="0">
                  <c:v>Marzo</c:v>
                </c:pt>
                <c:pt idx="1">
                  <c:v>Febrero</c:v>
                </c:pt>
                <c:pt idx="2">
                  <c:v>Enero</c:v>
                </c:pt>
              </c:strCache>
            </c:strRef>
          </c:cat>
          <c:val>
            <c:numRef>
              <c:f>Nómina!$F$9:$F$11</c:f>
              <c:numCache>
                <c:formatCode>#,##0_);\(#,##0\)</c:formatCode>
                <c:ptCount val="3"/>
                <c:pt idx="0">
                  <c:v>51921</c:v>
                </c:pt>
                <c:pt idx="1">
                  <c:v>52014</c:v>
                </c:pt>
                <c:pt idx="2">
                  <c:v>52012</c:v>
                </c:pt>
              </c:numCache>
            </c:numRef>
          </c:val>
          <c:extLst>
            <c:ext xmlns:c16="http://schemas.microsoft.com/office/drawing/2014/chart" uri="{C3380CC4-5D6E-409C-BE32-E72D297353CC}">
              <c16:uniqueId val="{00000007-9CBD-4A0D-BE09-D21C77B6043E}"/>
            </c:ext>
          </c:extLst>
        </c:ser>
        <c:ser>
          <c:idx val="2"/>
          <c:order val="2"/>
          <c:tx>
            <c:v>PN</c:v>
          </c:tx>
          <c:spPr>
            <a:solidFill>
              <a:schemeClr val="tx2">
                <a:lumMod val="60000"/>
                <a:lumOff val="40000"/>
              </a:schemeClr>
            </a:solidFill>
          </c:spPr>
          <c:invertIfNegative val="0"/>
          <c:dLbls>
            <c:dLbl>
              <c:idx val="0"/>
              <c:layout>
                <c:manualLayout>
                  <c:x val="2.5169507716138687E-3"/>
                  <c:y val="1.72491772685723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A7-42AB-9E5A-58FEC411AE86}"/>
                </c:ext>
              </c:extLst>
            </c:dLbl>
            <c:dLbl>
              <c:idx val="1"/>
              <c:layout>
                <c:manualLayout>
                  <c:x val="0"/>
                  <c:y val="5.749725756190749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A7-42AB-9E5A-58FEC411AE86}"/>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Nómina!$I$9:$I$11</c:f>
              <c:numCache>
                <c:formatCode>#,##0_);\(#,##0\)</c:formatCode>
                <c:ptCount val="3"/>
                <c:pt idx="0">
                  <c:v>25769</c:v>
                </c:pt>
                <c:pt idx="1">
                  <c:v>25744</c:v>
                </c:pt>
                <c:pt idx="2">
                  <c:v>25516</c:v>
                </c:pt>
              </c:numCache>
            </c:numRef>
          </c:val>
          <c:extLst>
            <c:ext xmlns:c16="http://schemas.microsoft.com/office/drawing/2014/chart" uri="{C3380CC4-5D6E-409C-BE32-E72D297353CC}">
              <c16:uniqueId val="{00000000-B4C7-4C8F-829E-12F6B5EA66FC}"/>
            </c:ext>
          </c:extLst>
        </c:ser>
        <c:dLbls>
          <c:showLegendKey val="0"/>
          <c:showVal val="1"/>
          <c:showCatName val="0"/>
          <c:showSerName val="0"/>
          <c:showPercent val="0"/>
          <c:showBubbleSize val="0"/>
        </c:dLbls>
        <c:gapWidth val="75"/>
        <c:axId val="1665028880"/>
        <c:axId val="1665018544"/>
      </c:barChart>
      <c:catAx>
        <c:axId val="1665028880"/>
        <c:scaling>
          <c:orientation val="minMax"/>
        </c:scaling>
        <c:delete val="0"/>
        <c:axPos val="b"/>
        <c:numFmt formatCode="General" sourceLinked="0"/>
        <c:majorTickMark val="none"/>
        <c:minorTickMark val="none"/>
        <c:tickLblPos val="nextTo"/>
        <c:crossAx val="1665018544"/>
        <c:crosses val="autoZero"/>
        <c:auto val="1"/>
        <c:lblAlgn val="ctr"/>
        <c:lblOffset val="100"/>
        <c:noMultiLvlLbl val="0"/>
      </c:catAx>
      <c:valAx>
        <c:axId val="1665018544"/>
        <c:scaling>
          <c:orientation val="minMax"/>
        </c:scaling>
        <c:delete val="0"/>
        <c:axPos val="l"/>
        <c:numFmt formatCode="#,##0_);\(#,##0\)" sourceLinked="1"/>
        <c:majorTickMark val="none"/>
        <c:minorTickMark val="none"/>
        <c:tickLblPos val="nextTo"/>
        <c:crossAx val="1665028880"/>
        <c:crosses val="autoZero"/>
        <c:crossBetween val="between"/>
      </c:valAx>
    </c:plotArea>
    <c:legend>
      <c:legendPos val="b"/>
      <c:overlay val="0"/>
    </c:legend>
    <c:plotVisOnly val="1"/>
    <c:dispBlanksAs val="gap"/>
    <c:showDLblsOverMax val="0"/>
  </c:chart>
  <c:spPr>
    <a:ln>
      <a:solidFill>
        <a:schemeClr val="bg1"/>
      </a:solidFill>
    </a:ln>
  </c:sp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337994475336546"/>
          <c:y val="7.2398304229332799E-2"/>
          <c:w val="0.74678873081085129"/>
          <c:h val="0.66715845292252429"/>
        </c:manualLayout>
      </c:layout>
      <c:barChart>
        <c:barDir val="col"/>
        <c:grouping val="clustered"/>
        <c:varyColors val="0"/>
        <c:ser>
          <c:idx val="0"/>
          <c:order val="0"/>
          <c:tx>
            <c:v>PC</c:v>
          </c:tx>
          <c:spPr>
            <a:solidFill>
              <a:schemeClr val="accent3"/>
            </a:solidFill>
          </c:spPr>
          <c:invertIfNegative val="0"/>
          <c:dLbls>
            <c:dLbl>
              <c:idx val="0"/>
              <c:layout>
                <c:manualLayout>
                  <c:x val="-2.8154707518661961E-3"/>
                  <c:y val="0.23723951716480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DAB-4ACC-9DB2-E039C3656B7D}"/>
                </c:ext>
              </c:extLst>
            </c:dLbl>
            <c:dLbl>
              <c:idx val="1"/>
              <c:layout>
                <c:manualLayout>
                  <c:x val="-5.5544341463445307E-3"/>
                  <c:y val="0.2151374158988942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AB-4ACC-9DB2-E039C3656B7D}"/>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Nómina!$A$9:$A$11</c:f>
              <c:strCache>
                <c:ptCount val="3"/>
                <c:pt idx="0">
                  <c:v>Marzo</c:v>
                </c:pt>
                <c:pt idx="1">
                  <c:v>Febrero</c:v>
                </c:pt>
                <c:pt idx="2">
                  <c:v>Enero</c:v>
                </c:pt>
              </c:strCache>
            </c:strRef>
          </c:cat>
          <c:val>
            <c:numRef>
              <c:f>Nómina!$D$9:$D$11</c:f>
              <c:numCache>
                <c:formatCode>_(* #,##0.00_);_(* \(#,##0.00\);_(* "-"??_);_(@_)</c:formatCode>
                <c:ptCount val="3"/>
                <c:pt idx="0">
                  <c:v>2740935266.9699998</c:v>
                </c:pt>
                <c:pt idx="1">
                  <c:v>2727407777.1700001</c:v>
                </c:pt>
                <c:pt idx="2">
                  <c:v>2713401144.29</c:v>
                </c:pt>
              </c:numCache>
            </c:numRef>
          </c:val>
          <c:extLst>
            <c:ext xmlns:c16="http://schemas.microsoft.com/office/drawing/2014/chart" uri="{C3380CC4-5D6E-409C-BE32-E72D297353CC}">
              <c16:uniqueId val="{00000000-0F53-4019-BFDC-2A350F855EE7}"/>
            </c:ext>
          </c:extLst>
        </c:ser>
        <c:ser>
          <c:idx val="1"/>
          <c:order val="1"/>
          <c:tx>
            <c:v>PS</c:v>
          </c:tx>
          <c:spPr>
            <a:solidFill>
              <a:schemeClr val="accent6">
                <a:lumMod val="60000"/>
                <a:lumOff val="40000"/>
              </a:schemeClr>
            </a:solidFill>
          </c:spPr>
          <c:invertIfNegative val="0"/>
          <c:dLbls>
            <c:dLbl>
              <c:idx val="0"/>
              <c:layout>
                <c:manualLayout>
                  <c:x val="6.2974987543972412E-3"/>
                  <c:y val="5.52552531647767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45C-498E-B306-189846393CDE}"/>
                </c:ext>
              </c:extLst>
            </c:dLbl>
            <c:dLbl>
              <c:idx val="1"/>
              <c:layout>
                <c:manualLayout>
                  <c:x val="9.1129695062634377E-3"/>
                  <c:y val="1.65765759494330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45C-498E-B306-189846393CDE}"/>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Nómina!$A$9:$A$11</c:f>
              <c:strCache>
                <c:ptCount val="3"/>
                <c:pt idx="0">
                  <c:v>Marzo</c:v>
                </c:pt>
                <c:pt idx="1">
                  <c:v>Febrero</c:v>
                </c:pt>
                <c:pt idx="2">
                  <c:v>Enero</c:v>
                </c:pt>
              </c:strCache>
            </c:strRef>
          </c:cat>
          <c:val>
            <c:numRef>
              <c:f>Nómina!$G$9:$G$11</c:f>
              <c:numCache>
                <c:formatCode>_(* #,##0.00_);_(* \(#,##0.00\);_(* "-"??_);_(@_)</c:formatCode>
                <c:ptCount val="3"/>
                <c:pt idx="0">
                  <c:v>311526000</c:v>
                </c:pt>
                <c:pt idx="1">
                  <c:v>312084000</c:v>
                </c:pt>
                <c:pt idx="2">
                  <c:v>312072000</c:v>
                </c:pt>
              </c:numCache>
            </c:numRef>
          </c:val>
          <c:extLst>
            <c:ext xmlns:c16="http://schemas.microsoft.com/office/drawing/2014/chart" uri="{C3380CC4-5D6E-409C-BE32-E72D297353CC}">
              <c16:uniqueId val="{00000001-0F53-4019-BFDC-2A350F855EE7}"/>
            </c:ext>
          </c:extLst>
        </c:ser>
        <c:ser>
          <c:idx val="2"/>
          <c:order val="2"/>
          <c:tx>
            <c:v>PN</c:v>
          </c:tx>
          <c:spPr>
            <a:solidFill>
              <a:schemeClr val="tx2">
                <a:lumMod val="60000"/>
                <a:lumOff val="40000"/>
              </a:schemeClr>
            </a:solidFill>
          </c:spPr>
          <c:invertIfNegative val="0"/>
          <c:dLbls>
            <c:dLbl>
              <c:idx val="0"/>
              <c:layout>
                <c:manualLayout>
                  <c:x val="7.4488820807821271E-3"/>
                  <c:y val="5.52552531647772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45C-498E-B306-189846393CDE}"/>
                </c:ext>
              </c:extLst>
            </c:dLbl>
            <c:dLbl>
              <c:idx val="1"/>
              <c:layout>
                <c:manualLayout>
                  <c:x val="4.6332017197177064E-3"/>
                  <c:y val="5.52552531647770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45C-498E-B306-189846393CDE}"/>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Nómina!$J$9:$J$11</c:f>
              <c:numCache>
                <c:formatCode>_(* #,##0.00_);_(* \(#,##0.00\);_(* "-"??_);_(@_)</c:formatCode>
                <c:ptCount val="3"/>
                <c:pt idx="0">
                  <c:v>774621811.48000002</c:v>
                </c:pt>
                <c:pt idx="1">
                  <c:v>772227644.54999995</c:v>
                </c:pt>
                <c:pt idx="2">
                  <c:v>757879239.37</c:v>
                </c:pt>
              </c:numCache>
            </c:numRef>
          </c:val>
          <c:extLst>
            <c:ext xmlns:c16="http://schemas.microsoft.com/office/drawing/2014/chart" uri="{C3380CC4-5D6E-409C-BE32-E72D297353CC}">
              <c16:uniqueId val="{00000000-281D-447F-87D6-9DFFE7E603D8}"/>
            </c:ext>
          </c:extLst>
        </c:ser>
        <c:dLbls>
          <c:showLegendKey val="0"/>
          <c:showVal val="1"/>
          <c:showCatName val="0"/>
          <c:showSerName val="0"/>
          <c:showPercent val="0"/>
          <c:showBubbleSize val="0"/>
        </c:dLbls>
        <c:gapWidth val="75"/>
        <c:axId val="1665023984"/>
        <c:axId val="1665028336"/>
      </c:barChart>
      <c:catAx>
        <c:axId val="1665023984"/>
        <c:scaling>
          <c:orientation val="minMax"/>
        </c:scaling>
        <c:delete val="0"/>
        <c:axPos val="b"/>
        <c:numFmt formatCode="General" sourceLinked="0"/>
        <c:majorTickMark val="none"/>
        <c:minorTickMark val="none"/>
        <c:tickLblPos val="nextTo"/>
        <c:crossAx val="1665028336"/>
        <c:crosses val="autoZero"/>
        <c:auto val="1"/>
        <c:lblAlgn val="ctr"/>
        <c:lblOffset val="100"/>
        <c:noMultiLvlLbl val="0"/>
      </c:catAx>
      <c:valAx>
        <c:axId val="1665028336"/>
        <c:scaling>
          <c:orientation val="minMax"/>
        </c:scaling>
        <c:delete val="0"/>
        <c:axPos val="l"/>
        <c:numFmt formatCode="_(* #,##0.00_);_(* \(#,##0.00\);_(* &quot;-&quot;??_);_(@_)" sourceLinked="1"/>
        <c:majorTickMark val="none"/>
        <c:minorTickMark val="none"/>
        <c:tickLblPos val="nextTo"/>
        <c:crossAx val="1665023984"/>
        <c:crosses val="autoZero"/>
        <c:crossBetween val="between"/>
      </c:valAx>
    </c:plotArea>
    <c:legend>
      <c:legendPos val="b"/>
      <c:overlay val="0"/>
    </c:legend>
    <c:plotVisOnly val="1"/>
    <c:dispBlanksAs val="gap"/>
    <c:showDLblsOverMax val="0"/>
  </c:chart>
  <c:spPr>
    <a:ln>
      <a:solidFill>
        <a:schemeClr val="bg1"/>
      </a:solid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accent1"/>
                </a:solidFill>
                <a:latin typeface="+mn-lt"/>
                <a:ea typeface="+mn-ea"/>
                <a:cs typeface="+mn-cs"/>
              </a:defRPr>
            </a:pPr>
            <a:r>
              <a:rPr lang="es-DO" sz="1100" b="1">
                <a:solidFill>
                  <a:schemeClr val="accent1"/>
                </a:solidFill>
              </a:rPr>
              <a:t>%</a:t>
            </a:r>
            <a:r>
              <a:rPr lang="es-DO" sz="1100" b="1" baseline="0">
                <a:solidFill>
                  <a:schemeClr val="accent1"/>
                </a:solidFill>
              </a:rPr>
              <a:t> Pagado</a:t>
            </a:r>
            <a:endParaRPr lang="es-DO" sz="1100" b="1">
              <a:solidFill>
                <a:schemeClr val="accent1"/>
              </a:solidFill>
            </a:endParaRP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mn-lt"/>
              <a:ea typeface="+mn-ea"/>
              <a:cs typeface="+mn-cs"/>
            </a:defRPr>
          </a:pPr>
          <a:endParaRPr lang="es-D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4-1658-4F4E-82BB-972C8E917EE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(Nómina!#REF!,Nómina!#REF!,Nómina!#REF!)</c:f>
              <c:numCache>
                <c:formatCode>General</c:formatCode>
                <c:ptCount val="1"/>
                <c:pt idx="0">
                  <c:v>1</c:v>
                </c:pt>
              </c:numCache>
            </c:numRef>
          </c:val>
          <c:extLst>
            <c:ext xmlns:c16="http://schemas.microsoft.com/office/drawing/2014/chart" uri="{C3380CC4-5D6E-409C-BE32-E72D297353CC}">
              <c16:uniqueId val="{00000000-1658-4F4E-82BB-972C8E917EE2}"/>
            </c:ext>
          </c:extLst>
        </c:ser>
        <c:dLbls>
          <c:dLblPos val="bestFit"/>
          <c:showLegendKey val="0"/>
          <c:showVal val="1"/>
          <c:showCatName val="0"/>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DO">
                <a:solidFill>
                  <a:schemeClr val="accent1"/>
                </a:solidFill>
              </a:rPr>
              <a:t>Nóminas Autoseguro</a:t>
            </a:r>
          </a:p>
          <a:p>
            <a:pPr>
              <a:defRPr/>
            </a:pPr>
            <a:endParaRPr lang="es-DO"/>
          </a:p>
        </c:rich>
      </c:tx>
      <c:layout>
        <c:manualLayout>
          <c:xMode val="edge"/>
          <c:yMode val="edge"/>
          <c:x val="0.37009135504037877"/>
          <c:y val="1.3082895352795982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8832881884700847E-2"/>
          <c:y val="0.19432888597258677"/>
          <c:w val="0.93897689989547006"/>
          <c:h val="0.64884186351706041"/>
        </c:manualLayout>
      </c:layout>
      <c:pie3DChart>
        <c:varyColors val="1"/>
        <c:ser>
          <c:idx val="0"/>
          <c:order val="0"/>
          <c:explosion val="19"/>
          <c:dPt>
            <c:idx val="0"/>
            <c:bubble3D val="0"/>
            <c:explosion val="24"/>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D226-4742-8E7F-C6FD6D3E0DFF}"/>
              </c:ext>
            </c:extLst>
          </c:dPt>
          <c:dPt>
            <c:idx val="1"/>
            <c:bubble3D val="0"/>
            <c:explosion val="25"/>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226-4742-8E7F-C6FD6D3E0DFF}"/>
              </c:ext>
            </c:extLst>
          </c:dPt>
          <c:dPt>
            <c:idx val="2"/>
            <c:bubble3D val="0"/>
            <c:explosion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D226-4742-8E7F-C6FD6D3E0DFF}"/>
              </c:ext>
            </c:extLst>
          </c:dPt>
          <c:dLbls>
            <c:dLbl>
              <c:idx val="0"/>
              <c:tx>
                <c:rich>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fld id="{DECF9C51-46E0-4294-B195-1D220E9FC5C4}" type="PERCENTAGE">
                      <a:rPr lang="en-US"/>
                      <a:pPr>
                        <a:defRPr b="1"/>
                      </a:pPr>
                      <a:t>[PORCENTAJE]</a:t>
                    </a:fld>
                    <a:r>
                      <a:rPr lang="en-US"/>
                      <a:t> Discapacidad Civil</a:t>
                    </a:r>
                  </a:p>
                </c:rich>
              </c:tx>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inEnd"/>
              <c:showLegendKey val="0"/>
              <c:showVal val="0"/>
              <c:showCatName val="0"/>
              <c:showSerName val="0"/>
              <c:showPercent val="1"/>
              <c:showBubbleSize val="0"/>
              <c:extLst>
                <c:ext xmlns:c15="http://schemas.microsoft.com/office/drawing/2012/chart" uri="{CE6537A1-D6FC-4f65-9D91-7224C49458BB}">
                  <c15:layout>
                    <c:manualLayout>
                      <c:w val="0.2541947429462203"/>
                      <c:h val="6.3250841541369757E-2"/>
                    </c:manualLayout>
                  </c15:layout>
                  <c15:dlblFieldTable/>
                  <c15:showDataLabelsRange val="0"/>
                </c:ext>
                <c:ext xmlns:c16="http://schemas.microsoft.com/office/drawing/2014/chart" uri="{C3380CC4-5D6E-409C-BE32-E72D297353CC}">
                  <c16:uniqueId val="{00000002-D226-4742-8E7F-C6FD6D3E0DFF}"/>
                </c:ext>
              </c:extLst>
            </c:dLbl>
            <c:dLbl>
              <c:idx val="1"/>
              <c:tx>
                <c:rich>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fld id="{1231C39E-1E62-4572-8675-95EF26C6BE38}" type="PERCENTAGE">
                      <a:rPr lang="en-US"/>
                      <a:pPr>
                        <a:defRPr b="1"/>
                      </a:pPr>
                      <a:t>[PORCENTAJE]</a:t>
                    </a:fld>
                    <a:r>
                      <a:rPr lang="en-US"/>
                      <a:t> Sobrevivencia</a:t>
                    </a:r>
                    <a:r>
                      <a:rPr lang="en-US" baseline="0"/>
                      <a:t> Civil</a:t>
                    </a:r>
                  </a:p>
                </c:rich>
              </c:tx>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inEnd"/>
              <c:showLegendKey val="0"/>
              <c:showVal val="0"/>
              <c:showCatName val="0"/>
              <c:showSerName val="0"/>
              <c:showPercent val="1"/>
              <c:showBubbleSize val="0"/>
              <c:extLst>
                <c:ext xmlns:c15="http://schemas.microsoft.com/office/drawing/2012/chart" uri="{CE6537A1-D6FC-4f65-9D91-7224C49458BB}">
                  <c15:layout>
                    <c:manualLayout>
                      <c:w val="0.254792695237817"/>
                      <c:h val="5.9025675552119947E-2"/>
                    </c:manualLayout>
                  </c15:layout>
                  <c15:dlblFieldTable/>
                  <c15:showDataLabelsRange val="0"/>
                </c:ext>
                <c:ext xmlns:c16="http://schemas.microsoft.com/office/drawing/2014/chart" uri="{C3380CC4-5D6E-409C-BE32-E72D297353CC}">
                  <c16:uniqueId val="{00000003-D226-4742-8E7F-C6FD6D3E0DFF}"/>
                </c:ext>
              </c:extLst>
            </c:dLbl>
            <c:dLbl>
              <c:idx val="2"/>
              <c:tx>
                <c:rich>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fld id="{6F7D688D-08E1-4C3E-B88A-5A6FCB65F87E}" type="PERCENTAGE">
                      <a:rPr lang="en-US"/>
                      <a:pPr>
                        <a:defRPr b="1"/>
                      </a:pPr>
                      <a:t>[PORCENTAJE]</a:t>
                    </a:fld>
                    <a:r>
                      <a:rPr lang="en-US"/>
                      <a:t> Sobrevivencia PN</a:t>
                    </a:r>
                  </a:p>
                </c:rich>
              </c:tx>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inEnd"/>
              <c:showLegendKey val="0"/>
              <c:showVal val="0"/>
              <c:showCatName val="0"/>
              <c:showSerName val="0"/>
              <c:showPercent val="1"/>
              <c:showBubbleSize val="0"/>
              <c:extLst>
                <c:ext xmlns:c15="http://schemas.microsoft.com/office/drawing/2012/chart" uri="{CE6537A1-D6FC-4f65-9D91-7224C49458BB}">
                  <c15:layout>
                    <c:manualLayout>
                      <c:w val="0.23471364109388787"/>
                      <c:h val="6.7476014657025726E-2"/>
                    </c:manualLayout>
                  </c15:layout>
                  <c15:dlblFieldTable/>
                  <c15:showDataLabelsRange val="0"/>
                </c:ext>
                <c:ext xmlns:c16="http://schemas.microsoft.com/office/drawing/2014/chart" uri="{C3380CC4-5D6E-409C-BE32-E72D297353CC}">
                  <c16:uniqueId val="{00000001-D226-4742-8E7F-C6FD6D3E0DF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inEnd"/>
            <c:showLegendKey val="0"/>
            <c:showVal val="0"/>
            <c:showCatName val="0"/>
            <c:showSerName val="0"/>
            <c:showPercent val="1"/>
            <c:showBubbleSize val="0"/>
            <c:showLeaderLines val="1"/>
            <c:leaderLines>
              <c:spPr>
                <a:ln w="2540" cap="flat" cmpd="sng" algn="ctr">
                  <a:solidFill>
                    <a:srgbClr val="0070C0">
                      <a:alpha val="99000"/>
                    </a:srgbClr>
                  </a:solidFill>
                  <a:round/>
                </a:ln>
                <a:effectLst/>
              </c:spPr>
            </c:leaderLines>
            <c:extLst>
              <c:ext xmlns:c15="http://schemas.microsoft.com/office/drawing/2012/chart" uri="{CE6537A1-D6FC-4f65-9D91-7224C49458BB}"/>
            </c:extLst>
          </c:dLbls>
          <c:val>
            <c:numRef>
              <c:f>(Autoseguro!$C$13,Autoseguro!$H$13,Autoseguro!$M$13,Autoseguro!$O$13)</c:f>
              <c:numCache>
                <c:formatCode>0.00%</c:formatCode>
                <c:ptCount val="3"/>
                <c:pt idx="0">
                  <c:v>9.6036683900866143E-2</c:v>
                </c:pt>
                <c:pt idx="1">
                  <c:v>0.4495963733165837</c:v>
                </c:pt>
                <c:pt idx="2">
                  <c:v>0.45334597499280699</c:v>
                </c:pt>
              </c:numCache>
            </c:numRef>
          </c:val>
          <c:extLst>
            <c:ext xmlns:c16="http://schemas.microsoft.com/office/drawing/2014/chart" uri="{C3380CC4-5D6E-409C-BE32-E72D297353CC}">
              <c16:uniqueId val="{00000000-D226-4742-8E7F-C6FD6D3E0DFF}"/>
            </c:ext>
          </c:extLst>
        </c:ser>
        <c:dLbls>
          <c:dLblPos val="in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983544853544371"/>
          <c:y val="4.8999027385089912E-2"/>
          <c:w val="0.71898084254210293"/>
          <c:h val="0.83940945825033841"/>
        </c:manualLayout>
      </c:layout>
      <c:barChart>
        <c:barDir val="bar"/>
        <c:grouping val="clustered"/>
        <c:varyColors val="0"/>
        <c:ser>
          <c:idx val="0"/>
          <c:order val="0"/>
          <c:tx>
            <c:strRef>
              <c:f>Movimientos!$B$7</c:f>
              <c:strCache>
                <c:ptCount val="1"/>
                <c:pt idx="0">
                  <c:v>Inclusiones</c:v>
                </c:pt>
              </c:strCache>
            </c:strRef>
          </c:tx>
          <c:spPr>
            <a:solidFill>
              <a:schemeClr val="bg1">
                <a:lumMod val="75000"/>
              </a:schemeClr>
            </a:solidFill>
            <a:ln>
              <a:solidFill>
                <a:schemeClr val="bg1">
                  <a:lumMod val="75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Movimientos!$A$9:$A$11</c:f>
              <c:strCache>
                <c:ptCount val="3"/>
                <c:pt idx="0">
                  <c:v>Marzo</c:v>
                </c:pt>
                <c:pt idx="1">
                  <c:v>Febrero</c:v>
                </c:pt>
                <c:pt idx="2">
                  <c:v>Enero</c:v>
                </c:pt>
              </c:strCache>
            </c:strRef>
          </c:cat>
          <c:val>
            <c:numRef>
              <c:f>Movimientos!$B$9:$B$11</c:f>
              <c:numCache>
                <c:formatCode>#,##0</c:formatCode>
                <c:ptCount val="3"/>
                <c:pt idx="0">
                  <c:v>1254</c:v>
                </c:pt>
                <c:pt idx="1">
                  <c:v>1212</c:v>
                </c:pt>
                <c:pt idx="2">
                  <c:v>1539</c:v>
                </c:pt>
              </c:numCache>
            </c:numRef>
          </c:val>
          <c:extLst>
            <c:ext xmlns:c16="http://schemas.microsoft.com/office/drawing/2014/chart" uri="{C3380CC4-5D6E-409C-BE32-E72D297353CC}">
              <c16:uniqueId val="{00000000-565D-4375-BB21-8C6D1E025F82}"/>
            </c:ext>
          </c:extLst>
        </c:ser>
        <c:ser>
          <c:idx val="1"/>
          <c:order val="1"/>
          <c:tx>
            <c:strRef>
              <c:f>Movimientos!$H$7</c:f>
              <c:strCache>
                <c:ptCount val="1"/>
                <c:pt idx="0">
                  <c:v>Aumentos</c:v>
                </c:pt>
              </c:strCache>
            </c:strRef>
          </c:tx>
          <c:spPr>
            <a:solidFill>
              <a:schemeClr val="accent3">
                <a:lumMod val="20000"/>
                <a:lumOff val="80000"/>
              </a:schemeClr>
            </a:solidFill>
            <a:ln>
              <a:solidFill>
                <a:schemeClr val="accent3">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Movimientos!$A$9:$A$11</c:f>
              <c:strCache>
                <c:ptCount val="3"/>
                <c:pt idx="0">
                  <c:v>Marzo</c:v>
                </c:pt>
                <c:pt idx="1">
                  <c:v>Febrero</c:v>
                </c:pt>
                <c:pt idx="2">
                  <c:v>Enero</c:v>
                </c:pt>
              </c:strCache>
            </c:strRef>
          </c:cat>
          <c:val>
            <c:numRef>
              <c:f>Movimientos!$H$9:$H$11</c:f>
              <c:numCache>
                <c:formatCode>#,##0</c:formatCode>
                <c:ptCount val="3"/>
                <c:pt idx="0">
                  <c:v>19</c:v>
                </c:pt>
                <c:pt idx="1">
                  <c:v>42</c:v>
                </c:pt>
                <c:pt idx="2">
                  <c:v>16</c:v>
                </c:pt>
              </c:numCache>
            </c:numRef>
          </c:val>
          <c:extLst>
            <c:ext xmlns:c16="http://schemas.microsoft.com/office/drawing/2014/chart" uri="{C3380CC4-5D6E-409C-BE32-E72D297353CC}">
              <c16:uniqueId val="{00000001-565D-4375-BB21-8C6D1E025F82}"/>
            </c:ext>
          </c:extLst>
        </c:ser>
        <c:ser>
          <c:idx val="2"/>
          <c:order val="2"/>
          <c:tx>
            <c:strRef>
              <c:f>Movimientos!$J$7</c:f>
              <c:strCache>
                <c:ptCount val="1"/>
                <c:pt idx="0">
                  <c:v>Exclusiones</c:v>
                </c:pt>
              </c:strCache>
            </c:strRef>
          </c:tx>
          <c:spPr>
            <a:solidFill>
              <a:schemeClr val="accent1">
                <a:lumMod val="60000"/>
                <a:lumOff val="40000"/>
              </a:schemeClr>
            </a:solidFill>
            <a:ln>
              <a:solidFill>
                <a:schemeClr val="accent1">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Movimientos!$A$9:$A$11</c:f>
              <c:strCache>
                <c:ptCount val="3"/>
                <c:pt idx="0">
                  <c:v>Marzo</c:v>
                </c:pt>
                <c:pt idx="1">
                  <c:v>Febrero</c:v>
                </c:pt>
                <c:pt idx="2">
                  <c:v>Enero</c:v>
                </c:pt>
              </c:strCache>
            </c:strRef>
          </c:cat>
          <c:val>
            <c:numRef>
              <c:f>Movimientos!$J$9:$J$11</c:f>
              <c:numCache>
                <c:formatCode>#,##0</c:formatCode>
                <c:ptCount val="3"/>
                <c:pt idx="0">
                  <c:v>906</c:v>
                </c:pt>
                <c:pt idx="1">
                  <c:v>141</c:v>
                </c:pt>
                <c:pt idx="2">
                  <c:v>683</c:v>
                </c:pt>
              </c:numCache>
            </c:numRef>
          </c:val>
          <c:extLst>
            <c:ext xmlns:c16="http://schemas.microsoft.com/office/drawing/2014/chart" uri="{C3380CC4-5D6E-409C-BE32-E72D297353CC}">
              <c16:uniqueId val="{00000002-565D-4375-BB21-8C6D1E025F82}"/>
            </c:ext>
          </c:extLst>
        </c:ser>
        <c:ser>
          <c:idx val="3"/>
          <c:order val="3"/>
          <c:tx>
            <c:strRef>
              <c:f>Movimientos!$L$7</c:f>
              <c:strCache>
                <c:ptCount val="1"/>
                <c:pt idx="0">
                  <c:v>Suspensiones</c:v>
                </c:pt>
              </c:strCache>
            </c:strRef>
          </c:tx>
          <c:spPr>
            <a:solidFill>
              <a:schemeClr val="accent6">
                <a:lumMod val="60000"/>
                <a:lumOff val="40000"/>
              </a:schemeClr>
            </a:solidFill>
            <a:ln>
              <a:solidFill>
                <a:schemeClr val="accent6">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Movimientos!$A$9:$A$11</c:f>
              <c:strCache>
                <c:ptCount val="3"/>
                <c:pt idx="0">
                  <c:v>Marzo</c:v>
                </c:pt>
                <c:pt idx="1">
                  <c:v>Febrero</c:v>
                </c:pt>
                <c:pt idx="2">
                  <c:v>Enero</c:v>
                </c:pt>
              </c:strCache>
            </c:strRef>
          </c:cat>
          <c:val>
            <c:numRef>
              <c:f>Movimientos!$L$9:$L$11</c:f>
              <c:numCache>
                <c:formatCode>#,##0</c:formatCode>
                <c:ptCount val="3"/>
                <c:pt idx="0">
                  <c:v>240</c:v>
                </c:pt>
                <c:pt idx="1">
                  <c:v>359</c:v>
                </c:pt>
                <c:pt idx="2">
                  <c:v>133</c:v>
                </c:pt>
              </c:numCache>
            </c:numRef>
          </c:val>
          <c:extLst>
            <c:ext xmlns:c16="http://schemas.microsoft.com/office/drawing/2014/chart" uri="{C3380CC4-5D6E-409C-BE32-E72D297353CC}">
              <c16:uniqueId val="{00000003-565D-4375-BB21-8C6D1E025F82}"/>
            </c:ext>
          </c:extLst>
        </c:ser>
        <c:ser>
          <c:idx val="4"/>
          <c:order val="4"/>
          <c:tx>
            <c:strRef>
              <c:f>Movimientos!$D$7</c:f>
              <c:strCache>
                <c:ptCount val="1"/>
                <c:pt idx="0">
                  <c:v> Sobrevivencia</c:v>
                </c:pt>
              </c:strCache>
            </c:strRef>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Movimientos!$D$9:$D$11</c:f>
              <c:numCache>
                <c:formatCode>#,##0</c:formatCode>
                <c:ptCount val="3"/>
                <c:pt idx="0">
                  <c:v>194</c:v>
                </c:pt>
                <c:pt idx="1">
                  <c:v>96</c:v>
                </c:pt>
                <c:pt idx="2">
                  <c:v>298</c:v>
                </c:pt>
              </c:numCache>
            </c:numRef>
          </c:val>
          <c:extLst>
            <c:ext xmlns:c16="http://schemas.microsoft.com/office/drawing/2014/chart" uri="{C3380CC4-5D6E-409C-BE32-E72D297353CC}">
              <c16:uniqueId val="{00000004-565D-4375-BB21-8C6D1E025F82}"/>
            </c:ext>
          </c:extLst>
        </c:ser>
        <c:ser>
          <c:idx val="5"/>
          <c:order val="5"/>
          <c:tx>
            <c:strRef>
              <c:f>Movimientos!$F$7</c:f>
              <c:strCache>
                <c:ptCount val="1"/>
                <c:pt idx="0">
                  <c:v>Reinclusiones</c:v>
                </c:pt>
              </c:strCache>
            </c:strRef>
          </c:tx>
          <c:spPr>
            <a:solidFill>
              <a:srgbClr val="FFC000"/>
            </a:solid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Movimientos!$F$9:$F$11</c:f>
              <c:numCache>
                <c:formatCode>#,##0</c:formatCode>
                <c:ptCount val="3"/>
                <c:pt idx="0">
                  <c:v>135</c:v>
                </c:pt>
                <c:pt idx="1">
                  <c:v>74</c:v>
                </c:pt>
                <c:pt idx="2">
                  <c:v>42</c:v>
                </c:pt>
              </c:numCache>
            </c:numRef>
          </c:val>
          <c:extLst>
            <c:ext xmlns:c16="http://schemas.microsoft.com/office/drawing/2014/chart" uri="{C3380CC4-5D6E-409C-BE32-E72D297353CC}">
              <c16:uniqueId val="{00000005-565D-4375-BB21-8C6D1E025F82}"/>
            </c:ext>
          </c:extLst>
        </c:ser>
        <c:dLbls>
          <c:dLblPos val="inEnd"/>
          <c:showLegendKey val="0"/>
          <c:showVal val="1"/>
          <c:showCatName val="0"/>
          <c:showSerName val="0"/>
          <c:showPercent val="0"/>
          <c:showBubbleSize val="0"/>
        </c:dLbls>
        <c:gapWidth val="150"/>
        <c:axId val="1665022896"/>
        <c:axId val="1665031056"/>
      </c:barChart>
      <c:catAx>
        <c:axId val="1665022896"/>
        <c:scaling>
          <c:orientation val="minMax"/>
        </c:scaling>
        <c:delete val="0"/>
        <c:axPos val="l"/>
        <c:numFmt formatCode="General" sourceLinked="0"/>
        <c:majorTickMark val="none"/>
        <c:minorTickMark val="none"/>
        <c:tickLblPos val="nextTo"/>
        <c:txPr>
          <a:bodyPr/>
          <a:lstStyle/>
          <a:p>
            <a:pPr>
              <a:defRPr b="1"/>
            </a:pPr>
            <a:endParaRPr lang="es-ES"/>
          </a:p>
        </c:txPr>
        <c:crossAx val="1665031056"/>
        <c:crosses val="autoZero"/>
        <c:auto val="1"/>
        <c:lblAlgn val="ctr"/>
        <c:lblOffset val="100"/>
        <c:noMultiLvlLbl val="0"/>
      </c:catAx>
      <c:valAx>
        <c:axId val="1665031056"/>
        <c:scaling>
          <c:logBase val="10"/>
          <c:orientation val="minMax"/>
        </c:scaling>
        <c:delete val="0"/>
        <c:axPos val="b"/>
        <c:numFmt formatCode="#,##0" sourceLinked="1"/>
        <c:majorTickMark val="none"/>
        <c:minorTickMark val="none"/>
        <c:tickLblPos val="nextTo"/>
        <c:txPr>
          <a:bodyPr/>
          <a:lstStyle/>
          <a:p>
            <a:pPr>
              <a:defRPr b="1"/>
            </a:pPr>
            <a:endParaRPr lang="es-ES"/>
          </a:p>
        </c:txPr>
        <c:crossAx val="1665022896"/>
        <c:crosses val="autoZero"/>
        <c:crossBetween val="between"/>
      </c:valAx>
    </c:plotArea>
    <c:legend>
      <c:legendPos val="r"/>
      <c:layout>
        <c:manualLayout>
          <c:xMode val="edge"/>
          <c:yMode val="edge"/>
          <c:x val="0.88815027659210455"/>
          <c:y val="0.26280559942786536"/>
          <c:w val="0.11184972340789549"/>
          <c:h val="0.48329736446963728"/>
        </c:manualLayout>
      </c:layout>
      <c:overlay val="0"/>
      <c:txPr>
        <a:bodyPr/>
        <a:lstStyle/>
        <a:p>
          <a:pPr>
            <a:defRPr b="1"/>
          </a:pPr>
          <a:endParaRPr lang="es-ES"/>
        </a:p>
      </c:txPr>
    </c:legend>
    <c:plotVisOnly val="1"/>
    <c:dispBlanksAs val="gap"/>
    <c:showDLblsOverMax val="0"/>
  </c:chart>
  <c:spPr>
    <a:ln>
      <a:solidFill>
        <a:schemeClr val="bg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col"/>
        <c:grouping val="clustered"/>
        <c:varyColors val="0"/>
        <c:ser>
          <c:idx val="0"/>
          <c:order val="0"/>
          <c:tx>
            <c:strRef>
              <c:f>'Afiliados y Cotizantes'!$C$6</c:f>
              <c:strCache>
                <c:ptCount val="1"/>
                <c:pt idx="0">
                  <c:v>Afiliados al Sistema de Reparto</c:v>
                </c:pt>
              </c:strCache>
            </c:strRef>
          </c:tx>
          <c:spPr>
            <a:solidFill>
              <a:schemeClr val="bg1">
                <a:lumMod val="75000"/>
              </a:schemeClr>
            </a:solidFill>
            <a:ln>
              <a:solidFill>
                <a:schemeClr val="bg1">
                  <a:lumMod val="75000"/>
                </a:schemeClr>
              </a:solidFill>
            </a:ln>
          </c:spPr>
          <c:invertIfNegative val="0"/>
          <c:dLbls>
            <c:dLbl>
              <c:idx val="0"/>
              <c:layout>
                <c:manualLayout>
                  <c:x val="2.3665036994507917E-17"/>
                  <c:y val="0.222501366029986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854-4B02-BE0A-FF69FF46AF7C}"/>
                </c:ext>
              </c:extLst>
            </c:dLbl>
            <c:dLbl>
              <c:idx val="1"/>
              <c:layout>
                <c:manualLayout>
                  <c:x val="-2.5816702227310574E-3"/>
                  <c:y val="0.4775570140245956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854-4B02-BE0A-FF69FF46AF7C}"/>
                </c:ext>
              </c:extLst>
            </c:dLbl>
            <c:dLbl>
              <c:idx val="2"/>
              <c:layout>
                <c:manualLayout>
                  <c:x val="0"/>
                  <c:y val="0.2389227043801463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854-4B02-BE0A-FF69FF46AF7C}"/>
                </c:ext>
              </c:extLst>
            </c:dLbl>
            <c:spPr>
              <a:noFill/>
              <a:ln>
                <a:noFill/>
              </a:ln>
              <a:effectLst/>
            </c:spPr>
            <c:txPr>
              <a:bodyPr rot="-5400000" vert="horz"/>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Cotizantes'!$C$7:$C$9</c:f>
              <c:numCache>
                <c:formatCode>#,##0</c:formatCode>
                <c:ptCount val="3"/>
                <c:pt idx="0">
                  <c:v>91992</c:v>
                </c:pt>
                <c:pt idx="1">
                  <c:v>91946</c:v>
                </c:pt>
                <c:pt idx="2">
                  <c:v>91952</c:v>
                </c:pt>
              </c:numCache>
            </c:numRef>
          </c:val>
          <c:extLst>
            <c:ext xmlns:c16="http://schemas.microsoft.com/office/drawing/2014/chart" uri="{C3380CC4-5D6E-409C-BE32-E72D297353CC}">
              <c16:uniqueId val="{00000003-6854-4B02-BE0A-FF69FF46AF7C}"/>
            </c:ext>
          </c:extLst>
        </c:ser>
        <c:ser>
          <c:idx val="1"/>
          <c:order val="1"/>
          <c:tx>
            <c:strRef>
              <c:f>'Afiliados y Cotizantes'!$D$6</c:f>
              <c:strCache>
                <c:ptCount val="1"/>
                <c:pt idx="0">
                  <c:v>Cotizantes</c:v>
                </c:pt>
              </c:strCache>
            </c:strRef>
          </c:tx>
          <c:spPr>
            <a:solidFill>
              <a:schemeClr val="accent3">
                <a:lumMod val="60000"/>
                <a:lumOff val="40000"/>
              </a:schemeClr>
            </a:solidFill>
          </c:spPr>
          <c:invertIfNegative val="0"/>
          <c:dLbls>
            <c:dLbl>
              <c:idx val="0"/>
              <c:layout>
                <c:manualLayout>
                  <c:x val="-7.7577334418827987E-3"/>
                  <c:y val="0.1936685021369465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854-4B02-BE0A-FF69FF46AF7C}"/>
                </c:ext>
              </c:extLst>
            </c:dLbl>
            <c:dLbl>
              <c:idx val="1"/>
              <c:layout>
                <c:manualLayout>
                  <c:x val="0"/>
                  <c:y val="0.1944444319857121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854-4B02-BE0A-FF69FF46AF7C}"/>
                </c:ext>
              </c:extLst>
            </c:dLbl>
            <c:dLbl>
              <c:idx val="2"/>
              <c:layout>
                <c:manualLayout>
                  <c:x val="2.5859897607539758E-3"/>
                  <c:y val="0.1947350692932265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854-4B02-BE0A-FF69FF46AF7C}"/>
                </c:ext>
              </c:extLst>
            </c:dLbl>
            <c:spPr>
              <a:noFill/>
              <a:ln>
                <a:noFill/>
              </a:ln>
              <a:effectLst/>
            </c:spPr>
            <c:txPr>
              <a:bodyPr rot="-5400000" vert="horz"/>
              <a:lstStyle/>
              <a:p>
                <a:pPr>
                  <a:defRPr sz="1050" baseline="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Cotizantes'!$D$7:$D$9</c:f>
              <c:numCache>
                <c:formatCode>#,##0</c:formatCode>
                <c:ptCount val="3"/>
                <c:pt idx="0">
                  <c:v>23912</c:v>
                </c:pt>
                <c:pt idx="1">
                  <c:v>23900</c:v>
                </c:pt>
                <c:pt idx="2">
                  <c:v>24069</c:v>
                </c:pt>
              </c:numCache>
            </c:numRef>
          </c:val>
          <c:extLst>
            <c:ext xmlns:c16="http://schemas.microsoft.com/office/drawing/2014/chart" uri="{C3380CC4-5D6E-409C-BE32-E72D297353CC}">
              <c16:uniqueId val="{00000007-6854-4B02-BE0A-FF69FF46AF7C}"/>
            </c:ext>
          </c:extLst>
        </c:ser>
        <c:dLbls>
          <c:showLegendKey val="0"/>
          <c:showVal val="1"/>
          <c:showCatName val="0"/>
          <c:showSerName val="0"/>
          <c:showPercent val="0"/>
          <c:showBubbleSize val="0"/>
        </c:dLbls>
        <c:gapWidth val="75"/>
        <c:axId val="1578271600"/>
        <c:axId val="1578260720"/>
      </c:barChart>
      <c:lineChart>
        <c:grouping val="standard"/>
        <c:varyColors val="0"/>
        <c:ser>
          <c:idx val="2"/>
          <c:order val="2"/>
          <c:tx>
            <c:strRef>
              <c:f>'Afiliados y Cotizantes'!$E$6</c:f>
              <c:strCache>
                <c:ptCount val="1"/>
                <c:pt idx="0">
                  <c:v>% Cotizantes</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Lbls>
            <c:dLbl>
              <c:idx val="0"/>
              <c:layout>
                <c:manualLayout>
                  <c:x val="-7.7272093495421197E-3"/>
                  <c:y val="-8.149012618054586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854-4B02-BE0A-FF69FF46AF7C}"/>
                </c:ext>
              </c:extLst>
            </c:dLbl>
            <c:dLbl>
              <c:idx val="1"/>
              <c:layout>
                <c:manualLayout>
                  <c:x val="-2.3235032004579517E-2"/>
                  <c:y val="-0.1137374118837468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854-4B02-BE0A-FF69FF46AF7C}"/>
                </c:ext>
              </c:extLst>
            </c:dLbl>
            <c:dLbl>
              <c:idx val="2"/>
              <c:layout>
                <c:manualLayout>
                  <c:x val="-3.4707803203467044E-2"/>
                  <c:y val="2.8480662078962746E-3"/>
                </c:manualLayout>
              </c:layout>
              <c:spPr>
                <a:noFill/>
                <a:ln>
                  <a:noFill/>
                </a:ln>
                <a:effectLst/>
              </c:spPr>
              <c:txPr>
                <a:bodyPr wrap="square" lIns="38100" tIns="19050" rIns="38100" bIns="19050" anchor="ctr">
                  <a:noAutofit/>
                </a:bodyPr>
                <a:lstStyle/>
                <a:p>
                  <a:pPr>
                    <a:defRPr sz="900" b="1"/>
                  </a:pPr>
                  <a:endParaRPr lang="es-ES"/>
                </a:p>
              </c:txPr>
              <c:showLegendKey val="0"/>
              <c:showVal val="1"/>
              <c:showCatName val="0"/>
              <c:showSerName val="0"/>
              <c:showPercent val="0"/>
              <c:showBubbleSize val="0"/>
              <c:extLst>
                <c:ext xmlns:c15="http://schemas.microsoft.com/office/drawing/2012/chart" uri="{CE6537A1-D6FC-4f65-9D91-7224C49458BB}">
                  <c15:layout>
                    <c:manualLayout>
                      <c:w val="0.13795129235811132"/>
                      <c:h val="0.13217897696564784"/>
                    </c:manualLayout>
                  </c15:layout>
                </c:ext>
                <c:ext xmlns:c16="http://schemas.microsoft.com/office/drawing/2014/chart" uri="{C3380CC4-5D6E-409C-BE32-E72D297353CC}">
                  <c16:uniqueId val="{0000000A-6854-4B02-BE0A-FF69FF46AF7C}"/>
                </c:ext>
              </c:extLst>
            </c:dLbl>
            <c:spPr>
              <a:noFill/>
              <a:ln>
                <a:noFill/>
              </a:ln>
              <a:effectLst/>
            </c:spPr>
            <c:txPr>
              <a:bodyPr wrap="square" lIns="38100" tIns="19050" rIns="38100" bIns="19050" anchor="ctr">
                <a:spAutoFit/>
              </a:bodyPr>
              <a:lstStyle/>
              <a:p>
                <a:pPr>
                  <a:defRPr sz="900"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Cotizantes'!$E$7:$E$9</c:f>
              <c:numCache>
                <c:formatCode>0.00%</c:formatCode>
                <c:ptCount val="3"/>
                <c:pt idx="0">
                  <c:v>0.25993564657796331</c:v>
                </c:pt>
                <c:pt idx="1">
                  <c:v>0.2599351793443978</c:v>
                </c:pt>
                <c:pt idx="2">
                  <c:v>0.26175613363493999</c:v>
                </c:pt>
              </c:numCache>
            </c:numRef>
          </c:val>
          <c:smooth val="0"/>
          <c:extLst>
            <c:ext xmlns:c16="http://schemas.microsoft.com/office/drawing/2014/chart" uri="{C3380CC4-5D6E-409C-BE32-E72D297353CC}">
              <c16:uniqueId val="{0000000B-6854-4B02-BE0A-FF69FF46AF7C}"/>
            </c:ext>
          </c:extLst>
        </c:ser>
        <c:dLbls>
          <c:showLegendKey val="0"/>
          <c:showVal val="1"/>
          <c:showCatName val="0"/>
          <c:showSerName val="0"/>
          <c:showPercent val="0"/>
          <c:showBubbleSize val="0"/>
        </c:dLbls>
        <c:marker val="1"/>
        <c:smooth val="0"/>
        <c:axId val="1578262352"/>
        <c:axId val="1578258544"/>
      </c:lineChart>
      <c:catAx>
        <c:axId val="1578271600"/>
        <c:scaling>
          <c:orientation val="minMax"/>
        </c:scaling>
        <c:delete val="0"/>
        <c:axPos val="b"/>
        <c:numFmt formatCode="General" sourceLinked="0"/>
        <c:majorTickMark val="none"/>
        <c:minorTickMark val="none"/>
        <c:tickLblPos val="nextTo"/>
        <c:crossAx val="1578260720"/>
        <c:crosses val="autoZero"/>
        <c:auto val="1"/>
        <c:lblAlgn val="ctr"/>
        <c:lblOffset val="100"/>
        <c:noMultiLvlLbl val="0"/>
      </c:catAx>
      <c:valAx>
        <c:axId val="1578260720"/>
        <c:scaling>
          <c:orientation val="minMax"/>
        </c:scaling>
        <c:delete val="0"/>
        <c:axPos val="l"/>
        <c:numFmt formatCode="#,##0" sourceLinked="1"/>
        <c:majorTickMark val="none"/>
        <c:minorTickMark val="none"/>
        <c:tickLblPos val="nextTo"/>
        <c:crossAx val="1578271600"/>
        <c:crosses val="autoZero"/>
        <c:crossBetween val="between"/>
      </c:valAx>
      <c:valAx>
        <c:axId val="1578258544"/>
        <c:scaling>
          <c:orientation val="minMax"/>
        </c:scaling>
        <c:delete val="0"/>
        <c:axPos val="r"/>
        <c:numFmt formatCode="0.00%" sourceLinked="1"/>
        <c:majorTickMark val="out"/>
        <c:minorTickMark val="none"/>
        <c:tickLblPos val="nextTo"/>
        <c:crossAx val="1578262352"/>
        <c:crosses val="max"/>
        <c:crossBetween val="between"/>
      </c:valAx>
      <c:catAx>
        <c:axId val="1578262352"/>
        <c:scaling>
          <c:orientation val="minMax"/>
        </c:scaling>
        <c:delete val="1"/>
        <c:axPos val="b"/>
        <c:numFmt formatCode="General" sourceLinked="1"/>
        <c:majorTickMark val="out"/>
        <c:minorTickMark val="none"/>
        <c:tickLblPos val="nextTo"/>
        <c:crossAx val="1578258544"/>
        <c:crosses val="autoZero"/>
        <c:auto val="1"/>
        <c:lblAlgn val="ctr"/>
        <c:lblOffset val="100"/>
        <c:noMultiLvlLbl val="0"/>
      </c:catAx>
    </c:plotArea>
    <c:legend>
      <c:legendPos val="b"/>
      <c:overlay val="0"/>
    </c:legend>
    <c:plotVisOnly val="1"/>
    <c:dispBlanksAs val="gap"/>
    <c:showDLblsOverMax val="0"/>
  </c:chart>
  <c:spPr>
    <a:ln>
      <a:noFill/>
    </a:ln>
  </c:spPr>
  <c:printSettings>
    <c:headerFooter/>
    <c:pageMargins b="0.75" l="0.7" r="0.7" t="0.75" header="0.3" footer="0.3"/>
    <c:pageSetup orientation="portrait"/>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bar"/>
        <c:grouping val="clustered"/>
        <c:varyColors val="0"/>
        <c:ser>
          <c:idx val="0"/>
          <c:order val="0"/>
          <c:tx>
            <c:strRef>
              <c:f>Movimientos!$B$7</c:f>
              <c:strCache>
                <c:ptCount val="1"/>
                <c:pt idx="0">
                  <c:v>Inclusiones</c:v>
                </c:pt>
              </c:strCache>
            </c:strRef>
          </c:tx>
          <c:spPr>
            <a:solidFill>
              <a:schemeClr val="bg1">
                <a:lumMod val="75000"/>
              </a:schemeClr>
            </a:solidFill>
            <a:ln>
              <a:solidFill>
                <a:schemeClr val="bg1">
                  <a:lumMod val="75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Movimientos!$A$9:$A$11</c:f>
              <c:strCache>
                <c:ptCount val="3"/>
                <c:pt idx="0">
                  <c:v>Marzo</c:v>
                </c:pt>
                <c:pt idx="1">
                  <c:v>Febrero</c:v>
                </c:pt>
                <c:pt idx="2">
                  <c:v>Enero</c:v>
                </c:pt>
              </c:strCache>
            </c:strRef>
          </c:cat>
          <c:val>
            <c:numRef>
              <c:f>Movimientos!$C$9:$C$11</c:f>
              <c:numCache>
                <c:formatCode>#,##0.00</c:formatCode>
                <c:ptCount val="3"/>
                <c:pt idx="0">
                  <c:v>24426181.18</c:v>
                </c:pt>
                <c:pt idx="1">
                  <c:v>32095807.330000002</c:v>
                </c:pt>
                <c:pt idx="2">
                  <c:v>29513442.319999997</c:v>
                </c:pt>
              </c:numCache>
            </c:numRef>
          </c:val>
          <c:extLst>
            <c:ext xmlns:c16="http://schemas.microsoft.com/office/drawing/2014/chart" uri="{C3380CC4-5D6E-409C-BE32-E72D297353CC}">
              <c16:uniqueId val="{00000000-5149-49A7-9ED4-8922C1B4A086}"/>
            </c:ext>
          </c:extLst>
        </c:ser>
        <c:ser>
          <c:idx val="1"/>
          <c:order val="1"/>
          <c:tx>
            <c:strRef>
              <c:f>Movimientos!$H$7</c:f>
              <c:strCache>
                <c:ptCount val="1"/>
                <c:pt idx="0">
                  <c:v>Aumentos</c:v>
                </c:pt>
              </c:strCache>
            </c:strRef>
          </c:tx>
          <c:spPr>
            <a:solidFill>
              <a:schemeClr val="accent3">
                <a:lumMod val="20000"/>
                <a:lumOff val="80000"/>
              </a:schemeClr>
            </a:solidFill>
            <a:ln>
              <a:solidFill>
                <a:schemeClr val="accent3">
                  <a:lumMod val="60000"/>
                  <a:lumOff val="40000"/>
                </a:schemeClr>
              </a:solidFill>
            </a:ln>
          </c:spPr>
          <c:invertIfNegative val="0"/>
          <c:dLbls>
            <c:dLbl>
              <c:idx val="1"/>
              <c:layout>
                <c:manualLayout>
                  <c:x val="-4.2077392613223727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DC2-4BA6-AC98-4A03A25A03FB}"/>
                </c:ext>
              </c:extLst>
            </c:dLbl>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Movimientos!$A$9:$A$11</c:f>
              <c:strCache>
                <c:ptCount val="3"/>
                <c:pt idx="0">
                  <c:v>Marzo</c:v>
                </c:pt>
                <c:pt idx="1">
                  <c:v>Febrero</c:v>
                </c:pt>
                <c:pt idx="2">
                  <c:v>Enero</c:v>
                </c:pt>
              </c:strCache>
            </c:strRef>
          </c:cat>
          <c:val>
            <c:numRef>
              <c:f>Movimientos!$I$9:$I$11</c:f>
              <c:numCache>
                <c:formatCode>#,##0.00</c:formatCode>
                <c:ptCount val="3"/>
                <c:pt idx="0">
                  <c:v>281668.47999999998</c:v>
                </c:pt>
                <c:pt idx="1">
                  <c:v>832523.61</c:v>
                </c:pt>
                <c:pt idx="2">
                  <c:v>279309</c:v>
                </c:pt>
              </c:numCache>
            </c:numRef>
          </c:val>
          <c:extLst>
            <c:ext xmlns:c16="http://schemas.microsoft.com/office/drawing/2014/chart" uri="{C3380CC4-5D6E-409C-BE32-E72D297353CC}">
              <c16:uniqueId val="{00000001-5149-49A7-9ED4-8922C1B4A086}"/>
            </c:ext>
          </c:extLst>
        </c:ser>
        <c:ser>
          <c:idx val="2"/>
          <c:order val="2"/>
          <c:tx>
            <c:strRef>
              <c:f>Movimientos!$J$7</c:f>
              <c:strCache>
                <c:ptCount val="1"/>
                <c:pt idx="0">
                  <c:v>Exclusiones</c:v>
                </c:pt>
              </c:strCache>
            </c:strRef>
          </c:tx>
          <c:spPr>
            <a:solidFill>
              <a:schemeClr val="accent1">
                <a:lumMod val="60000"/>
                <a:lumOff val="40000"/>
              </a:schemeClr>
            </a:solidFill>
            <a:ln>
              <a:solidFill>
                <a:schemeClr val="accent1">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Movimientos!$A$9:$A$11</c:f>
              <c:strCache>
                <c:ptCount val="3"/>
                <c:pt idx="0">
                  <c:v>Marzo</c:v>
                </c:pt>
                <c:pt idx="1">
                  <c:v>Febrero</c:v>
                </c:pt>
                <c:pt idx="2">
                  <c:v>Enero</c:v>
                </c:pt>
              </c:strCache>
            </c:strRef>
          </c:cat>
          <c:val>
            <c:numRef>
              <c:f>Movimientos!$K$9:$K$11</c:f>
              <c:numCache>
                <c:formatCode>#,##0.00</c:formatCode>
                <c:ptCount val="3"/>
                <c:pt idx="0">
                  <c:v>11182451.75</c:v>
                </c:pt>
                <c:pt idx="1">
                  <c:v>2317270.2000000002</c:v>
                </c:pt>
                <c:pt idx="2">
                  <c:v>10317409.9</c:v>
                </c:pt>
              </c:numCache>
            </c:numRef>
          </c:val>
          <c:extLst>
            <c:ext xmlns:c16="http://schemas.microsoft.com/office/drawing/2014/chart" uri="{C3380CC4-5D6E-409C-BE32-E72D297353CC}">
              <c16:uniqueId val="{00000002-5149-49A7-9ED4-8922C1B4A086}"/>
            </c:ext>
          </c:extLst>
        </c:ser>
        <c:ser>
          <c:idx val="3"/>
          <c:order val="3"/>
          <c:tx>
            <c:strRef>
              <c:f>Movimientos!$L$7</c:f>
              <c:strCache>
                <c:ptCount val="1"/>
                <c:pt idx="0">
                  <c:v>Suspensiones</c:v>
                </c:pt>
              </c:strCache>
            </c:strRef>
          </c:tx>
          <c:spPr>
            <a:solidFill>
              <a:schemeClr val="accent6">
                <a:lumMod val="60000"/>
                <a:lumOff val="40000"/>
              </a:schemeClr>
            </a:solidFill>
            <a:ln>
              <a:solidFill>
                <a:schemeClr val="accent6">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Movimientos!$A$9:$A$11</c:f>
              <c:strCache>
                <c:ptCount val="3"/>
                <c:pt idx="0">
                  <c:v>Marzo</c:v>
                </c:pt>
                <c:pt idx="1">
                  <c:v>Febrero</c:v>
                </c:pt>
                <c:pt idx="2">
                  <c:v>Enero</c:v>
                </c:pt>
              </c:strCache>
            </c:strRef>
          </c:cat>
          <c:val>
            <c:numRef>
              <c:f>Movimientos!$M$9:$M$11</c:f>
              <c:numCache>
                <c:formatCode>#,##0.00</c:formatCode>
                <c:ptCount val="3"/>
                <c:pt idx="0">
                  <c:v>2922252.87</c:v>
                </c:pt>
                <c:pt idx="1">
                  <c:v>4543414.0600000005</c:v>
                </c:pt>
                <c:pt idx="2">
                  <c:v>1467505.37</c:v>
                </c:pt>
              </c:numCache>
            </c:numRef>
          </c:val>
          <c:extLst>
            <c:ext xmlns:c16="http://schemas.microsoft.com/office/drawing/2014/chart" uri="{C3380CC4-5D6E-409C-BE32-E72D297353CC}">
              <c16:uniqueId val="{00000003-5149-49A7-9ED4-8922C1B4A086}"/>
            </c:ext>
          </c:extLst>
        </c:ser>
        <c:ser>
          <c:idx val="4"/>
          <c:order val="4"/>
          <c:tx>
            <c:v>Sobrevivencia</c:v>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Movimientos!$E$9:$E$11</c:f>
              <c:numCache>
                <c:formatCode>#,##0.00</c:formatCode>
                <c:ptCount val="3"/>
                <c:pt idx="0">
                  <c:v>3180878.5300000003</c:v>
                </c:pt>
                <c:pt idx="1">
                  <c:v>1539502.57</c:v>
                </c:pt>
                <c:pt idx="2">
                  <c:v>5974034.6199999992</c:v>
                </c:pt>
              </c:numCache>
            </c:numRef>
          </c:val>
          <c:extLst>
            <c:ext xmlns:c16="http://schemas.microsoft.com/office/drawing/2014/chart" uri="{C3380CC4-5D6E-409C-BE32-E72D297353CC}">
              <c16:uniqueId val="{00000004-5149-49A7-9ED4-8922C1B4A086}"/>
            </c:ext>
          </c:extLst>
        </c:ser>
        <c:ser>
          <c:idx val="5"/>
          <c:order val="5"/>
          <c:tx>
            <c:v>Reinclusiones</c:v>
          </c:tx>
          <c:spPr>
            <a:solidFill>
              <a:srgbClr val="FFC000"/>
            </a:solid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Movimientos!$G$9:$G$11</c:f>
              <c:numCache>
                <c:formatCode>#,##0.00</c:formatCode>
                <c:ptCount val="3"/>
                <c:pt idx="0">
                  <c:v>1579633.16</c:v>
                </c:pt>
                <c:pt idx="1">
                  <c:v>759888.80999999994</c:v>
                </c:pt>
                <c:pt idx="2">
                  <c:v>463313.91000000003</c:v>
                </c:pt>
              </c:numCache>
            </c:numRef>
          </c:val>
          <c:extLst>
            <c:ext xmlns:c16="http://schemas.microsoft.com/office/drawing/2014/chart" uri="{C3380CC4-5D6E-409C-BE32-E72D297353CC}">
              <c16:uniqueId val="{00000005-5149-49A7-9ED4-8922C1B4A086}"/>
            </c:ext>
          </c:extLst>
        </c:ser>
        <c:dLbls>
          <c:dLblPos val="inEnd"/>
          <c:showLegendKey val="0"/>
          <c:showVal val="1"/>
          <c:showCatName val="0"/>
          <c:showSerName val="0"/>
          <c:showPercent val="0"/>
          <c:showBubbleSize val="0"/>
        </c:dLbls>
        <c:gapWidth val="150"/>
        <c:axId val="1665025616"/>
        <c:axId val="1670809952"/>
      </c:barChart>
      <c:catAx>
        <c:axId val="1665025616"/>
        <c:scaling>
          <c:orientation val="minMax"/>
        </c:scaling>
        <c:delete val="0"/>
        <c:axPos val="l"/>
        <c:numFmt formatCode="General" sourceLinked="0"/>
        <c:majorTickMark val="none"/>
        <c:minorTickMark val="none"/>
        <c:tickLblPos val="nextTo"/>
        <c:txPr>
          <a:bodyPr/>
          <a:lstStyle/>
          <a:p>
            <a:pPr>
              <a:defRPr b="1"/>
            </a:pPr>
            <a:endParaRPr lang="es-ES"/>
          </a:p>
        </c:txPr>
        <c:crossAx val="1670809952"/>
        <c:crosses val="autoZero"/>
        <c:auto val="1"/>
        <c:lblAlgn val="ctr"/>
        <c:lblOffset val="100"/>
        <c:noMultiLvlLbl val="0"/>
      </c:catAx>
      <c:valAx>
        <c:axId val="1670809952"/>
        <c:scaling>
          <c:logBase val="10"/>
          <c:orientation val="minMax"/>
          <c:max val="51000000"/>
          <c:min val="50000"/>
        </c:scaling>
        <c:delete val="0"/>
        <c:axPos val="b"/>
        <c:numFmt formatCode="#,##0.00" sourceLinked="1"/>
        <c:majorTickMark val="none"/>
        <c:minorTickMark val="none"/>
        <c:tickLblPos val="nextTo"/>
        <c:txPr>
          <a:bodyPr/>
          <a:lstStyle/>
          <a:p>
            <a:pPr>
              <a:defRPr b="1"/>
            </a:pPr>
            <a:endParaRPr lang="es-ES"/>
          </a:p>
        </c:txPr>
        <c:crossAx val="1665025616"/>
        <c:crosses val="autoZero"/>
        <c:crossBetween val="between"/>
        <c:majorUnit val="10"/>
      </c:valAx>
    </c:plotArea>
    <c:legend>
      <c:legendPos val="r"/>
      <c:overlay val="0"/>
      <c:txPr>
        <a:bodyPr/>
        <a:lstStyle/>
        <a:p>
          <a:pPr>
            <a:defRPr b="1"/>
          </a:pPr>
          <a:endParaRPr lang="es-ES"/>
        </a:p>
      </c:txPr>
    </c:legend>
    <c:plotVisOnly val="1"/>
    <c:dispBlanksAs val="gap"/>
    <c:showDLblsOverMax val="0"/>
  </c:chart>
  <c:spPr>
    <a:ln>
      <a:solidFill>
        <a:schemeClr val="bg1"/>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DO"/>
              <a:t>Cantidad</a:t>
            </a:r>
            <a:r>
              <a:rPr lang="es-DO" baseline="0"/>
              <a:t> de Pensiones por Tipo de Pensión</a:t>
            </a:r>
            <a:endParaRPr lang="es-D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barChart>
        <c:barDir val="col"/>
        <c:grouping val="clustered"/>
        <c:varyColors val="0"/>
        <c:ser>
          <c:idx val="0"/>
          <c:order val="0"/>
          <c:tx>
            <c:v>Enero-Marzo 2024</c:v>
          </c:tx>
          <c:spPr>
            <a:solidFill>
              <a:schemeClr val="bg1">
                <a:lumMod val="75000"/>
              </a:schemeClr>
            </a:solidFill>
            <a:ln>
              <a:noFill/>
            </a:ln>
            <a:effectLst/>
          </c:spPr>
          <c:invertIfNegative val="0"/>
          <c:cat>
            <c:strRef>
              <c:f>'Tipo de Pension'!$A$11:$A$19</c:f>
              <c:strCache>
                <c:ptCount val="9"/>
                <c:pt idx="0">
                  <c:v>PENSIÓN CIVIL</c:v>
                </c:pt>
                <c:pt idx="1">
                  <c:v>IDSS</c:v>
                </c:pt>
                <c:pt idx="2">
                  <c:v>GLORIAS DEL DEPORTE</c:v>
                </c:pt>
                <c:pt idx="3">
                  <c:v>PABELLÓN DE LA FAMA</c:v>
                </c:pt>
                <c:pt idx="4">
                  <c:v>PODER LEGISLATIVO</c:v>
                </c:pt>
                <c:pt idx="5">
                  <c:v>PODER EJECUTIVO</c:v>
                </c:pt>
                <c:pt idx="6">
                  <c:v>POLICÍA NACIONAL</c:v>
                </c:pt>
                <c:pt idx="7">
                  <c:v>PENSIÓN SOLIDARIA</c:v>
                </c:pt>
                <c:pt idx="8">
                  <c:v>PENSION POR SOBREVIVENCIA</c:v>
                </c:pt>
              </c:strCache>
            </c:strRef>
          </c:cat>
          <c:val>
            <c:numRef>
              <c:f>'Tipo de Pension'!$B$11:$B$19</c:f>
              <c:numCache>
                <c:formatCode>#,##0</c:formatCode>
                <c:ptCount val="9"/>
                <c:pt idx="0">
                  <c:v>33545</c:v>
                </c:pt>
                <c:pt idx="1">
                  <c:v>69432</c:v>
                </c:pt>
                <c:pt idx="2">
                  <c:v>253</c:v>
                </c:pt>
                <c:pt idx="3">
                  <c:v>169</c:v>
                </c:pt>
                <c:pt idx="4">
                  <c:v>229</c:v>
                </c:pt>
                <c:pt idx="5">
                  <c:v>33524</c:v>
                </c:pt>
                <c:pt idx="6">
                  <c:v>24989</c:v>
                </c:pt>
                <c:pt idx="7">
                  <c:v>47060</c:v>
                </c:pt>
                <c:pt idx="8">
                  <c:v>19857</c:v>
                </c:pt>
              </c:numCache>
            </c:numRef>
          </c:val>
          <c:extLst>
            <c:ext xmlns:c16="http://schemas.microsoft.com/office/drawing/2014/chart" uri="{C3380CC4-5D6E-409C-BE32-E72D297353CC}">
              <c16:uniqueId val="{00000000-B4F9-4047-9F40-71C6BD8AD3E7}"/>
            </c:ext>
          </c:extLst>
        </c:ser>
        <c:ser>
          <c:idx val="1"/>
          <c:order val="1"/>
          <c:tx>
            <c:v>Enero-Marzo 2025</c:v>
          </c:tx>
          <c:spPr>
            <a:solidFill>
              <a:schemeClr val="accent3"/>
            </a:solidFill>
            <a:ln>
              <a:noFill/>
            </a:ln>
            <a:effectLst/>
          </c:spPr>
          <c:invertIfNegative val="0"/>
          <c:cat>
            <c:strRef>
              <c:f>'Tipo de Pension'!$A$11:$A$19</c:f>
              <c:strCache>
                <c:ptCount val="9"/>
                <c:pt idx="0">
                  <c:v>PENSIÓN CIVIL</c:v>
                </c:pt>
                <c:pt idx="1">
                  <c:v>IDSS</c:v>
                </c:pt>
                <c:pt idx="2">
                  <c:v>GLORIAS DEL DEPORTE</c:v>
                </c:pt>
                <c:pt idx="3">
                  <c:v>PABELLÓN DE LA FAMA</c:v>
                </c:pt>
                <c:pt idx="4">
                  <c:v>PODER LEGISLATIVO</c:v>
                </c:pt>
                <c:pt idx="5">
                  <c:v>PODER EJECUTIVO</c:v>
                </c:pt>
                <c:pt idx="6">
                  <c:v>POLICÍA NACIONAL</c:v>
                </c:pt>
                <c:pt idx="7">
                  <c:v>PENSIÓN SOLIDARIA</c:v>
                </c:pt>
                <c:pt idx="8">
                  <c:v>PENSION POR SOBREVIVENCIA</c:v>
                </c:pt>
              </c:strCache>
            </c:strRef>
          </c:cat>
          <c:val>
            <c:numRef>
              <c:f>'Tipo de Pension'!$F$11:$F$19</c:f>
              <c:numCache>
                <c:formatCode>#,##0</c:formatCode>
                <c:ptCount val="9"/>
                <c:pt idx="0">
                  <c:v>39252</c:v>
                </c:pt>
                <c:pt idx="1">
                  <c:v>78284</c:v>
                </c:pt>
                <c:pt idx="2">
                  <c:v>250</c:v>
                </c:pt>
                <c:pt idx="3">
                  <c:v>174</c:v>
                </c:pt>
                <c:pt idx="4">
                  <c:v>224</c:v>
                </c:pt>
                <c:pt idx="5">
                  <c:v>27444</c:v>
                </c:pt>
                <c:pt idx="6">
                  <c:v>25516</c:v>
                </c:pt>
                <c:pt idx="7">
                  <c:v>52012</c:v>
                </c:pt>
                <c:pt idx="8">
                  <c:v>20583</c:v>
                </c:pt>
              </c:numCache>
            </c:numRef>
          </c:val>
          <c:extLst>
            <c:ext xmlns:c16="http://schemas.microsoft.com/office/drawing/2014/chart" uri="{C3380CC4-5D6E-409C-BE32-E72D297353CC}">
              <c16:uniqueId val="{00000001-B4F9-4047-9F40-71C6BD8AD3E7}"/>
            </c:ext>
          </c:extLst>
        </c:ser>
        <c:dLbls>
          <c:showLegendKey val="0"/>
          <c:showVal val="0"/>
          <c:showCatName val="0"/>
          <c:showSerName val="0"/>
          <c:showPercent val="0"/>
          <c:showBubbleSize val="0"/>
        </c:dLbls>
        <c:gapWidth val="50"/>
        <c:overlap val="-10"/>
        <c:axId val="1670801792"/>
        <c:axId val="1670802336"/>
      </c:barChart>
      <c:catAx>
        <c:axId val="1670801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0802336"/>
        <c:crosses val="autoZero"/>
        <c:auto val="1"/>
        <c:lblAlgn val="ctr"/>
        <c:lblOffset val="100"/>
        <c:noMultiLvlLbl val="0"/>
      </c:catAx>
      <c:valAx>
        <c:axId val="1670802336"/>
        <c:scaling>
          <c:orientation val="minMax"/>
          <c:max val="7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0801792"/>
        <c:crosses val="autoZero"/>
        <c:crossBetween val="between"/>
        <c:majorUnit val="10000"/>
      </c:valAx>
      <c:spPr>
        <a:noFill/>
        <a:ln>
          <a:noFill/>
        </a:ln>
        <a:effectLst/>
      </c:spPr>
    </c:plotArea>
    <c:legend>
      <c:legendPos val="b"/>
      <c:layout>
        <c:manualLayout>
          <c:xMode val="edge"/>
          <c:yMode val="edge"/>
          <c:x val="0.20097366905261974"/>
          <c:y val="0.8993319686340091"/>
          <c:w val="0.64265757475713148"/>
          <c:h val="6.829253681119223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DO" baseline="0"/>
              <a:t>Total Pagado por Tipo de Pensión</a:t>
            </a:r>
            <a:endParaRPr lang="es-D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barChart>
        <c:barDir val="col"/>
        <c:grouping val="clustered"/>
        <c:varyColors val="0"/>
        <c:ser>
          <c:idx val="0"/>
          <c:order val="0"/>
          <c:tx>
            <c:v>Enero-Marzo 2023</c:v>
          </c:tx>
          <c:spPr>
            <a:solidFill>
              <a:schemeClr val="bg1">
                <a:lumMod val="75000"/>
              </a:schemeClr>
            </a:solidFill>
            <a:ln>
              <a:noFill/>
            </a:ln>
            <a:effectLst/>
          </c:spPr>
          <c:invertIfNegative val="0"/>
          <c:cat>
            <c:strRef>
              <c:f>'Tipo de Pension'!$A$11:$A$19</c:f>
              <c:strCache>
                <c:ptCount val="9"/>
                <c:pt idx="0">
                  <c:v>PENSIÓN CIVIL</c:v>
                </c:pt>
                <c:pt idx="1">
                  <c:v>IDSS</c:v>
                </c:pt>
                <c:pt idx="2">
                  <c:v>GLORIAS DEL DEPORTE</c:v>
                </c:pt>
                <c:pt idx="3">
                  <c:v>PABELLÓN DE LA FAMA</c:v>
                </c:pt>
                <c:pt idx="4">
                  <c:v>PODER LEGISLATIVO</c:v>
                </c:pt>
                <c:pt idx="5">
                  <c:v>PODER EJECUTIVO</c:v>
                </c:pt>
                <c:pt idx="6">
                  <c:v>POLICÍA NACIONAL</c:v>
                </c:pt>
                <c:pt idx="7">
                  <c:v>PENSIÓN SOLIDARIA</c:v>
                </c:pt>
                <c:pt idx="8">
                  <c:v>PENSION POR SOBREVIVENCIA</c:v>
                </c:pt>
              </c:strCache>
            </c:strRef>
          </c:cat>
          <c:val>
            <c:numRef>
              <c:f>'Tipo de Pension'!$D$11:$D$19</c:f>
              <c:numCache>
                <c:formatCode>#,##0.00</c:formatCode>
                <c:ptCount val="9"/>
                <c:pt idx="0">
                  <c:v>1621822088.1399999</c:v>
                </c:pt>
                <c:pt idx="1">
                  <c:v>2127665759.1000001</c:v>
                </c:pt>
                <c:pt idx="2">
                  <c:v>22730663.25</c:v>
                </c:pt>
                <c:pt idx="3">
                  <c:v>25111201.280000001</c:v>
                </c:pt>
                <c:pt idx="4">
                  <c:v>21836750.169999998</c:v>
                </c:pt>
                <c:pt idx="5">
                  <c:v>2873885821.79</c:v>
                </c:pt>
                <c:pt idx="6">
                  <c:v>2163586360.77</c:v>
                </c:pt>
                <c:pt idx="7">
                  <c:v>816120000</c:v>
                </c:pt>
                <c:pt idx="8">
                  <c:v>744344196.92999995</c:v>
                </c:pt>
              </c:numCache>
            </c:numRef>
          </c:val>
          <c:extLst>
            <c:ext xmlns:c16="http://schemas.microsoft.com/office/drawing/2014/chart" uri="{C3380CC4-5D6E-409C-BE32-E72D297353CC}">
              <c16:uniqueId val="{00000000-4569-44D0-B52B-F7CCBE23C12D}"/>
            </c:ext>
          </c:extLst>
        </c:ser>
        <c:ser>
          <c:idx val="1"/>
          <c:order val="1"/>
          <c:tx>
            <c:v>Enero-Marzo 2024</c:v>
          </c:tx>
          <c:spPr>
            <a:solidFill>
              <a:schemeClr val="accent3"/>
            </a:solidFill>
            <a:ln>
              <a:noFill/>
            </a:ln>
            <a:effectLst/>
          </c:spPr>
          <c:invertIfNegative val="0"/>
          <c:cat>
            <c:strRef>
              <c:f>'Tipo de Pension'!$A$11:$A$19</c:f>
              <c:strCache>
                <c:ptCount val="9"/>
                <c:pt idx="0">
                  <c:v>PENSIÓN CIVIL</c:v>
                </c:pt>
                <c:pt idx="1">
                  <c:v>IDSS</c:v>
                </c:pt>
                <c:pt idx="2">
                  <c:v>GLORIAS DEL DEPORTE</c:v>
                </c:pt>
                <c:pt idx="3">
                  <c:v>PABELLÓN DE LA FAMA</c:v>
                </c:pt>
                <c:pt idx="4">
                  <c:v>PODER LEGISLATIVO</c:v>
                </c:pt>
                <c:pt idx="5">
                  <c:v>PODER EJECUTIVO</c:v>
                </c:pt>
                <c:pt idx="6">
                  <c:v>POLICÍA NACIONAL</c:v>
                </c:pt>
                <c:pt idx="7">
                  <c:v>PENSIÓN SOLIDARIA</c:v>
                </c:pt>
                <c:pt idx="8">
                  <c:v>PENSION POR SOBREVIVENCIA</c:v>
                </c:pt>
              </c:strCache>
            </c:strRef>
          </c:cat>
          <c:val>
            <c:numRef>
              <c:f>'Tipo de Pension'!$H$11:$H$19</c:f>
              <c:numCache>
                <c:formatCode>#,##0.00</c:formatCode>
                <c:ptCount val="9"/>
                <c:pt idx="0">
                  <c:v>2449601897.5599999</c:v>
                </c:pt>
                <c:pt idx="1">
                  <c:v>2423836090.4899998</c:v>
                </c:pt>
                <c:pt idx="2">
                  <c:v>22410000</c:v>
                </c:pt>
                <c:pt idx="3">
                  <c:v>26625587.5</c:v>
                </c:pt>
                <c:pt idx="4">
                  <c:v>21629281.969999999</c:v>
                </c:pt>
                <c:pt idx="5">
                  <c:v>2450685367.5</c:v>
                </c:pt>
                <c:pt idx="6">
                  <c:v>2304728695.4000001</c:v>
                </c:pt>
                <c:pt idx="7">
                  <c:v>935682000</c:v>
                </c:pt>
                <c:pt idx="8">
                  <c:v>786955963.40999997</c:v>
                </c:pt>
              </c:numCache>
            </c:numRef>
          </c:val>
          <c:extLst>
            <c:ext xmlns:c16="http://schemas.microsoft.com/office/drawing/2014/chart" uri="{C3380CC4-5D6E-409C-BE32-E72D297353CC}">
              <c16:uniqueId val="{00000001-4569-44D0-B52B-F7CCBE23C12D}"/>
            </c:ext>
          </c:extLst>
        </c:ser>
        <c:dLbls>
          <c:showLegendKey val="0"/>
          <c:showVal val="0"/>
          <c:showCatName val="0"/>
          <c:showSerName val="0"/>
          <c:showPercent val="0"/>
          <c:showBubbleSize val="0"/>
        </c:dLbls>
        <c:gapWidth val="50"/>
        <c:overlap val="-10"/>
        <c:axId val="1670808864"/>
        <c:axId val="1670811040"/>
      </c:barChart>
      <c:catAx>
        <c:axId val="1670808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0811040"/>
        <c:crosses val="autoZero"/>
        <c:auto val="1"/>
        <c:lblAlgn val="ctr"/>
        <c:lblOffset val="100"/>
        <c:noMultiLvlLbl val="0"/>
      </c:catAx>
      <c:valAx>
        <c:axId val="1670811040"/>
        <c:scaling>
          <c:orientation val="minMax"/>
          <c:max val="2200000000"/>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0808864"/>
        <c:crosses val="autoZero"/>
        <c:crossBetween val="between"/>
        <c:majorUnit val="300000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accent1"/>
                </a:solidFill>
                <a:latin typeface="+mn-lt"/>
                <a:ea typeface="+mn-ea"/>
                <a:cs typeface="+mn-cs"/>
              </a:defRPr>
            </a:pPr>
            <a:r>
              <a:rPr lang="es-ES" sz="1400">
                <a:solidFill>
                  <a:schemeClr val="accent1"/>
                </a:solidFill>
              </a:rPr>
              <a:t>Porcentaje Modalidad</a:t>
            </a:r>
            <a:r>
              <a:rPr lang="es-ES" sz="1400" baseline="0">
                <a:solidFill>
                  <a:schemeClr val="accent1"/>
                </a:solidFill>
              </a:rPr>
              <a:t> de Pago</a:t>
            </a:r>
            <a:endParaRPr lang="es-ES" sz="1400">
              <a:solidFill>
                <a:schemeClr val="accent1"/>
              </a:solidFill>
            </a:endParaRPr>
          </a:p>
        </c:rich>
      </c:tx>
      <c:layout>
        <c:manualLayout>
          <c:xMode val="edge"/>
          <c:yMode val="edge"/>
          <c:x val="0.24317598335221177"/>
          <c:y val="3.2352237248844695E-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accent1"/>
              </a:solidFill>
              <a:latin typeface="+mn-lt"/>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3"/>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1-1882-47C0-9C20-76A0642EBB7A}"/>
              </c:ext>
            </c:extLst>
          </c:dPt>
          <c:dPt>
            <c:idx val="1"/>
            <c:bubble3D val="0"/>
            <c:spPr>
              <a:solidFill>
                <a:schemeClr val="bg1">
                  <a:lumMod val="75000"/>
                </a:schemeClr>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2-1882-47C0-9C20-76A0642EBB7A}"/>
              </c:ext>
            </c:extLst>
          </c:dPt>
          <c:dLbls>
            <c:dLbl>
              <c:idx val="0"/>
              <c:layout>
                <c:manualLayout>
                  <c:x val="-1.8055555555555554E-2"/>
                  <c:y val="-0.35532407407407407"/>
                </c:manualLayout>
              </c:layout>
              <c:tx>
                <c:rich>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r>
                      <a:rPr lang="en-US" sz="1000" b="1" baseline="0">
                        <a:solidFill>
                          <a:schemeClr val="tx1">
                            <a:lumMod val="75000"/>
                            <a:lumOff val="25000"/>
                          </a:schemeClr>
                        </a:solidFill>
                      </a:rPr>
                      <a:t>Electrónico</a:t>
                    </a:r>
                  </a:p>
                  <a:p>
                    <a:pPr>
                      <a:defRPr sz="1000" b="1">
                        <a:solidFill>
                          <a:schemeClr val="tx1">
                            <a:lumMod val="75000"/>
                            <a:lumOff val="25000"/>
                          </a:schemeClr>
                        </a:solidFill>
                      </a:defRPr>
                    </a:pPr>
                    <a:r>
                      <a:rPr lang="en-US" sz="1000" b="1" baseline="0">
                        <a:solidFill>
                          <a:schemeClr val="tx1">
                            <a:lumMod val="75000"/>
                            <a:lumOff val="25000"/>
                          </a:schemeClr>
                        </a:solidFill>
                      </a:rPr>
                      <a:t> </a:t>
                    </a:r>
                    <a:fld id="{6A789905-C907-4699-A041-A6FD64461BF5}" type="VALUE">
                      <a:rPr lang="en-US" sz="1000" b="1" baseline="0">
                        <a:solidFill>
                          <a:schemeClr val="tx1">
                            <a:lumMod val="75000"/>
                            <a:lumOff val="25000"/>
                          </a:schemeClr>
                        </a:solidFill>
                      </a:rPr>
                      <a:pPr>
                        <a:defRPr sz="1000" b="1">
                          <a:solidFill>
                            <a:schemeClr val="tx1">
                              <a:lumMod val="75000"/>
                              <a:lumOff val="25000"/>
                            </a:schemeClr>
                          </a:solidFill>
                        </a:defRPr>
                      </a:pPr>
                      <a:t>[VALOR]</a:t>
                    </a:fld>
                    <a:endParaRPr lang="en-US" sz="1000" b="1"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layout>
                    <c:manualLayout>
                      <c:w val="0.23541666666666666"/>
                      <c:h val="0.21064814814814814"/>
                    </c:manualLayout>
                  </c15:layout>
                  <c15:dlblFieldTable/>
                  <c15:showDataLabelsRange val="0"/>
                </c:ext>
                <c:ext xmlns:c16="http://schemas.microsoft.com/office/drawing/2014/chart" uri="{C3380CC4-5D6E-409C-BE32-E72D297353CC}">
                  <c16:uniqueId val="{00000001-1882-47C0-9C20-76A0642EBB7A}"/>
                </c:ext>
              </c:extLst>
            </c:dLbl>
            <c:dLbl>
              <c:idx val="1"/>
              <c:layout>
                <c:manualLayout>
                  <c:x val="-4.6721964522656895E-2"/>
                  <c:y val="5.2783916405700331E-3"/>
                </c:manualLayout>
              </c:layout>
              <c:tx>
                <c:rich>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r>
                      <a:rPr lang="en-US" sz="1000" b="1" baseline="0">
                        <a:solidFill>
                          <a:schemeClr val="tx1">
                            <a:lumMod val="75000"/>
                            <a:lumOff val="25000"/>
                          </a:schemeClr>
                        </a:solidFill>
                      </a:rPr>
                      <a:t>Cheque</a:t>
                    </a:r>
                  </a:p>
                  <a:p>
                    <a:pPr>
                      <a:defRPr sz="1000" b="1">
                        <a:solidFill>
                          <a:schemeClr val="tx1">
                            <a:lumMod val="75000"/>
                            <a:lumOff val="25000"/>
                          </a:schemeClr>
                        </a:solidFill>
                      </a:defRPr>
                    </a:pPr>
                    <a:r>
                      <a:rPr lang="en-US" sz="1000" b="1" baseline="0">
                        <a:solidFill>
                          <a:schemeClr val="tx1">
                            <a:lumMod val="75000"/>
                            <a:lumOff val="25000"/>
                          </a:schemeClr>
                        </a:solidFill>
                      </a:rPr>
                      <a:t> </a:t>
                    </a:r>
                    <a:fld id="{928CA2D4-AB57-4300-BD4F-83CC6382AA06}" type="VALUE">
                      <a:rPr lang="en-US" sz="1000" b="1" baseline="0">
                        <a:solidFill>
                          <a:schemeClr val="tx1">
                            <a:lumMod val="75000"/>
                            <a:lumOff val="25000"/>
                          </a:schemeClr>
                        </a:solidFill>
                      </a:rPr>
                      <a:pPr>
                        <a:defRPr sz="1000" b="1">
                          <a:solidFill>
                            <a:schemeClr val="tx1">
                              <a:lumMod val="75000"/>
                              <a:lumOff val="25000"/>
                            </a:schemeClr>
                          </a:solidFill>
                        </a:defRPr>
                      </a:pPr>
                      <a:t>[VALOR]</a:t>
                    </a:fld>
                    <a:endParaRPr lang="en-US" sz="1000" b="1"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layout>
                    <c:manualLayout>
                      <c:w val="0.18002209762708696"/>
                      <c:h val="0.14416160985114215"/>
                    </c:manualLayout>
                  </c15:layout>
                  <c15:dlblFieldTable/>
                  <c15:showDataLabelsRange val="0"/>
                </c:ext>
                <c:ext xmlns:c16="http://schemas.microsoft.com/office/drawing/2014/chart" uri="{C3380CC4-5D6E-409C-BE32-E72D297353CC}">
                  <c16:uniqueId val="{00000002-1882-47C0-9C20-76A0642EBB7A}"/>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(Modalidad!$P$9,Modalidad!$R$9)</c:f>
              <c:strCache>
                <c:ptCount val="2"/>
                <c:pt idx="0">
                  <c:v>Monto</c:v>
                </c:pt>
                <c:pt idx="1">
                  <c:v>Monto</c:v>
                </c:pt>
              </c:strCache>
            </c:strRef>
          </c:cat>
          <c:val>
            <c:numRef>
              <c:f>(Modalidad!$P$29,Modalidad!$R$29)</c:f>
              <c:numCache>
                <c:formatCode>0.00%</c:formatCode>
                <c:ptCount val="2"/>
                <c:pt idx="0">
                  <c:v>0.99758723463827181</c:v>
                </c:pt>
                <c:pt idx="1">
                  <c:v>2.4127653617282336E-3</c:v>
                </c:pt>
              </c:numCache>
            </c:numRef>
          </c:val>
          <c:extLst>
            <c:ext xmlns:c16="http://schemas.microsoft.com/office/drawing/2014/chart" uri="{C3380CC4-5D6E-409C-BE32-E72D297353CC}">
              <c16:uniqueId val="{00000000-1882-47C0-9C20-76A0642EBB7A}"/>
            </c:ext>
          </c:extLst>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10597950039618"/>
          <c:y val="4.2299470680314477E-2"/>
          <c:w val="0.65858516691985691"/>
          <c:h val="0.72007785017025605"/>
        </c:manualLayout>
      </c:layout>
      <c:barChart>
        <c:barDir val="col"/>
        <c:grouping val="clustered"/>
        <c:varyColors val="0"/>
        <c:ser>
          <c:idx val="0"/>
          <c:order val="0"/>
          <c:tx>
            <c:strRef>
              <c:f>Retroactivos!$C$7</c:f>
              <c:strCache>
                <c:ptCount val="1"/>
                <c:pt idx="0">
                  <c:v>Pensiones Civiles</c:v>
                </c:pt>
              </c:strCache>
            </c:strRef>
          </c:tx>
          <c:spPr>
            <a:solidFill>
              <a:schemeClr val="accent3"/>
            </a:solidFill>
            <a:ln>
              <a:no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Retroactivos!$B$10:$B$12</c:f>
              <c:strCache>
                <c:ptCount val="3"/>
                <c:pt idx="0">
                  <c:v>Marzo</c:v>
                </c:pt>
                <c:pt idx="1">
                  <c:v>Febrero </c:v>
                </c:pt>
                <c:pt idx="2">
                  <c:v>Enero</c:v>
                </c:pt>
              </c:strCache>
            </c:strRef>
          </c:cat>
          <c:val>
            <c:numRef>
              <c:f>Retroactivos!$D$10:$D$12</c:f>
              <c:numCache>
                <c:formatCode>#,##0_);\(#,##0\)</c:formatCode>
                <c:ptCount val="3"/>
                <c:pt idx="0">
                  <c:v>241</c:v>
                </c:pt>
                <c:pt idx="1">
                  <c:v>161</c:v>
                </c:pt>
                <c:pt idx="2" formatCode="General">
                  <c:v>158</c:v>
                </c:pt>
              </c:numCache>
            </c:numRef>
          </c:val>
          <c:extLst>
            <c:ext xmlns:c16="http://schemas.microsoft.com/office/drawing/2014/chart" uri="{C3380CC4-5D6E-409C-BE32-E72D297353CC}">
              <c16:uniqueId val="{00000002-6B88-4F3E-9D80-50FAAA1EC586}"/>
            </c:ext>
          </c:extLst>
        </c:ser>
        <c:ser>
          <c:idx val="1"/>
          <c:order val="1"/>
          <c:tx>
            <c:strRef>
              <c:f>Retroactivos!$I$7</c:f>
              <c:strCache>
                <c:ptCount val="1"/>
                <c:pt idx="0">
                  <c:v>PN</c:v>
                </c:pt>
              </c:strCache>
            </c:strRef>
          </c:tx>
          <c:spPr>
            <a:solidFill>
              <a:schemeClr val="bg1">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Retroactivos!$B$10:$B$12</c:f>
              <c:strCache>
                <c:ptCount val="3"/>
                <c:pt idx="0">
                  <c:v>Marzo</c:v>
                </c:pt>
                <c:pt idx="1">
                  <c:v>Febrero </c:v>
                </c:pt>
                <c:pt idx="2">
                  <c:v>Enero</c:v>
                </c:pt>
              </c:strCache>
            </c:strRef>
          </c:cat>
          <c:val>
            <c:numRef>
              <c:f>Retroactivos!$J$10:$J$12</c:f>
              <c:numCache>
                <c:formatCode>#,##0_);\(#,##0\)</c:formatCode>
                <c:ptCount val="3"/>
                <c:pt idx="0" formatCode="_(* #,##0_);_(* \(#,##0\);_(* &quot;-&quot;??_);_(@_)">
                  <c:v>25</c:v>
                </c:pt>
                <c:pt idx="1">
                  <c:v>204</c:v>
                </c:pt>
                <c:pt idx="2" formatCode="_(* #,##0_);_(* \(#,##0\);_(* &quot;-&quot;??_);_(@_)">
                  <c:v>69</c:v>
                </c:pt>
              </c:numCache>
            </c:numRef>
          </c:val>
          <c:extLst>
            <c:ext xmlns:c16="http://schemas.microsoft.com/office/drawing/2014/chart" uri="{C3380CC4-5D6E-409C-BE32-E72D297353CC}">
              <c16:uniqueId val="{00000005-6B88-4F3E-9D80-50FAAA1EC586}"/>
            </c:ext>
          </c:extLst>
        </c:ser>
        <c:dLbls>
          <c:showLegendKey val="0"/>
          <c:showVal val="1"/>
          <c:showCatName val="0"/>
          <c:showSerName val="0"/>
          <c:showPercent val="0"/>
          <c:showBubbleSize val="0"/>
        </c:dLbls>
        <c:gapWidth val="75"/>
        <c:axId val="1672051440"/>
        <c:axId val="1672050896"/>
      </c:barChart>
      <c:lineChart>
        <c:grouping val="standard"/>
        <c:varyColors val="0"/>
        <c:ser>
          <c:idx val="2"/>
          <c:order val="2"/>
          <c:tx>
            <c:strRef>
              <c:f>Retroactivos!$N$8</c:f>
              <c:strCache>
                <c:ptCount val="1"/>
                <c:pt idx="0">
                  <c:v>Monto</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Pt>
            <c:idx val="1"/>
            <c:bubble3D val="0"/>
            <c:extLst>
              <c:ext xmlns:c16="http://schemas.microsoft.com/office/drawing/2014/chart" uri="{C3380CC4-5D6E-409C-BE32-E72D297353CC}">
                <c16:uniqueId val="{00000005-8888-4D3B-A92B-728D1A25D15E}"/>
              </c:ext>
            </c:extLst>
          </c:dPt>
          <c:dLbls>
            <c:dLbl>
              <c:idx val="0"/>
              <c:layout>
                <c:manualLayout>
                  <c:x val="-1.9344926088271923E-2"/>
                  <c:y val="-8.52071189788705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88-4F3E-9D80-50FAAA1EC586}"/>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Retroactivos!$B$10:$B$12</c:f>
              <c:strCache>
                <c:ptCount val="3"/>
                <c:pt idx="0">
                  <c:v>Marzo</c:v>
                </c:pt>
                <c:pt idx="1">
                  <c:v>Febrero </c:v>
                </c:pt>
                <c:pt idx="2">
                  <c:v>Enero</c:v>
                </c:pt>
              </c:strCache>
            </c:strRef>
          </c:cat>
          <c:val>
            <c:numRef>
              <c:f>Retroactivos!$N$11:$N$12</c:f>
              <c:numCache>
                <c:formatCode>_(* #,##0.00_);_(* \(#,##0.00\);_(* "-"??_);_(@_)</c:formatCode>
                <c:ptCount val="2"/>
                <c:pt idx="0">
                  <c:v>57428930.409999996</c:v>
                </c:pt>
                <c:pt idx="1">
                  <c:v>20852182.25</c:v>
                </c:pt>
              </c:numCache>
            </c:numRef>
          </c:val>
          <c:smooth val="0"/>
          <c:extLst>
            <c:ext xmlns:c16="http://schemas.microsoft.com/office/drawing/2014/chart" uri="{C3380CC4-5D6E-409C-BE32-E72D297353CC}">
              <c16:uniqueId val="{00000008-6B88-4F3E-9D80-50FAAA1EC586}"/>
            </c:ext>
          </c:extLst>
        </c:ser>
        <c:dLbls>
          <c:showLegendKey val="0"/>
          <c:showVal val="1"/>
          <c:showCatName val="0"/>
          <c:showSerName val="0"/>
          <c:showPercent val="0"/>
          <c:showBubbleSize val="0"/>
        </c:dLbls>
        <c:marker val="1"/>
        <c:smooth val="0"/>
        <c:axId val="1672055792"/>
        <c:axId val="1672053072"/>
      </c:lineChart>
      <c:catAx>
        <c:axId val="1672051440"/>
        <c:scaling>
          <c:orientation val="minMax"/>
        </c:scaling>
        <c:delete val="0"/>
        <c:axPos val="b"/>
        <c:numFmt formatCode="General" sourceLinked="0"/>
        <c:majorTickMark val="none"/>
        <c:minorTickMark val="none"/>
        <c:tickLblPos val="nextTo"/>
        <c:crossAx val="1672050896"/>
        <c:crosses val="autoZero"/>
        <c:auto val="1"/>
        <c:lblAlgn val="ctr"/>
        <c:lblOffset val="100"/>
        <c:noMultiLvlLbl val="0"/>
      </c:catAx>
      <c:valAx>
        <c:axId val="1672050896"/>
        <c:scaling>
          <c:orientation val="minMax"/>
        </c:scaling>
        <c:delete val="0"/>
        <c:axPos val="l"/>
        <c:numFmt formatCode="#,##0_);\(#,##0\)" sourceLinked="1"/>
        <c:majorTickMark val="none"/>
        <c:minorTickMark val="none"/>
        <c:tickLblPos val="nextTo"/>
        <c:crossAx val="1672051440"/>
        <c:crosses val="autoZero"/>
        <c:crossBetween val="between"/>
      </c:valAx>
      <c:valAx>
        <c:axId val="1672053072"/>
        <c:scaling>
          <c:orientation val="minMax"/>
        </c:scaling>
        <c:delete val="0"/>
        <c:axPos val="r"/>
        <c:numFmt formatCode="_(* #,##0.00_);_(* \(#,##0.00\);_(* &quot;-&quot;??_);_(@_)" sourceLinked="1"/>
        <c:majorTickMark val="out"/>
        <c:minorTickMark val="none"/>
        <c:tickLblPos val="nextTo"/>
        <c:crossAx val="1672055792"/>
        <c:crosses val="max"/>
        <c:crossBetween val="between"/>
      </c:valAx>
      <c:catAx>
        <c:axId val="1672055792"/>
        <c:scaling>
          <c:orientation val="minMax"/>
        </c:scaling>
        <c:delete val="1"/>
        <c:axPos val="b"/>
        <c:numFmt formatCode="General" sourceLinked="1"/>
        <c:majorTickMark val="out"/>
        <c:minorTickMark val="none"/>
        <c:tickLblPos val="nextTo"/>
        <c:crossAx val="1672053072"/>
        <c:crosses val="autoZero"/>
        <c:auto val="1"/>
        <c:lblAlgn val="ctr"/>
        <c:lblOffset val="100"/>
        <c:noMultiLvlLbl val="0"/>
      </c:catAx>
    </c:plotArea>
    <c:legend>
      <c:legendPos val="b"/>
      <c:layout>
        <c:manualLayout>
          <c:xMode val="edge"/>
          <c:yMode val="edge"/>
          <c:x val="0.24932899446490744"/>
          <c:y val="0.87879252468585134"/>
          <c:w val="0.51212458447537823"/>
          <c:h val="8.4031421083945429E-2"/>
        </c:manualLayout>
      </c:layout>
      <c:overlay val="0"/>
      <c:txPr>
        <a:bodyPr/>
        <a:lstStyle/>
        <a:p>
          <a:pPr>
            <a:defRPr sz="900"/>
          </a:pPr>
          <a:endParaRPr lang="es-ES"/>
        </a:p>
      </c:txPr>
    </c:legend>
    <c:plotVisOnly val="1"/>
    <c:dispBlanksAs val="gap"/>
    <c:showDLblsOverMax val="0"/>
  </c:chart>
  <c:spPr>
    <a:ln>
      <a:noFill/>
    </a:ln>
  </c:spPr>
  <c:printSettings>
    <c:headerFooter/>
    <c:pageMargins b="0.75" l="0.7" r="0.7" t="0.75"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DO" sz="1100" b="1">
                <a:solidFill>
                  <a:schemeClr val="tx2">
                    <a:lumMod val="60000"/>
                    <a:lumOff val="40000"/>
                  </a:schemeClr>
                </a:solidFill>
              </a:rPr>
              <a:t>Reintegro</a:t>
            </a:r>
            <a:r>
              <a:rPr lang="es-DO" sz="1100" b="1" baseline="0">
                <a:solidFill>
                  <a:schemeClr val="tx2">
                    <a:lumMod val="60000"/>
                    <a:lumOff val="40000"/>
                  </a:schemeClr>
                </a:solidFill>
              </a:rPr>
              <a:t> de Cheques</a:t>
            </a:r>
            <a:endParaRPr lang="es-DO" sz="1100" b="1">
              <a:solidFill>
                <a:schemeClr val="tx2">
                  <a:lumMod val="60000"/>
                  <a:lumOff val="40000"/>
                </a:scheme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barChart>
        <c:barDir val="col"/>
        <c:grouping val="clustered"/>
        <c:varyColors val="0"/>
        <c:ser>
          <c:idx val="0"/>
          <c:order val="0"/>
          <c:tx>
            <c:strRef>
              <c:f>Reintegros!$H$7</c:f>
              <c:strCache>
                <c:ptCount val="1"/>
                <c:pt idx="0">
                  <c:v>Cantidad 
de Cheques</c:v>
                </c:pt>
              </c:strCache>
            </c:strRef>
          </c:tx>
          <c:spPr>
            <a:solidFill>
              <a:schemeClr val="bg1">
                <a:lumMod val="65000"/>
              </a:schemeClr>
            </a:solidFill>
            <a:ln>
              <a:noFill/>
            </a:ln>
            <a:effectLst/>
          </c:spPr>
          <c:invertIfNegative val="0"/>
          <c:cat>
            <c:strRef>
              <c:f>Reintegros!$A$8:$A$10</c:f>
              <c:strCache>
                <c:ptCount val="3"/>
                <c:pt idx="0">
                  <c:v>Abril</c:v>
                </c:pt>
                <c:pt idx="1">
                  <c:v>Mayo</c:v>
                </c:pt>
                <c:pt idx="2">
                  <c:v>Junio</c:v>
                </c:pt>
              </c:strCache>
            </c:strRef>
          </c:cat>
          <c:val>
            <c:numRef>
              <c:f>Reintegros!$H$8:$H$10</c:f>
              <c:numCache>
                <c:formatCode>_(* #,##0_);_(* \(#,##0\);_(* "-"??_);_(@_)</c:formatCode>
                <c:ptCount val="3"/>
                <c:pt idx="0">
                  <c:v>0</c:v>
                </c:pt>
                <c:pt idx="1">
                  <c:v>80</c:v>
                </c:pt>
                <c:pt idx="2">
                  <c:v>2996</c:v>
                </c:pt>
              </c:numCache>
            </c:numRef>
          </c:val>
          <c:extLst>
            <c:ext xmlns:c16="http://schemas.microsoft.com/office/drawing/2014/chart" uri="{C3380CC4-5D6E-409C-BE32-E72D297353CC}">
              <c16:uniqueId val="{00000000-8DE3-4894-8909-6FB7CBDC635F}"/>
            </c:ext>
          </c:extLst>
        </c:ser>
        <c:ser>
          <c:idx val="1"/>
          <c:order val="1"/>
          <c:tx>
            <c:strRef>
              <c:f>Reintegros!$I$7</c:f>
              <c:strCache>
                <c:ptCount val="1"/>
                <c:pt idx="0">
                  <c:v>Monto</c:v>
                </c:pt>
              </c:strCache>
            </c:strRef>
          </c:tx>
          <c:spPr>
            <a:solidFill>
              <a:schemeClr val="accent3"/>
            </a:solidFill>
            <a:ln>
              <a:noFill/>
            </a:ln>
            <a:effectLst/>
          </c:spPr>
          <c:invertIfNegative val="0"/>
          <c:cat>
            <c:strRef>
              <c:f>Reintegros!$A$8:$A$10</c:f>
              <c:strCache>
                <c:ptCount val="3"/>
                <c:pt idx="0">
                  <c:v>Abril</c:v>
                </c:pt>
                <c:pt idx="1">
                  <c:v>Mayo</c:v>
                </c:pt>
                <c:pt idx="2">
                  <c:v>Junio</c:v>
                </c:pt>
              </c:strCache>
            </c:strRef>
          </c:cat>
          <c:val>
            <c:numRef>
              <c:f>Reintegros!$I$8:$I$10</c:f>
              <c:numCache>
                <c:formatCode>_(* #,##0.00_);_(* \(#,##0.00\);_(* "-"??_);_(@_)</c:formatCode>
                <c:ptCount val="3"/>
                <c:pt idx="0">
                  <c:v>0</c:v>
                </c:pt>
                <c:pt idx="1">
                  <c:v>797212.89</c:v>
                </c:pt>
                <c:pt idx="2" formatCode="_(* #,##0_);_(* \(#,##0\);_(* &quot;-&quot;??_);_(@_)">
                  <c:v>20744930.620000001</c:v>
                </c:pt>
              </c:numCache>
            </c:numRef>
          </c:val>
          <c:extLst>
            <c:ext xmlns:c16="http://schemas.microsoft.com/office/drawing/2014/chart" uri="{C3380CC4-5D6E-409C-BE32-E72D297353CC}">
              <c16:uniqueId val="{00000001-8DE3-4894-8909-6FB7CBDC635F}"/>
            </c:ext>
          </c:extLst>
        </c:ser>
        <c:dLbls>
          <c:showLegendKey val="0"/>
          <c:showVal val="0"/>
          <c:showCatName val="0"/>
          <c:showSerName val="0"/>
          <c:showPercent val="0"/>
          <c:showBubbleSize val="0"/>
        </c:dLbls>
        <c:gapWidth val="219"/>
        <c:overlap val="-27"/>
        <c:axId val="1672047088"/>
        <c:axId val="1672050352"/>
      </c:barChart>
      <c:catAx>
        <c:axId val="167204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2050352"/>
        <c:crosses val="autoZero"/>
        <c:auto val="1"/>
        <c:lblAlgn val="ctr"/>
        <c:lblOffset val="100"/>
        <c:noMultiLvlLbl val="0"/>
      </c:catAx>
      <c:valAx>
        <c:axId val="1672050352"/>
        <c:scaling>
          <c:orientation val="minMax"/>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204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DO" sz="1100" b="1">
                <a:solidFill>
                  <a:schemeClr val="tx2">
                    <a:lumMod val="60000"/>
                    <a:lumOff val="40000"/>
                  </a:schemeClr>
                </a:solidFill>
              </a:rPr>
              <a:t>Créditos</a:t>
            </a:r>
            <a:r>
              <a:rPr lang="es-DO" sz="1100" b="1" baseline="0">
                <a:solidFill>
                  <a:schemeClr val="tx2">
                    <a:lumMod val="60000"/>
                    <a:lumOff val="40000"/>
                  </a:schemeClr>
                </a:solidFill>
              </a:rPr>
              <a:t> Rechazados</a:t>
            </a:r>
            <a:endParaRPr lang="es-DO" sz="1100" b="1">
              <a:solidFill>
                <a:schemeClr val="tx2">
                  <a:lumMod val="60000"/>
                  <a:lumOff val="40000"/>
                </a:scheme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barChart>
        <c:barDir val="col"/>
        <c:grouping val="clustered"/>
        <c:varyColors val="0"/>
        <c:ser>
          <c:idx val="0"/>
          <c:order val="0"/>
          <c:tx>
            <c:strRef>
              <c:f>'Créditos Rechazados'!$H$7</c:f>
              <c:strCache>
                <c:ptCount val="1"/>
                <c:pt idx="0">
                  <c:v>Cantidad 
</c:v>
                </c:pt>
              </c:strCache>
            </c:strRef>
          </c:tx>
          <c:spPr>
            <a:solidFill>
              <a:schemeClr val="bg1">
                <a:lumMod val="75000"/>
              </a:schemeClr>
            </a:solidFill>
            <a:ln>
              <a:solidFill>
                <a:schemeClr val="accent3">
                  <a:lumMod val="60000"/>
                  <a:lumOff val="40000"/>
                </a:schemeClr>
              </a:solidFill>
            </a:ln>
            <a:effectLst/>
          </c:spPr>
          <c:invertIfNegative val="0"/>
          <c:cat>
            <c:strRef>
              <c:f>'Créditos Rechazados'!$A$8:$A$10</c:f>
              <c:strCache>
                <c:ptCount val="3"/>
                <c:pt idx="0">
                  <c:v>Abril</c:v>
                </c:pt>
                <c:pt idx="1">
                  <c:v>Mayo</c:v>
                </c:pt>
                <c:pt idx="2">
                  <c:v>Junio</c:v>
                </c:pt>
              </c:strCache>
            </c:strRef>
          </c:cat>
          <c:val>
            <c:numRef>
              <c:f>'Créditos Rechazados'!$H$8:$H$10</c:f>
              <c:numCache>
                <c:formatCode>_(* #,##0_);_(* \(#,##0\);_(* "-"??_);_(@_)</c:formatCode>
                <c:ptCount val="3"/>
                <c:pt idx="0">
                  <c:v>0</c:v>
                </c:pt>
                <c:pt idx="1">
                  <c:v>40</c:v>
                </c:pt>
                <c:pt idx="2">
                  <c:v>142</c:v>
                </c:pt>
              </c:numCache>
            </c:numRef>
          </c:val>
          <c:extLst>
            <c:ext xmlns:c16="http://schemas.microsoft.com/office/drawing/2014/chart" uri="{C3380CC4-5D6E-409C-BE32-E72D297353CC}">
              <c16:uniqueId val="{00000000-1AA9-4FB4-B4A2-1D086BEA9BB5}"/>
            </c:ext>
          </c:extLst>
        </c:ser>
        <c:ser>
          <c:idx val="1"/>
          <c:order val="1"/>
          <c:tx>
            <c:strRef>
              <c:f>'Créditos Rechazados'!$I$7</c:f>
              <c:strCache>
                <c:ptCount val="1"/>
                <c:pt idx="0">
                  <c:v>Monto</c:v>
                </c:pt>
              </c:strCache>
            </c:strRef>
          </c:tx>
          <c:spPr>
            <a:solidFill>
              <a:schemeClr val="accent3"/>
            </a:solidFill>
            <a:ln>
              <a:noFill/>
            </a:ln>
            <a:effectLst/>
          </c:spPr>
          <c:invertIfNegative val="0"/>
          <c:cat>
            <c:strRef>
              <c:f>'Créditos Rechazados'!$A$8:$A$10</c:f>
              <c:strCache>
                <c:ptCount val="3"/>
                <c:pt idx="0">
                  <c:v>Abril</c:v>
                </c:pt>
                <c:pt idx="1">
                  <c:v>Mayo</c:v>
                </c:pt>
                <c:pt idx="2">
                  <c:v>Junio</c:v>
                </c:pt>
              </c:strCache>
            </c:strRef>
          </c:cat>
          <c:val>
            <c:numRef>
              <c:f>'Créditos Rechazados'!$I$8:$I$10</c:f>
              <c:numCache>
                <c:formatCode>_(* #,##0.00_);_(* \(#,##0.00\);_(* "-"??_);_(@_)</c:formatCode>
                <c:ptCount val="3"/>
                <c:pt idx="0">
                  <c:v>0</c:v>
                </c:pt>
                <c:pt idx="1">
                  <c:v>414032.22</c:v>
                </c:pt>
                <c:pt idx="2" formatCode="_(* #,##0_);_(* \(#,##0\);_(* &quot;-&quot;??_);_(@_)">
                  <c:v>1591442.78</c:v>
                </c:pt>
              </c:numCache>
            </c:numRef>
          </c:val>
          <c:extLst>
            <c:ext xmlns:c16="http://schemas.microsoft.com/office/drawing/2014/chart" uri="{C3380CC4-5D6E-409C-BE32-E72D297353CC}">
              <c16:uniqueId val="{00000001-1AA9-4FB4-B4A2-1D086BEA9BB5}"/>
            </c:ext>
          </c:extLst>
        </c:ser>
        <c:dLbls>
          <c:showLegendKey val="0"/>
          <c:showVal val="0"/>
          <c:showCatName val="0"/>
          <c:showSerName val="0"/>
          <c:showPercent val="0"/>
          <c:showBubbleSize val="0"/>
        </c:dLbls>
        <c:gapWidth val="219"/>
        <c:overlap val="-27"/>
        <c:axId val="1672047632"/>
        <c:axId val="1672049264"/>
      </c:barChart>
      <c:catAx>
        <c:axId val="1672047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2049264"/>
        <c:crosses val="autoZero"/>
        <c:auto val="1"/>
        <c:lblAlgn val="ctr"/>
        <c:lblOffset val="100"/>
        <c:noMultiLvlLbl val="0"/>
      </c:catAx>
      <c:valAx>
        <c:axId val="1672049264"/>
        <c:scaling>
          <c:orientation val="minMax"/>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2047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816805319017807"/>
          <c:y val="0.1147686611742301"/>
          <c:w val="0.71680195964278259"/>
          <c:h val="0.69625725323778975"/>
        </c:manualLayout>
      </c:layout>
      <c:barChart>
        <c:barDir val="col"/>
        <c:grouping val="clustered"/>
        <c:varyColors val="0"/>
        <c:ser>
          <c:idx val="0"/>
          <c:order val="0"/>
          <c:tx>
            <c:strRef>
              <c:f>'Recuperación Fondos'!$D$7</c:f>
              <c:strCache>
                <c:ptCount val="1"/>
                <c:pt idx="0">
                  <c:v>Monto 
Solicitado</c:v>
                </c:pt>
              </c:strCache>
            </c:strRef>
          </c:tx>
          <c:spPr>
            <a:solidFill>
              <a:schemeClr val="bg1">
                <a:lumMod val="75000"/>
              </a:schemeClr>
            </a:solidFill>
            <a:ln>
              <a:solidFill>
                <a:schemeClr val="bg1">
                  <a:lumMod val="75000"/>
                </a:schemeClr>
              </a:solidFill>
            </a:ln>
          </c:spPr>
          <c:invertIfNegative val="0"/>
          <c:dLbls>
            <c:dLbl>
              <c:idx val="1"/>
              <c:layout>
                <c:manualLayout>
                  <c:x val="1.9182306332050394E-2"/>
                  <c:y val="-4.014939585169238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953-4937-ACFC-AC9F032F728F}"/>
                </c:ext>
              </c:extLst>
            </c:dLbl>
            <c:dLbl>
              <c:idx val="2"/>
              <c:layout>
                <c:manualLayout>
                  <c:x val="1.1568720852990166E-2"/>
                  <c:y val="-2.00406905565971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0E-4AAE-A1A5-DCAEA2966225}"/>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'Recuperación Fondos'!$B$8:$B$10</c:f>
              <c:strCache>
                <c:ptCount val="3"/>
                <c:pt idx="0">
                  <c:v>Marzo</c:v>
                </c:pt>
                <c:pt idx="1">
                  <c:v>Febrero</c:v>
                </c:pt>
                <c:pt idx="2">
                  <c:v>Enero</c:v>
                </c:pt>
              </c:strCache>
            </c:strRef>
          </c:cat>
          <c:val>
            <c:numRef>
              <c:f>'Recuperación Fondos'!$D$8:$D$10</c:f>
              <c:numCache>
                <c:formatCode>#,##0.00_);[Red]\(#,##0.00\)</c:formatCode>
                <c:ptCount val="3"/>
                <c:pt idx="0">
                  <c:v>8669900.1799999997</c:v>
                </c:pt>
                <c:pt idx="1">
                  <c:v>5717119.3100000005</c:v>
                </c:pt>
                <c:pt idx="2">
                  <c:v>5287964.3899999997</c:v>
                </c:pt>
              </c:numCache>
            </c:numRef>
          </c:val>
          <c:extLst>
            <c:ext xmlns:c16="http://schemas.microsoft.com/office/drawing/2014/chart" uri="{C3380CC4-5D6E-409C-BE32-E72D297353CC}">
              <c16:uniqueId val="{00000003-F953-4937-ACFC-AC9F032F728F}"/>
            </c:ext>
          </c:extLst>
        </c:ser>
        <c:ser>
          <c:idx val="1"/>
          <c:order val="1"/>
          <c:tx>
            <c:strRef>
              <c:f>'Recuperación Fondos'!$G$7</c:f>
              <c:strCache>
                <c:ptCount val="1"/>
                <c:pt idx="0">
                  <c:v>Total 
Recuperado</c:v>
                </c:pt>
              </c:strCache>
            </c:strRef>
          </c:tx>
          <c:spPr>
            <a:solidFill>
              <a:schemeClr val="accent3">
                <a:lumMod val="60000"/>
                <a:lumOff val="40000"/>
              </a:schemeClr>
            </a:solidFill>
            <a:ln>
              <a:solidFill>
                <a:schemeClr val="accent3">
                  <a:lumMod val="60000"/>
                  <a:lumOff val="40000"/>
                </a:schemeClr>
              </a:solidFill>
            </a:ln>
          </c:spPr>
          <c:invertIfNegative val="0"/>
          <c:dLbls>
            <c:dLbl>
              <c:idx val="0"/>
              <c:layout>
                <c:manualLayout>
                  <c:x val="1.4354024410601823E-2"/>
                  <c:y val="1.2011107102512995E-2"/>
                </c:manualLayout>
              </c:layout>
              <c:spPr>
                <a:noFill/>
                <a:ln>
                  <a:noFill/>
                </a:ln>
                <a:effectLst/>
              </c:spPr>
              <c:txPr>
                <a:bodyPr wrap="square" lIns="38100" tIns="19050" rIns="38100" bIns="19050" anchor="ctr">
                  <a:noAutofit/>
                </a:bodyPr>
                <a:lstStyle/>
                <a:p>
                  <a:pPr>
                    <a:defRPr/>
                  </a:pPr>
                  <a:endParaRPr lang="es-ES"/>
                </a:p>
              </c:txPr>
              <c:showLegendKey val="0"/>
              <c:showVal val="1"/>
              <c:showCatName val="0"/>
              <c:showSerName val="0"/>
              <c:showPercent val="0"/>
              <c:showBubbleSize val="0"/>
              <c:extLst>
                <c:ext xmlns:c15="http://schemas.microsoft.com/office/drawing/2012/chart" uri="{CE6537A1-D6FC-4f65-9D91-7224C49458BB}">
                  <c15:layout>
                    <c:manualLayout>
                      <c:w val="0.13107200811714922"/>
                      <c:h val="4.5837202287660944E-2"/>
                    </c:manualLayout>
                  </c15:layout>
                </c:ext>
                <c:ext xmlns:c16="http://schemas.microsoft.com/office/drawing/2014/chart" uri="{C3380CC4-5D6E-409C-BE32-E72D297353CC}">
                  <c16:uniqueId val="{00000004-F953-4937-ACFC-AC9F032F728F}"/>
                </c:ext>
              </c:extLst>
            </c:dLbl>
            <c:dLbl>
              <c:idx val="1"/>
              <c:layout>
                <c:manualLayout>
                  <c:x val="4.004152379754003E-3"/>
                  <c:y val="1.85186389955110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953-4937-ACFC-AC9F032F728F}"/>
                </c:ext>
              </c:extLst>
            </c:dLbl>
            <c:dLbl>
              <c:idx val="2"/>
              <c:layout>
                <c:manualLayout>
                  <c:x val="-1.598692580187087E-3"/>
                  <c:y val="2.3407715828508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953-4937-ACFC-AC9F032F728F}"/>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'Recuperación Fondos'!$B$8:$B$10</c:f>
              <c:strCache>
                <c:ptCount val="3"/>
                <c:pt idx="0">
                  <c:v>Marzo</c:v>
                </c:pt>
                <c:pt idx="1">
                  <c:v>Febrero</c:v>
                </c:pt>
                <c:pt idx="2">
                  <c:v>Enero</c:v>
                </c:pt>
              </c:strCache>
            </c:strRef>
          </c:cat>
          <c:val>
            <c:numRef>
              <c:f>'Recuperación Fondos'!$G$8:$G$10</c:f>
              <c:numCache>
                <c:formatCode>_(* #,##0.00_);_(* \(#,##0.00\);_(* "-"??_);_(@_)</c:formatCode>
                <c:ptCount val="3"/>
                <c:pt idx="0">
                  <c:v>1922973.0899999999</c:v>
                </c:pt>
                <c:pt idx="1">
                  <c:v>0</c:v>
                </c:pt>
                <c:pt idx="2">
                  <c:v>0</c:v>
                </c:pt>
              </c:numCache>
            </c:numRef>
          </c:val>
          <c:extLst>
            <c:ext xmlns:c16="http://schemas.microsoft.com/office/drawing/2014/chart" uri="{C3380CC4-5D6E-409C-BE32-E72D297353CC}">
              <c16:uniqueId val="{00000007-F953-4937-ACFC-AC9F032F728F}"/>
            </c:ext>
          </c:extLst>
        </c:ser>
        <c:dLbls>
          <c:showLegendKey val="0"/>
          <c:showVal val="1"/>
          <c:showCatName val="0"/>
          <c:showSerName val="0"/>
          <c:showPercent val="0"/>
          <c:showBubbleSize val="0"/>
        </c:dLbls>
        <c:gapWidth val="75"/>
        <c:axId val="1672048720"/>
        <c:axId val="1672045456"/>
      </c:barChart>
      <c:lineChart>
        <c:grouping val="standard"/>
        <c:varyColors val="0"/>
        <c:ser>
          <c:idx val="2"/>
          <c:order val="2"/>
          <c:tx>
            <c:strRef>
              <c:f>'Recuperación Fondos'!$H$7</c:f>
              <c:strCache>
                <c:ptCount val="1"/>
                <c:pt idx="0">
                  <c:v>% Recuperado</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Lbls>
            <c:dLbl>
              <c:idx val="0"/>
              <c:layout>
                <c:manualLayout>
                  <c:x val="-9.6445290055332478E-2"/>
                  <c:y val="-1.2755424914685863E-2"/>
                </c:manualLayout>
              </c:layout>
              <c:spPr>
                <a:noFill/>
                <a:ln>
                  <a:noFill/>
                </a:ln>
                <a:effectLst/>
              </c:spPr>
              <c:txPr>
                <a:bodyPr wrap="square" lIns="38100" tIns="19050" rIns="38100" bIns="19050" anchor="ctr">
                  <a:noAutofit/>
                </a:bodyPr>
                <a:lstStyle/>
                <a:p>
                  <a:pPr>
                    <a:defRPr sz="800" b="1"/>
                  </a:pPr>
                  <a:endParaRPr lang="es-ES"/>
                </a:p>
              </c:txPr>
              <c:showLegendKey val="0"/>
              <c:showVal val="1"/>
              <c:showCatName val="0"/>
              <c:showSerName val="0"/>
              <c:showPercent val="0"/>
              <c:showBubbleSize val="0"/>
              <c:extLst>
                <c:ext xmlns:c15="http://schemas.microsoft.com/office/drawing/2012/chart" uri="{CE6537A1-D6FC-4f65-9D91-7224C49458BB}">
                  <c15:layout>
                    <c:manualLayout>
                      <c:w val="0.1051238097194996"/>
                      <c:h val="7.4435921244847145E-2"/>
                    </c:manualLayout>
                  </c15:layout>
                </c:ext>
                <c:ext xmlns:c16="http://schemas.microsoft.com/office/drawing/2014/chart" uri="{C3380CC4-5D6E-409C-BE32-E72D297353CC}">
                  <c16:uniqueId val="{00000008-F953-4937-ACFC-AC9F032F728F}"/>
                </c:ext>
              </c:extLst>
            </c:dLbl>
            <c:dLbl>
              <c:idx val="1"/>
              <c:layout>
                <c:manualLayout>
                  <c:x val="-8.0756784548152889E-3"/>
                  <c:y val="-1.7063862882287256E-2"/>
                </c:manualLayout>
              </c:layout>
              <c:spPr>
                <a:noFill/>
                <a:ln>
                  <a:noFill/>
                </a:ln>
                <a:effectLst/>
              </c:spPr>
              <c:txPr>
                <a:bodyPr wrap="square" lIns="38100" tIns="19050" rIns="38100" bIns="19050" anchor="ctr">
                  <a:noAutofit/>
                </a:bodyPr>
                <a:lstStyle/>
                <a:p>
                  <a:pPr>
                    <a:defRPr sz="800" b="1"/>
                  </a:pPr>
                  <a:endParaRPr lang="es-ES"/>
                </a:p>
              </c:txPr>
              <c:showLegendKey val="0"/>
              <c:showVal val="1"/>
              <c:showCatName val="0"/>
              <c:showSerName val="0"/>
              <c:showPercent val="0"/>
              <c:showBubbleSize val="0"/>
              <c:extLst>
                <c:ext xmlns:c15="http://schemas.microsoft.com/office/drawing/2012/chart" uri="{CE6537A1-D6FC-4f65-9D91-7224C49458BB}">
                  <c15:layout>
                    <c:manualLayout>
                      <c:w val="0.10912780795442271"/>
                      <c:h val="6.3169131954507005E-2"/>
                    </c:manualLayout>
                  </c15:layout>
                </c:ext>
                <c:ext xmlns:c16="http://schemas.microsoft.com/office/drawing/2014/chart" uri="{C3380CC4-5D6E-409C-BE32-E72D297353CC}">
                  <c16:uniqueId val="{00000009-F953-4937-ACFC-AC9F032F728F}"/>
                </c:ext>
              </c:extLst>
            </c:dLbl>
            <c:dLbl>
              <c:idx val="2"/>
              <c:layout>
                <c:manualLayout>
                  <c:x val="-1.9030230582906038E-2"/>
                  <c:y val="-4.24450411341311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953-4937-ACFC-AC9F032F728F}"/>
                </c:ext>
              </c:extLst>
            </c:dLbl>
            <c:spPr>
              <a:noFill/>
              <a:ln>
                <a:noFill/>
              </a:ln>
              <a:effectLst/>
            </c:spPr>
            <c:txPr>
              <a:bodyPr wrap="square" lIns="38100" tIns="19050" rIns="38100" bIns="19050" anchor="ctr">
                <a:spAutoFit/>
              </a:bodyPr>
              <a:lstStyle/>
              <a:p>
                <a:pPr>
                  <a:defRPr sz="800"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'Recuperación Fondos'!$B$8:$B$10</c:f>
              <c:strCache>
                <c:ptCount val="3"/>
                <c:pt idx="0">
                  <c:v>Marzo</c:v>
                </c:pt>
                <c:pt idx="1">
                  <c:v>Febrero</c:v>
                </c:pt>
                <c:pt idx="2">
                  <c:v>Enero</c:v>
                </c:pt>
              </c:strCache>
            </c:strRef>
          </c:cat>
          <c:val>
            <c:numRef>
              <c:f>'Recuperación Fondos'!$H$8:$H$10</c:f>
              <c:numCache>
                <c:formatCode>0.00%</c:formatCode>
                <c:ptCount val="3"/>
                <c:pt idx="0">
                  <c:v>0.22179875777993097</c:v>
                </c:pt>
                <c:pt idx="1">
                  <c:v>0</c:v>
                </c:pt>
                <c:pt idx="2">
                  <c:v>0</c:v>
                </c:pt>
              </c:numCache>
            </c:numRef>
          </c:val>
          <c:smooth val="0"/>
          <c:extLst>
            <c:ext xmlns:c16="http://schemas.microsoft.com/office/drawing/2014/chart" uri="{C3380CC4-5D6E-409C-BE32-E72D297353CC}">
              <c16:uniqueId val="{0000000B-F953-4937-ACFC-AC9F032F728F}"/>
            </c:ext>
          </c:extLst>
        </c:ser>
        <c:dLbls>
          <c:showLegendKey val="0"/>
          <c:showVal val="1"/>
          <c:showCatName val="0"/>
          <c:showSerName val="0"/>
          <c:showPercent val="0"/>
          <c:showBubbleSize val="0"/>
        </c:dLbls>
        <c:marker val="1"/>
        <c:smooth val="0"/>
        <c:axId val="1672048176"/>
        <c:axId val="1672052528"/>
      </c:lineChart>
      <c:valAx>
        <c:axId val="1672052528"/>
        <c:scaling>
          <c:orientation val="minMax"/>
        </c:scaling>
        <c:delete val="0"/>
        <c:axPos val="r"/>
        <c:numFmt formatCode="0.00%" sourceLinked="1"/>
        <c:majorTickMark val="none"/>
        <c:minorTickMark val="none"/>
        <c:tickLblPos val="nextTo"/>
        <c:crossAx val="1672048176"/>
        <c:crosses val="max"/>
        <c:crossBetween val="between"/>
      </c:valAx>
      <c:catAx>
        <c:axId val="1672048176"/>
        <c:scaling>
          <c:orientation val="minMax"/>
        </c:scaling>
        <c:delete val="0"/>
        <c:axPos val="b"/>
        <c:numFmt formatCode="General" sourceLinked="0"/>
        <c:majorTickMark val="none"/>
        <c:minorTickMark val="none"/>
        <c:tickLblPos val="nextTo"/>
        <c:crossAx val="1672052528"/>
        <c:crosses val="autoZero"/>
        <c:auto val="1"/>
        <c:lblAlgn val="ctr"/>
        <c:lblOffset val="100"/>
        <c:noMultiLvlLbl val="0"/>
      </c:catAx>
      <c:valAx>
        <c:axId val="1672045456"/>
        <c:scaling>
          <c:orientation val="minMax"/>
          <c:max val="5500000"/>
          <c:min val="0"/>
        </c:scaling>
        <c:delete val="0"/>
        <c:axPos val="l"/>
        <c:numFmt formatCode="#,##0.00_);[Red]\(#,##0.00\)" sourceLinked="1"/>
        <c:majorTickMark val="out"/>
        <c:minorTickMark val="none"/>
        <c:tickLblPos val="nextTo"/>
        <c:crossAx val="1672048720"/>
        <c:crosses val="autoZero"/>
        <c:crossBetween val="between"/>
        <c:majorUnit val="500000"/>
      </c:valAx>
      <c:catAx>
        <c:axId val="1672048720"/>
        <c:scaling>
          <c:orientation val="minMax"/>
        </c:scaling>
        <c:delete val="1"/>
        <c:axPos val="b"/>
        <c:numFmt formatCode="General" sourceLinked="1"/>
        <c:majorTickMark val="out"/>
        <c:minorTickMark val="none"/>
        <c:tickLblPos val="nextTo"/>
        <c:crossAx val="1672045456"/>
        <c:crosses val="autoZero"/>
        <c:auto val="1"/>
        <c:lblAlgn val="ctr"/>
        <c:lblOffset val="100"/>
        <c:noMultiLvlLbl val="0"/>
      </c:catAx>
    </c:plotArea>
    <c:legend>
      <c:legendPos val="b"/>
      <c:overlay val="0"/>
      <c:txPr>
        <a:bodyPr/>
        <a:lstStyle/>
        <a:p>
          <a:pPr>
            <a:defRPr sz="800" baseline="0"/>
          </a:pPr>
          <a:endParaRPr lang="es-ES"/>
        </a:p>
      </c:txPr>
    </c:legend>
    <c:plotVisOnly val="1"/>
    <c:dispBlanksAs val="gap"/>
    <c:showDLblsOverMax val="0"/>
  </c:chart>
  <c:spPr>
    <a:ln>
      <a:noFill/>
    </a:ln>
  </c:spPr>
  <c:printSettings>
    <c:headerFooter/>
    <c:pageMargins b="0.75" l="0.7" r="0.7" t="0.75" header="0.3" footer="0.3"/>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1"/>
          <c:order val="0"/>
          <c:tx>
            <c:strRef>
              <c:f>Servicios!$L$11</c:f>
              <c:strCache>
                <c:ptCount val="1"/>
                <c:pt idx="0">
                  <c:v>Recibidas</c:v>
                </c:pt>
              </c:strCache>
            </c:strRef>
          </c:tx>
          <c:spPr>
            <a:solidFill>
              <a:schemeClr val="bg1">
                <a:lumMod val="65000"/>
              </a:schemeClr>
            </a:solidFill>
            <a:ln>
              <a:solidFill>
                <a:schemeClr val="bg1">
                  <a:lumMod val="65000"/>
                </a:schemeClr>
              </a:solidFill>
            </a:ln>
          </c:spPr>
          <c:invertIfNegative val="0"/>
          <c:cat>
            <c:strRef>
              <c:f>Servicios!$B$12:$B$24</c:f>
              <c:strCache>
                <c:ptCount val="13"/>
                <c:pt idx="0">
                  <c:v>Modificación Datos Críticos</c:v>
                </c:pt>
                <c:pt idx="1">
                  <c:v>Pensión por sobrevivencia</c:v>
                </c:pt>
                <c:pt idx="2">
                  <c:v>Registro de Poderes</c:v>
                </c:pt>
                <c:pt idx="3">
                  <c:v>Solicitud Aplicación/Suspensión de Descuento 2%</c:v>
                </c:pt>
                <c:pt idx="4">
                  <c:v>Solicitud de actualización de datos  Pensionados</c:v>
                </c:pt>
                <c:pt idx="5">
                  <c:v>Solicitud de Exclusión</c:v>
                </c:pt>
                <c:pt idx="6">
                  <c:v>Solicitud de Inclusión a Nómina</c:v>
                </c:pt>
                <c:pt idx="7">
                  <c:v>Solicitud de Reajuste de Pensión</c:v>
                </c:pt>
                <c:pt idx="8">
                  <c:v>Solicitud de Reclamación de Deuda</c:v>
                </c:pt>
                <c:pt idx="9">
                  <c:v>Solicitud Pago Único Compensatorio</c:v>
                </c:pt>
                <c:pt idx="10">
                  <c:v>Solicitud Pensión</c:v>
                </c:pt>
                <c:pt idx="11">
                  <c:v>Solicitud Re-activación/Re-inclusión Pensión</c:v>
                </c:pt>
                <c:pt idx="12">
                  <c:v>Solicitud Traspaso</c:v>
                </c:pt>
              </c:strCache>
            </c:strRef>
          </c:cat>
          <c:val>
            <c:numRef>
              <c:f>Servicios!$L$12:$L$24</c:f>
              <c:numCache>
                <c:formatCode>#,##0</c:formatCode>
                <c:ptCount val="13"/>
                <c:pt idx="0">
                  <c:v>14</c:v>
                </c:pt>
                <c:pt idx="1">
                  <c:v>465</c:v>
                </c:pt>
                <c:pt idx="2">
                  <c:v>120</c:v>
                </c:pt>
                <c:pt idx="3">
                  <c:v>464</c:v>
                </c:pt>
                <c:pt idx="4">
                  <c:v>10563</c:v>
                </c:pt>
                <c:pt idx="5">
                  <c:v>843</c:v>
                </c:pt>
                <c:pt idx="6">
                  <c:v>3517</c:v>
                </c:pt>
                <c:pt idx="7">
                  <c:v>19</c:v>
                </c:pt>
                <c:pt idx="8">
                  <c:v>219</c:v>
                </c:pt>
                <c:pt idx="9">
                  <c:v>33</c:v>
                </c:pt>
                <c:pt idx="10">
                  <c:v>569</c:v>
                </c:pt>
                <c:pt idx="11">
                  <c:v>477</c:v>
                </c:pt>
                <c:pt idx="12">
                  <c:v>11</c:v>
                </c:pt>
              </c:numCache>
            </c:numRef>
          </c:val>
          <c:extLst>
            <c:ext xmlns:c16="http://schemas.microsoft.com/office/drawing/2014/chart" uri="{C3380CC4-5D6E-409C-BE32-E72D297353CC}">
              <c16:uniqueId val="{00000000-87CC-45A1-A6C8-669D4A3C48EA}"/>
            </c:ext>
          </c:extLst>
        </c:ser>
        <c:ser>
          <c:idx val="22"/>
          <c:order val="1"/>
          <c:tx>
            <c:strRef>
              <c:f>Servicios!$M$11</c:f>
              <c:strCache>
                <c:ptCount val="1"/>
                <c:pt idx="0">
                  <c:v>Procesadas</c:v>
                </c:pt>
              </c:strCache>
            </c:strRef>
          </c:tx>
          <c:spPr>
            <a:solidFill>
              <a:schemeClr val="accent3">
                <a:lumMod val="60000"/>
                <a:lumOff val="40000"/>
              </a:schemeClr>
            </a:solidFill>
            <a:ln>
              <a:solidFill>
                <a:schemeClr val="accent3">
                  <a:lumMod val="60000"/>
                  <a:lumOff val="40000"/>
                </a:schemeClr>
              </a:solidFill>
            </a:ln>
          </c:spPr>
          <c:invertIfNegative val="0"/>
          <c:cat>
            <c:strRef>
              <c:f>Servicios!$B$12:$B$24</c:f>
              <c:strCache>
                <c:ptCount val="13"/>
                <c:pt idx="0">
                  <c:v>Modificación Datos Críticos</c:v>
                </c:pt>
                <c:pt idx="1">
                  <c:v>Pensión por sobrevivencia</c:v>
                </c:pt>
                <c:pt idx="2">
                  <c:v>Registro de Poderes</c:v>
                </c:pt>
                <c:pt idx="3">
                  <c:v>Solicitud Aplicación/Suspensión de Descuento 2%</c:v>
                </c:pt>
                <c:pt idx="4">
                  <c:v>Solicitud de actualización de datos  Pensionados</c:v>
                </c:pt>
                <c:pt idx="5">
                  <c:v>Solicitud de Exclusión</c:v>
                </c:pt>
                <c:pt idx="6">
                  <c:v>Solicitud de Inclusión a Nómina</c:v>
                </c:pt>
                <c:pt idx="7">
                  <c:v>Solicitud de Reajuste de Pensión</c:v>
                </c:pt>
                <c:pt idx="8">
                  <c:v>Solicitud de Reclamación de Deuda</c:v>
                </c:pt>
                <c:pt idx="9">
                  <c:v>Solicitud Pago Único Compensatorio</c:v>
                </c:pt>
                <c:pt idx="10">
                  <c:v>Solicitud Pensión</c:v>
                </c:pt>
                <c:pt idx="11">
                  <c:v>Solicitud Re-activación/Re-inclusión Pensión</c:v>
                </c:pt>
                <c:pt idx="12">
                  <c:v>Solicitud Traspaso</c:v>
                </c:pt>
              </c:strCache>
            </c:strRef>
          </c:cat>
          <c:val>
            <c:numRef>
              <c:f>Servicios!$M$12:$M$24</c:f>
              <c:numCache>
                <c:formatCode>#,##0</c:formatCode>
                <c:ptCount val="13"/>
                <c:pt idx="0">
                  <c:v>13</c:v>
                </c:pt>
                <c:pt idx="1">
                  <c:v>451</c:v>
                </c:pt>
                <c:pt idx="2">
                  <c:v>77</c:v>
                </c:pt>
                <c:pt idx="3">
                  <c:v>462</c:v>
                </c:pt>
                <c:pt idx="4">
                  <c:v>10445</c:v>
                </c:pt>
                <c:pt idx="5">
                  <c:v>826</c:v>
                </c:pt>
                <c:pt idx="6">
                  <c:v>3468</c:v>
                </c:pt>
                <c:pt idx="7">
                  <c:v>19</c:v>
                </c:pt>
                <c:pt idx="8">
                  <c:v>215</c:v>
                </c:pt>
                <c:pt idx="9">
                  <c:v>30</c:v>
                </c:pt>
                <c:pt idx="10">
                  <c:v>547</c:v>
                </c:pt>
                <c:pt idx="11">
                  <c:v>474</c:v>
                </c:pt>
                <c:pt idx="12">
                  <c:v>11</c:v>
                </c:pt>
              </c:numCache>
            </c:numRef>
          </c:val>
          <c:extLst>
            <c:ext xmlns:c16="http://schemas.microsoft.com/office/drawing/2014/chart" uri="{C3380CC4-5D6E-409C-BE32-E72D297353CC}">
              <c16:uniqueId val="{00000001-87CC-45A1-A6C8-669D4A3C48EA}"/>
            </c:ext>
          </c:extLst>
        </c:ser>
        <c:dLbls>
          <c:showLegendKey val="0"/>
          <c:showVal val="0"/>
          <c:showCatName val="0"/>
          <c:showSerName val="0"/>
          <c:showPercent val="0"/>
          <c:showBubbleSize val="0"/>
        </c:dLbls>
        <c:gapWidth val="50"/>
        <c:axId val="1672055248"/>
        <c:axId val="1672041104"/>
      </c:barChart>
      <c:lineChart>
        <c:grouping val="standard"/>
        <c:varyColors val="0"/>
        <c:ser>
          <c:idx val="23"/>
          <c:order val="2"/>
          <c:tx>
            <c:strRef>
              <c:f>Servicios!$N$11</c:f>
              <c:strCache>
                <c:ptCount val="1"/>
                <c:pt idx="0">
                  <c:v>% Eficiencia</c:v>
                </c:pt>
              </c:strCache>
            </c:strRef>
          </c:tx>
          <c:spPr>
            <a:ln>
              <a:solidFill>
                <a:schemeClr val="accent1"/>
              </a:solidFill>
            </a:ln>
          </c:spPr>
          <c:marker>
            <c:symbol val="triangle"/>
            <c:size val="7"/>
            <c:spPr>
              <a:solidFill>
                <a:schemeClr val="accent1"/>
              </a:solidFill>
              <a:ln>
                <a:solidFill>
                  <a:schemeClr val="accent1"/>
                </a:solidFill>
              </a:ln>
            </c:spPr>
          </c:marker>
          <c:cat>
            <c:strRef>
              <c:f>Servicios!$B$12:$B$24</c:f>
              <c:strCache>
                <c:ptCount val="13"/>
                <c:pt idx="0">
                  <c:v>Modificación Datos Críticos</c:v>
                </c:pt>
                <c:pt idx="1">
                  <c:v>Pensión por sobrevivencia</c:v>
                </c:pt>
                <c:pt idx="2">
                  <c:v>Registro de Poderes</c:v>
                </c:pt>
                <c:pt idx="3">
                  <c:v>Solicitud Aplicación/Suspensión de Descuento 2%</c:v>
                </c:pt>
                <c:pt idx="4">
                  <c:v>Solicitud de actualización de datos  Pensionados</c:v>
                </c:pt>
                <c:pt idx="5">
                  <c:v>Solicitud de Exclusión</c:v>
                </c:pt>
                <c:pt idx="6">
                  <c:v>Solicitud de Inclusión a Nómina</c:v>
                </c:pt>
                <c:pt idx="7">
                  <c:v>Solicitud de Reajuste de Pensión</c:v>
                </c:pt>
                <c:pt idx="8">
                  <c:v>Solicitud de Reclamación de Deuda</c:v>
                </c:pt>
                <c:pt idx="9">
                  <c:v>Solicitud Pago Único Compensatorio</c:v>
                </c:pt>
                <c:pt idx="10">
                  <c:v>Solicitud Pensión</c:v>
                </c:pt>
                <c:pt idx="11">
                  <c:v>Solicitud Re-activación/Re-inclusión Pensión</c:v>
                </c:pt>
                <c:pt idx="12">
                  <c:v>Solicitud Traspaso</c:v>
                </c:pt>
              </c:strCache>
            </c:strRef>
          </c:cat>
          <c:val>
            <c:numRef>
              <c:f>Servicios!$N$12:$N$24</c:f>
              <c:numCache>
                <c:formatCode>0.0%</c:formatCode>
                <c:ptCount val="13"/>
                <c:pt idx="0">
                  <c:v>0.9285714285714286</c:v>
                </c:pt>
                <c:pt idx="1">
                  <c:v>0.96989247311827953</c:v>
                </c:pt>
                <c:pt idx="2">
                  <c:v>0.64166666666666672</c:v>
                </c:pt>
                <c:pt idx="3">
                  <c:v>0.99568965517241381</c:v>
                </c:pt>
                <c:pt idx="4">
                  <c:v>0.9888289311748556</c:v>
                </c:pt>
                <c:pt idx="5">
                  <c:v>0.97983392645314349</c:v>
                </c:pt>
                <c:pt idx="6">
                  <c:v>0.98606767131077622</c:v>
                </c:pt>
                <c:pt idx="7">
                  <c:v>1</c:v>
                </c:pt>
                <c:pt idx="8">
                  <c:v>0.9817351598173516</c:v>
                </c:pt>
                <c:pt idx="9">
                  <c:v>0.90909090909090906</c:v>
                </c:pt>
                <c:pt idx="10">
                  <c:v>0.961335676625659</c:v>
                </c:pt>
                <c:pt idx="11">
                  <c:v>0.99371069182389937</c:v>
                </c:pt>
                <c:pt idx="12">
                  <c:v>1</c:v>
                </c:pt>
              </c:numCache>
            </c:numRef>
          </c:val>
          <c:smooth val="0"/>
          <c:extLst>
            <c:ext xmlns:c16="http://schemas.microsoft.com/office/drawing/2014/chart" uri="{C3380CC4-5D6E-409C-BE32-E72D297353CC}">
              <c16:uniqueId val="{00000002-87CC-45A1-A6C8-669D4A3C48EA}"/>
            </c:ext>
          </c:extLst>
        </c:ser>
        <c:dLbls>
          <c:showLegendKey val="0"/>
          <c:showVal val="0"/>
          <c:showCatName val="0"/>
          <c:showSerName val="0"/>
          <c:showPercent val="0"/>
          <c:showBubbleSize val="0"/>
        </c:dLbls>
        <c:marker val="1"/>
        <c:smooth val="0"/>
        <c:axId val="1672042192"/>
        <c:axId val="1672041648"/>
      </c:lineChart>
      <c:catAx>
        <c:axId val="1672055248"/>
        <c:scaling>
          <c:orientation val="minMax"/>
        </c:scaling>
        <c:delete val="0"/>
        <c:axPos val="b"/>
        <c:numFmt formatCode="General" sourceLinked="0"/>
        <c:majorTickMark val="out"/>
        <c:minorTickMark val="none"/>
        <c:tickLblPos val="nextTo"/>
        <c:txPr>
          <a:bodyPr/>
          <a:lstStyle/>
          <a:p>
            <a:pPr>
              <a:defRPr sz="900"/>
            </a:pPr>
            <a:endParaRPr lang="es-ES"/>
          </a:p>
        </c:txPr>
        <c:crossAx val="1672041104"/>
        <c:crosses val="autoZero"/>
        <c:auto val="1"/>
        <c:lblAlgn val="ctr"/>
        <c:lblOffset val="100"/>
        <c:noMultiLvlLbl val="0"/>
      </c:catAx>
      <c:valAx>
        <c:axId val="1672041104"/>
        <c:scaling>
          <c:logBase val="10"/>
          <c:orientation val="minMax"/>
          <c:max val="100000"/>
        </c:scaling>
        <c:delete val="0"/>
        <c:axPos val="l"/>
        <c:majorGridlines>
          <c:spPr>
            <a:ln>
              <a:noFill/>
            </a:ln>
          </c:spPr>
        </c:majorGridlines>
        <c:numFmt formatCode="#,##0" sourceLinked="1"/>
        <c:majorTickMark val="out"/>
        <c:minorTickMark val="none"/>
        <c:tickLblPos val="nextTo"/>
        <c:crossAx val="1672055248"/>
        <c:crosses val="autoZero"/>
        <c:crossBetween val="between"/>
      </c:valAx>
      <c:valAx>
        <c:axId val="1672041648"/>
        <c:scaling>
          <c:orientation val="minMax"/>
          <c:max val="1"/>
          <c:min val="0.70000000000000007"/>
        </c:scaling>
        <c:delete val="0"/>
        <c:axPos val="r"/>
        <c:numFmt formatCode="0.0%" sourceLinked="1"/>
        <c:majorTickMark val="out"/>
        <c:minorTickMark val="none"/>
        <c:tickLblPos val="nextTo"/>
        <c:crossAx val="1672042192"/>
        <c:crosses val="max"/>
        <c:crossBetween val="between"/>
        <c:majorUnit val="5.000000000000001E-2"/>
      </c:valAx>
      <c:catAx>
        <c:axId val="1672042192"/>
        <c:scaling>
          <c:orientation val="minMax"/>
        </c:scaling>
        <c:delete val="1"/>
        <c:axPos val="b"/>
        <c:numFmt formatCode="General" sourceLinked="1"/>
        <c:majorTickMark val="out"/>
        <c:minorTickMark val="none"/>
        <c:tickLblPos val="nextTo"/>
        <c:crossAx val="1672041648"/>
        <c:crosses val="autoZero"/>
        <c:auto val="1"/>
        <c:lblAlgn val="ctr"/>
        <c:lblOffset val="100"/>
        <c:noMultiLvlLbl val="0"/>
      </c:catAx>
    </c:plotArea>
    <c:legend>
      <c:legendPos val="b"/>
      <c:overlay val="0"/>
    </c:legend>
    <c:plotVisOnly val="1"/>
    <c:dispBlanksAs val="gap"/>
    <c:showDLblsOverMax val="0"/>
  </c:chart>
  <c:spPr>
    <a:ln>
      <a:noFill/>
    </a:ln>
  </c:spPr>
  <c:printSettings>
    <c:headerFooter/>
    <c:pageMargins b="0.75" l="0.7" r="0.7" t="0.75" header="0.3" footer="0.3"/>
    <c:pageSetup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1"/>
          <c:order val="0"/>
          <c:tx>
            <c:strRef>
              <c:f>Servicios!$L$11</c:f>
              <c:strCache>
                <c:ptCount val="1"/>
                <c:pt idx="0">
                  <c:v>Recibidas</c:v>
                </c:pt>
              </c:strCache>
            </c:strRef>
          </c:tx>
          <c:spPr>
            <a:solidFill>
              <a:schemeClr val="bg1">
                <a:lumMod val="65000"/>
              </a:schemeClr>
            </a:solidFill>
            <a:ln>
              <a:solidFill>
                <a:schemeClr val="bg1">
                  <a:lumMod val="65000"/>
                </a:schemeClr>
              </a:solidFill>
            </a:ln>
          </c:spPr>
          <c:invertIfNegative val="0"/>
          <c:cat>
            <c:strRef>
              <c:f>Servicios!$B$36:$B$50</c:f>
              <c:strCache>
                <c:ptCount val="15"/>
                <c:pt idx="0">
                  <c:v>Descripción </c:v>
                </c:pt>
                <c:pt idx="1">
                  <c:v>Pensión por Sobrevivencia Conyugue</c:v>
                </c:pt>
                <c:pt idx="2">
                  <c:v>Pensión por Sobrevivencia Concubina</c:v>
                </c:pt>
                <c:pt idx="3">
                  <c:v>Pension por Sobrevivencia Estudiante PN</c:v>
                </c:pt>
                <c:pt idx="4">
                  <c:v>Pensión por Sobrevivencia Menor</c:v>
                </c:pt>
                <c:pt idx="5">
                  <c:v>Pensión por Sobrevivencia Padres</c:v>
                </c:pt>
                <c:pt idx="6">
                  <c:v>Reactivacion</c:v>
                </c:pt>
                <c:pt idx="7">
                  <c:v>Reembolso - RE</c:v>
                </c:pt>
                <c:pt idx="8">
                  <c:v>Reinclusion</c:v>
                </c:pt>
                <c:pt idx="9">
                  <c:v>Retroactivo – RT</c:v>
                </c:pt>
                <c:pt idx="10">
                  <c:v>Retroactivo – RTI</c:v>
                </c:pt>
                <c:pt idx="11">
                  <c:v>Solicitud de aplicacion de Descuento ADL</c:v>
                </c:pt>
                <c:pt idx="12">
                  <c:v>Solicitud de Inclusión a Nómina</c:v>
                </c:pt>
                <c:pt idx="13">
                  <c:v>Solicitud de Suspension de Descuento SDL</c:v>
                </c:pt>
                <c:pt idx="14">
                  <c:v>Solicitud Modificación Monto Pensión</c:v>
                </c:pt>
              </c:strCache>
            </c:strRef>
          </c:cat>
          <c:val>
            <c:numRef>
              <c:f>Servicios!$L$36:$L$50</c:f>
              <c:numCache>
                <c:formatCode>#,##0</c:formatCode>
                <c:ptCount val="15"/>
                <c:pt idx="0" formatCode="General">
                  <c:v>0</c:v>
                </c:pt>
                <c:pt idx="1">
                  <c:v>237</c:v>
                </c:pt>
                <c:pt idx="2">
                  <c:v>54</c:v>
                </c:pt>
                <c:pt idx="3">
                  <c:v>9</c:v>
                </c:pt>
                <c:pt idx="4">
                  <c:v>19</c:v>
                </c:pt>
                <c:pt idx="5">
                  <c:v>1</c:v>
                </c:pt>
                <c:pt idx="6">
                  <c:v>90</c:v>
                </c:pt>
                <c:pt idx="7">
                  <c:v>51</c:v>
                </c:pt>
                <c:pt idx="8">
                  <c:v>240</c:v>
                </c:pt>
                <c:pt idx="9">
                  <c:v>24</c:v>
                </c:pt>
                <c:pt idx="10">
                  <c:v>144</c:v>
                </c:pt>
                <c:pt idx="11">
                  <c:v>18</c:v>
                </c:pt>
                <c:pt idx="12">
                  <c:v>2187</c:v>
                </c:pt>
                <c:pt idx="13">
                  <c:v>105</c:v>
                </c:pt>
                <c:pt idx="14">
                  <c:v>410</c:v>
                </c:pt>
              </c:numCache>
            </c:numRef>
          </c:val>
          <c:extLst>
            <c:ext xmlns:c16="http://schemas.microsoft.com/office/drawing/2014/chart" uri="{C3380CC4-5D6E-409C-BE32-E72D297353CC}">
              <c16:uniqueId val="{00000000-06E3-4EA1-A621-3A7FC20B75EF}"/>
            </c:ext>
          </c:extLst>
        </c:ser>
        <c:dLbls>
          <c:showLegendKey val="0"/>
          <c:showVal val="0"/>
          <c:showCatName val="0"/>
          <c:showSerName val="0"/>
          <c:showPercent val="0"/>
          <c:showBubbleSize val="0"/>
        </c:dLbls>
        <c:gapWidth val="50"/>
        <c:axId val="1672043824"/>
        <c:axId val="1672044368"/>
      </c:barChart>
      <c:catAx>
        <c:axId val="1672043824"/>
        <c:scaling>
          <c:orientation val="minMax"/>
        </c:scaling>
        <c:delete val="0"/>
        <c:axPos val="b"/>
        <c:numFmt formatCode="General" sourceLinked="0"/>
        <c:majorTickMark val="out"/>
        <c:minorTickMark val="none"/>
        <c:tickLblPos val="nextTo"/>
        <c:txPr>
          <a:bodyPr/>
          <a:lstStyle/>
          <a:p>
            <a:pPr>
              <a:defRPr sz="900"/>
            </a:pPr>
            <a:endParaRPr lang="es-ES"/>
          </a:p>
        </c:txPr>
        <c:crossAx val="1672044368"/>
        <c:crosses val="autoZero"/>
        <c:auto val="1"/>
        <c:lblAlgn val="ctr"/>
        <c:lblOffset val="100"/>
        <c:noMultiLvlLbl val="0"/>
      </c:catAx>
      <c:valAx>
        <c:axId val="1672044368"/>
        <c:scaling>
          <c:logBase val="10"/>
          <c:orientation val="minMax"/>
          <c:max val="12000"/>
          <c:min val="10"/>
        </c:scaling>
        <c:delete val="0"/>
        <c:axPos val="l"/>
        <c:majorGridlines>
          <c:spPr>
            <a:ln>
              <a:noFill/>
            </a:ln>
          </c:spPr>
        </c:majorGridlines>
        <c:numFmt formatCode="#,##0" sourceLinked="0"/>
        <c:majorTickMark val="out"/>
        <c:minorTickMark val="none"/>
        <c:tickLblPos val="nextTo"/>
        <c:txPr>
          <a:bodyPr/>
          <a:lstStyle/>
          <a:p>
            <a:pPr>
              <a:defRPr sz="900"/>
            </a:pPr>
            <a:endParaRPr lang="es-ES"/>
          </a:p>
        </c:txPr>
        <c:crossAx val="1672043824"/>
        <c:crosses val="autoZero"/>
        <c:crossBetween val="between"/>
        <c:majorUnit val="10"/>
      </c:valAx>
    </c:plotArea>
    <c:plotVisOnly val="1"/>
    <c:dispBlanksAs val="gap"/>
    <c:showDLblsOverMax val="0"/>
  </c:chart>
  <c:spPr>
    <a:noFill/>
    <a:ln>
      <a:noFill/>
    </a:ln>
  </c:sp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3861211035074938"/>
          <c:y val="3.4863870221580044E-2"/>
          <c:w val="0.78893118039654453"/>
          <c:h val="0.65586379419781204"/>
        </c:manualLayout>
      </c:layout>
      <c:barChart>
        <c:barDir val="col"/>
        <c:grouping val="clustered"/>
        <c:varyColors val="0"/>
        <c:ser>
          <c:idx val="0"/>
          <c:order val="0"/>
          <c:tx>
            <c:strRef>
              <c:f>'Afiliados y Cotizantes'!$C$6</c:f>
              <c:strCache>
                <c:ptCount val="1"/>
                <c:pt idx="0">
                  <c:v>Afiliados al Sistema de Reparto</c:v>
                </c:pt>
              </c:strCache>
            </c:strRef>
          </c:tx>
          <c:spPr>
            <a:solidFill>
              <a:schemeClr val="bg1">
                <a:lumMod val="75000"/>
              </a:schemeClr>
            </a:solidFill>
            <a:ln>
              <a:solidFill>
                <a:schemeClr val="bg1">
                  <a:lumMod val="75000"/>
                </a:schemeClr>
              </a:solidFill>
            </a:ln>
          </c:spPr>
          <c:invertIfNegative val="0"/>
          <c:dLbls>
            <c:dLbl>
              <c:idx val="0"/>
              <c:layout>
                <c:manualLayout>
                  <c:x val="2.3665036994507917E-17"/>
                  <c:y val="0.222501366029986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75C-4406-B71E-65516B4B4A9D}"/>
                </c:ext>
              </c:extLst>
            </c:dLbl>
            <c:dLbl>
              <c:idx val="1"/>
              <c:layout>
                <c:manualLayout>
                  <c:x val="2.5816702227310574E-3"/>
                  <c:y val="0.472334064262240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5C-4406-B71E-65516B4B4A9D}"/>
                </c:ext>
              </c:extLst>
            </c:dLbl>
            <c:dLbl>
              <c:idx val="2"/>
              <c:layout>
                <c:manualLayout>
                  <c:x val="-5.1633404454622094E-3"/>
                  <c:y val="0.4781602658434335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75C-4406-B71E-65516B4B4A9D}"/>
                </c:ext>
              </c:extLst>
            </c:dLbl>
            <c:spPr>
              <a:noFill/>
              <a:ln>
                <a:noFill/>
              </a:ln>
              <a:effectLst/>
            </c:spPr>
            <c:txPr>
              <a:bodyPr rot="-5400000" vert="horz"/>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Cotizantes'!$C$7:$C$9</c:f>
              <c:numCache>
                <c:formatCode>#,##0</c:formatCode>
                <c:ptCount val="3"/>
                <c:pt idx="0">
                  <c:v>91992</c:v>
                </c:pt>
                <c:pt idx="1">
                  <c:v>91946</c:v>
                </c:pt>
                <c:pt idx="2">
                  <c:v>91952</c:v>
                </c:pt>
              </c:numCache>
            </c:numRef>
          </c:val>
          <c:extLst>
            <c:ext xmlns:c16="http://schemas.microsoft.com/office/drawing/2014/chart" uri="{C3380CC4-5D6E-409C-BE32-E72D297353CC}">
              <c16:uniqueId val="{00000003-C75C-4406-B71E-65516B4B4A9D}"/>
            </c:ext>
          </c:extLst>
        </c:ser>
        <c:ser>
          <c:idx val="1"/>
          <c:order val="1"/>
          <c:tx>
            <c:v>No Cotizantes</c:v>
          </c:tx>
          <c:spPr>
            <a:solidFill>
              <a:schemeClr val="accent3">
                <a:lumMod val="60000"/>
                <a:lumOff val="40000"/>
              </a:schemeClr>
            </a:solidFill>
          </c:spPr>
          <c:invertIfNegative val="0"/>
          <c:dLbls>
            <c:dLbl>
              <c:idx val="0"/>
              <c:layout>
                <c:manualLayout>
                  <c:x val="5.1633404454621149E-3"/>
                  <c:y val="0.3939790075434471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75C-4406-B71E-65516B4B4A9D}"/>
                </c:ext>
              </c:extLst>
            </c:dLbl>
            <c:dLbl>
              <c:idx val="1"/>
              <c:layout>
                <c:manualLayout>
                  <c:x val="2.5816702227310574E-3"/>
                  <c:y val="0.3940301841196313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75C-4406-B71E-65516B4B4A9D}"/>
                </c:ext>
              </c:extLst>
            </c:dLbl>
            <c:dLbl>
              <c:idx val="2"/>
              <c:layout>
                <c:manualLayout>
                  <c:x val="-2.5816702227310574E-3"/>
                  <c:y val="0.3937996477368190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75C-4406-B71E-65516B4B4A9D}"/>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'Afiliados y Cotizantes'!$B$7:$B$9</c:f>
              <c:strCache>
                <c:ptCount val="3"/>
                <c:pt idx="0">
                  <c:v>Marzo</c:v>
                </c:pt>
                <c:pt idx="1">
                  <c:v>Febrero</c:v>
                </c:pt>
                <c:pt idx="2">
                  <c:v>Enero</c:v>
                </c:pt>
              </c:strCache>
            </c:strRef>
          </c:cat>
          <c:val>
            <c:numRef>
              <c:f>'Afiliados y Cotizantes'!$F$7:$F$9</c:f>
              <c:numCache>
                <c:formatCode>#,##0</c:formatCode>
                <c:ptCount val="3"/>
                <c:pt idx="0">
                  <c:v>68080</c:v>
                </c:pt>
                <c:pt idx="1">
                  <c:v>68046</c:v>
                </c:pt>
                <c:pt idx="2">
                  <c:v>67883</c:v>
                </c:pt>
              </c:numCache>
            </c:numRef>
          </c:val>
          <c:extLst>
            <c:ext xmlns:c16="http://schemas.microsoft.com/office/drawing/2014/chart" uri="{C3380CC4-5D6E-409C-BE32-E72D297353CC}">
              <c16:uniqueId val="{00000007-C75C-4406-B71E-65516B4B4A9D}"/>
            </c:ext>
          </c:extLst>
        </c:ser>
        <c:dLbls>
          <c:showLegendKey val="0"/>
          <c:showVal val="1"/>
          <c:showCatName val="0"/>
          <c:showSerName val="0"/>
          <c:showPercent val="0"/>
          <c:showBubbleSize val="0"/>
        </c:dLbls>
        <c:gapWidth val="75"/>
        <c:axId val="1667770560"/>
        <c:axId val="1667758048"/>
      </c:barChart>
      <c:lineChart>
        <c:grouping val="standard"/>
        <c:varyColors val="0"/>
        <c:ser>
          <c:idx val="2"/>
          <c:order val="2"/>
          <c:tx>
            <c:strRef>
              <c:f>'Afiliados y Cotizantes'!$G$6</c:f>
              <c:strCache>
                <c:ptCount val="1"/>
                <c:pt idx="0">
                  <c:v>% No Cotizantes</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Lbls>
            <c:dLbl>
              <c:idx val="0"/>
              <c:layout>
                <c:manualLayout>
                  <c:x val="-7.7450106681931728E-3"/>
                  <c:y val="-0.1216164637064420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75C-4406-B71E-65516B4B4A9D}"/>
                </c:ext>
              </c:extLst>
            </c:dLbl>
            <c:dLbl>
              <c:idx val="1"/>
              <c:layout>
                <c:manualLayout>
                  <c:x val="-6.9705096013738546E-2"/>
                  <c:y val="-0.1368426293167826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75C-4406-B71E-65516B4B4A9D}"/>
                </c:ext>
              </c:extLst>
            </c:dLbl>
            <c:dLbl>
              <c:idx val="2"/>
              <c:layout>
                <c:manualLayout>
                  <c:x val="-4.3888393786427976E-2"/>
                  <c:y val="-0.1029996099845748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75C-4406-B71E-65516B4B4A9D}"/>
                </c:ext>
              </c:extLst>
            </c:dLbl>
            <c:spPr>
              <a:noFill/>
              <a:ln>
                <a:noFill/>
              </a:ln>
              <a:effectLst/>
            </c:spPr>
            <c:txPr>
              <a:bodyPr wrap="square" lIns="38100" tIns="19050" rIns="38100" bIns="19050" anchor="ctr">
                <a:spAutoFit/>
              </a:bodyPr>
              <a:lstStyle/>
              <a:p>
                <a:pPr>
                  <a:defRPr sz="1050"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Cotizantes'!$G$7:$G$9</c:f>
              <c:numCache>
                <c:formatCode>0.00%</c:formatCode>
                <c:ptCount val="3"/>
                <c:pt idx="0">
                  <c:v>0.74006435342203669</c:v>
                </c:pt>
                <c:pt idx="1">
                  <c:v>0.7400648206556022</c:v>
                </c:pt>
                <c:pt idx="2">
                  <c:v>0.73824386636506001</c:v>
                </c:pt>
              </c:numCache>
            </c:numRef>
          </c:val>
          <c:smooth val="0"/>
          <c:extLst>
            <c:ext xmlns:c16="http://schemas.microsoft.com/office/drawing/2014/chart" uri="{C3380CC4-5D6E-409C-BE32-E72D297353CC}">
              <c16:uniqueId val="{0000000B-C75C-4406-B71E-65516B4B4A9D}"/>
            </c:ext>
          </c:extLst>
        </c:ser>
        <c:dLbls>
          <c:showLegendKey val="0"/>
          <c:showVal val="1"/>
          <c:showCatName val="0"/>
          <c:showSerName val="0"/>
          <c:showPercent val="0"/>
          <c:showBubbleSize val="0"/>
        </c:dLbls>
        <c:marker val="1"/>
        <c:smooth val="0"/>
        <c:axId val="1667766752"/>
        <c:axId val="1667762944"/>
      </c:lineChart>
      <c:catAx>
        <c:axId val="1667770560"/>
        <c:scaling>
          <c:orientation val="minMax"/>
        </c:scaling>
        <c:delete val="0"/>
        <c:axPos val="b"/>
        <c:numFmt formatCode="General" sourceLinked="0"/>
        <c:majorTickMark val="none"/>
        <c:minorTickMark val="none"/>
        <c:tickLblPos val="nextTo"/>
        <c:crossAx val="1667758048"/>
        <c:crosses val="autoZero"/>
        <c:auto val="1"/>
        <c:lblAlgn val="ctr"/>
        <c:lblOffset val="100"/>
        <c:noMultiLvlLbl val="0"/>
      </c:catAx>
      <c:valAx>
        <c:axId val="1667758048"/>
        <c:scaling>
          <c:orientation val="minMax"/>
        </c:scaling>
        <c:delete val="0"/>
        <c:axPos val="l"/>
        <c:numFmt formatCode="#,##0" sourceLinked="1"/>
        <c:majorTickMark val="none"/>
        <c:minorTickMark val="none"/>
        <c:tickLblPos val="nextTo"/>
        <c:crossAx val="1667770560"/>
        <c:crosses val="autoZero"/>
        <c:crossBetween val="between"/>
      </c:valAx>
      <c:valAx>
        <c:axId val="1667762944"/>
        <c:scaling>
          <c:orientation val="minMax"/>
        </c:scaling>
        <c:delete val="0"/>
        <c:axPos val="r"/>
        <c:numFmt formatCode="0.00%" sourceLinked="1"/>
        <c:majorTickMark val="out"/>
        <c:minorTickMark val="none"/>
        <c:tickLblPos val="nextTo"/>
        <c:crossAx val="1667766752"/>
        <c:crosses val="max"/>
        <c:crossBetween val="between"/>
      </c:valAx>
      <c:catAx>
        <c:axId val="1667766752"/>
        <c:scaling>
          <c:orientation val="minMax"/>
        </c:scaling>
        <c:delete val="1"/>
        <c:axPos val="b"/>
        <c:numFmt formatCode="General" sourceLinked="1"/>
        <c:majorTickMark val="out"/>
        <c:minorTickMark val="none"/>
        <c:tickLblPos val="nextTo"/>
        <c:crossAx val="1667762944"/>
        <c:crosses val="autoZero"/>
        <c:auto val="1"/>
        <c:lblAlgn val="ctr"/>
        <c:lblOffset val="100"/>
        <c:noMultiLvlLbl val="0"/>
      </c:catAx>
    </c:plotArea>
    <c:legend>
      <c:legendPos val="b"/>
      <c:overlay val="0"/>
    </c:legend>
    <c:plotVisOnly val="1"/>
    <c:dispBlanksAs val="gap"/>
    <c:showDLblsOverMax val="0"/>
  </c:chart>
  <c:spPr>
    <a:ln>
      <a:noFill/>
    </a:ln>
  </c:spPr>
  <c:printSettings>
    <c:headerFooter/>
    <c:pageMargins b="0.75" l="0.7" r="0.7" t="0.75" header="0.3" footer="0.3"/>
    <c:pageSetup orientation="portrait"/>
  </c:printSettings>
  <c:userShapes r:id="rId1"/>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1"/>
          <c:order val="0"/>
          <c:tx>
            <c:strRef>
              <c:f>Servicios!$L$68</c:f>
              <c:strCache>
                <c:ptCount val="1"/>
                <c:pt idx="0">
                  <c:v>Recibidas</c:v>
                </c:pt>
              </c:strCache>
            </c:strRef>
          </c:tx>
          <c:spPr>
            <a:solidFill>
              <a:schemeClr val="bg1">
                <a:lumMod val="65000"/>
              </a:schemeClr>
            </a:solidFill>
            <a:ln>
              <a:solidFill>
                <a:schemeClr val="bg1">
                  <a:lumMod val="65000"/>
                </a:schemeClr>
              </a:solidFill>
            </a:ln>
          </c:spPr>
          <c:invertIfNegative val="0"/>
          <c:cat>
            <c:strRef>
              <c:f>Servicios!$B$69:$B$72</c:f>
              <c:strCache>
                <c:ptCount val="4"/>
                <c:pt idx="0">
                  <c:v>Sobrevivencia Civil</c:v>
                </c:pt>
                <c:pt idx="1">
                  <c:v>Sobrevivencia Policía Nacional</c:v>
                </c:pt>
                <c:pt idx="2">
                  <c:v>Discapacidad Civil</c:v>
                </c:pt>
                <c:pt idx="3">
                  <c:v>Discapacidad Policía Nacional</c:v>
                </c:pt>
              </c:strCache>
            </c:strRef>
          </c:cat>
          <c:val>
            <c:numRef>
              <c:f>Servicios!$L$69:$L$72</c:f>
              <c:numCache>
                <c:formatCode>#,##0</c:formatCode>
                <c:ptCount val="4"/>
                <c:pt idx="0">
                  <c:v>30</c:v>
                </c:pt>
                <c:pt idx="1">
                  <c:v>14</c:v>
                </c:pt>
                <c:pt idx="2">
                  <c:v>5</c:v>
                </c:pt>
                <c:pt idx="3">
                  <c:v>0</c:v>
                </c:pt>
              </c:numCache>
            </c:numRef>
          </c:val>
          <c:extLst>
            <c:ext xmlns:c16="http://schemas.microsoft.com/office/drawing/2014/chart" uri="{C3380CC4-5D6E-409C-BE32-E72D297353CC}">
              <c16:uniqueId val="{00000000-2ADE-4A05-A70D-CF127407BAED}"/>
            </c:ext>
          </c:extLst>
        </c:ser>
        <c:ser>
          <c:idx val="22"/>
          <c:order val="1"/>
          <c:tx>
            <c:strRef>
              <c:f>Servicios!$M$68</c:f>
              <c:strCache>
                <c:ptCount val="1"/>
                <c:pt idx="0">
                  <c:v>Otorgadas</c:v>
                </c:pt>
              </c:strCache>
            </c:strRef>
          </c:tx>
          <c:spPr>
            <a:solidFill>
              <a:schemeClr val="accent3">
                <a:lumMod val="60000"/>
                <a:lumOff val="40000"/>
              </a:schemeClr>
            </a:solidFill>
            <a:ln>
              <a:solidFill>
                <a:schemeClr val="accent3">
                  <a:lumMod val="60000"/>
                  <a:lumOff val="40000"/>
                </a:schemeClr>
              </a:solidFill>
            </a:ln>
          </c:spPr>
          <c:invertIfNegative val="0"/>
          <c:cat>
            <c:strRef>
              <c:f>Servicios!$B$69:$B$72</c:f>
              <c:strCache>
                <c:ptCount val="4"/>
                <c:pt idx="0">
                  <c:v>Sobrevivencia Civil</c:v>
                </c:pt>
                <c:pt idx="1">
                  <c:v>Sobrevivencia Policía Nacional</c:v>
                </c:pt>
                <c:pt idx="2">
                  <c:v>Discapacidad Civil</c:v>
                </c:pt>
                <c:pt idx="3">
                  <c:v>Discapacidad Policía Nacional</c:v>
                </c:pt>
              </c:strCache>
            </c:strRef>
          </c:cat>
          <c:val>
            <c:numRef>
              <c:f>Servicios!$M$69:$M$72</c:f>
              <c:numCache>
                <c:formatCode>#,##0</c:formatCode>
                <c:ptCount val="4"/>
                <c:pt idx="0">
                  <c:v>27</c:v>
                </c:pt>
                <c:pt idx="1">
                  <c:v>9</c:v>
                </c:pt>
                <c:pt idx="2">
                  <c:v>6</c:v>
                </c:pt>
                <c:pt idx="3">
                  <c:v>0</c:v>
                </c:pt>
              </c:numCache>
            </c:numRef>
          </c:val>
          <c:extLst>
            <c:ext xmlns:c16="http://schemas.microsoft.com/office/drawing/2014/chart" uri="{C3380CC4-5D6E-409C-BE32-E72D297353CC}">
              <c16:uniqueId val="{00000001-2ADE-4A05-A70D-CF127407BAED}"/>
            </c:ext>
          </c:extLst>
        </c:ser>
        <c:dLbls>
          <c:showLegendKey val="0"/>
          <c:showVal val="0"/>
          <c:showCatName val="0"/>
          <c:showSerName val="0"/>
          <c:showPercent val="0"/>
          <c:showBubbleSize val="0"/>
        </c:dLbls>
        <c:gapWidth val="50"/>
        <c:axId val="1672055248"/>
        <c:axId val="1672041104"/>
      </c:barChart>
      <c:catAx>
        <c:axId val="1672055248"/>
        <c:scaling>
          <c:orientation val="minMax"/>
        </c:scaling>
        <c:delete val="0"/>
        <c:axPos val="b"/>
        <c:numFmt formatCode="General" sourceLinked="0"/>
        <c:majorTickMark val="out"/>
        <c:minorTickMark val="none"/>
        <c:tickLblPos val="nextTo"/>
        <c:crossAx val="1672041104"/>
        <c:crosses val="autoZero"/>
        <c:auto val="1"/>
        <c:lblAlgn val="ctr"/>
        <c:lblOffset val="100"/>
        <c:noMultiLvlLbl val="0"/>
      </c:catAx>
      <c:valAx>
        <c:axId val="1672041104"/>
        <c:scaling>
          <c:orientation val="minMax"/>
          <c:max val="30"/>
        </c:scaling>
        <c:delete val="0"/>
        <c:axPos val="l"/>
        <c:majorGridlines>
          <c:spPr>
            <a:ln>
              <a:noFill/>
            </a:ln>
          </c:spPr>
        </c:majorGridlines>
        <c:numFmt formatCode="#,##0" sourceLinked="1"/>
        <c:majorTickMark val="out"/>
        <c:minorTickMark val="none"/>
        <c:tickLblPos val="nextTo"/>
        <c:crossAx val="1672055248"/>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ES" sz="1100">
                <a:solidFill>
                  <a:schemeClr val="accent1"/>
                </a:solidFill>
              </a:rPr>
              <a:t>Porcentaje de Cotizantes</a:t>
            </a:r>
            <a:r>
              <a:rPr lang="es-ES" sz="1100" baseline="0">
                <a:solidFill>
                  <a:schemeClr val="accent1"/>
                </a:solidFill>
              </a:rPr>
              <a:t> y No Cotizantes</a:t>
            </a:r>
            <a:endParaRPr lang="es-ES" sz="1100">
              <a:solidFill>
                <a:schemeClr val="accent1"/>
              </a:solidFill>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explosion val="25"/>
          <c:dPt>
            <c:idx val="0"/>
            <c:bubble3D val="0"/>
            <c:explosion val="0"/>
            <c:spPr>
              <a:solidFill>
                <a:schemeClr val="bg1">
                  <a:lumMod val="75000"/>
                </a:schemeClr>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1-2EA7-43FD-B304-646A53AEE0FB}"/>
              </c:ext>
            </c:extLst>
          </c:dPt>
          <c:dPt>
            <c:idx val="1"/>
            <c:bubble3D val="0"/>
            <c:spPr>
              <a:solidFill>
                <a:schemeClr val="accent3"/>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2EA7-43FD-B304-646A53AEE0FB}"/>
              </c:ext>
            </c:extLst>
          </c:dPt>
          <c:dLbls>
            <c:dLbl>
              <c:idx val="0"/>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EA7-43FD-B304-646A53AEE0FB}"/>
                </c:ext>
              </c:extLst>
            </c:dLbl>
            <c:dLbl>
              <c:idx val="1"/>
              <c:layout>
                <c:manualLayout>
                  <c:x val="0.25484863416185616"/>
                  <c:y val="-0.16079477364620748"/>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layout>
                    <c:manualLayout>
                      <c:w val="0.29511371626771926"/>
                      <c:h val="0.25893283532642436"/>
                    </c:manualLayout>
                  </c15:layout>
                </c:ext>
                <c:ext xmlns:c16="http://schemas.microsoft.com/office/drawing/2014/chart" uri="{C3380CC4-5D6E-409C-BE32-E72D297353CC}">
                  <c16:uniqueId val="{00000003-2EA7-43FD-B304-646A53AEE0FB}"/>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('Afiliados y Cotizantes'!$E$6,'Afiliados y Cotizantes'!$G$6)</c:f>
              <c:strCache>
                <c:ptCount val="2"/>
                <c:pt idx="0">
                  <c:v>% Cotizantes</c:v>
                </c:pt>
                <c:pt idx="1">
                  <c:v>% No Cotizantes</c:v>
                </c:pt>
              </c:strCache>
            </c:strRef>
          </c:cat>
          <c:val>
            <c:numRef>
              <c:f>('Afiliados y Cotizantes'!$E$10,'Afiliados y Cotizantes'!$G$10)</c:f>
              <c:numCache>
                <c:formatCode>0.00%</c:formatCode>
                <c:ptCount val="2"/>
                <c:pt idx="0">
                  <c:v>0.2605423198524337</c:v>
                </c:pt>
                <c:pt idx="1">
                  <c:v>0.73945768014756619</c:v>
                </c:pt>
              </c:numCache>
            </c:numRef>
          </c:val>
          <c:extLst>
            <c:ext xmlns:c16="http://schemas.microsoft.com/office/drawing/2014/chart" uri="{C3380CC4-5D6E-409C-BE32-E72D297353CC}">
              <c16:uniqueId val="{00000004-2EA7-43FD-B304-646A53AEE0FB}"/>
            </c:ext>
          </c:extLst>
        </c:ser>
        <c:dLbls>
          <c:dLblPos val="bestFit"/>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n-US" sz="1100" b="1">
                <a:solidFill>
                  <a:schemeClr val="accent1"/>
                </a:solidFill>
              </a:rPr>
              <a:t>Afiliados Policía Nacional</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ES"/>
        </a:p>
      </c:txPr>
    </c:title>
    <c:autoTitleDeleted val="0"/>
    <c:plotArea>
      <c:layout/>
      <c:barChart>
        <c:barDir val="col"/>
        <c:grouping val="clustered"/>
        <c:varyColors val="0"/>
        <c:ser>
          <c:idx val="0"/>
          <c:order val="0"/>
          <c:tx>
            <c:strRef>
              <c:f>'Afiliados y Cotizantes'!$H$6</c:f>
              <c:strCache>
                <c:ptCount val="1"/>
                <c:pt idx="0">
                  <c:v>Afiliados Policia Nacional</c:v>
                </c:pt>
              </c:strCache>
            </c:strRef>
          </c:tx>
          <c:spPr>
            <a:solidFill>
              <a:schemeClr val="bg1">
                <a:lumMod val="75000"/>
              </a:schemeClr>
            </a:solidFill>
            <a:ln>
              <a:noFill/>
            </a:ln>
            <a:effectLst>
              <a:outerShdw blurRad="76200" dir="18900000" sy="23000" kx="-1200000" algn="bl" rotWithShape="0">
                <a:prstClr val="black">
                  <a:alpha val="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'Afiliados y Cotizantes'!$B$7:$B$9</c:f>
              <c:strCache>
                <c:ptCount val="3"/>
                <c:pt idx="0">
                  <c:v>Marzo</c:v>
                </c:pt>
                <c:pt idx="1">
                  <c:v>Febrero</c:v>
                </c:pt>
                <c:pt idx="2">
                  <c:v>Enero</c:v>
                </c:pt>
              </c:strCache>
            </c:strRef>
          </c:cat>
          <c:val>
            <c:numRef>
              <c:f>'Afiliados y Cotizantes'!$H$7:$H$9</c:f>
              <c:numCache>
                <c:formatCode>#,##0</c:formatCode>
                <c:ptCount val="3"/>
                <c:pt idx="0">
                  <c:v>59827</c:v>
                </c:pt>
                <c:pt idx="1">
                  <c:v>59767</c:v>
                </c:pt>
                <c:pt idx="2">
                  <c:v>59681</c:v>
                </c:pt>
              </c:numCache>
            </c:numRef>
          </c:val>
          <c:extLst>
            <c:ext xmlns:c16="http://schemas.microsoft.com/office/drawing/2014/chart" uri="{C3380CC4-5D6E-409C-BE32-E72D297353CC}">
              <c16:uniqueId val="{00000000-7C7C-4C5D-AA0A-07EE66F30F81}"/>
            </c:ext>
          </c:extLst>
        </c:ser>
        <c:dLbls>
          <c:dLblPos val="inEnd"/>
          <c:showLegendKey val="0"/>
          <c:showVal val="1"/>
          <c:showCatName val="0"/>
          <c:showSerName val="0"/>
          <c:showPercent val="0"/>
          <c:showBubbleSize val="0"/>
        </c:dLbls>
        <c:gapWidth val="41"/>
        <c:axId val="509055728"/>
        <c:axId val="509058352"/>
      </c:barChart>
      <c:catAx>
        <c:axId val="5090557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dk1">
                    <a:lumMod val="65000"/>
                    <a:lumOff val="35000"/>
                  </a:schemeClr>
                </a:solidFill>
                <a:effectLst/>
                <a:latin typeface="+mn-lt"/>
                <a:ea typeface="+mn-ea"/>
                <a:cs typeface="+mn-cs"/>
              </a:defRPr>
            </a:pPr>
            <a:endParaRPr lang="es-ES"/>
          </a:p>
        </c:txPr>
        <c:crossAx val="509058352"/>
        <c:crosses val="autoZero"/>
        <c:auto val="1"/>
        <c:lblAlgn val="ctr"/>
        <c:lblOffset val="100"/>
        <c:noMultiLvlLbl val="0"/>
      </c:catAx>
      <c:valAx>
        <c:axId val="509058352"/>
        <c:scaling>
          <c:orientation val="minMax"/>
        </c:scaling>
        <c:delete val="1"/>
        <c:axPos val="l"/>
        <c:numFmt formatCode="#,##0" sourceLinked="1"/>
        <c:majorTickMark val="none"/>
        <c:minorTickMark val="none"/>
        <c:tickLblPos val="nextTo"/>
        <c:crossAx val="5090557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S"/>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228018372703412"/>
          <c:y val="3.5109750841474434E-2"/>
          <c:w val="0.68917891513560803"/>
          <c:h val="0.8326195683872849"/>
        </c:manualLayout>
      </c:layout>
      <c:barChart>
        <c:barDir val="col"/>
        <c:grouping val="clustered"/>
        <c:varyColors val="0"/>
        <c:ser>
          <c:idx val="0"/>
          <c:order val="0"/>
          <c:tx>
            <c:strRef>
              <c:f>Cotizantes!$B$7</c:f>
              <c:strCache>
                <c:ptCount val="1"/>
                <c:pt idx="0">
                  <c:v>Público 
</c:v>
                </c:pt>
              </c:strCache>
            </c:strRef>
          </c:tx>
          <c:spPr>
            <a:solidFill>
              <a:schemeClr val="bg1">
                <a:lumMod val="75000"/>
              </a:schemeClr>
            </a:solidFill>
            <a:ln>
              <a:solidFill>
                <a:schemeClr val="bg1">
                  <a:lumMod val="75000"/>
                </a:schemeClr>
              </a:solidFill>
            </a:ln>
          </c:spPr>
          <c:invertIfNegative val="0"/>
          <c:dLbls>
            <c:dLbl>
              <c:idx val="0"/>
              <c:layout>
                <c:manualLayout>
                  <c:x val="-2.7771099146605784E-3"/>
                  <c:y val="0.216870195930268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3C0-431D-A784-ADE8732008D2}"/>
                </c:ext>
              </c:extLst>
            </c:dLbl>
            <c:dLbl>
              <c:idx val="1"/>
              <c:layout>
                <c:manualLayout>
                  <c:x val="-2.7770361414853994E-3"/>
                  <c:y val="0.233135460625038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3C0-431D-A784-ADE8732008D2}"/>
                </c:ext>
              </c:extLst>
            </c:dLbl>
            <c:dLbl>
              <c:idx val="2"/>
              <c:layout>
                <c:manualLayout>
                  <c:x val="2.7770361414853994E-3"/>
                  <c:y val="0.2222919508285252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3C0-431D-A784-ADE8732008D2}"/>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Cotizantes!$A$8:$A$10</c:f>
              <c:strCache>
                <c:ptCount val="3"/>
                <c:pt idx="0">
                  <c:v>Enero</c:v>
                </c:pt>
                <c:pt idx="1">
                  <c:v>Febrero</c:v>
                </c:pt>
                <c:pt idx="2">
                  <c:v>Marzo</c:v>
                </c:pt>
              </c:strCache>
            </c:strRef>
          </c:cat>
          <c:val>
            <c:numRef>
              <c:f>Cotizantes!$B$8:$B$10</c:f>
              <c:numCache>
                <c:formatCode>#,##0</c:formatCode>
                <c:ptCount val="3"/>
                <c:pt idx="0">
                  <c:v>20309.940000000002</c:v>
                </c:pt>
                <c:pt idx="1">
                  <c:v>21227.670000000002</c:v>
                </c:pt>
                <c:pt idx="2">
                  <c:v>21911.31</c:v>
                </c:pt>
              </c:numCache>
            </c:numRef>
          </c:val>
          <c:extLst>
            <c:ext xmlns:c16="http://schemas.microsoft.com/office/drawing/2014/chart" uri="{C3380CC4-5D6E-409C-BE32-E72D297353CC}">
              <c16:uniqueId val="{00000000-2F8B-4152-BDE9-0C66FFE1287D}"/>
            </c:ext>
          </c:extLst>
        </c:ser>
        <c:ser>
          <c:idx val="1"/>
          <c:order val="1"/>
          <c:tx>
            <c:strRef>
              <c:f>Cotizantes!$C$7</c:f>
              <c:strCache>
                <c:ptCount val="1"/>
                <c:pt idx="0">
                  <c:v>Privado</c:v>
                </c:pt>
              </c:strCache>
            </c:strRef>
          </c:tx>
          <c:spPr>
            <a:solidFill>
              <a:schemeClr val="accent3">
                <a:lumMod val="60000"/>
                <a:lumOff val="40000"/>
              </a:schemeClr>
            </a:solidFill>
            <a:ln>
              <a:solidFill>
                <a:schemeClr val="accent3">
                  <a:lumMod val="60000"/>
                  <a:lumOff val="40000"/>
                </a:schemeClr>
              </a:solidFill>
            </a:ln>
          </c:spPr>
          <c:invertIfNegative val="0"/>
          <c:dLbls>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Cotizantes!$A$8:$A$10</c:f>
              <c:strCache>
                <c:ptCount val="3"/>
                <c:pt idx="0">
                  <c:v>Enero</c:v>
                </c:pt>
                <c:pt idx="1">
                  <c:v>Febrero</c:v>
                </c:pt>
                <c:pt idx="2">
                  <c:v>Marzo</c:v>
                </c:pt>
              </c:strCache>
            </c:strRef>
          </c:cat>
          <c:val>
            <c:numRef>
              <c:f>Cotizantes!$C$8:$C$10</c:f>
              <c:numCache>
                <c:formatCode>#,##0</c:formatCode>
                <c:ptCount val="3"/>
                <c:pt idx="0">
                  <c:v>4764.0600000000004</c:v>
                </c:pt>
                <c:pt idx="1">
                  <c:v>4979.33</c:v>
                </c:pt>
                <c:pt idx="2">
                  <c:v>5139.6900000000005</c:v>
                </c:pt>
              </c:numCache>
            </c:numRef>
          </c:val>
          <c:extLst>
            <c:ext xmlns:c16="http://schemas.microsoft.com/office/drawing/2014/chart" uri="{C3380CC4-5D6E-409C-BE32-E72D297353CC}">
              <c16:uniqueId val="{00000001-2F8B-4152-BDE9-0C66FFE1287D}"/>
            </c:ext>
          </c:extLst>
        </c:ser>
        <c:dLbls>
          <c:showLegendKey val="0"/>
          <c:showVal val="0"/>
          <c:showCatName val="0"/>
          <c:showSerName val="0"/>
          <c:showPercent val="0"/>
          <c:showBubbleSize val="0"/>
        </c:dLbls>
        <c:gapWidth val="150"/>
        <c:axId val="1667763488"/>
        <c:axId val="1667764032"/>
      </c:barChart>
      <c:catAx>
        <c:axId val="1667763488"/>
        <c:scaling>
          <c:orientation val="minMax"/>
        </c:scaling>
        <c:delete val="0"/>
        <c:axPos val="b"/>
        <c:numFmt formatCode="General" sourceLinked="0"/>
        <c:majorTickMark val="none"/>
        <c:minorTickMark val="none"/>
        <c:tickLblPos val="nextTo"/>
        <c:crossAx val="1667764032"/>
        <c:crosses val="autoZero"/>
        <c:auto val="1"/>
        <c:lblAlgn val="ctr"/>
        <c:lblOffset val="100"/>
        <c:noMultiLvlLbl val="0"/>
      </c:catAx>
      <c:valAx>
        <c:axId val="1667764032"/>
        <c:scaling>
          <c:orientation val="minMax"/>
        </c:scaling>
        <c:delete val="0"/>
        <c:axPos val="l"/>
        <c:numFmt formatCode="#,##0" sourceLinked="1"/>
        <c:majorTickMark val="out"/>
        <c:minorTickMark val="none"/>
        <c:tickLblPos val="nextTo"/>
        <c:crossAx val="1667763488"/>
        <c:crosses val="autoZero"/>
        <c:crossBetween val="between"/>
      </c:valAx>
    </c:plotArea>
    <c:legend>
      <c:legendPos val="r"/>
      <c:layout>
        <c:manualLayout>
          <c:xMode val="edge"/>
          <c:yMode val="edge"/>
          <c:x val="0.83812576552930884"/>
          <c:y val="0.41853966170895307"/>
          <c:w val="0.14242979002624673"/>
          <c:h val="0.16743438320209975"/>
        </c:manualLayout>
      </c:layout>
      <c:overlay val="0"/>
    </c:legend>
    <c:plotVisOnly val="1"/>
    <c:dispBlanksAs val="gap"/>
    <c:showDLblsOverMax val="0"/>
  </c:chart>
  <c:spPr>
    <a:ln>
      <a:noFill/>
    </a:ln>
  </c:sp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ES" sz="1100">
                <a:solidFill>
                  <a:schemeClr val="accent1"/>
                </a:solidFill>
              </a:rPr>
              <a:t>Porcentaje</a:t>
            </a:r>
            <a:r>
              <a:rPr lang="es-ES" sz="1100" baseline="0">
                <a:solidFill>
                  <a:schemeClr val="accent1"/>
                </a:solidFill>
              </a:rPr>
              <a:t> Cotizantes por Tipo de Empleador</a:t>
            </a:r>
            <a:endParaRPr lang="es-ES" sz="1100">
              <a:solidFill>
                <a:schemeClr val="accent1"/>
              </a:solidFill>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solidFill>
              <a:schemeClr val="bg1">
                <a:lumMod val="75000"/>
              </a:schemeClr>
            </a:solidFill>
          </c:spPr>
          <c:explosion val="21"/>
          <c:dPt>
            <c:idx val="0"/>
            <c:bubble3D val="0"/>
            <c:spPr>
              <a:solidFill>
                <a:schemeClr val="accent3"/>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1-3FC0-4626-8946-C199BABBAAC4}"/>
              </c:ext>
            </c:extLst>
          </c:dPt>
          <c:dPt>
            <c:idx val="1"/>
            <c:bubble3D val="0"/>
            <c:spPr>
              <a:solidFill>
                <a:schemeClr val="bg1">
                  <a:lumMod val="75000"/>
                </a:schemeClr>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2-3FC0-4626-8946-C199BABBAAC4}"/>
              </c:ext>
            </c:extLst>
          </c:dPt>
          <c:dLbls>
            <c:dLbl>
              <c:idx val="0"/>
              <c:tx>
                <c:rich>
                  <a:bodyPr/>
                  <a:lstStyle/>
                  <a:p>
                    <a:fld id="{1E83FA5F-D0AB-48CE-96D6-99FDB27CB416}" type="CATEGORYNAME">
                      <a:rPr lang="en-US"/>
                      <a:pPr/>
                      <a:t>[NOMBRE DE CATEGORÍA]</a:t>
                    </a:fld>
                    <a:r>
                      <a:rPr lang="en-US" baseline="0"/>
                      <a:t>
</a:t>
                    </a:r>
                    <a:fld id="{C20B6CD3-A00D-42C3-9725-57F7CEEDB32F}" type="VALUE">
                      <a:rPr lang="en-US" baseline="0"/>
                      <a:pPr/>
                      <a:t>[VALOR]</a:t>
                    </a:fld>
                    <a:endParaRPr lang="en-US"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FC0-4626-8946-C199BABBAAC4}"/>
                </c:ext>
              </c:extLst>
            </c:dLbl>
            <c:dLbl>
              <c:idx val="1"/>
              <c:layout>
                <c:manualLayout>
                  <c:x val="0.11996024068101704"/>
                  <c:y val="0.1051616494653449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FC0-4626-8946-C199BABBAAC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0"/>
            <c:extLst>
              <c:ext xmlns:c15="http://schemas.microsoft.com/office/drawing/2012/chart" uri="{CE6537A1-D6FC-4f65-9D91-7224C49458BB}"/>
            </c:extLst>
          </c:dLbls>
          <c:cat>
            <c:strRef>
              <c:f>Cotizantes!$E$7:$F$7</c:f>
              <c:strCache>
                <c:ptCount val="2"/>
                <c:pt idx="0">
                  <c:v>% Público</c:v>
                </c:pt>
                <c:pt idx="1">
                  <c:v>% Privado</c:v>
                </c:pt>
              </c:strCache>
            </c:strRef>
          </c:cat>
          <c:val>
            <c:numRef>
              <c:f>Cotizantes!$E$11:$F$11</c:f>
              <c:numCache>
                <c:formatCode>0%</c:formatCode>
                <c:ptCount val="2"/>
                <c:pt idx="0">
                  <c:v>0.81</c:v>
                </c:pt>
                <c:pt idx="1">
                  <c:v>0.19000000000000003</c:v>
                </c:pt>
              </c:numCache>
            </c:numRef>
          </c:val>
          <c:extLst>
            <c:ext xmlns:c16="http://schemas.microsoft.com/office/drawing/2014/chart" uri="{C3380CC4-5D6E-409C-BE32-E72D297353CC}">
              <c16:uniqueId val="{00000000-3FC0-4626-8946-C199BABBAAC4}"/>
            </c:ext>
          </c:extLst>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Empleador!$B$7</c:f>
              <c:strCache>
                <c:ptCount val="1"/>
                <c:pt idx="0">
                  <c:v>Público (RD$)</c:v>
                </c:pt>
              </c:strCache>
            </c:strRef>
          </c:tx>
          <c:spPr>
            <a:solidFill>
              <a:schemeClr val="bg1">
                <a:lumMod val="75000"/>
              </a:schemeClr>
            </a:solidFill>
            <a:ln>
              <a:solidFill>
                <a:schemeClr val="bg1">
                  <a:lumMod val="75000"/>
                </a:schemeClr>
              </a:solidFill>
            </a:ln>
          </c:spPr>
          <c:invertIfNegative val="0"/>
          <c:dLbls>
            <c:spPr>
              <a:noFill/>
              <a:ln>
                <a:noFill/>
              </a:ln>
              <a:effectLst/>
            </c:spPr>
            <c:txPr>
              <a:bodyPr wrap="square" lIns="38100" tIns="19050" rIns="38100" bIns="19050" anchor="ctr">
                <a:spAutoFit/>
              </a:bodyPr>
              <a:lstStyle/>
              <a:p>
                <a:pPr>
                  <a:defRPr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Empleador!$A$8:$A$10</c:f>
              <c:strCache>
                <c:ptCount val="3"/>
                <c:pt idx="0">
                  <c:v>Marzo</c:v>
                </c:pt>
                <c:pt idx="1">
                  <c:v>Febrero</c:v>
                </c:pt>
                <c:pt idx="2">
                  <c:v>Enero</c:v>
                </c:pt>
              </c:strCache>
            </c:strRef>
          </c:cat>
          <c:val>
            <c:numRef>
              <c:f>Empleador!$B$8:$B$10</c:f>
              <c:numCache>
                <c:formatCode>_(* #,##0.00_);_(* \(#,##0.00\);_(* "-"??_);_(@_)</c:formatCode>
                <c:ptCount val="3"/>
                <c:pt idx="0">
                  <c:v>81936304.693200007</c:v>
                </c:pt>
                <c:pt idx="1">
                  <c:v>77159723.150700003</c:v>
                </c:pt>
                <c:pt idx="2">
                  <c:v>77514157.989999995</c:v>
                </c:pt>
              </c:numCache>
            </c:numRef>
          </c:val>
          <c:extLst>
            <c:ext xmlns:c16="http://schemas.microsoft.com/office/drawing/2014/chart" uri="{C3380CC4-5D6E-409C-BE32-E72D297353CC}">
              <c16:uniqueId val="{00000000-3754-4074-BEFF-2DE0A00E38F1}"/>
            </c:ext>
          </c:extLst>
        </c:ser>
        <c:ser>
          <c:idx val="1"/>
          <c:order val="1"/>
          <c:tx>
            <c:strRef>
              <c:f>Empleador!$C$7</c:f>
              <c:strCache>
                <c:ptCount val="1"/>
                <c:pt idx="0">
                  <c:v>Privado (RD$)</c:v>
                </c:pt>
              </c:strCache>
            </c:strRef>
          </c:tx>
          <c:spPr>
            <a:solidFill>
              <a:schemeClr val="accent3">
                <a:lumMod val="60000"/>
                <a:lumOff val="40000"/>
              </a:schemeClr>
            </a:solidFill>
            <a:ln>
              <a:solidFill>
                <a:schemeClr val="accent3">
                  <a:lumMod val="60000"/>
                  <a:lumOff val="40000"/>
                </a:schemeClr>
              </a:solidFill>
            </a:ln>
          </c:spPr>
          <c:invertIfNegative val="0"/>
          <c:dLbls>
            <c:dLbl>
              <c:idx val="0"/>
              <c:layout>
                <c:manualLayout>
                  <c:x val="3.207668648718028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738-4061-9CFB-E05ABCE275A3}"/>
                </c:ext>
              </c:extLst>
            </c:dLbl>
            <c:dLbl>
              <c:idx val="1"/>
              <c:layout>
                <c:manualLayout>
                  <c:x val="3.849131627010466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38-4061-9CFB-E05ABCE275A3}"/>
                </c:ext>
              </c:extLst>
            </c:dLbl>
            <c:dLbl>
              <c:idx val="2"/>
              <c:layout>
                <c:manualLayout>
                  <c:x val="2.888175309967149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F4B-423A-9D8D-AF7B1DB209E8}"/>
                </c:ext>
              </c:extLst>
            </c:dLbl>
            <c:spPr>
              <a:noFill/>
              <a:ln>
                <a:noFill/>
              </a:ln>
              <a:effectLst/>
            </c:spPr>
            <c:txPr>
              <a:bodyPr wrap="square" lIns="38100" tIns="19050" rIns="38100" bIns="19050" anchor="ctr">
                <a:spAutoFit/>
              </a:bodyPr>
              <a:lstStyle/>
              <a:p>
                <a:pPr>
                  <a:defRPr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Empleador!$A$8:$A$10</c:f>
              <c:strCache>
                <c:ptCount val="3"/>
                <c:pt idx="0">
                  <c:v>Marzo</c:v>
                </c:pt>
                <c:pt idx="1">
                  <c:v>Febrero</c:v>
                </c:pt>
                <c:pt idx="2">
                  <c:v>Enero</c:v>
                </c:pt>
              </c:strCache>
            </c:strRef>
          </c:cat>
          <c:val>
            <c:numRef>
              <c:f>Empleador!$C$8:$C$10</c:f>
              <c:numCache>
                <c:formatCode>_(* #,##0.00_);_(* \(#,##0.00\);_(* "-"??_);_(@_)</c:formatCode>
                <c:ptCount val="3"/>
                <c:pt idx="0">
                  <c:v>19219627.026799999</c:v>
                </c:pt>
                <c:pt idx="1">
                  <c:v>18099194.3193</c:v>
                </c:pt>
                <c:pt idx="2">
                  <c:v>18182333.3565</c:v>
                </c:pt>
              </c:numCache>
            </c:numRef>
          </c:val>
          <c:extLst>
            <c:ext xmlns:c16="http://schemas.microsoft.com/office/drawing/2014/chart" uri="{C3380CC4-5D6E-409C-BE32-E72D297353CC}">
              <c16:uniqueId val="{00000001-3754-4074-BEFF-2DE0A00E38F1}"/>
            </c:ext>
          </c:extLst>
        </c:ser>
        <c:dLbls>
          <c:showLegendKey val="0"/>
          <c:showVal val="1"/>
          <c:showCatName val="0"/>
          <c:showSerName val="0"/>
          <c:showPercent val="0"/>
          <c:showBubbleSize val="0"/>
        </c:dLbls>
        <c:gapWidth val="75"/>
        <c:axId val="1667757504"/>
        <c:axId val="1667761312"/>
      </c:barChart>
      <c:catAx>
        <c:axId val="1667757504"/>
        <c:scaling>
          <c:orientation val="minMax"/>
        </c:scaling>
        <c:delete val="0"/>
        <c:axPos val="b"/>
        <c:numFmt formatCode="General" sourceLinked="0"/>
        <c:majorTickMark val="none"/>
        <c:minorTickMark val="none"/>
        <c:tickLblPos val="nextTo"/>
        <c:crossAx val="1667761312"/>
        <c:crosses val="autoZero"/>
        <c:auto val="1"/>
        <c:lblAlgn val="ctr"/>
        <c:lblOffset val="100"/>
        <c:noMultiLvlLbl val="0"/>
      </c:catAx>
      <c:valAx>
        <c:axId val="1667761312"/>
        <c:scaling>
          <c:orientation val="minMax"/>
        </c:scaling>
        <c:delete val="0"/>
        <c:axPos val="l"/>
        <c:numFmt formatCode="_(* #,##0.00_);_(* \(#,##0.00\);_(* &quot;-&quot;??_);_(@_)" sourceLinked="1"/>
        <c:majorTickMark val="none"/>
        <c:minorTickMark val="none"/>
        <c:tickLblPos val="nextTo"/>
        <c:crossAx val="1667757504"/>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100" b="1" i="0" u="none" strike="noStrike" kern="1200" cap="none" spc="20" baseline="0">
                <a:solidFill>
                  <a:schemeClr val="accent1"/>
                </a:solidFill>
                <a:latin typeface="+mn-lt"/>
                <a:ea typeface="+mn-ea"/>
                <a:cs typeface="+mn-cs"/>
              </a:defRPr>
            </a:pPr>
            <a:r>
              <a:rPr lang="en-US" sz="1100" b="1">
                <a:solidFill>
                  <a:schemeClr val="accent1"/>
                </a:solidFill>
              </a:rPr>
              <a:t>Porcentaje Monto Total</a:t>
            </a:r>
            <a:r>
              <a:rPr lang="en-US" sz="1100" b="1" baseline="0">
                <a:solidFill>
                  <a:schemeClr val="accent1"/>
                </a:solidFill>
              </a:rPr>
              <a:t> Individualizado por Tipo de Empleador</a:t>
            </a:r>
            <a:endParaRPr lang="en-US" sz="1100" b="1">
              <a:solidFill>
                <a:schemeClr val="accent1"/>
              </a:solidFill>
            </a:endParaRPr>
          </a:p>
        </c:rich>
      </c:tx>
      <c:overlay val="0"/>
      <c:spPr>
        <a:noFill/>
        <a:ln>
          <a:noFill/>
        </a:ln>
        <a:effectLst/>
      </c:spPr>
      <c:txPr>
        <a:bodyPr rot="0" spcFirstLastPara="1" vertOverflow="ellipsis" vert="horz" wrap="square" anchor="ctr" anchorCtr="1"/>
        <a:lstStyle/>
        <a:p>
          <a:pPr>
            <a:defRPr sz="1100" b="1" i="0" u="none" strike="noStrike" kern="1200" cap="none" spc="20" baseline="0">
              <a:solidFill>
                <a:schemeClr val="accent1"/>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explosion val="14"/>
          <c:dPt>
            <c:idx val="0"/>
            <c:bubble3D val="0"/>
            <c:spPr>
              <a:solidFill>
                <a:schemeClr val="accent3"/>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1-A7F0-4060-96BC-C2830A8E27F4}"/>
              </c:ext>
            </c:extLst>
          </c:dPt>
          <c:dPt>
            <c:idx val="1"/>
            <c:bubble3D val="0"/>
            <c:spPr>
              <a:solidFill>
                <a:schemeClr val="bg1">
                  <a:lumMod val="50000"/>
                </a:schemeClr>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3-A7F0-4060-96BC-C2830A8E27F4}"/>
              </c:ext>
            </c:extLst>
          </c:dPt>
          <c:dLbls>
            <c:dLbl>
              <c:idx val="0"/>
              <c:tx>
                <c:rich>
                  <a:bodyPr/>
                  <a:lstStyle/>
                  <a:p>
                    <a:r>
                      <a:rPr lang="en-US" baseline="0"/>
                      <a:t>
</a:t>
                    </a:r>
                    <a:fld id="{1E0124BD-4345-4E4A-B14D-12CA58C69878}" type="PERCENTAGE">
                      <a:rPr lang="en-US" baseline="0"/>
                      <a:pPr/>
                      <a:t>[PORCENTAJE]</a:t>
                    </a:fld>
                    <a:endParaRPr lang="en-US" baseline="0"/>
                  </a:p>
                </c:rich>
              </c:tx>
              <c:dLblPos val="in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7F0-4060-96BC-C2830A8E27F4}"/>
                </c:ext>
              </c:extLst>
            </c:dLbl>
            <c:dLbl>
              <c:idx val="1"/>
              <c:layout>
                <c:manualLayout>
                  <c:x val="7.4119001557259923E-2"/>
                  <c:y val="9.9428685560682892E-2"/>
                </c:manualLayout>
              </c:layout>
              <c:tx>
                <c:rich>
                  <a:bodyPr/>
                  <a:lstStyle/>
                  <a:p>
                    <a:r>
                      <a:rPr lang="en-US" baseline="0"/>
                      <a:t>
</a:t>
                    </a:r>
                    <a:fld id="{9808AA45-761B-4E95-9508-605747744867}" type="PERCENTAGE">
                      <a:rPr lang="en-US"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7F0-4060-96BC-C2830A8E27F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s-ES"/>
              </a:p>
            </c:txPr>
            <c:dLblPos val="inEnd"/>
            <c:showLegendKey val="0"/>
            <c:showVal val="0"/>
            <c:showCatName val="1"/>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Empleador!$B$7:$C$7</c:f>
              <c:strCache>
                <c:ptCount val="2"/>
                <c:pt idx="0">
                  <c:v>Público (RD$)</c:v>
                </c:pt>
                <c:pt idx="1">
                  <c:v>Privado (RD$)</c:v>
                </c:pt>
              </c:strCache>
            </c:strRef>
          </c:cat>
          <c:val>
            <c:numRef>
              <c:f>Empleador!$B$25:$C$25</c:f>
              <c:numCache>
                <c:formatCode>0%</c:formatCode>
                <c:ptCount val="2"/>
                <c:pt idx="0">
                  <c:v>0.80999999999772365</c:v>
                </c:pt>
                <c:pt idx="1">
                  <c:v>0.19000000000227654</c:v>
                </c:pt>
              </c:numCache>
            </c:numRef>
          </c:val>
          <c:extLst>
            <c:ext xmlns:c16="http://schemas.microsoft.com/office/drawing/2014/chart" uri="{C3380CC4-5D6E-409C-BE32-E72D297353CC}">
              <c16:uniqueId val="{00000004-A7F0-4060-96BC-C2830A8E27F4}"/>
            </c:ext>
          </c:extLst>
        </c:ser>
        <c:dLbls>
          <c:dLblPos val="inEnd"/>
          <c:showLegendKey val="0"/>
          <c:showVal val="0"/>
          <c:showCatName val="1"/>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6">
  <a:schemeClr val="accent3"/>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Reversed" id="23">
  <a:schemeClr val="accent3"/>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7.xml"/><Relationship Id="rId5" Type="http://schemas.openxmlformats.org/officeDocument/2006/relationships/image" Target="../media/image2.png"/><Relationship Id="rId4"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image" Target="../media/image3.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image" Target="../media/image1.png"/><Relationship Id="rId1" Type="http://schemas.openxmlformats.org/officeDocument/2006/relationships/chart" Target="../charts/chart19.xml"/><Relationship Id="rId4"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image" Target="../media/image1.png"/><Relationship Id="rId1" Type="http://schemas.openxmlformats.org/officeDocument/2006/relationships/image" Target="../media/image7.png"/><Relationship Id="rId5" Type="http://schemas.openxmlformats.org/officeDocument/2006/relationships/image" Target="../media/image3.png"/><Relationship Id="rId4" Type="http://schemas.openxmlformats.org/officeDocument/2006/relationships/chart" Target="../charts/chart22.xml"/></Relationships>
</file>

<file path=xl/drawings/_rels/drawing1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23.xml"/><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24.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image" Target="../media/image3.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image" Target="../media/image3.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chart" Target="../charts/chart2.xml"/><Relationship Id="rId6" Type="http://schemas.openxmlformats.org/officeDocument/2006/relationships/chart" Target="../charts/chart5.xml"/><Relationship Id="rId5" Type="http://schemas.openxmlformats.org/officeDocument/2006/relationships/image" Target="../media/image2.png"/><Relationship Id="rId4" Type="http://schemas.openxmlformats.org/officeDocument/2006/relationships/chart" Target="../charts/chart4.xml"/></Relationships>
</file>

<file path=xl/drawings/_rels/drawing2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chart" Target="../charts/chart27.xml"/></Relationships>
</file>

<file path=xl/drawings/_rels/drawing2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9.xml"/><Relationship Id="rId1" Type="http://schemas.openxmlformats.org/officeDocument/2006/relationships/chart" Target="../charts/chart28.xml"/><Relationship Id="rId5" Type="http://schemas.openxmlformats.org/officeDocument/2006/relationships/chart" Target="../charts/chart30.xml"/><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image" Target="../media/image1.png"/><Relationship Id="rId1" Type="http://schemas.openxmlformats.org/officeDocument/2006/relationships/chart" Target="../charts/chart6.xml"/><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image" Target="../media/image1.png"/><Relationship Id="rId1" Type="http://schemas.openxmlformats.org/officeDocument/2006/relationships/chart" Target="../charts/chart8.xml"/><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chart" Target="../charts/chart11.xml"/><Relationship Id="rId4"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0</xdr:col>
      <xdr:colOff>608135</xdr:colOff>
      <xdr:row>32</xdr:row>
      <xdr:rowOff>21980</xdr:rowOff>
    </xdr:from>
    <xdr:to>
      <xdr:col>6</xdr:col>
      <xdr:colOff>696515</xdr:colOff>
      <xdr:row>49</xdr:row>
      <xdr:rowOff>124557</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154372</xdr:colOff>
      <xdr:row>1</xdr:row>
      <xdr:rowOff>43961</xdr:rowOff>
    </xdr:from>
    <xdr:to>
      <xdr:col>1</xdr:col>
      <xdr:colOff>213178</xdr:colOff>
      <xdr:row>4</xdr:row>
      <xdr:rowOff>7327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154372" y="234461"/>
          <a:ext cx="842787" cy="534866"/>
        </a:xfrm>
        <a:prstGeom prst="rect">
          <a:avLst/>
        </a:prstGeom>
      </xdr:spPr>
    </xdr:pic>
    <xdr:clientData/>
  </xdr:twoCellAnchor>
  <xdr:twoCellAnchor editAs="oneCell">
    <xdr:from>
      <xdr:col>3</xdr:col>
      <xdr:colOff>662353</xdr:colOff>
      <xdr:row>1</xdr:row>
      <xdr:rowOff>22900</xdr:rowOff>
    </xdr:from>
    <xdr:to>
      <xdr:col>6</xdr:col>
      <xdr:colOff>421404</xdr:colOff>
      <xdr:row>4</xdr:row>
      <xdr:rowOff>9338</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402622" y="213400"/>
          <a:ext cx="2235551" cy="557938"/>
        </a:xfrm>
        <a:prstGeom prst="rect">
          <a:avLst/>
        </a:prstGeom>
      </xdr:spPr>
    </xdr:pic>
    <xdr:clientData/>
  </xdr:twoCellAnchor>
  <xdr:twoCellAnchor>
    <xdr:from>
      <xdr:col>2</xdr:col>
      <xdr:colOff>139212</xdr:colOff>
      <xdr:row>30</xdr:row>
      <xdr:rowOff>80596</xdr:rowOff>
    </xdr:from>
    <xdr:to>
      <xdr:col>4</xdr:col>
      <xdr:colOff>131885</xdr:colOff>
      <xdr:row>31</xdr:row>
      <xdr:rowOff>139211</xdr:rowOff>
    </xdr:to>
    <xdr:sp macro="" textlink="">
      <xdr:nvSpPr>
        <xdr:cNvPr id="4" name="CuadroTexto 3">
          <a:extLst>
            <a:ext uri="{FF2B5EF4-FFF2-40B4-BE49-F238E27FC236}">
              <a16:creationId xmlns:a16="http://schemas.microsoft.com/office/drawing/2014/main" id="{D505F560-0670-97A6-6B39-0A52AC835241}"/>
            </a:ext>
          </a:extLst>
        </xdr:cNvPr>
        <xdr:cNvSpPr txBox="1"/>
      </xdr:nvSpPr>
      <xdr:spPr>
        <a:xfrm>
          <a:off x="1948962" y="3480288"/>
          <a:ext cx="1670538" cy="249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s-ES" sz="1100" b="1" i="0" baseline="0">
              <a:solidFill>
                <a:schemeClr val="accent1"/>
              </a:solidFill>
              <a:effectLst/>
              <a:latin typeface="+mn-lt"/>
              <a:ea typeface="+mn-ea"/>
              <a:cs typeface="+mn-cs"/>
            </a:rPr>
            <a:t>Programado vs Ejecutado</a:t>
          </a:r>
          <a:endParaRPr lang="es-DO">
            <a:solidFill>
              <a:schemeClr val="accent1"/>
            </a:solidFill>
            <a:effectLst/>
          </a:endParaRPr>
        </a:p>
        <a:p>
          <a:endParaRPr lang="es-DO" sz="1100">
            <a:solidFill>
              <a:schemeClr val="accent1"/>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143531</xdr:colOff>
      <xdr:row>28</xdr:row>
      <xdr:rowOff>99393</xdr:rowOff>
    </xdr:from>
    <xdr:to>
      <xdr:col>6</xdr:col>
      <xdr:colOff>8282</xdr:colOff>
      <xdr:row>40</xdr:row>
      <xdr:rowOff>124239</xdr:rowOff>
    </xdr:to>
    <xdr:graphicFrame macro="">
      <xdr:nvGraphicFramePr>
        <xdr:cNvPr id="2" name="1 Gráfico">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98425</xdr:colOff>
      <xdr:row>42</xdr:row>
      <xdr:rowOff>137386</xdr:rowOff>
    </xdr:from>
    <xdr:to>
      <xdr:col>6</xdr:col>
      <xdr:colOff>482622</xdr:colOff>
      <xdr:row>54</xdr:row>
      <xdr:rowOff>60187</xdr:rowOff>
    </xdr:to>
    <xdr:graphicFrame macro="">
      <xdr:nvGraphicFramePr>
        <xdr:cNvPr id="3" name="2 Gráfico">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455544</xdr:colOff>
      <xdr:row>29</xdr:row>
      <xdr:rowOff>37272</xdr:rowOff>
    </xdr:from>
    <xdr:to>
      <xdr:col>12</xdr:col>
      <xdr:colOff>463827</xdr:colOff>
      <xdr:row>41</xdr:row>
      <xdr:rowOff>49696</xdr:rowOff>
    </xdr:to>
    <xdr:graphicFrame macro="">
      <xdr:nvGraphicFramePr>
        <xdr:cNvPr id="4" name="3 Gráfico">
          <a:extLst>
            <a:ext uri="{FF2B5EF4-FFF2-40B4-BE49-F238E27FC236}">
              <a16:creationId xmlns:a16="http://schemas.microsoft.com/office/drawing/2014/main" id="{00000000-0008-0000-0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431109</xdr:colOff>
      <xdr:row>41</xdr:row>
      <xdr:rowOff>113089</xdr:rowOff>
    </xdr:from>
    <xdr:to>
      <xdr:col>3</xdr:col>
      <xdr:colOff>630637</xdr:colOff>
      <xdr:row>42</xdr:row>
      <xdr:rowOff>132139</xdr:rowOff>
    </xdr:to>
    <xdr:sp macro="" textlink="">
      <xdr:nvSpPr>
        <xdr:cNvPr id="5" name="4 CuadroTexto">
          <a:extLst>
            <a:ext uri="{FF2B5EF4-FFF2-40B4-BE49-F238E27FC236}">
              <a16:creationId xmlns:a16="http://schemas.microsoft.com/office/drawing/2014/main" id="{00000000-0008-0000-0700-000005000000}"/>
            </a:ext>
          </a:extLst>
        </xdr:cNvPr>
        <xdr:cNvSpPr txBox="1"/>
      </xdr:nvSpPr>
      <xdr:spPr>
        <a:xfrm>
          <a:off x="1983684" y="5389939"/>
          <a:ext cx="961528" cy="2095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DO" sz="1100" b="1">
              <a:solidFill>
                <a:schemeClr val="accent5">
                  <a:lumMod val="75000"/>
                </a:schemeClr>
              </a:solidFill>
            </a:rPr>
            <a:t>Pensiones</a:t>
          </a:r>
        </a:p>
      </xdr:txBody>
    </xdr:sp>
    <xdr:clientData/>
  </xdr:twoCellAnchor>
  <xdr:twoCellAnchor>
    <xdr:from>
      <xdr:col>6</xdr:col>
      <xdr:colOff>542299</xdr:colOff>
      <xdr:row>28</xdr:row>
      <xdr:rowOff>4141</xdr:rowOff>
    </xdr:from>
    <xdr:to>
      <xdr:col>12</xdr:col>
      <xdr:colOff>324932</xdr:colOff>
      <xdr:row>28</xdr:row>
      <xdr:rowOff>58353</xdr:rowOff>
    </xdr:to>
    <xdr:sp macro="" textlink="">
      <xdr:nvSpPr>
        <xdr:cNvPr id="11" name="1 CuadroTexto">
          <a:extLst>
            <a:ext uri="{FF2B5EF4-FFF2-40B4-BE49-F238E27FC236}">
              <a16:creationId xmlns:a16="http://schemas.microsoft.com/office/drawing/2014/main" id="{00000000-0008-0000-0700-00000B000000}"/>
            </a:ext>
          </a:extLst>
        </xdr:cNvPr>
        <xdr:cNvSpPr txBox="1"/>
      </xdr:nvSpPr>
      <xdr:spPr>
        <a:xfrm>
          <a:off x="7681908" y="2994163"/>
          <a:ext cx="2060350" cy="54212"/>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DO" sz="1100" b="1">
              <a:solidFill>
                <a:schemeClr val="accent5">
                  <a:lumMod val="75000"/>
                </a:schemeClr>
              </a:solidFill>
            </a:rPr>
            <a:t>Monto</a:t>
          </a:r>
        </a:p>
      </xdr:txBody>
    </xdr:sp>
    <xdr:clientData/>
  </xdr:twoCellAnchor>
  <xdr:twoCellAnchor editAs="oneCell">
    <xdr:from>
      <xdr:col>2</xdr:col>
      <xdr:colOff>446942</xdr:colOff>
      <xdr:row>1</xdr:row>
      <xdr:rowOff>36635</xdr:rowOff>
    </xdr:from>
    <xdr:to>
      <xdr:col>3</xdr:col>
      <xdr:colOff>667472</xdr:colOff>
      <xdr:row>4</xdr:row>
      <xdr:rowOff>87923</xdr:rowOff>
    </xdr:to>
    <xdr:pic>
      <xdr:nvPicPr>
        <xdr:cNvPr id="10" name="Picture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4"/>
        <a:stretch>
          <a:fillRect/>
        </a:stretch>
      </xdr:blipFill>
      <xdr:spPr>
        <a:xfrm>
          <a:off x="2154115" y="227135"/>
          <a:ext cx="989857" cy="622788"/>
        </a:xfrm>
        <a:prstGeom prst="rect">
          <a:avLst/>
        </a:prstGeom>
      </xdr:spPr>
    </xdr:pic>
    <xdr:clientData/>
  </xdr:twoCellAnchor>
  <xdr:twoCellAnchor editAs="oneCell">
    <xdr:from>
      <xdr:col>9</xdr:col>
      <xdr:colOff>140805</xdr:colOff>
      <xdr:row>0</xdr:row>
      <xdr:rowOff>124240</xdr:rowOff>
    </xdr:from>
    <xdr:to>
      <xdr:col>11</xdr:col>
      <xdr:colOff>520755</xdr:colOff>
      <xdr:row>3</xdr:row>
      <xdr:rowOff>110678</xdr:rowOff>
    </xdr:to>
    <xdr:pic>
      <xdr:nvPicPr>
        <xdr:cNvPr id="14" name="Picture 13">
          <a:extLst>
            <a:ext uri="{FF2B5EF4-FFF2-40B4-BE49-F238E27FC236}">
              <a16:creationId xmlns:a16="http://schemas.microsoft.com/office/drawing/2014/main" id="{00000000-0008-0000-0700-00000E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7205870" y="124240"/>
          <a:ext cx="2246436" cy="557938"/>
        </a:xfrm>
        <a:prstGeom prst="rect">
          <a:avLst/>
        </a:prstGeom>
      </xdr:spPr>
    </xdr:pic>
    <xdr:clientData/>
  </xdr:twoCellAnchor>
  <xdr:twoCellAnchor>
    <xdr:from>
      <xdr:col>6</xdr:col>
      <xdr:colOff>809625</xdr:colOff>
      <xdr:row>41</xdr:row>
      <xdr:rowOff>33337</xdr:rowOff>
    </xdr:from>
    <xdr:to>
      <xdr:col>12</xdr:col>
      <xdr:colOff>638175</xdr:colOff>
      <xdr:row>55</xdr:row>
      <xdr:rowOff>109537</xdr:rowOff>
    </xdr:to>
    <xdr:graphicFrame macro="">
      <xdr:nvGraphicFramePr>
        <xdr:cNvPr id="7" name="Gráfico 6">
          <a:extLst>
            <a:ext uri="{FF2B5EF4-FFF2-40B4-BE49-F238E27FC236}">
              <a16:creationId xmlns:a16="http://schemas.microsoft.com/office/drawing/2014/main" id="{A42BF6BF-17CA-41F1-AC5B-7C97748ADB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0.30281</cdr:x>
      <cdr:y>0</cdr:y>
    </cdr:from>
    <cdr:to>
      <cdr:x>0.71115</cdr:x>
      <cdr:y>0.09722</cdr:y>
    </cdr:to>
    <cdr:sp macro="" textlink="">
      <cdr:nvSpPr>
        <cdr:cNvPr id="2" name="1 CuadroTexto"/>
        <cdr:cNvSpPr txBox="1"/>
      </cdr:nvSpPr>
      <cdr:spPr>
        <a:xfrm xmlns:a="http://schemas.openxmlformats.org/drawingml/2006/main">
          <a:off x="1631919" y="0"/>
          <a:ext cx="2200646" cy="25351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s-DO" sz="1100" b="1">
              <a:solidFill>
                <a:schemeClr val="accent5">
                  <a:lumMod val="75000"/>
                </a:schemeClr>
              </a:solidFill>
            </a:rPr>
            <a:t>Pensionados</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2</xdr:col>
      <xdr:colOff>446942</xdr:colOff>
      <xdr:row>1</xdr:row>
      <xdr:rowOff>36635</xdr:rowOff>
    </xdr:from>
    <xdr:to>
      <xdr:col>3</xdr:col>
      <xdr:colOff>530968</xdr:colOff>
      <xdr:row>4</xdr:row>
      <xdr:rowOff>87923</xdr:rowOff>
    </xdr:to>
    <xdr:pic>
      <xdr:nvPicPr>
        <xdr:cNvPr id="2" name="Picture 7">
          <a:extLst>
            <a:ext uri="{FF2B5EF4-FFF2-40B4-BE49-F238E27FC236}">
              <a16:creationId xmlns:a16="http://schemas.microsoft.com/office/drawing/2014/main" id="{E942B9E2-F9D1-4E35-8E7F-20E9BC51523D}"/>
            </a:ext>
          </a:extLst>
        </xdr:cNvPr>
        <xdr:cNvPicPr>
          <a:picLocks noChangeAspect="1"/>
        </xdr:cNvPicPr>
      </xdr:nvPicPr>
      <xdr:blipFill>
        <a:blip xmlns:r="http://schemas.openxmlformats.org/officeDocument/2006/relationships" r:embed="rId1"/>
        <a:stretch>
          <a:fillRect/>
        </a:stretch>
      </xdr:blipFill>
      <xdr:spPr>
        <a:xfrm>
          <a:off x="2409092" y="227135"/>
          <a:ext cx="987658" cy="622788"/>
        </a:xfrm>
        <a:prstGeom prst="rect">
          <a:avLst/>
        </a:prstGeom>
      </xdr:spPr>
    </xdr:pic>
    <xdr:clientData/>
  </xdr:twoCellAnchor>
  <xdr:twoCellAnchor editAs="oneCell">
    <xdr:from>
      <xdr:col>14</xdr:col>
      <xdr:colOff>133350</xdr:colOff>
      <xdr:row>1</xdr:row>
      <xdr:rowOff>9525</xdr:rowOff>
    </xdr:from>
    <xdr:to>
      <xdr:col>16</xdr:col>
      <xdr:colOff>503935</xdr:colOff>
      <xdr:row>4</xdr:row>
      <xdr:rowOff>7169</xdr:rowOff>
    </xdr:to>
    <xdr:pic>
      <xdr:nvPicPr>
        <xdr:cNvPr id="3" name="Picture 8">
          <a:extLst>
            <a:ext uri="{FF2B5EF4-FFF2-40B4-BE49-F238E27FC236}">
              <a16:creationId xmlns:a16="http://schemas.microsoft.com/office/drawing/2014/main" id="{F0EDD90A-9281-44E9-A447-233166329F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44025" y="200025"/>
          <a:ext cx="2259569" cy="557938"/>
        </a:xfrm>
        <a:prstGeom prst="rect">
          <a:avLst/>
        </a:prstGeom>
      </xdr:spPr>
    </xdr:pic>
    <xdr:clientData/>
  </xdr:twoCellAnchor>
  <xdr:twoCellAnchor>
    <xdr:from>
      <xdr:col>2</xdr:col>
      <xdr:colOff>23595</xdr:colOff>
      <xdr:row>15</xdr:row>
      <xdr:rowOff>172726</xdr:rowOff>
    </xdr:from>
    <xdr:to>
      <xdr:col>12</xdr:col>
      <xdr:colOff>33057</xdr:colOff>
      <xdr:row>32</xdr:row>
      <xdr:rowOff>74491</xdr:rowOff>
    </xdr:to>
    <xdr:graphicFrame macro="">
      <xdr:nvGraphicFramePr>
        <xdr:cNvPr id="6" name="Gráfico 5">
          <a:extLst>
            <a:ext uri="{FF2B5EF4-FFF2-40B4-BE49-F238E27FC236}">
              <a16:creationId xmlns:a16="http://schemas.microsoft.com/office/drawing/2014/main" id="{E89759A0-5C3E-1BAD-FEDD-D69933DC8E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6</xdr:col>
      <xdr:colOff>720197</xdr:colOff>
      <xdr:row>29</xdr:row>
      <xdr:rowOff>64402</xdr:rowOff>
    </xdr:from>
    <xdr:to>
      <xdr:col>12</xdr:col>
      <xdr:colOff>223631</xdr:colOff>
      <xdr:row>44</xdr:row>
      <xdr:rowOff>57979</xdr:rowOff>
    </xdr:to>
    <xdr:graphicFrame macro="">
      <xdr:nvGraphicFramePr>
        <xdr:cNvPr id="2" name="1 Gráfico">
          <a:extLst>
            <a:ext uri="{FF2B5EF4-FFF2-40B4-BE49-F238E27FC236}">
              <a16:creationId xmlns:a16="http://schemas.microsoft.com/office/drawing/2014/main" id="{608E5EA0-87A6-489D-A102-39C90570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674077</xdr:colOff>
      <xdr:row>2</xdr:row>
      <xdr:rowOff>0</xdr:rowOff>
    </xdr:from>
    <xdr:to>
      <xdr:col>3</xdr:col>
      <xdr:colOff>403704</xdr:colOff>
      <xdr:row>5</xdr:row>
      <xdr:rowOff>51288</xdr:rowOff>
    </xdr:to>
    <xdr:pic>
      <xdr:nvPicPr>
        <xdr:cNvPr id="3" name="Picture 2">
          <a:extLst>
            <a:ext uri="{FF2B5EF4-FFF2-40B4-BE49-F238E27FC236}">
              <a16:creationId xmlns:a16="http://schemas.microsoft.com/office/drawing/2014/main" id="{ED303029-753E-46CF-9AE6-8340C7F23165}"/>
            </a:ext>
          </a:extLst>
        </xdr:cNvPr>
        <xdr:cNvPicPr>
          <a:picLocks noChangeAspect="1"/>
        </xdr:cNvPicPr>
      </xdr:nvPicPr>
      <xdr:blipFill>
        <a:blip xmlns:r="http://schemas.openxmlformats.org/officeDocument/2006/relationships" r:embed="rId2"/>
        <a:stretch>
          <a:fillRect/>
        </a:stretch>
      </xdr:blipFill>
      <xdr:spPr>
        <a:xfrm>
          <a:off x="2331427" y="381000"/>
          <a:ext cx="991323" cy="622788"/>
        </a:xfrm>
        <a:prstGeom prst="rect">
          <a:avLst/>
        </a:prstGeom>
      </xdr:spPr>
    </xdr:pic>
    <xdr:clientData/>
  </xdr:twoCellAnchor>
  <xdr:twoCellAnchor>
    <xdr:from>
      <xdr:col>0</xdr:col>
      <xdr:colOff>82827</xdr:colOff>
      <xdr:row>29</xdr:row>
      <xdr:rowOff>92489</xdr:rowOff>
    </xdr:from>
    <xdr:to>
      <xdr:col>6</xdr:col>
      <xdr:colOff>182217</xdr:colOff>
      <xdr:row>44</xdr:row>
      <xdr:rowOff>99391</xdr:rowOff>
    </xdr:to>
    <xdr:graphicFrame macro="">
      <xdr:nvGraphicFramePr>
        <xdr:cNvPr id="4" name="1 Gráfico">
          <a:extLst>
            <a:ext uri="{FF2B5EF4-FFF2-40B4-BE49-F238E27FC236}">
              <a16:creationId xmlns:a16="http://schemas.microsoft.com/office/drawing/2014/main" id="{B882A147-3351-46DD-B052-100241B59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865187</xdr:colOff>
      <xdr:row>1</xdr:row>
      <xdr:rowOff>119062</xdr:rowOff>
    </xdr:from>
    <xdr:to>
      <xdr:col>12</xdr:col>
      <xdr:colOff>982542</xdr:colOff>
      <xdr:row>4</xdr:row>
      <xdr:rowOff>105500</xdr:rowOff>
    </xdr:to>
    <xdr:pic>
      <xdr:nvPicPr>
        <xdr:cNvPr id="5" name="Picture 4">
          <a:extLst>
            <a:ext uri="{FF2B5EF4-FFF2-40B4-BE49-F238E27FC236}">
              <a16:creationId xmlns:a16="http://schemas.microsoft.com/office/drawing/2014/main" id="{C2132418-C961-4545-82D6-330F26F7776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685337" y="309562"/>
          <a:ext cx="2241674" cy="557938"/>
        </a:xfrm>
        <a:prstGeom prst="rect">
          <a:avLst/>
        </a:prstGeom>
      </xdr:spPr>
    </xdr:pic>
    <xdr:clientData/>
  </xdr:twoCellAnchor>
  <xdr:twoCellAnchor>
    <xdr:from>
      <xdr:col>9</xdr:col>
      <xdr:colOff>389282</xdr:colOff>
      <xdr:row>27</xdr:row>
      <xdr:rowOff>49695</xdr:rowOff>
    </xdr:from>
    <xdr:to>
      <xdr:col>10</xdr:col>
      <xdr:colOff>347869</xdr:colOff>
      <xdr:row>28</xdr:row>
      <xdr:rowOff>99391</xdr:rowOff>
    </xdr:to>
    <xdr:sp macro="" textlink="">
      <xdr:nvSpPr>
        <xdr:cNvPr id="6" name="CuadroTexto 2">
          <a:extLst>
            <a:ext uri="{FF2B5EF4-FFF2-40B4-BE49-F238E27FC236}">
              <a16:creationId xmlns:a16="http://schemas.microsoft.com/office/drawing/2014/main" id="{8587D218-959D-45F1-8620-EDEFAA76CF39}"/>
            </a:ext>
          </a:extLst>
        </xdr:cNvPr>
        <xdr:cNvSpPr txBox="1"/>
      </xdr:nvSpPr>
      <xdr:spPr>
        <a:xfrm>
          <a:off x="9384195" y="2791238"/>
          <a:ext cx="853109"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tx2">
                  <a:lumMod val="60000"/>
                  <a:lumOff val="40000"/>
                </a:schemeClr>
              </a:solidFill>
            </a:rPr>
            <a:t>PENSIONES</a:t>
          </a:r>
        </a:p>
      </xdr:txBody>
    </xdr:sp>
    <xdr:clientData/>
  </xdr:twoCellAnchor>
  <xdr:twoCellAnchor>
    <xdr:from>
      <xdr:col>2</xdr:col>
      <xdr:colOff>376031</xdr:colOff>
      <xdr:row>27</xdr:row>
      <xdr:rowOff>28162</xdr:rowOff>
    </xdr:from>
    <xdr:to>
      <xdr:col>3</xdr:col>
      <xdr:colOff>215350</xdr:colOff>
      <xdr:row>28</xdr:row>
      <xdr:rowOff>77858</xdr:rowOff>
    </xdr:to>
    <xdr:sp macro="" textlink="">
      <xdr:nvSpPr>
        <xdr:cNvPr id="7" name="CuadroTexto 3">
          <a:extLst>
            <a:ext uri="{FF2B5EF4-FFF2-40B4-BE49-F238E27FC236}">
              <a16:creationId xmlns:a16="http://schemas.microsoft.com/office/drawing/2014/main" id="{A921A9C9-820E-4CAF-854C-39006CD45DCB}"/>
            </a:ext>
          </a:extLst>
        </xdr:cNvPr>
        <xdr:cNvSpPr txBox="1"/>
      </xdr:nvSpPr>
      <xdr:spPr>
        <a:xfrm>
          <a:off x="2032553" y="2769705"/>
          <a:ext cx="1098275"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tx2">
                  <a:lumMod val="60000"/>
                  <a:lumOff val="40000"/>
                </a:schemeClr>
              </a:solidFill>
            </a:rPr>
            <a:t>MONTO</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499965</xdr:colOff>
      <xdr:row>6</xdr:row>
      <xdr:rowOff>106479</xdr:rowOff>
    </xdr:from>
    <xdr:to>
      <xdr:col>17</xdr:col>
      <xdr:colOff>965642</xdr:colOff>
      <xdr:row>8</xdr:row>
      <xdr:rowOff>266099</xdr:rowOff>
    </xdr:to>
    <xdr:pic>
      <xdr:nvPicPr>
        <xdr:cNvPr id="11" name="Picture 10">
          <a:extLst>
            <a:ext uri="{FF2B5EF4-FFF2-40B4-BE49-F238E27FC236}">
              <a16:creationId xmlns:a16="http://schemas.microsoft.com/office/drawing/2014/main" id="{00000000-0008-0000-09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90878" y="868479"/>
          <a:ext cx="2238155" cy="548903"/>
        </a:xfrm>
        <a:prstGeom prst="rect">
          <a:avLst/>
        </a:prstGeom>
      </xdr:spPr>
    </xdr:pic>
    <xdr:clientData/>
  </xdr:twoCellAnchor>
  <xdr:oneCellAnchor>
    <xdr:from>
      <xdr:col>1</xdr:col>
      <xdr:colOff>198783</xdr:colOff>
      <xdr:row>1</xdr:row>
      <xdr:rowOff>82827</xdr:rowOff>
    </xdr:from>
    <xdr:ext cx="989857" cy="622788"/>
    <xdr:pic>
      <xdr:nvPicPr>
        <xdr:cNvPr id="12" name="Picture 9">
          <a:extLst>
            <a:ext uri="{FF2B5EF4-FFF2-40B4-BE49-F238E27FC236}">
              <a16:creationId xmlns:a16="http://schemas.microsoft.com/office/drawing/2014/main" id="{00000000-0008-0000-0900-00000C000000}"/>
            </a:ext>
          </a:extLst>
        </xdr:cNvPr>
        <xdr:cNvPicPr>
          <a:picLocks noChangeAspect="1"/>
        </xdr:cNvPicPr>
      </xdr:nvPicPr>
      <xdr:blipFill>
        <a:blip xmlns:r="http://schemas.openxmlformats.org/officeDocument/2006/relationships" r:embed="rId2"/>
        <a:stretch>
          <a:fillRect/>
        </a:stretch>
      </xdr:blipFill>
      <xdr:spPr>
        <a:xfrm>
          <a:off x="9433892" y="82827"/>
          <a:ext cx="989857" cy="622788"/>
        </a:xfrm>
        <a:prstGeom prst="rect">
          <a:avLst/>
        </a:prstGeom>
      </xdr:spPr>
    </xdr:pic>
    <xdr:clientData/>
  </xdr:oneCellAnchor>
  <xdr:twoCellAnchor>
    <xdr:from>
      <xdr:col>14</xdr:col>
      <xdr:colOff>11538</xdr:colOff>
      <xdr:row>8</xdr:row>
      <xdr:rowOff>349233</xdr:rowOff>
    </xdr:from>
    <xdr:to>
      <xdr:col>18</xdr:col>
      <xdr:colOff>932414</xdr:colOff>
      <xdr:row>23</xdr:row>
      <xdr:rowOff>95044</xdr:rowOff>
    </xdr:to>
    <xdr:graphicFrame macro="">
      <xdr:nvGraphicFramePr>
        <xdr:cNvPr id="3" name="Gráfico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637008</xdr:colOff>
      <xdr:row>8</xdr:row>
      <xdr:rowOff>375728</xdr:rowOff>
    </xdr:from>
    <xdr:to>
      <xdr:col>24</xdr:col>
      <xdr:colOff>221371</xdr:colOff>
      <xdr:row>23</xdr:row>
      <xdr:rowOff>115352</xdr:rowOff>
    </xdr:to>
    <xdr:graphicFrame macro="">
      <xdr:nvGraphicFramePr>
        <xdr:cNvPr id="14" name="Gráfico 13">
          <a:extLst>
            <a:ext uri="{FF2B5EF4-FFF2-40B4-BE49-F238E27FC236}">
              <a16:creationId xmlns:a16="http://schemas.microsoft.com/office/drawing/2014/main" id="{00000000-0008-0000-09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20</xdr:col>
      <xdr:colOff>744862</xdr:colOff>
      <xdr:row>6</xdr:row>
      <xdr:rowOff>170527</xdr:rowOff>
    </xdr:from>
    <xdr:to>
      <xdr:col>22</xdr:col>
      <xdr:colOff>897569</xdr:colOff>
      <xdr:row>8</xdr:row>
      <xdr:rowOff>330147</xdr:rowOff>
    </xdr:to>
    <xdr:pic>
      <xdr:nvPicPr>
        <xdr:cNvPr id="10" name="Picture 10">
          <a:extLst>
            <a:ext uri="{FF2B5EF4-FFF2-40B4-BE49-F238E27FC236}">
              <a16:creationId xmlns:a16="http://schemas.microsoft.com/office/drawing/2014/main" id="{B8825771-E97A-4C02-BE46-B46CB47933B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0937862" y="932527"/>
          <a:ext cx="2231642" cy="548903"/>
        </a:xfrm>
        <a:prstGeom prst="rect">
          <a:avLst/>
        </a:prstGeom>
      </xdr:spPr>
    </xdr:pic>
    <xdr:clientData/>
  </xdr:twoCellAnchor>
  <xdr:twoCellAnchor editAs="oneCell">
    <xdr:from>
      <xdr:col>8</xdr:col>
      <xdr:colOff>530173</xdr:colOff>
      <xdr:row>1</xdr:row>
      <xdr:rowOff>0</xdr:rowOff>
    </xdr:from>
    <xdr:to>
      <xdr:col>11</xdr:col>
      <xdr:colOff>480379</xdr:colOff>
      <xdr:row>3</xdr:row>
      <xdr:rowOff>170826</xdr:rowOff>
    </xdr:to>
    <xdr:pic>
      <xdr:nvPicPr>
        <xdr:cNvPr id="13" name="Picture 10">
          <a:extLst>
            <a:ext uri="{FF2B5EF4-FFF2-40B4-BE49-F238E27FC236}">
              <a16:creationId xmlns:a16="http://schemas.microsoft.com/office/drawing/2014/main" id="{25D078B7-007D-43F3-B3A7-90E4A37401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50055" y="0"/>
          <a:ext cx="2236206" cy="55182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109904</xdr:colOff>
      <xdr:row>2</xdr:row>
      <xdr:rowOff>73270</xdr:rowOff>
    </xdr:from>
    <xdr:to>
      <xdr:col>5</xdr:col>
      <xdr:colOff>288916</xdr:colOff>
      <xdr:row>5</xdr:row>
      <xdr:rowOff>124559</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a:stretch>
          <a:fillRect/>
        </a:stretch>
      </xdr:blipFill>
      <xdr:spPr>
        <a:xfrm>
          <a:off x="2718289" y="263770"/>
          <a:ext cx="989857" cy="622788"/>
        </a:xfrm>
        <a:prstGeom prst="rect">
          <a:avLst/>
        </a:prstGeom>
      </xdr:spPr>
    </xdr:pic>
    <xdr:clientData/>
  </xdr:twoCellAnchor>
  <xdr:twoCellAnchor>
    <xdr:from>
      <xdr:col>5</xdr:col>
      <xdr:colOff>325904</xdr:colOff>
      <xdr:row>30</xdr:row>
      <xdr:rowOff>169208</xdr:rowOff>
    </xdr:from>
    <xdr:to>
      <xdr:col>10</xdr:col>
      <xdr:colOff>419660</xdr:colOff>
      <xdr:row>46</xdr:row>
      <xdr:rowOff>100291</xdr:rowOff>
    </xdr:to>
    <xdr:graphicFrame macro="">
      <xdr:nvGraphicFramePr>
        <xdr:cNvPr id="3" name="Gráfico 2">
          <a:extLst>
            <a:ext uri="{FF2B5EF4-FFF2-40B4-BE49-F238E27FC236}">
              <a16:creationId xmlns:a16="http://schemas.microsoft.com/office/drawing/2014/main" id="{00000000-0008-0000-0B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476250</xdr:colOff>
      <xdr:row>2</xdr:row>
      <xdr:rowOff>38100</xdr:rowOff>
    </xdr:from>
    <xdr:to>
      <xdr:col>14</xdr:col>
      <xdr:colOff>657959</xdr:colOff>
      <xdr:row>5</xdr:row>
      <xdr:rowOff>24539</xdr:rowOff>
    </xdr:to>
    <xdr:pic>
      <xdr:nvPicPr>
        <xdr:cNvPr id="7" name="Picture 6">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439275" y="228600"/>
          <a:ext cx="2246436" cy="55793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100954</xdr:colOff>
      <xdr:row>31</xdr:row>
      <xdr:rowOff>171252</xdr:rowOff>
    </xdr:from>
    <xdr:to>
      <xdr:col>12</xdr:col>
      <xdr:colOff>78441</xdr:colOff>
      <xdr:row>46</xdr:row>
      <xdr:rowOff>145675</xdr:rowOff>
    </xdr:to>
    <xdr:graphicFrame macro="">
      <xdr:nvGraphicFramePr>
        <xdr:cNvPr id="7" name="6 Gráfico">
          <a:extLst>
            <a:ext uri="{FF2B5EF4-FFF2-40B4-BE49-F238E27FC236}">
              <a16:creationId xmlns:a16="http://schemas.microsoft.com/office/drawing/2014/main" id="{00000000-0008-0000-0C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189295</xdr:colOff>
      <xdr:row>29</xdr:row>
      <xdr:rowOff>174990</xdr:rowOff>
    </xdr:from>
    <xdr:to>
      <xdr:col>10</xdr:col>
      <xdr:colOff>656071</xdr:colOff>
      <xdr:row>31</xdr:row>
      <xdr:rowOff>57759</xdr:rowOff>
    </xdr:to>
    <xdr:sp macro="" textlink="">
      <xdr:nvSpPr>
        <xdr:cNvPr id="4" name="3 CuadroTexto">
          <a:extLst>
            <a:ext uri="{FF2B5EF4-FFF2-40B4-BE49-F238E27FC236}">
              <a16:creationId xmlns:a16="http://schemas.microsoft.com/office/drawing/2014/main" id="{00000000-0008-0000-0C00-000004000000}"/>
            </a:ext>
          </a:extLst>
        </xdr:cNvPr>
        <xdr:cNvSpPr txBox="1"/>
      </xdr:nvSpPr>
      <xdr:spPr>
        <a:xfrm>
          <a:off x="1684720" y="3156315"/>
          <a:ext cx="3743376" cy="2637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DO" sz="1100" b="1">
              <a:solidFill>
                <a:schemeClr val="tx2">
                  <a:lumMod val="60000"/>
                  <a:lumOff val="40000"/>
                </a:schemeClr>
              </a:solidFill>
            </a:rPr>
            <a:t>Pago de Retroactivos</a:t>
          </a:r>
        </a:p>
      </xdr:txBody>
    </xdr:sp>
    <xdr:clientData/>
  </xdr:twoCellAnchor>
  <xdr:twoCellAnchor editAs="oneCell">
    <xdr:from>
      <xdr:col>2</xdr:col>
      <xdr:colOff>203688</xdr:colOff>
      <xdr:row>2</xdr:row>
      <xdr:rowOff>27842</xdr:rowOff>
    </xdr:from>
    <xdr:to>
      <xdr:col>3</xdr:col>
      <xdr:colOff>458209</xdr:colOff>
      <xdr:row>5</xdr:row>
      <xdr:rowOff>79130</xdr:rowOff>
    </xdr:to>
    <xdr:pic>
      <xdr:nvPicPr>
        <xdr:cNvPr id="12" name="Picture 11">
          <a:extLst>
            <a:ext uri="{FF2B5EF4-FFF2-40B4-BE49-F238E27FC236}">
              <a16:creationId xmlns:a16="http://schemas.microsoft.com/office/drawing/2014/main" id="{00000000-0008-0000-0C00-00000C000000}"/>
            </a:ext>
          </a:extLst>
        </xdr:cNvPr>
        <xdr:cNvPicPr>
          <a:picLocks noChangeAspect="1"/>
        </xdr:cNvPicPr>
      </xdr:nvPicPr>
      <xdr:blipFill>
        <a:blip xmlns:r="http://schemas.openxmlformats.org/officeDocument/2006/relationships" r:embed="rId2"/>
        <a:stretch>
          <a:fillRect/>
        </a:stretch>
      </xdr:blipFill>
      <xdr:spPr>
        <a:xfrm>
          <a:off x="965688" y="218342"/>
          <a:ext cx="987946" cy="622788"/>
        </a:xfrm>
        <a:prstGeom prst="rect">
          <a:avLst/>
        </a:prstGeom>
      </xdr:spPr>
    </xdr:pic>
    <xdr:clientData/>
  </xdr:twoCellAnchor>
  <xdr:twoCellAnchor editAs="oneCell">
    <xdr:from>
      <xdr:col>10</xdr:col>
      <xdr:colOff>747506</xdr:colOff>
      <xdr:row>2</xdr:row>
      <xdr:rowOff>33545</xdr:rowOff>
    </xdr:from>
    <xdr:to>
      <xdr:col>13</xdr:col>
      <xdr:colOff>542803</xdr:colOff>
      <xdr:row>5</xdr:row>
      <xdr:rowOff>19983</xdr:rowOff>
    </xdr:to>
    <xdr:pic>
      <xdr:nvPicPr>
        <xdr:cNvPr id="6" name="Picture 5">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519531" y="224045"/>
          <a:ext cx="2224171" cy="55793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222738</xdr:colOff>
      <xdr:row>1</xdr:row>
      <xdr:rowOff>46892</xdr:rowOff>
    </xdr:from>
    <xdr:to>
      <xdr:col>2</xdr:col>
      <xdr:colOff>677730</xdr:colOff>
      <xdr:row>4</xdr:row>
      <xdr:rowOff>98180</xdr:rowOff>
    </xdr:to>
    <xdr:pic>
      <xdr:nvPicPr>
        <xdr:cNvPr id="4" name="Picture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stretch>
          <a:fillRect/>
        </a:stretch>
      </xdr:blipFill>
      <xdr:spPr>
        <a:xfrm>
          <a:off x="984738" y="237392"/>
          <a:ext cx="1188417" cy="622788"/>
        </a:xfrm>
        <a:prstGeom prst="rect">
          <a:avLst/>
        </a:prstGeom>
      </xdr:spPr>
    </xdr:pic>
    <xdr:clientData/>
  </xdr:twoCellAnchor>
  <xdr:twoCellAnchor editAs="oneCell">
    <xdr:from>
      <xdr:col>6</xdr:col>
      <xdr:colOff>219808</xdr:colOff>
      <xdr:row>1</xdr:row>
      <xdr:rowOff>14654</xdr:rowOff>
    </xdr:from>
    <xdr:to>
      <xdr:col>9</xdr:col>
      <xdr:colOff>261573</xdr:colOff>
      <xdr:row>4</xdr:row>
      <xdr:rowOff>1092</xdr:rowOff>
    </xdr:to>
    <xdr:pic>
      <xdr:nvPicPr>
        <xdr:cNvPr id="5" name="Picture 4">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25233" y="205154"/>
          <a:ext cx="2242040" cy="557938"/>
        </a:xfrm>
        <a:prstGeom prst="rect">
          <a:avLst/>
        </a:prstGeom>
      </xdr:spPr>
    </xdr:pic>
    <xdr:clientData/>
  </xdr:twoCellAnchor>
  <xdr:twoCellAnchor>
    <xdr:from>
      <xdr:col>9</xdr:col>
      <xdr:colOff>247650</xdr:colOff>
      <xdr:row>1</xdr:row>
      <xdr:rowOff>185737</xdr:rowOff>
    </xdr:from>
    <xdr:to>
      <xdr:col>14</xdr:col>
      <xdr:colOff>971550</xdr:colOff>
      <xdr:row>29</xdr:row>
      <xdr:rowOff>14287</xdr:rowOff>
    </xdr:to>
    <xdr:graphicFrame macro="">
      <xdr:nvGraphicFramePr>
        <xdr:cNvPr id="6" name="Chart 5">
          <a:extLst>
            <a:ext uri="{FF2B5EF4-FFF2-40B4-BE49-F238E27FC236}">
              <a16:creationId xmlns:a16="http://schemas.microsoft.com/office/drawing/2014/main" id="{00000000-0008-0000-0D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498230</xdr:colOff>
      <xdr:row>2</xdr:row>
      <xdr:rowOff>109903</xdr:rowOff>
    </xdr:from>
    <xdr:to>
      <xdr:col>13</xdr:col>
      <xdr:colOff>747345</xdr:colOff>
      <xdr:row>3</xdr:row>
      <xdr:rowOff>183172</xdr:rowOff>
    </xdr:to>
    <xdr:sp macro="" textlink="">
      <xdr:nvSpPr>
        <xdr:cNvPr id="3" name="3 CuadroTexto">
          <a:extLst>
            <a:ext uri="{FF2B5EF4-FFF2-40B4-BE49-F238E27FC236}">
              <a16:creationId xmlns:a16="http://schemas.microsoft.com/office/drawing/2014/main" id="{00000000-0008-0000-0E00-000003000000}"/>
            </a:ext>
          </a:extLst>
        </xdr:cNvPr>
        <xdr:cNvSpPr txBox="1"/>
      </xdr:nvSpPr>
      <xdr:spPr>
        <a:xfrm>
          <a:off x="10137530" y="490903"/>
          <a:ext cx="1792165" cy="2637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DO" sz="1100" b="1">
              <a:solidFill>
                <a:schemeClr val="tx2">
                  <a:lumMod val="60000"/>
                  <a:lumOff val="40000"/>
                </a:schemeClr>
              </a:solidFill>
            </a:rPr>
            <a:t>Créditos</a:t>
          </a:r>
          <a:r>
            <a:rPr lang="es-DO" sz="1100" b="1" baseline="0">
              <a:solidFill>
                <a:schemeClr val="tx2">
                  <a:lumMod val="60000"/>
                  <a:lumOff val="40000"/>
                </a:schemeClr>
              </a:solidFill>
            </a:rPr>
            <a:t> Rechazados</a:t>
          </a:r>
          <a:endParaRPr lang="es-DO" sz="1100" b="1">
            <a:solidFill>
              <a:schemeClr val="tx2">
                <a:lumMod val="60000"/>
                <a:lumOff val="40000"/>
              </a:schemeClr>
            </a:solidFill>
          </a:endParaRPr>
        </a:p>
      </xdr:txBody>
    </xdr:sp>
    <xdr:clientData/>
  </xdr:twoCellAnchor>
  <xdr:twoCellAnchor editAs="oneCell">
    <xdr:from>
      <xdr:col>1</xdr:col>
      <xdr:colOff>365613</xdr:colOff>
      <xdr:row>0</xdr:row>
      <xdr:rowOff>189767</xdr:rowOff>
    </xdr:from>
    <xdr:to>
      <xdr:col>2</xdr:col>
      <xdr:colOff>820605</xdr:colOff>
      <xdr:row>4</xdr:row>
      <xdr:rowOff>50555</xdr:rowOff>
    </xdr:to>
    <xdr:pic>
      <xdr:nvPicPr>
        <xdr:cNvPr id="4" name="Picture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stretch>
          <a:fillRect/>
        </a:stretch>
      </xdr:blipFill>
      <xdr:spPr>
        <a:xfrm>
          <a:off x="1127613" y="189767"/>
          <a:ext cx="1188417" cy="622788"/>
        </a:xfrm>
        <a:prstGeom prst="rect">
          <a:avLst/>
        </a:prstGeom>
      </xdr:spPr>
    </xdr:pic>
    <xdr:clientData/>
  </xdr:twoCellAnchor>
  <xdr:twoCellAnchor editAs="oneCell">
    <xdr:from>
      <xdr:col>6</xdr:col>
      <xdr:colOff>0</xdr:colOff>
      <xdr:row>1</xdr:row>
      <xdr:rowOff>43962</xdr:rowOff>
    </xdr:from>
    <xdr:to>
      <xdr:col>8</xdr:col>
      <xdr:colOff>908540</xdr:colOff>
      <xdr:row>4</xdr:row>
      <xdr:rowOff>30400</xdr:rowOff>
    </xdr:to>
    <xdr:pic>
      <xdr:nvPicPr>
        <xdr:cNvPr id="5" name="Picture 4">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05425" y="234462"/>
          <a:ext cx="2242040" cy="557938"/>
        </a:xfrm>
        <a:prstGeom prst="rect">
          <a:avLst/>
        </a:prstGeom>
      </xdr:spPr>
    </xdr:pic>
    <xdr:clientData/>
  </xdr:twoCellAnchor>
  <xdr:twoCellAnchor>
    <xdr:from>
      <xdr:col>9</xdr:col>
      <xdr:colOff>285750</xdr:colOff>
      <xdr:row>2</xdr:row>
      <xdr:rowOff>119062</xdr:rowOff>
    </xdr:from>
    <xdr:to>
      <xdr:col>14</xdr:col>
      <xdr:colOff>1009650</xdr:colOff>
      <xdr:row>28</xdr:row>
      <xdr:rowOff>138112</xdr:rowOff>
    </xdr:to>
    <xdr:graphicFrame macro="">
      <xdr:nvGraphicFramePr>
        <xdr:cNvPr id="6" name="Chart 5">
          <a:extLst>
            <a:ext uri="{FF2B5EF4-FFF2-40B4-BE49-F238E27FC236}">
              <a16:creationId xmlns:a16="http://schemas.microsoft.com/office/drawing/2014/main" id="{00000000-0008-0000-0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47625</xdr:colOff>
      <xdr:row>2</xdr:row>
      <xdr:rowOff>89547</xdr:rowOff>
    </xdr:from>
    <xdr:to>
      <xdr:col>3</xdr:col>
      <xdr:colOff>425971</xdr:colOff>
      <xdr:row>5</xdr:row>
      <xdr:rowOff>140835</xdr:rowOff>
    </xdr:to>
    <xdr:pic>
      <xdr:nvPicPr>
        <xdr:cNvPr id="2" name="Picture 1">
          <a:extLst>
            <a:ext uri="{FF2B5EF4-FFF2-40B4-BE49-F238E27FC236}">
              <a16:creationId xmlns:a16="http://schemas.microsoft.com/office/drawing/2014/main" id="{1FD885CE-A212-4769-998C-D1677A36476A}"/>
            </a:ext>
          </a:extLst>
        </xdr:cNvPr>
        <xdr:cNvPicPr>
          <a:picLocks noChangeAspect="1"/>
        </xdr:cNvPicPr>
      </xdr:nvPicPr>
      <xdr:blipFill>
        <a:blip xmlns:r="http://schemas.openxmlformats.org/officeDocument/2006/relationships" r:embed="rId1"/>
        <a:stretch>
          <a:fillRect/>
        </a:stretch>
      </xdr:blipFill>
      <xdr:spPr>
        <a:xfrm>
          <a:off x="1981200" y="280047"/>
          <a:ext cx="987946" cy="622788"/>
        </a:xfrm>
        <a:prstGeom prst="rect">
          <a:avLst/>
        </a:prstGeom>
      </xdr:spPr>
    </xdr:pic>
    <xdr:clientData/>
  </xdr:twoCellAnchor>
  <xdr:twoCellAnchor editAs="oneCell">
    <xdr:from>
      <xdr:col>5</xdr:col>
      <xdr:colOff>505718</xdr:colOff>
      <xdr:row>2</xdr:row>
      <xdr:rowOff>85725</xdr:rowOff>
    </xdr:from>
    <xdr:to>
      <xdr:col>8</xdr:col>
      <xdr:colOff>339114</xdr:colOff>
      <xdr:row>5</xdr:row>
      <xdr:rowOff>72163</xdr:rowOff>
    </xdr:to>
    <xdr:pic>
      <xdr:nvPicPr>
        <xdr:cNvPr id="3" name="Picture 2">
          <a:extLst>
            <a:ext uri="{FF2B5EF4-FFF2-40B4-BE49-F238E27FC236}">
              <a16:creationId xmlns:a16="http://schemas.microsoft.com/office/drawing/2014/main" id="{1A801DD6-C7F5-451B-A1B2-AAA2065284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496818" y="276225"/>
          <a:ext cx="2224171" cy="5579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88058</xdr:colOff>
      <xdr:row>29</xdr:row>
      <xdr:rowOff>36566</xdr:rowOff>
    </xdr:from>
    <xdr:to>
      <xdr:col>6</xdr:col>
      <xdr:colOff>175314</xdr:colOff>
      <xdr:row>40</xdr:row>
      <xdr:rowOff>170649</xdr:rowOff>
    </xdr:to>
    <xdr:graphicFrame macro="">
      <xdr:nvGraphicFramePr>
        <xdr:cNvPr id="2" name="10 Gráfico">
          <a:extLst>
            <a:ext uri="{FF2B5EF4-FFF2-40B4-BE49-F238E27FC236}">
              <a16:creationId xmlns:a16="http://schemas.microsoft.com/office/drawing/2014/main" id="{7412F171-EEEB-49E2-966D-2F1CACD4AD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588089</xdr:colOff>
      <xdr:row>66</xdr:row>
      <xdr:rowOff>44161</xdr:rowOff>
    </xdr:from>
    <xdr:to>
      <xdr:col>18</xdr:col>
      <xdr:colOff>702388</xdr:colOff>
      <xdr:row>67</xdr:row>
      <xdr:rowOff>120361</xdr:rowOff>
    </xdr:to>
    <xdr:sp macro="" textlink="">
      <xdr:nvSpPr>
        <xdr:cNvPr id="3" name="1 CuadroTexto">
          <a:extLst>
            <a:ext uri="{FF2B5EF4-FFF2-40B4-BE49-F238E27FC236}">
              <a16:creationId xmlns:a16="http://schemas.microsoft.com/office/drawing/2014/main" id="{7E3A95FC-AC94-4EE6-8655-9FEDB168D4F6}"/>
            </a:ext>
          </a:extLst>
        </xdr:cNvPr>
        <xdr:cNvSpPr txBox="1"/>
      </xdr:nvSpPr>
      <xdr:spPr>
        <a:xfrm>
          <a:off x="12018089" y="12426661"/>
          <a:ext cx="1638299" cy="266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accent1"/>
              </a:solidFill>
            </a:rPr>
            <a:t>Afiliados/Cotizantes</a:t>
          </a:r>
        </a:p>
      </xdr:txBody>
    </xdr:sp>
    <xdr:clientData/>
  </xdr:twoCellAnchor>
  <xdr:twoCellAnchor>
    <xdr:from>
      <xdr:col>8</xdr:col>
      <xdr:colOff>294817</xdr:colOff>
      <xdr:row>27</xdr:row>
      <xdr:rowOff>80787</xdr:rowOff>
    </xdr:from>
    <xdr:to>
      <xdr:col>10</xdr:col>
      <xdr:colOff>641381</xdr:colOff>
      <xdr:row>28</xdr:row>
      <xdr:rowOff>156987</xdr:rowOff>
    </xdr:to>
    <xdr:sp macro="" textlink="">
      <xdr:nvSpPr>
        <xdr:cNvPr id="4" name="2 CuadroTexto">
          <a:extLst>
            <a:ext uri="{FF2B5EF4-FFF2-40B4-BE49-F238E27FC236}">
              <a16:creationId xmlns:a16="http://schemas.microsoft.com/office/drawing/2014/main" id="{1641605F-E6E2-484F-A7BE-C823C39B7978}"/>
            </a:ext>
          </a:extLst>
        </xdr:cNvPr>
        <xdr:cNvSpPr txBox="1"/>
      </xdr:nvSpPr>
      <xdr:spPr>
        <a:xfrm>
          <a:off x="6266992" y="2757312"/>
          <a:ext cx="1870564" cy="266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accent1"/>
              </a:solidFill>
            </a:rPr>
            <a:t>Afiliados/No Cotizantes</a:t>
          </a:r>
        </a:p>
      </xdr:txBody>
    </xdr:sp>
    <xdr:clientData/>
  </xdr:twoCellAnchor>
  <xdr:oneCellAnchor>
    <xdr:from>
      <xdr:col>1</xdr:col>
      <xdr:colOff>346908</xdr:colOff>
      <xdr:row>1</xdr:row>
      <xdr:rowOff>113567</xdr:rowOff>
    </xdr:from>
    <xdr:ext cx="871814" cy="549520"/>
    <xdr:pic>
      <xdr:nvPicPr>
        <xdr:cNvPr id="5" name="Picture 8">
          <a:extLst>
            <a:ext uri="{FF2B5EF4-FFF2-40B4-BE49-F238E27FC236}">
              <a16:creationId xmlns:a16="http://schemas.microsoft.com/office/drawing/2014/main" id="{4DD5A5D0-8A9D-405C-BF51-D9919A6643E5}"/>
            </a:ext>
          </a:extLst>
        </xdr:cNvPr>
        <xdr:cNvPicPr>
          <a:picLocks noChangeAspect="1"/>
        </xdr:cNvPicPr>
      </xdr:nvPicPr>
      <xdr:blipFill>
        <a:blip xmlns:r="http://schemas.openxmlformats.org/officeDocument/2006/relationships" r:embed="rId2"/>
        <a:stretch>
          <a:fillRect/>
        </a:stretch>
      </xdr:blipFill>
      <xdr:spPr>
        <a:xfrm>
          <a:off x="346908" y="304067"/>
          <a:ext cx="871814" cy="549520"/>
        </a:xfrm>
        <a:prstGeom prst="rect">
          <a:avLst/>
        </a:prstGeom>
      </xdr:spPr>
    </xdr:pic>
    <xdr:clientData/>
  </xdr:oneCellAnchor>
  <xdr:twoCellAnchor>
    <xdr:from>
      <xdr:col>6</xdr:col>
      <xdr:colOff>414854</xdr:colOff>
      <xdr:row>29</xdr:row>
      <xdr:rowOff>100407</xdr:rowOff>
    </xdr:from>
    <xdr:to>
      <xdr:col>12</xdr:col>
      <xdr:colOff>217865</xdr:colOff>
      <xdr:row>41</xdr:row>
      <xdr:rowOff>38757</xdr:rowOff>
    </xdr:to>
    <xdr:graphicFrame macro="">
      <xdr:nvGraphicFramePr>
        <xdr:cNvPr id="6" name="10 Gráfico">
          <a:extLst>
            <a:ext uri="{FF2B5EF4-FFF2-40B4-BE49-F238E27FC236}">
              <a16:creationId xmlns:a16="http://schemas.microsoft.com/office/drawing/2014/main" id="{3C96AE7C-3C81-42F8-9061-2945E252F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542924</xdr:colOff>
      <xdr:row>44</xdr:row>
      <xdr:rowOff>162820</xdr:rowOff>
    </xdr:from>
    <xdr:to>
      <xdr:col>13</xdr:col>
      <xdr:colOff>361950</xdr:colOff>
      <xdr:row>56</xdr:row>
      <xdr:rowOff>38100</xdr:rowOff>
    </xdr:to>
    <xdr:graphicFrame macro="">
      <xdr:nvGraphicFramePr>
        <xdr:cNvPr id="7" name="Gráfico 6">
          <a:extLst>
            <a:ext uri="{FF2B5EF4-FFF2-40B4-BE49-F238E27FC236}">
              <a16:creationId xmlns:a16="http://schemas.microsoft.com/office/drawing/2014/main" id="{3918E741-4A5F-4509-AAD0-034771F7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5</xdr:col>
      <xdr:colOff>816953</xdr:colOff>
      <xdr:row>1</xdr:row>
      <xdr:rowOff>43229</xdr:rowOff>
    </xdr:from>
    <xdr:ext cx="2232100" cy="557938"/>
    <xdr:pic>
      <xdr:nvPicPr>
        <xdr:cNvPr id="8" name="Picture 9">
          <a:extLst>
            <a:ext uri="{FF2B5EF4-FFF2-40B4-BE49-F238E27FC236}">
              <a16:creationId xmlns:a16="http://schemas.microsoft.com/office/drawing/2014/main" id="{F8AF9267-88C4-44C4-A567-EB0184EBA86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074503" y="233729"/>
          <a:ext cx="2232100" cy="557938"/>
        </a:xfrm>
        <a:prstGeom prst="rect">
          <a:avLst/>
        </a:prstGeom>
      </xdr:spPr>
    </xdr:pic>
    <xdr:clientData/>
  </xdr:oneCellAnchor>
  <xdr:twoCellAnchor>
    <xdr:from>
      <xdr:col>2</xdr:col>
      <xdr:colOff>638175</xdr:colOff>
      <xdr:row>27</xdr:row>
      <xdr:rowOff>90587</xdr:rowOff>
    </xdr:from>
    <xdr:to>
      <xdr:col>4</xdr:col>
      <xdr:colOff>457200</xdr:colOff>
      <xdr:row>28</xdr:row>
      <xdr:rowOff>166787</xdr:rowOff>
    </xdr:to>
    <xdr:sp macro="" textlink="">
      <xdr:nvSpPr>
        <xdr:cNvPr id="9" name="1 CuadroTexto">
          <a:extLst>
            <a:ext uri="{FF2B5EF4-FFF2-40B4-BE49-F238E27FC236}">
              <a16:creationId xmlns:a16="http://schemas.microsoft.com/office/drawing/2014/main" id="{53C8BA23-7508-4CB1-81D8-368BB9F6EE14}"/>
            </a:ext>
          </a:extLst>
        </xdr:cNvPr>
        <xdr:cNvSpPr txBox="1"/>
      </xdr:nvSpPr>
      <xdr:spPr>
        <a:xfrm>
          <a:off x="1447800" y="3214787"/>
          <a:ext cx="1457325" cy="266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accent1"/>
              </a:solidFill>
            </a:rPr>
            <a:t>Afiliados/Cotizantes</a:t>
          </a:r>
        </a:p>
      </xdr:txBody>
    </xdr:sp>
    <xdr:clientData/>
  </xdr:twoCellAnchor>
  <xdr:twoCellAnchor>
    <xdr:from>
      <xdr:col>1</xdr:col>
      <xdr:colOff>424701</xdr:colOff>
      <xdr:row>43</xdr:row>
      <xdr:rowOff>69475</xdr:rowOff>
    </xdr:from>
    <xdr:to>
      <xdr:col>6</xdr:col>
      <xdr:colOff>850525</xdr:colOff>
      <xdr:row>57</xdr:row>
      <xdr:rowOff>146796</xdr:rowOff>
    </xdr:to>
    <xdr:graphicFrame macro="">
      <xdr:nvGraphicFramePr>
        <xdr:cNvPr id="13" name="Gráfico 12">
          <a:extLst>
            <a:ext uri="{FF2B5EF4-FFF2-40B4-BE49-F238E27FC236}">
              <a16:creationId xmlns:a16="http://schemas.microsoft.com/office/drawing/2014/main" id="{FB5FE624-4100-C68A-BE51-0D04822C9B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2</xdr:col>
      <xdr:colOff>24668</xdr:colOff>
      <xdr:row>37</xdr:row>
      <xdr:rowOff>98668</xdr:rowOff>
    </xdr:from>
    <xdr:to>
      <xdr:col>6</xdr:col>
      <xdr:colOff>503603</xdr:colOff>
      <xdr:row>55</xdr:row>
      <xdr:rowOff>51288</xdr:rowOff>
    </xdr:to>
    <xdr:graphicFrame macro="">
      <xdr:nvGraphicFramePr>
        <xdr:cNvPr id="2" name="7 Gráfico">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373674</xdr:colOff>
      <xdr:row>2</xdr:row>
      <xdr:rowOff>87923</xdr:rowOff>
    </xdr:from>
    <xdr:ext cx="989857" cy="622788"/>
    <xdr:pic>
      <xdr:nvPicPr>
        <xdr:cNvPr id="4" name="Picture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2"/>
        <a:stretch>
          <a:fillRect/>
        </a:stretch>
      </xdr:blipFill>
      <xdr:spPr>
        <a:xfrm>
          <a:off x="373674" y="7193573"/>
          <a:ext cx="989857" cy="622788"/>
        </a:xfrm>
        <a:prstGeom prst="rect">
          <a:avLst/>
        </a:prstGeom>
      </xdr:spPr>
    </xdr:pic>
    <xdr:clientData/>
  </xdr:oneCellAnchor>
  <xdr:twoCellAnchor editAs="oneCell">
    <xdr:from>
      <xdr:col>5</xdr:col>
      <xdr:colOff>571501</xdr:colOff>
      <xdr:row>1</xdr:row>
      <xdr:rowOff>153865</xdr:rowOff>
    </xdr:from>
    <xdr:to>
      <xdr:col>8</xdr:col>
      <xdr:colOff>122267</xdr:colOff>
      <xdr:row>4</xdr:row>
      <xdr:rowOff>140302</xdr:rowOff>
    </xdr:to>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088424" y="153865"/>
          <a:ext cx="2246436" cy="557938"/>
        </a:xfrm>
        <a:prstGeom prst="rect">
          <a:avLst/>
        </a:prstGeom>
      </xdr:spPr>
    </xdr:pic>
    <xdr:clientData/>
  </xdr:twoCellAnchor>
  <xdr:twoCellAnchor>
    <xdr:from>
      <xdr:col>2</xdr:col>
      <xdr:colOff>836544</xdr:colOff>
      <xdr:row>35</xdr:row>
      <xdr:rowOff>107675</xdr:rowOff>
    </xdr:from>
    <xdr:to>
      <xdr:col>6</xdr:col>
      <xdr:colOff>91109</xdr:colOff>
      <xdr:row>37</xdr:row>
      <xdr:rowOff>182218</xdr:rowOff>
    </xdr:to>
    <xdr:sp macro="" textlink="">
      <xdr:nvSpPr>
        <xdr:cNvPr id="3" name="CuadroTexto 2">
          <a:extLst>
            <a:ext uri="{FF2B5EF4-FFF2-40B4-BE49-F238E27FC236}">
              <a16:creationId xmlns:a16="http://schemas.microsoft.com/office/drawing/2014/main" id="{53CF2A34-922B-238A-7CE5-F0C850928E51}"/>
            </a:ext>
          </a:extLst>
        </xdr:cNvPr>
        <xdr:cNvSpPr txBox="1"/>
      </xdr:nvSpPr>
      <xdr:spPr>
        <a:xfrm>
          <a:off x="1714501" y="2658718"/>
          <a:ext cx="2766391" cy="455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a:r>
            <a:rPr lang="es-ES" sz="1100" b="1" i="0" baseline="0">
              <a:solidFill>
                <a:schemeClr val="accent1"/>
              </a:solidFill>
              <a:effectLst/>
              <a:latin typeface="+mn-lt"/>
              <a:ea typeface="+mn-ea"/>
              <a:cs typeface="+mn-cs"/>
            </a:rPr>
            <a:t>Recuperación de Fondos</a:t>
          </a:r>
          <a:endParaRPr lang="es-DO">
            <a:solidFill>
              <a:schemeClr val="accent1"/>
            </a:solidFill>
            <a:effectLst/>
          </a:endParaRPr>
        </a:p>
        <a:p>
          <a:pPr algn="ctr" rtl="0"/>
          <a:r>
            <a:rPr lang="es-ES" sz="1100" b="1" i="0" baseline="0">
              <a:solidFill>
                <a:schemeClr val="accent1"/>
              </a:solidFill>
              <a:effectLst/>
              <a:latin typeface="+mn-lt"/>
              <a:ea typeface="+mn-ea"/>
              <a:cs typeface="+mn-cs"/>
            </a:rPr>
            <a:t>Monto solicitado / Total Recuperado</a:t>
          </a:r>
          <a:endParaRPr lang="es-DO">
            <a:solidFill>
              <a:schemeClr val="accent1"/>
            </a:solidFill>
            <a:effectLst/>
          </a:endParaRPr>
        </a:p>
        <a:p>
          <a:pPr algn="ctr"/>
          <a:endParaRPr lang="es-DO" sz="1100">
            <a:solidFill>
              <a:schemeClr val="accent1"/>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14</xdr:col>
      <xdr:colOff>749120</xdr:colOff>
      <xdr:row>8</xdr:row>
      <xdr:rowOff>117855</xdr:rowOff>
    </xdr:from>
    <xdr:to>
      <xdr:col>22</xdr:col>
      <xdr:colOff>266701</xdr:colOff>
      <xdr:row>31</xdr:row>
      <xdr:rowOff>152400</xdr:rowOff>
    </xdr:to>
    <xdr:graphicFrame macro="">
      <xdr:nvGraphicFramePr>
        <xdr:cNvPr id="5" name="4 Gráfico">
          <a:extLst>
            <a:ext uri="{FF2B5EF4-FFF2-40B4-BE49-F238E27FC236}">
              <a16:creationId xmlns:a16="http://schemas.microsoft.com/office/drawing/2014/main" id="{00000000-0008-0000-1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371475</xdr:colOff>
      <xdr:row>35</xdr:row>
      <xdr:rowOff>101600</xdr:rowOff>
    </xdr:from>
    <xdr:to>
      <xdr:col>24</xdr:col>
      <xdr:colOff>695325</xdr:colOff>
      <xdr:row>59</xdr:row>
      <xdr:rowOff>133350</xdr:rowOff>
    </xdr:to>
    <xdr:graphicFrame macro="">
      <xdr:nvGraphicFramePr>
        <xdr:cNvPr id="6" name="5 Gráfico">
          <a:extLst>
            <a:ext uri="{FF2B5EF4-FFF2-40B4-BE49-F238E27FC236}">
              <a16:creationId xmlns:a16="http://schemas.microsoft.com/office/drawing/2014/main" id="{00000000-0008-0000-1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123825</xdr:colOff>
      <xdr:row>4</xdr:row>
      <xdr:rowOff>0</xdr:rowOff>
    </xdr:from>
    <xdr:to>
      <xdr:col>1</xdr:col>
      <xdr:colOff>1113682</xdr:colOff>
      <xdr:row>7</xdr:row>
      <xdr:rowOff>51288</xdr:rowOff>
    </xdr:to>
    <xdr:pic>
      <xdr:nvPicPr>
        <xdr:cNvPr id="7" name="Picture 6">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3"/>
        <a:stretch>
          <a:fillRect/>
        </a:stretch>
      </xdr:blipFill>
      <xdr:spPr>
        <a:xfrm>
          <a:off x="885825" y="571500"/>
          <a:ext cx="989857" cy="622788"/>
        </a:xfrm>
        <a:prstGeom prst="rect">
          <a:avLst/>
        </a:prstGeom>
      </xdr:spPr>
    </xdr:pic>
    <xdr:clientData/>
  </xdr:twoCellAnchor>
  <xdr:twoCellAnchor editAs="oneCell">
    <xdr:from>
      <xdr:col>11</xdr:col>
      <xdr:colOff>485775</xdr:colOff>
      <xdr:row>2</xdr:row>
      <xdr:rowOff>19050</xdr:rowOff>
    </xdr:from>
    <xdr:to>
      <xdr:col>16</xdr:col>
      <xdr:colOff>401388</xdr:colOff>
      <xdr:row>5</xdr:row>
      <xdr:rowOff>5488</xdr:rowOff>
    </xdr:to>
    <xdr:pic>
      <xdr:nvPicPr>
        <xdr:cNvPr id="8" name="Picture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295775" y="400050"/>
          <a:ext cx="2249238" cy="557938"/>
        </a:xfrm>
        <a:prstGeom prst="rect">
          <a:avLst/>
        </a:prstGeom>
      </xdr:spPr>
    </xdr:pic>
    <xdr:clientData/>
  </xdr:twoCellAnchor>
  <xdr:twoCellAnchor>
    <xdr:from>
      <xdr:col>16</xdr:col>
      <xdr:colOff>459441</xdr:colOff>
      <xdr:row>62</xdr:row>
      <xdr:rowOff>156883</xdr:rowOff>
    </xdr:from>
    <xdr:to>
      <xdr:col>22</xdr:col>
      <xdr:colOff>110072</xdr:colOff>
      <xdr:row>80</xdr:row>
      <xdr:rowOff>128882</xdr:rowOff>
    </xdr:to>
    <xdr:graphicFrame macro="">
      <xdr:nvGraphicFramePr>
        <xdr:cNvPr id="2" name="4 Gráfico">
          <a:extLst>
            <a:ext uri="{FF2B5EF4-FFF2-40B4-BE49-F238E27FC236}">
              <a16:creationId xmlns:a16="http://schemas.microsoft.com/office/drawing/2014/main" id="{601405CA-A455-4EE1-81E2-87C3B89AB2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0.37758</cdr:x>
      <cdr:y>0.0195</cdr:y>
    </cdr:from>
    <cdr:to>
      <cdr:x>0.65124</cdr:x>
      <cdr:y>0.08894</cdr:y>
    </cdr:to>
    <cdr:sp macro="" textlink="">
      <cdr:nvSpPr>
        <cdr:cNvPr id="2" name="1 CuadroTexto"/>
        <cdr:cNvSpPr txBox="1"/>
      </cdr:nvSpPr>
      <cdr:spPr>
        <a:xfrm xmlns:a="http://schemas.openxmlformats.org/drawingml/2006/main">
          <a:off x="1900604" y="53486"/>
          <a:ext cx="1377461"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DO" sz="1100"/>
        </a:p>
      </cdr:txBody>
    </cdr:sp>
  </cdr:relSizeAnchor>
</c:userShapes>
</file>

<file path=xl/drawings/drawing4.xml><?xml version="1.0" encoding="utf-8"?>
<c:userShapes xmlns:c="http://schemas.openxmlformats.org/drawingml/2006/chart">
  <cdr:relSizeAnchor xmlns:cdr="http://schemas.openxmlformats.org/drawingml/2006/chartDrawing">
    <cdr:from>
      <cdr:x>0.37758</cdr:x>
      <cdr:y>0.0195</cdr:y>
    </cdr:from>
    <cdr:to>
      <cdr:x>0.65124</cdr:x>
      <cdr:y>0.08894</cdr:y>
    </cdr:to>
    <cdr:sp macro="" textlink="">
      <cdr:nvSpPr>
        <cdr:cNvPr id="2" name="1 CuadroTexto"/>
        <cdr:cNvSpPr txBox="1"/>
      </cdr:nvSpPr>
      <cdr:spPr>
        <a:xfrm xmlns:a="http://schemas.openxmlformats.org/drawingml/2006/main">
          <a:off x="1900604" y="53486"/>
          <a:ext cx="1377461"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DO" sz="1100"/>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24848</xdr:colOff>
      <xdr:row>29</xdr:row>
      <xdr:rowOff>64160</xdr:rowOff>
    </xdr:from>
    <xdr:to>
      <xdr:col>5</xdr:col>
      <xdr:colOff>516973</xdr:colOff>
      <xdr:row>41</xdr:row>
      <xdr:rowOff>120575</xdr:rowOff>
    </xdr:to>
    <xdr:graphicFrame macro="">
      <xdr:nvGraphicFramePr>
        <xdr:cNvPr id="4" name="3 Gráfico">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141832</xdr:colOff>
      <xdr:row>1</xdr:row>
      <xdr:rowOff>87924</xdr:rowOff>
    </xdr:from>
    <xdr:to>
      <xdr:col>1</xdr:col>
      <xdr:colOff>206650</xdr:colOff>
      <xdr:row>4</xdr:row>
      <xdr:rowOff>80596</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141832" y="278424"/>
          <a:ext cx="896694" cy="564172"/>
        </a:xfrm>
        <a:prstGeom prst="rect">
          <a:avLst/>
        </a:prstGeom>
      </xdr:spPr>
    </xdr:pic>
    <xdr:clientData/>
  </xdr:twoCellAnchor>
  <xdr:twoCellAnchor>
    <xdr:from>
      <xdr:col>5</xdr:col>
      <xdr:colOff>377336</xdr:colOff>
      <xdr:row>28</xdr:row>
      <xdr:rowOff>12212</xdr:rowOff>
    </xdr:from>
    <xdr:to>
      <xdr:col>10</xdr:col>
      <xdr:colOff>388327</xdr:colOff>
      <xdr:row>39</xdr:row>
      <xdr:rowOff>151424</xdr:rowOff>
    </xdr:to>
    <xdr:graphicFrame macro="">
      <xdr:nvGraphicFramePr>
        <xdr:cNvPr id="3" name="Gráfico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3</xdr:col>
      <xdr:colOff>534866</xdr:colOff>
      <xdr:row>1</xdr:row>
      <xdr:rowOff>58616</xdr:rowOff>
    </xdr:from>
    <xdr:to>
      <xdr:col>6</xdr:col>
      <xdr:colOff>495302</xdr:colOff>
      <xdr:row>4</xdr:row>
      <xdr:rowOff>45054</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091962" y="249116"/>
          <a:ext cx="2246436" cy="557938"/>
        </a:xfrm>
        <a:prstGeom prst="rect">
          <a:avLst/>
        </a:prstGeom>
      </xdr:spPr>
    </xdr:pic>
    <xdr:clientData/>
  </xdr:twoCellAnchor>
  <xdr:oneCellAnchor>
    <xdr:from>
      <xdr:col>0</xdr:col>
      <xdr:colOff>720587</xdr:colOff>
      <xdr:row>27</xdr:row>
      <xdr:rowOff>107674</xdr:rowOff>
    </xdr:from>
    <xdr:ext cx="2898914" cy="298174"/>
    <xdr:sp macro="" textlink="">
      <xdr:nvSpPr>
        <xdr:cNvPr id="2" name="CuadroTexto 1">
          <a:extLst>
            <a:ext uri="{FF2B5EF4-FFF2-40B4-BE49-F238E27FC236}">
              <a16:creationId xmlns:a16="http://schemas.microsoft.com/office/drawing/2014/main" id="{708D513B-E3E0-7594-8479-50134A15EED6}"/>
            </a:ext>
          </a:extLst>
        </xdr:cNvPr>
        <xdr:cNvSpPr txBox="1"/>
      </xdr:nvSpPr>
      <xdr:spPr>
        <a:xfrm>
          <a:off x="720587" y="2915478"/>
          <a:ext cx="2898914" cy="29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rtl="0"/>
          <a:r>
            <a:rPr lang="es-ES" sz="1100" b="1" i="0" baseline="0">
              <a:solidFill>
                <a:srgbClr val="0070C0"/>
              </a:solidFill>
              <a:effectLst/>
              <a:latin typeface="+mn-lt"/>
              <a:ea typeface="+mn-ea"/>
              <a:cs typeface="+mn-cs"/>
            </a:rPr>
            <a:t>Cantidad de cotizantes por tipo de empleador</a:t>
          </a:r>
          <a:endParaRPr lang="es-DO">
            <a:solidFill>
              <a:srgbClr val="0070C0"/>
            </a:solidFill>
            <a:effectLst/>
          </a:endParaRPr>
        </a:p>
        <a:p>
          <a:endParaRPr lang="es-DO"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100558</xdr:colOff>
      <xdr:row>29</xdr:row>
      <xdr:rowOff>90013</xdr:rowOff>
    </xdr:from>
    <xdr:to>
      <xdr:col>4</xdr:col>
      <xdr:colOff>476674</xdr:colOff>
      <xdr:row>39</xdr:row>
      <xdr:rowOff>84153</xdr:rowOff>
    </xdr:to>
    <xdr:graphicFrame macro="">
      <xdr:nvGraphicFramePr>
        <xdr:cNvPr id="5" name="4 Gráfico">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80597</xdr:colOff>
      <xdr:row>2</xdr:row>
      <xdr:rowOff>36634</xdr:rowOff>
    </xdr:from>
    <xdr:to>
      <xdr:col>0</xdr:col>
      <xdr:colOff>639575</xdr:colOff>
      <xdr:row>4</xdr:row>
      <xdr:rowOff>7326</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a:stretch>
          <a:fillRect/>
        </a:stretch>
      </xdr:blipFill>
      <xdr:spPr>
        <a:xfrm>
          <a:off x="80597" y="608134"/>
          <a:ext cx="558978" cy="351692"/>
        </a:xfrm>
        <a:prstGeom prst="rect">
          <a:avLst/>
        </a:prstGeom>
      </xdr:spPr>
    </xdr:pic>
    <xdr:clientData/>
  </xdr:twoCellAnchor>
  <xdr:twoCellAnchor>
    <xdr:from>
      <xdr:col>4</xdr:col>
      <xdr:colOff>271159</xdr:colOff>
      <xdr:row>27</xdr:row>
      <xdr:rowOff>153324</xdr:rowOff>
    </xdr:from>
    <xdr:to>
      <xdr:col>9</xdr:col>
      <xdr:colOff>447006</xdr:colOff>
      <xdr:row>39</xdr:row>
      <xdr:rowOff>30231</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xdr:col>
      <xdr:colOff>1273014</xdr:colOff>
      <xdr:row>1</xdr:row>
      <xdr:rowOff>163271</xdr:rowOff>
    </xdr:from>
    <xdr:to>
      <xdr:col>4</xdr:col>
      <xdr:colOff>275020</xdr:colOff>
      <xdr:row>4</xdr:row>
      <xdr:rowOff>1943</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153166" y="353771"/>
          <a:ext cx="1652441" cy="410172"/>
        </a:xfrm>
        <a:prstGeom prst="rect">
          <a:avLst/>
        </a:prstGeom>
      </xdr:spPr>
    </xdr:pic>
    <xdr:clientData/>
  </xdr:twoCellAnchor>
  <xdr:twoCellAnchor>
    <xdr:from>
      <xdr:col>1</xdr:col>
      <xdr:colOff>679174</xdr:colOff>
      <xdr:row>27</xdr:row>
      <xdr:rowOff>149087</xdr:rowOff>
    </xdr:from>
    <xdr:to>
      <xdr:col>3</xdr:col>
      <xdr:colOff>969065</xdr:colOff>
      <xdr:row>29</xdr:row>
      <xdr:rowOff>8282</xdr:rowOff>
    </xdr:to>
    <xdr:sp macro="" textlink="">
      <xdr:nvSpPr>
        <xdr:cNvPr id="2" name="TextBox 1">
          <a:extLst>
            <a:ext uri="{FF2B5EF4-FFF2-40B4-BE49-F238E27FC236}">
              <a16:creationId xmlns:a16="http://schemas.microsoft.com/office/drawing/2014/main" id="{1FAB721E-8696-1E7D-CC68-9C6E3EC787D8}"/>
            </a:ext>
          </a:extLst>
        </xdr:cNvPr>
        <xdr:cNvSpPr txBox="1"/>
      </xdr:nvSpPr>
      <xdr:spPr>
        <a:xfrm>
          <a:off x="1457739" y="2816087"/>
          <a:ext cx="2708413" cy="240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solidFill>
                <a:schemeClr val="accent1"/>
              </a:solidFill>
            </a:rPr>
            <a:t>Montos mensuales por sector empleador</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28</xdr:row>
      <xdr:rowOff>189851</xdr:rowOff>
    </xdr:from>
    <xdr:to>
      <xdr:col>2</xdr:col>
      <xdr:colOff>1006896</xdr:colOff>
      <xdr:row>41</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161190</xdr:colOff>
      <xdr:row>1</xdr:row>
      <xdr:rowOff>124557</xdr:rowOff>
    </xdr:from>
    <xdr:to>
      <xdr:col>0</xdr:col>
      <xdr:colOff>1046239</xdr:colOff>
      <xdr:row>4</xdr:row>
      <xdr:rowOff>109903</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161190" y="315057"/>
          <a:ext cx="885049" cy="556846"/>
        </a:xfrm>
        <a:prstGeom prst="rect">
          <a:avLst/>
        </a:prstGeom>
      </xdr:spPr>
    </xdr:pic>
    <xdr:clientData/>
  </xdr:twoCellAnchor>
  <xdr:twoCellAnchor editAs="oneCell">
    <xdr:from>
      <xdr:col>2</xdr:col>
      <xdr:colOff>718043</xdr:colOff>
      <xdr:row>1</xdr:row>
      <xdr:rowOff>109904</xdr:rowOff>
    </xdr:from>
    <xdr:to>
      <xdr:col>4</xdr:col>
      <xdr:colOff>444018</xdr:colOff>
      <xdr:row>4</xdr:row>
      <xdr:rowOff>96342</xdr:rowOff>
    </xdr:to>
    <xdr:pic>
      <xdr:nvPicPr>
        <xdr:cNvPr id="7" name="Picture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194543" y="300404"/>
          <a:ext cx="2246437" cy="55793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171450</xdr:colOff>
      <xdr:row>28</xdr:row>
      <xdr:rowOff>7083</xdr:rowOff>
    </xdr:from>
    <xdr:to>
      <xdr:col>2</xdr:col>
      <xdr:colOff>1044575</xdr:colOff>
      <xdr:row>41</xdr:row>
      <xdr:rowOff>58615</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389843</xdr:colOff>
      <xdr:row>2</xdr:row>
      <xdr:rowOff>23496</xdr:rowOff>
    </xdr:from>
    <xdr:to>
      <xdr:col>0</xdr:col>
      <xdr:colOff>968670</xdr:colOff>
      <xdr:row>4</xdr:row>
      <xdr:rowOff>6676</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a:stretch>
          <a:fillRect/>
        </a:stretch>
      </xdr:blipFill>
      <xdr:spPr>
        <a:xfrm>
          <a:off x="389843" y="404496"/>
          <a:ext cx="578827" cy="364180"/>
        </a:xfrm>
        <a:prstGeom prst="rect">
          <a:avLst/>
        </a:prstGeom>
      </xdr:spPr>
    </xdr:pic>
    <xdr:clientData/>
  </xdr:twoCellAnchor>
  <xdr:twoCellAnchor editAs="oneCell">
    <xdr:from>
      <xdr:col>2</xdr:col>
      <xdr:colOff>1137948</xdr:colOff>
      <xdr:row>1</xdr:row>
      <xdr:rowOff>141991</xdr:rowOff>
    </xdr:from>
    <xdr:to>
      <xdr:col>4</xdr:col>
      <xdr:colOff>59524</xdr:colOff>
      <xdr:row>3</xdr:row>
      <xdr:rowOff>171163</xdr:rowOff>
    </xdr:to>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601310" y="332491"/>
          <a:ext cx="1641127" cy="410172"/>
        </a:xfrm>
        <a:prstGeom prst="rect">
          <a:avLst/>
        </a:prstGeom>
      </xdr:spPr>
    </xdr:pic>
    <xdr:clientData/>
  </xdr:twoCellAnchor>
  <xdr:twoCellAnchor>
    <xdr:from>
      <xdr:col>3</xdr:col>
      <xdr:colOff>600075</xdr:colOff>
      <xdr:row>28</xdr:row>
      <xdr:rowOff>71437</xdr:rowOff>
    </xdr:from>
    <xdr:to>
      <xdr:col>9</xdr:col>
      <xdr:colOff>57150</xdr:colOff>
      <xdr:row>41</xdr:row>
      <xdr:rowOff>133350</xdr:rowOff>
    </xdr:to>
    <xdr:graphicFrame macro="">
      <xdr:nvGraphicFramePr>
        <xdr:cNvPr id="4" name="Gráfico 3">
          <a:extLst>
            <a:ext uri="{FF2B5EF4-FFF2-40B4-BE49-F238E27FC236}">
              <a16:creationId xmlns:a16="http://schemas.microsoft.com/office/drawing/2014/main" id="{77BBF88E-78EE-4615-A07B-EE21FD6649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163767</xdr:colOff>
      <xdr:row>35</xdr:row>
      <xdr:rowOff>177678</xdr:rowOff>
    </xdr:from>
    <xdr:to>
      <xdr:col>6</xdr:col>
      <xdr:colOff>707619</xdr:colOff>
      <xdr:row>55</xdr:row>
      <xdr:rowOff>80432</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301325</xdr:colOff>
      <xdr:row>1</xdr:row>
      <xdr:rowOff>109903</xdr:rowOff>
    </xdr:from>
    <xdr:to>
      <xdr:col>1</xdr:col>
      <xdr:colOff>329514</xdr:colOff>
      <xdr:row>4</xdr:row>
      <xdr:rowOff>58615</xdr:rowOff>
    </xdr:to>
    <xdr:pic>
      <xdr:nvPicPr>
        <xdr:cNvPr id="6" name="Picture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2"/>
        <a:stretch>
          <a:fillRect/>
        </a:stretch>
      </xdr:blipFill>
      <xdr:spPr>
        <a:xfrm>
          <a:off x="301325" y="300403"/>
          <a:ext cx="826824" cy="520212"/>
        </a:xfrm>
        <a:prstGeom prst="rect">
          <a:avLst/>
        </a:prstGeom>
      </xdr:spPr>
    </xdr:pic>
    <xdr:clientData/>
  </xdr:twoCellAnchor>
  <xdr:twoCellAnchor editAs="oneCell">
    <xdr:from>
      <xdr:col>5</xdr:col>
      <xdr:colOff>696058</xdr:colOff>
      <xdr:row>1</xdr:row>
      <xdr:rowOff>7326</xdr:rowOff>
    </xdr:from>
    <xdr:to>
      <xdr:col>8</xdr:col>
      <xdr:colOff>128818</xdr:colOff>
      <xdr:row>3</xdr:row>
      <xdr:rowOff>184264</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722077" y="197826"/>
          <a:ext cx="2246436" cy="557938"/>
        </a:xfrm>
        <a:prstGeom prst="rect">
          <a:avLst/>
        </a:prstGeom>
      </xdr:spPr>
    </xdr:pic>
    <xdr:clientData/>
  </xdr:twoCellAnchor>
  <xdr:twoCellAnchor>
    <xdr:from>
      <xdr:col>2</xdr:col>
      <xdr:colOff>751418</xdr:colOff>
      <xdr:row>33</xdr:row>
      <xdr:rowOff>105833</xdr:rowOff>
    </xdr:from>
    <xdr:to>
      <xdr:col>4</xdr:col>
      <xdr:colOff>518584</xdr:colOff>
      <xdr:row>34</xdr:row>
      <xdr:rowOff>137582</xdr:rowOff>
    </xdr:to>
    <xdr:sp macro="" textlink="">
      <xdr:nvSpPr>
        <xdr:cNvPr id="3" name="CuadroTexto 2">
          <a:extLst>
            <a:ext uri="{FF2B5EF4-FFF2-40B4-BE49-F238E27FC236}">
              <a16:creationId xmlns:a16="http://schemas.microsoft.com/office/drawing/2014/main" id="{56DFC084-82C1-FD55-AFDF-8B4E1841BABD}"/>
            </a:ext>
          </a:extLst>
        </xdr:cNvPr>
        <xdr:cNvSpPr txBox="1"/>
      </xdr:nvSpPr>
      <xdr:spPr>
        <a:xfrm>
          <a:off x="2762251" y="3302000"/>
          <a:ext cx="2180166" cy="222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200" b="1">
              <a:solidFill>
                <a:schemeClr val="accent1"/>
              </a:solidFill>
            </a:rPr>
            <a:t>Total Programado </a:t>
          </a:r>
          <a:r>
            <a:rPr lang="es-DO" sz="1200" b="1" baseline="0">
              <a:solidFill>
                <a:schemeClr val="accent1"/>
              </a:solidFill>
            </a:rPr>
            <a:t>vs Ejecutado</a:t>
          </a:r>
          <a:endParaRPr lang="es-DO" sz="1200" b="1">
            <a:solidFill>
              <a:schemeClr val="accent1"/>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H50"/>
  <sheetViews>
    <sheetView showGridLines="0" zoomScale="160" zoomScaleNormal="160" workbookViewId="0">
      <selection activeCell="B31" sqref="B31"/>
    </sheetView>
  </sheetViews>
  <sheetFormatPr baseColWidth="10" defaultColWidth="11.42578125" defaultRowHeight="15" x14ac:dyDescent="0.25"/>
  <cols>
    <col min="1" max="1" width="11.7109375" style="1" customWidth="1"/>
    <col min="2" max="2" width="15.42578125" style="1" customWidth="1"/>
    <col min="3" max="3" width="14" style="1" bestFit="1" customWidth="1"/>
    <col min="4" max="4" width="11.42578125" style="1" bestFit="1" customWidth="1"/>
    <col min="5" max="5" width="14.28515625" style="1" customWidth="1"/>
    <col min="6" max="6" width="11.42578125" style="1" bestFit="1" customWidth="1"/>
    <col min="7" max="16384" width="11.42578125" style="1"/>
  </cols>
  <sheetData>
    <row r="1" spans="1:8" x14ac:dyDescent="0.25">
      <c r="A1" s="332" t="s">
        <v>0</v>
      </c>
      <c r="B1" s="332"/>
      <c r="C1" s="332"/>
      <c r="D1" s="332"/>
      <c r="E1" s="332"/>
      <c r="F1" s="332"/>
    </row>
    <row r="2" spans="1:8" x14ac:dyDescent="0.25">
      <c r="A2" s="332" t="s">
        <v>1</v>
      </c>
      <c r="B2" s="332"/>
      <c r="C2" s="332"/>
      <c r="D2" s="332"/>
      <c r="E2" s="332"/>
      <c r="F2" s="332"/>
    </row>
    <row r="3" spans="1:8" x14ac:dyDescent="0.25">
      <c r="A3" s="332" t="s">
        <v>2</v>
      </c>
      <c r="B3" s="332"/>
      <c r="C3" s="332"/>
      <c r="D3" s="332"/>
      <c r="E3" s="332"/>
      <c r="F3" s="332"/>
    </row>
    <row r="4" spans="1:8" x14ac:dyDescent="0.25">
      <c r="A4" s="332" t="s">
        <v>240</v>
      </c>
      <c r="B4" s="332"/>
      <c r="C4" s="332"/>
      <c r="D4" s="332"/>
      <c r="E4" s="332"/>
      <c r="F4" s="332"/>
    </row>
    <row r="5" spans="1:8" x14ac:dyDescent="0.25">
      <c r="A5" s="332" t="s">
        <v>262</v>
      </c>
      <c r="B5" s="332"/>
      <c r="C5" s="332"/>
      <c r="D5" s="332"/>
      <c r="E5" s="332"/>
      <c r="F5" s="332"/>
    </row>
    <row r="6" spans="1:8" x14ac:dyDescent="0.25">
      <c r="A6" s="333" t="s">
        <v>3</v>
      </c>
      <c r="B6" s="333" t="s">
        <v>4</v>
      </c>
      <c r="C6" s="333" t="s">
        <v>5</v>
      </c>
      <c r="D6" s="333"/>
      <c r="E6" s="333" t="s">
        <v>6</v>
      </c>
      <c r="F6" s="333"/>
    </row>
    <row r="7" spans="1:8" ht="11.25" customHeight="1" x14ac:dyDescent="0.25">
      <c r="A7" s="333"/>
      <c r="B7" s="333"/>
      <c r="C7" s="333"/>
      <c r="D7" s="333"/>
      <c r="E7" s="333"/>
      <c r="F7" s="333"/>
    </row>
    <row r="8" spans="1:8" ht="13.5" customHeight="1" x14ac:dyDescent="0.25">
      <c r="A8" s="117"/>
      <c r="B8" s="118" t="s">
        <v>7</v>
      </c>
      <c r="C8" s="118" t="s">
        <v>8</v>
      </c>
      <c r="D8" s="118" t="s">
        <v>9</v>
      </c>
      <c r="E8" s="118" t="s">
        <v>8</v>
      </c>
      <c r="F8" s="118" t="s">
        <v>9</v>
      </c>
      <c r="G8"/>
      <c r="H8"/>
    </row>
    <row r="9" spans="1:8" hidden="1" x14ac:dyDescent="0.25">
      <c r="A9" s="171" t="s">
        <v>10</v>
      </c>
      <c r="B9" s="255"/>
      <c r="C9" s="255"/>
      <c r="D9" s="221" t="e">
        <f>C9/B9</f>
        <v>#DIV/0!</v>
      </c>
      <c r="E9" s="261">
        <f>B9-C9</f>
        <v>0</v>
      </c>
      <c r="F9" s="210" t="e">
        <f>E9/B9</f>
        <v>#DIV/0!</v>
      </c>
      <c r="G9"/>
      <c r="H9"/>
    </row>
    <row r="10" spans="1:8" x14ac:dyDescent="0.25">
      <c r="A10" s="70" t="s">
        <v>243</v>
      </c>
      <c r="B10" s="256">
        <v>39527668.380000003</v>
      </c>
      <c r="C10" s="281">
        <v>43834130.880000003</v>
      </c>
      <c r="D10" s="257">
        <f>+C10/B10</f>
        <v>1.1089480527563564</v>
      </c>
      <c r="E10" s="262">
        <f>+B10-C10</f>
        <v>-4306462.5</v>
      </c>
      <c r="F10" s="264">
        <f>(E10/B10)</f>
        <v>-0.10894805275635637</v>
      </c>
      <c r="G10"/>
      <c r="H10"/>
    </row>
    <row r="11" spans="1:8" x14ac:dyDescent="0.25">
      <c r="A11" s="70" t="s">
        <v>239</v>
      </c>
      <c r="B11" s="256">
        <v>39927668.380000003</v>
      </c>
      <c r="C11" s="281">
        <v>40709846.409999996</v>
      </c>
      <c r="D11" s="257">
        <f>+C11/B11</f>
        <v>1.0195898749347405</v>
      </c>
      <c r="E11" s="262">
        <f>+B11-C11</f>
        <v>-782178.02999999374</v>
      </c>
      <c r="F11" s="264">
        <f>(E11/B11)</f>
        <v>-1.9589874934740521E-2</v>
      </c>
      <c r="G11"/>
      <c r="H11"/>
    </row>
    <row r="12" spans="1:8" x14ac:dyDescent="0.25">
      <c r="A12" s="70" t="s">
        <v>241</v>
      </c>
      <c r="B12" s="256">
        <v>38175893.130000003</v>
      </c>
      <c r="C12" s="101">
        <v>33402596.25</v>
      </c>
      <c r="D12" s="257">
        <f>+C12/B12</f>
        <v>0.87496567889726795</v>
      </c>
      <c r="E12" s="262">
        <f>+B12-C12</f>
        <v>4773296.8800000027</v>
      </c>
      <c r="F12" s="264">
        <f>(E12/B12)</f>
        <v>0.12503432110273205</v>
      </c>
      <c r="G12"/>
      <c r="H12"/>
    </row>
    <row r="13" spans="1:8" x14ac:dyDescent="0.25">
      <c r="A13" s="121" t="s">
        <v>248</v>
      </c>
      <c r="B13" s="220">
        <f>SUM(B9:B12)</f>
        <v>117631229.89000002</v>
      </c>
      <c r="C13" s="220">
        <f>SUM(C9:C12)</f>
        <v>117946573.53999999</v>
      </c>
      <c r="D13" s="259">
        <f>(C13/B13)</f>
        <v>1.0026807817132819</v>
      </c>
      <c r="E13" s="263">
        <f>SUM(E9:E12)</f>
        <v>-315343.64999999106</v>
      </c>
      <c r="F13" s="260">
        <f>(E13/B13)</f>
        <v>-2.6807817132820681E-3</v>
      </c>
      <c r="G13"/>
      <c r="H13"/>
    </row>
    <row r="14" spans="1:8" hidden="1" x14ac:dyDescent="0.25">
      <c r="A14" s="84" t="s">
        <v>15</v>
      </c>
      <c r="B14" s="122"/>
      <c r="C14" s="123"/>
      <c r="D14" s="2" t="e">
        <f t="shared" ref="D14:D25" si="0">+C14/B14</f>
        <v>#DIV/0!</v>
      </c>
      <c r="E14" s="124"/>
      <c r="F14" s="4" t="e">
        <f t="shared" ref="F14:F25" si="1">(E14/B14)</f>
        <v>#DIV/0!</v>
      </c>
      <c r="G14"/>
      <c r="H14"/>
    </row>
    <row r="15" spans="1:8" hidden="1" x14ac:dyDescent="0.25">
      <c r="A15" s="84" t="s">
        <v>16</v>
      </c>
      <c r="B15" s="122"/>
      <c r="C15" s="123"/>
      <c r="D15" s="2" t="e">
        <f t="shared" si="0"/>
        <v>#DIV/0!</v>
      </c>
      <c r="E15" s="124"/>
      <c r="F15" s="4" t="e">
        <f t="shared" si="1"/>
        <v>#DIV/0!</v>
      </c>
      <c r="G15"/>
      <c r="H15"/>
    </row>
    <row r="16" spans="1:8" hidden="1" x14ac:dyDescent="0.25">
      <c r="A16" s="84" t="s">
        <v>17</v>
      </c>
      <c r="B16" s="122"/>
      <c r="C16" s="123"/>
      <c r="D16" s="2" t="e">
        <f t="shared" si="0"/>
        <v>#DIV/0!</v>
      </c>
      <c r="E16" s="124"/>
      <c r="F16" s="4" t="e">
        <f t="shared" si="1"/>
        <v>#DIV/0!</v>
      </c>
      <c r="G16"/>
      <c r="H16"/>
    </row>
    <row r="17" spans="1:8" hidden="1" x14ac:dyDescent="0.25">
      <c r="A17" s="121" t="s">
        <v>18</v>
      </c>
      <c r="B17" s="8">
        <f>SUM(B14:B16)</f>
        <v>0</v>
      </c>
      <c r="C17" s="8">
        <f>SUM(C14:C16)</f>
        <v>0</v>
      </c>
      <c r="D17" s="3" t="e">
        <f>(C17/B17)</f>
        <v>#DIV/0!</v>
      </c>
      <c r="E17" s="9">
        <f>SUM(E14:E16)</f>
        <v>0</v>
      </c>
      <c r="F17" s="5" t="e">
        <f>(E17/B17)</f>
        <v>#DIV/0!</v>
      </c>
      <c r="G17"/>
      <c r="H17"/>
    </row>
    <row r="18" spans="1:8" hidden="1" x14ac:dyDescent="0.25">
      <c r="A18" s="84" t="s">
        <v>19</v>
      </c>
      <c r="B18" s="122"/>
      <c r="C18" s="123"/>
      <c r="D18" s="2" t="e">
        <f t="shared" si="0"/>
        <v>#DIV/0!</v>
      </c>
      <c r="E18" s="124"/>
      <c r="F18" s="4" t="e">
        <f t="shared" si="1"/>
        <v>#DIV/0!</v>
      </c>
      <c r="G18"/>
      <c r="H18"/>
    </row>
    <row r="19" spans="1:8" hidden="1" x14ac:dyDescent="0.25">
      <c r="A19" s="84" t="s">
        <v>20</v>
      </c>
      <c r="B19" s="122"/>
      <c r="C19" s="123"/>
      <c r="D19" s="2" t="e">
        <f t="shared" si="0"/>
        <v>#DIV/0!</v>
      </c>
      <c r="E19" s="124"/>
      <c r="F19" s="4" t="e">
        <f t="shared" si="1"/>
        <v>#DIV/0!</v>
      </c>
      <c r="G19"/>
      <c r="H19"/>
    </row>
    <row r="20" spans="1:8" hidden="1" x14ac:dyDescent="0.25">
      <c r="A20" s="84" t="s">
        <v>21</v>
      </c>
      <c r="B20" s="122"/>
      <c r="C20" s="123"/>
      <c r="D20" s="2" t="e">
        <f t="shared" si="0"/>
        <v>#DIV/0!</v>
      </c>
      <c r="E20" s="124"/>
      <c r="F20" s="4" t="e">
        <f t="shared" si="1"/>
        <v>#DIV/0!</v>
      </c>
      <c r="G20"/>
      <c r="H20"/>
    </row>
    <row r="21" spans="1:8" hidden="1" x14ac:dyDescent="0.25">
      <c r="A21" s="121" t="s">
        <v>22</v>
      </c>
      <c r="B21" s="8">
        <f>SUM(B18:B20)</f>
        <v>0</v>
      </c>
      <c r="C21" s="8">
        <f>SUM(C18:C20)</f>
        <v>0</v>
      </c>
      <c r="D21" s="3" t="e">
        <f>(C21/B21)</f>
        <v>#DIV/0!</v>
      </c>
      <c r="E21" s="9">
        <f>SUM(E18:E20)</f>
        <v>0</v>
      </c>
      <c r="F21" s="5" t="e">
        <f>(E21/B21)</f>
        <v>#DIV/0!</v>
      </c>
      <c r="G21"/>
      <c r="H21"/>
    </row>
    <row r="22" spans="1:8" hidden="1" x14ac:dyDescent="0.25">
      <c r="A22" s="84" t="s">
        <v>13</v>
      </c>
      <c r="B22" s="122"/>
      <c r="C22" s="123"/>
      <c r="D22" s="2" t="e">
        <f t="shared" si="0"/>
        <v>#DIV/0!</v>
      </c>
      <c r="E22" s="124"/>
      <c r="F22" s="4" t="e">
        <f t="shared" si="1"/>
        <v>#DIV/0!</v>
      </c>
      <c r="G22"/>
      <c r="H22"/>
    </row>
    <row r="23" spans="1:8" hidden="1" x14ac:dyDescent="0.25">
      <c r="A23" s="84" t="s">
        <v>12</v>
      </c>
      <c r="B23" s="122"/>
      <c r="C23" s="123"/>
      <c r="D23" s="2" t="e">
        <f t="shared" si="0"/>
        <v>#DIV/0!</v>
      </c>
      <c r="E23" s="124"/>
      <c r="F23" s="4" t="e">
        <f t="shared" si="1"/>
        <v>#DIV/0!</v>
      </c>
      <c r="G23"/>
      <c r="H23"/>
    </row>
    <row r="24" spans="1:8" hidden="1" x14ac:dyDescent="0.25">
      <c r="A24" s="84" t="s">
        <v>11</v>
      </c>
      <c r="B24" s="122"/>
      <c r="C24" s="123"/>
      <c r="D24" s="2" t="e">
        <f t="shared" si="0"/>
        <v>#DIV/0!</v>
      </c>
      <c r="E24" s="124"/>
      <c r="F24" s="4" t="e">
        <f t="shared" si="1"/>
        <v>#DIV/0!</v>
      </c>
      <c r="G24"/>
      <c r="H24"/>
    </row>
    <row r="25" spans="1:8" hidden="1" x14ac:dyDescent="0.25">
      <c r="A25" s="84" t="s">
        <v>10</v>
      </c>
      <c r="B25" s="122"/>
      <c r="C25" s="123"/>
      <c r="D25" s="2" t="e">
        <f t="shared" si="0"/>
        <v>#DIV/0!</v>
      </c>
      <c r="E25" s="124"/>
      <c r="F25" s="4" t="e">
        <f t="shared" si="1"/>
        <v>#DIV/0!</v>
      </c>
      <c r="G25"/>
      <c r="H25"/>
    </row>
    <row r="26" spans="1:8" hidden="1" x14ac:dyDescent="0.25">
      <c r="A26" s="121" t="s">
        <v>14</v>
      </c>
      <c r="B26" s="8">
        <f>SUM(B22:B25)</f>
        <v>0</v>
      </c>
      <c r="C26" s="8">
        <f>SUM(C22:C25)</f>
        <v>0</v>
      </c>
      <c r="D26" s="3" t="e">
        <f>(C26/B26)</f>
        <v>#DIV/0!</v>
      </c>
      <c r="E26" s="9">
        <f>SUM(E22:E25)</f>
        <v>0</v>
      </c>
      <c r="F26" s="5" t="e">
        <f>(E26/B26)</f>
        <v>#DIV/0!</v>
      </c>
      <c r="G26"/>
      <c r="H26"/>
    </row>
    <row r="27" spans="1:8" hidden="1" x14ac:dyDescent="0.25">
      <c r="A27" s="125" t="s">
        <v>23</v>
      </c>
      <c r="B27" s="10">
        <f>+B13+B17+B21+B26</f>
        <v>117631229.89000002</v>
      </c>
      <c r="C27" s="10">
        <f>+C13+C17+C21+C26</f>
        <v>117946573.53999999</v>
      </c>
      <c r="D27" s="7">
        <f>(C27/B27)</f>
        <v>1.0026807817132819</v>
      </c>
      <c r="E27" s="11">
        <f>+E13+E17+E21+E26</f>
        <v>-315343.64999999106</v>
      </c>
      <c r="F27" s="6">
        <f>(E27/B27)</f>
        <v>-2.6807817132820681E-3</v>
      </c>
      <c r="G27"/>
      <c r="H27"/>
    </row>
    <row r="28" spans="1:8" ht="0.75" customHeight="1" x14ac:dyDescent="0.25">
      <c r="A28" s="334" t="s">
        <v>24</v>
      </c>
      <c r="B28" s="335"/>
      <c r="C28" s="335"/>
      <c r="D28" s="335"/>
      <c r="E28" s="335"/>
      <c r="F28" s="335"/>
      <c r="G28"/>
      <c r="H28"/>
    </row>
    <row r="29" spans="1:8" ht="12.75" customHeight="1" x14ac:dyDescent="0.25">
      <c r="A29" s="334" t="s">
        <v>253</v>
      </c>
      <c r="B29" s="335"/>
      <c r="C29" s="335"/>
      <c r="D29" s="335"/>
      <c r="E29" s="335"/>
      <c r="F29" s="335"/>
      <c r="G29"/>
      <c r="H29"/>
    </row>
    <row r="30" spans="1:8" ht="18" hidden="1" customHeight="1" x14ac:dyDescent="0.25">
      <c r="A30" s="334" t="s">
        <v>256</v>
      </c>
      <c r="B30" s="335"/>
      <c r="C30" s="335"/>
      <c r="D30" s="335"/>
      <c r="E30" s="335"/>
      <c r="F30" s="335"/>
      <c r="G30"/>
      <c r="H30"/>
    </row>
    <row r="31" spans="1:8" x14ac:dyDescent="0.25">
      <c r="A31"/>
      <c r="B31"/>
      <c r="C31"/>
      <c r="D31"/>
      <c r="E31"/>
      <c r="F31"/>
      <c r="G31"/>
      <c r="H31"/>
    </row>
    <row r="32" spans="1:8" x14ac:dyDescent="0.25">
      <c r="A32"/>
      <c r="B32"/>
      <c r="C32"/>
      <c r="D32"/>
      <c r="E32"/>
      <c r="F32"/>
      <c r="G32"/>
      <c r="H32"/>
    </row>
    <row r="33" spans="1:8" x14ac:dyDescent="0.25">
      <c r="A33"/>
      <c r="B33"/>
      <c r="C33"/>
      <c r="D33"/>
      <c r="E33"/>
      <c r="F33"/>
      <c r="G33"/>
      <c r="H33"/>
    </row>
    <row r="34" spans="1:8" x14ac:dyDescent="0.25">
      <c r="A34"/>
      <c r="B34"/>
      <c r="C34"/>
      <c r="D34"/>
      <c r="E34"/>
      <c r="F34"/>
      <c r="G34"/>
      <c r="H34"/>
    </row>
    <row r="35" spans="1:8" x14ac:dyDescent="0.25">
      <c r="A35"/>
      <c r="B35"/>
      <c r="C35"/>
      <c r="D35"/>
      <c r="E35"/>
      <c r="F35"/>
      <c r="G35"/>
      <c r="H35"/>
    </row>
    <row r="36" spans="1:8" x14ac:dyDescent="0.25">
      <c r="A36"/>
      <c r="B36"/>
      <c r="C36"/>
      <c r="D36"/>
      <c r="E36"/>
      <c r="F36"/>
      <c r="G36"/>
      <c r="H36"/>
    </row>
    <row r="37" spans="1:8" x14ac:dyDescent="0.25">
      <c r="A37"/>
      <c r="B37"/>
      <c r="C37"/>
      <c r="D37"/>
      <c r="E37"/>
      <c r="F37"/>
      <c r="G37"/>
      <c r="H37"/>
    </row>
    <row r="38" spans="1:8" x14ac:dyDescent="0.25">
      <c r="A38"/>
      <c r="B38"/>
      <c r="C38"/>
      <c r="D38"/>
      <c r="E38"/>
      <c r="F38"/>
      <c r="G38"/>
      <c r="H38"/>
    </row>
    <row r="39" spans="1:8" x14ac:dyDescent="0.25">
      <c r="A39"/>
      <c r="B39"/>
      <c r="C39"/>
      <c r="D39"/>
      <c r="E39"/>
      <c r="F39"/>
      <c r="G39"/>
      <c r="H39"/>
    </row>
    <row r="40" spans="1:8" x14ac:dyDescent="0.25">
      <c r="A40"/>
      <c r="B40"/>
      <c r="C40"/>
      <c r="D40"/>
      <c r="E40"/>
      <c r="F40"/>
      <c r="G40"/>
      <c r="H40"/>
    </row>
    <row r="41" spans="1:8" x14ac:dyDescent="0.25">
      <c r="A41"/>
      <c r="B41"/>
      <c r="C41"/>
      <c r="D41"/>
      <c r="E41"/>
      <c r="F41"/>
      <c r="G41"/>
      <c r="H41"/>
    </row>
    <row r="42" spans="1:8" x14ac:dyDescent="0.25">
      <c r="A42"/>
      <c r="B42"/>
      <c r="C42"/>
      <c r="D42"/>
      <c r="E42"/>
      <c r="F42"/>
      <c r="G42"/>
      <c r="H42"/>
    </row>
    <row r="43" spans="1:8" x14ac:dyDescent="0.25">
      <c r="A43"/>
      <c r="B43"/>
      <c r="C43"/>
      <c r="D43"/>
      <c r="E43"/>
      <c r="F43"/>
      <c r="G43"/>
      <c r="H43"/>
    </row>
    <row r="44" spans="1:8" x14ac:dyDescent="0.25">
      <c r="A44"/>
      <c r="B44"/>
      <c r="C44"/>
      <c r="D44"/>
      <c r="E44"/>
      <c r="F44"/>
      <c r="G44"/>
      <c r="H44"/>
    </row>
    <row r="45" spans="1:8" x14ac:dyDescent="0.25">
      <c r="A45"/>
      <c r="B45"/>
      <c r="C45"/>
      <c r="D45"/>
      <c r="E45"/>
      <c r="F45"/>
      <c r="G45"/>
      <c r="H45"/>
    </row>
    <row r="46" spans="1:8" x14ac:dyDescent="0.25">
      <c r="A46"/>
      <c r="B46"/>
      <c r="C46"/>
      <c r="D46"/>
      <c r="E46"/>
      <c r="F46"/>
      <c r="G46"/>
      <c r="H46"/>
    </row>
    <row r="50" spans="1:6" x14ac:dyDescent="0.25">
      <c r="A50" s="84"/>
      <c r="B50" s="119"/>
      <c r="C50" s="119"/>
      <c r="D50" s="2"/>
      <c r="E50" s="120"/>
      <c r="F50" s="4"/>
    </row>
  </sheetData>
  <mergeCells count="12">
    <mergeCell ref="A30:F30"/>
    <mergeCell ref="A28:F28"/>
    <mergeCell ref="A29:F29"/>
    <mergeCell ref="B6:B7"/>
    <mergeCell ref="A6:A7"/>
    <mergeCell ref="A1:F1"/>
    <mergeCell ref="A2:F2"/>
    <mergeCell ref="A3:F3"/>
    <mergeCell ref="A5:F5"/>
    <mergeCell ref="C6:D7"/>
    <mergeCell ref="E6:F7"/>
    <mergeCell ref="A4:F4"/>
  </mergeCells>
  <pageMargins left="0.7" right="0.7" top="0.75" bottom="0.75" header="0.3" footer="0.3"/>
  <pageSetup paperSize="9" scale="99" orientation="portrait" r:id="rId1"/>
  <ignoredErrors>
    <ignoredError sqref="E11" unlocked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278C-BA39-4F00-919F-B47AB0755D7F}">
  <sheetPr>
    <tabColor rgb="FF00B0F0"/>
    <pageSetUpPr fitToPage="1"/>
  </sheetPr>
  <dimension ref="A1:Q44"/>
  <sheetViews>
    <sheetView showGridLines="0" zoomScale="115" zoomScaleNormal="115" workbookViewId="0">
      <selection activeCell="L28" sqref="L28"/>
    </sheetView>
  </sheetViews>
  <sheetFormatPr baseColWidth="10" defaultColWidth="11.42578125" defaultRowHeight="15" x14ac:dyDescent="0.25"/>
  <cols>
    <col min="1" max="1" width="11.42578125" style="1"/>
    <col min="2" max="2" width="13.42578125" style="1" customWidth="1"/>
    <col min="3" max="3" width="18.85546875" style="1" bestFit="1" customWidth="1"/>
    <col min="4" max="4" width="13.42578125" style="1" customWidth="1"/>
    <col min="5" max="5" width="16.5703125" style="1" bestFit="1" customWidth="1"/>
    <col min="6" max="6" width="13.42578125" style="1" customWidth="1"/>
    <col min="7" max="7" width="17" style="1" bestFit="1" customWidth="1"/>
    <col min="8" max="8" width="13.42578125" style="1" customWidth="1"/>
    <col min="9" max="9" width="17.42578125" style="1" bestFit="1" customWidth="1"/>
    <col min="10" max="10" width="13.42578125" style="1" customWidth="1"/>
    <col min="11" max="11" width="18.28515625" style="1" bestFit="1" customWidth="1"/>
    <col min="12" max="12" width="13.42578125" style="1" customWidth="1"/>
    <col min="13" max="13" width="17.42578125" style="1" bestFit="1" customWidth="1"/>
    <col min="14" max="14" width="10.7109375" style="1" bestFit="1" customWidth="1"/>
    <col min="15" max="15" width="19.140625" style="1" bestFit="1" customWidth="1"/>
    <col min="16" max="16384" width="11.42578125" style="1"/>
  </cols>
  <sheetData>
    <row r="1" spans="1:17" x14ac:dyDescent="0.25">
      <c r="A1" s="332" t="s">
        <v>0</v>
      </c>
      <c r="B1" s="332"/>
      <c r="C1" s="332"/>
      <c r="D1" s="332"/>
      <c r="E1" s="332"/>
      <c r="F1" s="332"/>
      <c r="G1" s="332"/>
      <c r="H1" s="332"/>
      <c r="I1" s="332"/>
      <c r="J1" s="332"/>
      <c r="K1" s="332"/>
      <c r="L1" s="332"/>
      <c r="M1" s="332"/>
      <c r="N1" s="332"/>
      <c r="O1" s="332"/>
    </row>
    <row r="2" spans="1:17" x14ac:dyDescent="0.25">
      <c r="A2" s="332" t="s">
        <v>62</v>
      </c>
      <c r="B2" s="332"/>
      <c r="C2" s="332"/>
      <c r="D2" s="332"/>
      <c r="E2" s="332"/>
      <c r="F2" s="332"/>
      <c r="G2" s="332"/>
      <c r="H2" s="332"/>
      <c r="I2" s="332"/>
      <c r="J2" s="332"/>
      <c r="K2" s="332"/>
      <c r="L2" s="332"/>
      <c r="M2" s="332"/>
      <c r="N2" s="332"/>
      <c r="O2" s="332"/>
    </row>
    <row r="3" spans="1:17" x14ac:dyDescent="0.25">
      <c r="A3" s="332" t="s">
        <v>98</v>
      </c>
      <c r="B3" s="332"/>
      <c r="C3" s="332"/>
      <c r="D3" s="332"/>
      <c r="E3" s="332"/>
      <c r="F3" s="332"/>
      <c r="G3" s="332"/>
      <c r="H3" s="332"/>
      <c r="I3" s="332"/>
      <c r="J3" s="332"/>
      <c r="K3" s="332"/>
      <c r="L3" s="332"/>
      <c r="M3" s="332"/>
      <c r="N3" s="332"/>
      <c r="O3" s="332"/>
    </row>
    <row r="4" spans="1:17" x14ac:dyDescent="0.25">
      <c r="A4" s="332" t="s">
        <v>240</v>
      </c>
      <c r="B4" s="332"/>
      <c r="C4" s="332"/>
      <c r="D4" s="332"/>
      <c r="E4" s="332"/>
      <c r="F4" s="332"/>
      <c r="G4" s="332"/>
      <c r="H4" s="332"/>
      <c r="I4" s="332"/>
      <c r="J4" s="332"/>
      <c r="K4" s="332"/>
      <c r="L4" s="332"/>
      <c r="M4" s="332"/>
      <c r="N4" s="332"/>
      <c r="O4" s="332"/>
      <c r="P4" s="22"/>
      <c r="Q4" s="22"/>
    </row>
    <row r="5" spans="1:17" x14ac:dyDescent="0.25">
      <c r="A5" s="332" t="s">
        <v>262</v>
      </c>
      <c r="B5" s="332"/>
      <c r="C5" s="332"/>
      <c r="D5" s="332"/>
      <c r="E5" s="332"/>
      <c r="F5" s="332"/>
      <c r="G5" s="332"/>
      <c r="H5" s="332"/>
      <c r="I5" s="332"/>
      <c r="J5" s="332"/>
      <c r="K5" s="332"/>
      <c r="L5" s="332"/>
      <c r="M5" s="332"/>
      <c r="N5" s="332"/>
      <c r="O5" s="332"/>
    </row>
    <row r="6" spans="1:17" x14ac:dyDescent="0.25">
      <c r="A6" s="332" t="s">
        <v>99</v>
      </c>
      <c r="B6" s="332"/>
      <c r="C6" s="332"/>
      <c r="D6" s="332"/>
      <c r="E6" s="332"/>
      <c r="F6" s="332"/>
      <c r="G6" s="332"/>
      <c r="H6" s="332"/>
      <c r="I6" s="332"/>
      <c r="J6" s="332"/>
      <c r="K6" s="332"/>
      <c r="L6" s="332"/>
      <c r="M6" s="332"/>
      <c r="N6" s="332"/>
      <c r="O6" s="332"/>
    </row>
    <row r="7" spans="1:17" ht="24.75" customHeight="1" x14ac:dyDescent="0.25">
      <c r="A7" s="145"/>
      <c r="B7" s="337" t="s">
        <v>100</v>
      </c>
      <c r="C7" s="337"/>
      <c r="D7" s="337" t="s">
        <v>272</v>
      </c>
      <c r="E7" s="337"/>
      <c r="F7" s="337" t="s">
        <v>271</v>
      </c>
      <c r="G7" s="337"/>
      <c r="H7" s="337" t="s">
        <v>270</v>
      </c>
      <c r="I7" s="337"/>
      <c r="J7" s="337" t="s">
        <v>101</v>
      </c>
      <c r="K7" s="337"/>
      <c r="L7" s="362" t="s">
        <v>102</v>
      </c>
      <c r="M7" s="362"/>
      <c r="N7" s="362" t="s">
        <v>23</v>
      </c>
      <c r="O7" s="362"/>
      <c r="P7"/>
      <c r="Q7"/>
    </row>
    <row r="8" spans="1:17" x14ac:dyDescent="0.25">
      <c r="A8" s="132" t="s">
        <v>3</v>
      </c>
      <c r="B8" s="132" t="s">
        <v>103</v>
      </c>
      <c r="C8" s="132" t="s">
        <v>7</v>
      </c>
      <c r="D8" s="132" t="s">
        <v>103</v>
      </c>
      <c r="E8" s="132" t="s">
        <v>7</v>
      </c>
      <c r="F8" s="132" t="s">
        <v>103</v>
      </c>
      <c r="G8" s="132" t="s">
        <v>7</v>
      </c>
      <c r="H8" s="132" t="s">
        <v>103</v>
      </c>
      <c r="I8" s="132" t="s">
        <v>7</v>
      </c>
      <c r="J8" s="132" t="s">
        <v>103</v>
      </c>
      <c r="K8" s="132" t="s">
        <v>7</v>
      </c>
      <c r="L8" s="132" t="s">
        <v>103</v>
      </c>
      <c r="M8" s="132" t="s">
        <v>7</v>
      </c>
      <c r="N8" s="132" t="s">
        <v>103</v>
      </c>
      <c r="O8" s="132" t="s">
        <v>7</v>
      </c>
      <c r="P8"/>
      <c r="Q8"/>
    </row>
    <row r="9" spans="1:17" x14ac:dyDescent="0.25">
      <c r="A9" s="70" t="s">
        <v>243</v>
      </c>
      <c r="B9" s="146">
        <v>1254</v>
      </c>
      <c r="C9" s="215">
        <v>24426181.18</v>
      </c>
      <c r="D9" s="146">
        <v>194</v>
      </c>
      <c r="E9" s="215">
        <v>3180878.5300000003</v>
      </c>
      <c r="F9" s="146">
        <v>135</v>
      </c>
      <c r="G9" s="215">
        <v>1579633.16</v>
      </c>
      <c r="H9" s="146">
        <v>19</v>
      </c>
      <c r="I9" s="215">
        <v>281668.47999999998</v>
      </c>
      <c r="J9" s="146">
        <v>906</v>
      </c>
      <c r="K9" s="215">
        <v>11182451.75</v>
      </c>
      <c r="L9" s="146">
        <v>240</v>
      </c>
      <c r="M9" s="215">
        <v>2922252.87</v>
      </c>
      <c r="N9" s="47">
        <v>437</v>
      </c>
      <c r="O9" s="235">
        <v>15363656.73</v>
      </c>
      <c r="P9"/>
      <c r="Q9"/>
    </row>
    <row r="10" spans="1:17" x14ac:dyDescent="0.25">
      <c r="A10" s="70" t="s">
        <v>239</v>
      </c>
      <c r="B10" s="146">
        <v>1212</v>
      </c>
      <c r="C10" s="215">
        <v>32095807.330000002</v>
      </c>
      <c r="D10" s="146">
        <v>96</v>
      </c>
      <c r="E10" s="215">
        <v>1539502.57</v>
      </c>
      <c r="F10" s="146">
        <v>74</v>
      </c>
      <c r="G10" s="215">
        <v>759888.80999999994</v>
      </c>
      <c r="H10" s="146">
        <v>42</v>
      </c>
      <c r="I10" s="215">
        <v>832523.61</v>
      </c>
      <c r="J10" s="146">
        <v>141</v>
      </c>
      <c r="K10" s="215">
        <v>2317270.2000000002</v>
      </c>
      <c r="L10" s="146">
        <v>359</v>
      </c>
      <c r="M10" s="215">
        <v>4543414.0600000005</v>
      </c>
      <c r="N10" s="47">
        <v>882</v>
      </c>
      <c r="O10" s="235">
        <v>28367038.060000002</v>
      </c>
      <c r="P10"/>
      <c r="Q10"/>
    </row>
    <row r="11" spans="1:17" x14ac:dyDescent="0.25">
      <c r="A11" s="70" t="s">
        <v>241</v>
      </c>
      <c r="B11" s="146">
        <v>1539</v>
      </c>
      <c r="C11" s="215">
        <v>29513442.319999997</v>
      </c>
      <c r="D11" s="146">
        <v>298</v>
      </c>
      <c r="E11" s="215">
        <v>5974034.6199999992</v>
      </c>
      <c r="F11" s="146">
        <v>42</v>
      </c>
      <c r="G11" s="215">
        <v>463313.91000000003</v>
      </c>
      <c r="H11" s="146">
        <v>16</v>
      </c>
      <c r="I11" s="215">
        <v>279309</v>
      </c>
      <c r="J11" s="146">
        <v>683</v>
      </c>
      <c r="K11" s="215">
        <v>10317409.9</v>
      </c>
      <c r="L11" s="146">
        <v>133</v>
      </c>
      <c r="M11" s="215">
        <v>1467505.37</v>
      </c>
      <c r="N11" s="47">
        <v>1063</v>
      </c>
      <c r="O11" s="235">
        <v>24445184.579999998</v>
      </c>
      <c r="P11"/>
      <c r="Q11"/>
    </row>
    <row r="12" spans="1:17" x14ac:dyDescent="0.25">
      <c r="A12" s="46" t="s">
        <v>248</v>
      </c>
      <c r="B12" s="8">
        <f t="shared" ref="B12:N12" si="0">SUM(B9:B11)</f>
        <v>4005</v>
      </c>
      <c r="C12" s="220">
        <f t="shared" si="0"/>
        <v>86035430.829999998</v>
      </c>
      <c r="D12" s="8">
        <f t="shared" si="0"/>
        <v>588</v>
      </c>
      <c r="E12" s="220">
        <f t="shared" si="0"/>
        <v>10694415.719999999</v>
      </c>
      <c r="F12" s="8">
        <f t="shared" si="0"/>
        <v>251</v>
      </c>
      <c r="G12" s="220">
        <f t="shared" si="0"/>
        <v>2802835.88</v>
      </c>
      <c r="H12" s="8">
        <f t="shared" si="0"/>
        <v>77</v>
      </c>
      <c r="I12" s="220">
        <f t="shared" si="0"/>
        <v>1393501.0899999999</v>
      </c>
      <c r="J12" s="8">
        <f t="shared" si="0"/>
        <v>1730</v>
      </c>
      <c r="K12" s="220">
        <f t="shared" si="0"/>
        <v>23817131.850000001</v>
      </c>
      <c r="L12" s="8">
        <f t="shared" si="0"/>
        <v>732</v>
      </c>
      <c r="M12" s="220">
        <f t="shared" si="0"/>
        <v>8933172.3000000007</v>
      </c>
      <c r="N12" s="8">
        <f t="shared" si="0"/>
        <v>2382</v>
      </c>
      <c r="O12" s="219">
        <f>SUM(O9:O11)</f>
        <v>68175879.370000005</v>
      </c>
      <c r="P12"/>
      <c r="Q12"/>
    </row>
    <row r="13" spans="1:17" hidden="1" x14ac:dyDescent="0.25">
      <c r="A13" s="70" t="s">
        <v>15</v>
      </c>
      <c r="B13" s="146"/>
      <c r="C13" s="146"/>
      <c r="D13" s="146"/>
      <c r="E13" s="146"/>
      <c r="F13" s="146"/>
      <c r="G13" s="146"/>
      <c r="H13" s="146"/>
      <c r="I13" s="146"/>
      <c r="J13" s="146"/>
      <c r="K13" s="146"/>
      <c r="L13" s="146"/>
      <c r="M13" s="146"/>
      <c r="N13" s="47">
        <f t="shared" ref="N13:N23" si="1">+B13-(J13+L13)</f>
        <v>0</v>
      </c>
      <c r="O13" s="47">
        <f t="shared" ref="O13:O23" si="2">+K13+M13+I13+C13</f>
        <v>0</v>
      </c>
      <c r="P13"/>
      <c r="Q13"/>
    </row>
    <row r="14" spans="1:17" hidden="1" x14ac:dyDescent="0.25">
      <c r="A14" s="70" t="s">
        <v>16</v>
      </c>
      <c r="B14" s="146"/>
      <c r="C14" s="146"/>
      <c r="D14" s="146"/>
      <c r="E14" s="146"/>
      <c r="F14" s="146"/>
      <c r="G14" s="146"/>
      <c r="H14" s="146"/>
      <c r="I14" s="146"/>
      <c r="J14" s="146"/>
      <c r="K14" s="146"/>
      <c r="L14" s="146"/>
      <c r="M14" s="146"/>
      <c r="N14" s="47">
        <f t="shared" si="1"/>
        <v>0</v>
      </c>
      <c r="O14" s="47">
        <f t="shared" si="2"/>
        <v>0</v>
      </c>
      <c r="P14"/>
      <c r="Q14"/>
    </row>
    <row r="15" spans="1:17" hidden="1" x14ac:dyDescent="0.25">
      <c r="A15" s="70" t="s">
        <v>17</v>
      </c>
      <c r="B15" s="146"/>
      <c r="C15" s="146"/>
      <c r="D15" s="146"/>
      <c r="E15" s="146"/>
      <c r="F15" s="146"/>
      <c r="G15" s="146"/>
      <c r="H15" s="146"/>
      <c r="I15" s="146"/>
      <c r="J15" s="146"/>
      <c r="K15" s="146"/>
      <c r="L15" s="146"/>
      <c r="M15" s="146"/>
      <c r="N15" s="47">
        <f t="shared" si="1"/>
        <v>0</v>
      </c>
      <c r="O15" s="47">
        <f t="shared" si="2"/>
        <v>0</v>
      </c>
      <c r="P15"/>
      <c r="Q15"/>
    </row>
    <row r="16" spans="1:17" hidden="1" x14ac:dyDescent="0.25">
      <c r="A16" s="46" t="s">
        <v>18</v>
      </c>
      <c r="B16" s="8">
        <f t="shared" ref="B16:O16" si="3">SUM(B13:B15)</f>
        <v>0</v>
      </c>
      <c r="C16" s="8">
        <f t="shared" si="3"/>
        <v>0</v>
      </c>
      <c r="D16" s="8"/>
      <c r="E16" s="8"/>
      <c r="F16" s="8"/>
      <c r="G16" s="8"/>
      <c r="H16" s="8">
        <f t="shared" si="3"/>
        <v>0</v>
      </c>
      <c r="I16" s="8">
        <f t="shared" si="3"/>
        <v>0</v>
      </c>
      <c r="J16" s="8">
        <f t="shared" si="3"/>
        <v>0</v>
      </c>
      <c r="K16" s="8">
        <f t="shared" si="3"/>
        <v>0</v>
      </c>
      <c r="L16" s="8">
        <f t="shared" si="3"/>
        <v>0</v>
      </c>
      <c r="M16" s="8">
        <f t="shared" si="3"/>
        <v>0</v>
      </c>
      <c r="N16" s="8">
        <f t="shared" si="3"/>
        <v>0</v>
      </c>
      <c r="O16" s="8">
        <f t="shared" si="3"/>
        <v>0</v>
      </c>
      <c r="P16"/>
      <c r="Q16"/>
    </row>
    <row r="17" spans="1:17" hidden="1" x14ac:dyDescent="0.25">
      <c r="A17" s="70" t="s">
        <v>34</v>
      </c>
      <c r="B17" s="146"/>
      <c r="C17" s="146"/>
      <c r="D17" s="146"/>
      <c r="E17" s="146"/>
      <c r="F17" s="146"/>
      <c r="G17" s="146"/>
      <c r="H17" s="146"/>
      <c r="I17" s="146"/>
      <c r="J17" s="146"/>
      <c r="K17" s="146"/>
      <c r="L17" s="146"/>
      <c r="M17" s="146"/>
      <c r="N17" s="47">
        <f t="shared" si="1"/>
        <v>0</v>
      </c>
      <c r="O17" s="47">
        <f t="shared" si="2"/>
        <v>0</v>
      </c>
      <c r="P17"/>
      <c r="Q17"/>
    </row>
    <row r="18" spans="1:17" hidden="1" x14ac:dyDescent="0.25">
      <c r="A18" s="70" t="s">
        <v>20</v>
      </c>
      <c r="B18" s="146"/>
      <c r="C18" s="146"/>
      <c r="D18" s="146"/>
      <c r="E18" s="146"/>
      <c r="F18" s="146"/>
      <c r="G18" s="146"/>
      <c r="H18" s="146"/>
      <c r="I18" s="146"/>
      <c r="J18" s="146"/>
      <c r="K18" s="146"/>
      <c r="L18" s="146"/>
      <c r="M18" s="146"/>
      <c r="N18" s="47">
        <f t="shared" si="1"/>
        <v>0</v>
      </c>
      <c r="O18" s="47">
        <f t="shared" si="2"/>
        <v>0</v>
      </c>
      <c r="P18"/>
      <c r="Q18"/>
    </row>
    <row r="19" spans="1:17" hidden="1" x14ac:dyDescent="0.25">
      <c r="A19" s="70" t="s">
        <v>21</v>
      </c>
      <c r="B19" s="146"/>
      <c r="C19" s="146"/>
      <c r="D19" s="146"/>
      <c r="E19" s="146"/>
      <c r="F19" s="146"/>
      <c r="G19" s="146"/>
      <c r="H19" s="146"/>
      <c r="I19" s="146"/>
      <c r="J19" s="146"/>
      <c r="K19" s="146"/>
      <c r="L19" s="146"/>
      <c r="M19" s="146"/>
      <c r="N19" s="47">
        <f t="shared" si="1"/>
        <v>0</v>
      </c>
      <c r="O19" s="47">
        <f t="shared" si="2"/>
        <v>0</v>
      </c>
      <c r="P19"/>
      <c r="Q19"/>
    </row>
    <row r="20" spans="1:17" hidden="1" x14ac:dyDescent="0.25">
      <c r="A20" s="46" t="s">
        <v>22</v>
      </c>
      <c r="B20" s="8">
        <f t="shared" ref="B20:O20" si="4">SUM(B17:B19)</f>
        <v>0</v>
      </c>
      <c r="C20" s="8">
        <f t="shared" si="4"/>
        <v>0</v>
      </c>
      <c r="D20" s="8"/>
      <c r="E20" s="8"/>
      <c r="F20" s="8"/>
      <c r="G20" s="8"/>
      <c r="H20" s="8">
        <f t="shared" si="4"/>
        <v>0</v>
      </c>
      <c r="I20" s="8">
        <f t="shared" si="4"/>
        <v>0</v>
      </c>
      <c r="J20" s="8">
        <f t="shared" si="4"/>
        <v>0</v>
      </c>
      <c r="K20" s="8">
        <f t="shared" si="4"/>
        <v>0</v>
      </c>
      <c r="L20" s="8">
        <f t="shared" si="4"/>
        <v>0</v>
      </c>
      <c r="M20" s="8">
        <f t="shared" si="4"/>
        <v>0</v>
      </c>
      <c r="N20" s="8">
        <f t="shared" si="4"/>
        <v>0</v>
      </c>
      <c r="O20" s="8">
        <f t="shared" si="4"/>
        <v>0</v>
      </c>
      <c r="P20"/>
      <c r="Q20"/>
    </row>
    <row r="21" spans="1:17" hidden="1" x14ac:dyDescent="0.25">
      <c r="A21" s="70" t="s">
        <v>13</v>
      </c>
      <c r="B21" s="146"/>
      <c r="C21" s="146"/>
      <c r="D21" s="146"/>
      <c r="E21" s="146"/>
      <c r="F21" s="146"/>
      <c r="G21" s="146"/>
      <c r="H21" s="146"/>
      <c r="I21" s="146"/>
      <c r="J21" s="146"/>
      <c r="K21" s="146"/>
      <c r="L21" s="146"/>
      <c r="M21" s="146"/>
      <c r="N21" s="47">
        <f t="shared" si="1"/>
        <v>0</v>
      </c>
      <c r="O21" s="47">
        <f t="shared" si="2"/>
        <v>0</v>
      </c>
      <c r="P21"/>
      <c r="Q21"/>
    </row>
    <row r="22" spans="1:17" hidden="1" x14ac:dyDescent="0.25">
      <c r="A22" s="70" t="s">
        <v>12</v>
      </c>
      <c r="B22" s="146"/>
      <c r="C22" s="146"/>
      <c r="D22" s="146"/>
      <c r="E22" s="146"/>
      <c r="F22" s="146"/>
      <c r="G22" s="146"/>
      <c r="H22" s="146"/>
      <c r="I22" s="146"/>
      <c r="J22" s="146"/>
      <c r="K22" s="146"/>
      <c r="L22" s="146"/>
      <c r="M22" s="146"/>
      <c r="N22" s="47">
        <f t="shared" si="1"/>
        <v>0</v>
      </c>
      <c r="O22" s="47">
        <f t="shared" si="2"/>
        <v>0</v>
      </c>
      <c r="P22"/>
      <c r="Q22"/>
    </row>
    <row r="23" spans="1:17" hidden="1" x14ac:dyDescent="0.25">
      <c r="A23" s="70" t="s">
        <v>11</v>
      </c>
      <c r="B23" s="146"/>
      <c r="C23" s="146"/>
      <c r="D23" s="146"/>
      <c r="E23" s="146"/>
      <c r="F23" s="146"/>
      <c r="G23" s="146"/>
      <c r="H23" s="146"/>
      <c r="I23" s="146"/>
      <c r="J23" s="146"/>
      <c r="K23" s="146"/>
      <c r="L23" s="146"/>
      <c r="M23" s="146"/>
      <c r="N23" s="47">
        <f t="shared" si="1"/>
        <v>0</v>
      </c>
      <c r="O23" s="47">
        <f t="shared" si="2"/>
        <v>0</v>
      </c>
      <c r="P23"/>
      <c r="Q23"/>
    </row>
    <row r="24" spans="1:17" hidden="1" x14ac:dyDescent="0.25">
      <c r="A24" s="46" t="s">
        <v>14</v>
      </c>
      <c r="B24" s="8">
        <f t="shared" ref="B24:O24" si="5">SUM(B21:B23)</f>
        <v>0</v>
      </c>
      <c r="C24" s="8">
        <f t="shared" si="5"/>
        <v>0</v>
      </c>
      <c r="D24" s="8"/>
      <c r="E24" s="8"/>
      <c r="F24" s="8"/>
      <c r="G24" s="8"/>
      <c r="H24" s="8">
        <f t="shared" si="5"/>
        <v>0</v>
      </c>
      <c r="I24" s="8">
        <f t="shared" si="5"/>
        <v>0</v>
      </c>
      <c r="J24" s="8">
        <f t="shared" si="5"/>
        <v>0</v>
      </c>
      <c r="K24" s="8">
        <f t="shared" si="5"/>
        <v>0</v>
      </c>
      <c r="L24" s="8">
        <f t="shared" si="5"/>
        <v>0</v>
      </c>
      <c r="M24" s="8">
        <f t="shared" si="5"/>
        <v>0</v>
      </c>
      <c r="N24" s="8">
        <f t="shared" si="5"/>
        <v>0</v>
      </c>
      <c r="O24" s="8">
        <f t="shared" si="5"/>
        <v>0</v>
      </c>
      <c r="P24"/>
      <c r="Q24"/>
    </row>
    <row r="25" spans="1:17" hidden="1" x14ac:dyDescent="0.25">
      <c r="A25" s="49" t="s">
        <v>23</v>
      </c>
      <c r="B25" s="50">
        <f>+B12+B16+B20+B24</f>
        <v>4005</v>
      </c>
      <c r="C25" s="48">
        <f t="shared" ref="C25:O25" si="6">+C12+C16+C20+C24</f>
        <v>86035430.829999998</v>
      </c>
      <c r="D25" s="48"/>
      <c r="E25" s="48"/>
      <c r="F25" s="48"/>
      <c r="G25" s="48"/>
      <c r="H25" s="48">
        <f t="shared" si="6"/>
        <v>77</v>
      </c>
      <c r="I25" s="48">
        <f t="shared" si="6"/>
        <v>1393501.0899999999</v>
      </c>
      <c r="J25" s="48">
        <f t="shared" si="6"/>
        <v>1730</v>
      </c>
      <c r="K25" s="48">
        <f t="shared" si="6"/>
        <v>23817131.850000001</v>
      </c>
      <c r="L25" s="48">
        <f t="shared" si="6"/>
        <v>732</v>
      </c>
      <c r="M25" s="48">
        <f t="shared" si="6"/>
        <v>8933172.3000000007</v>
      </c>
      <c r="N25" s="48">
        <f t="shared" si="6"/>
        <v>2382</v>
      </c>
      <c r="O25" s="48">
        <f t="shared" si="6"/>
        <v>68175879.370000005</v>
      </c>
      <c r="P25"/>
      <c r="Q25"/>
    </row>
    <row r="26" spans="1:17" x14ac:dyDescent="0.25">
      <c r="A26" s="127" t="s">
        <v>267</v>
      </c>
      <c r="B26"/>
      <c r="C26"/>
      <c r="D26"/>
      <c r="E26"/>
      <c r="F26"/>
      <c r="G26"/>
      <c r="H26"/>
      <c r="I26"/>
      <c r="J26"/>
      <c r="K26"/>
      <c r="L26"/>
      <c r="M26"/>
      <c r="N26"/>
      <c r="O26"/>
      <c r="P26"/>
      <c r="Q26"/>
    </row>
    <row r="27" spans="1:17" s="15" customFormat="1" ht="11.25" x14ac:dyDescent="0.2">
      <c r="A27" s="193"/>
      <c r="B27" s="130"/>
      <c r="C27" s="130"/>
      <c r="D27" s="130"/>
      <c r="E27" s="130"/>
      <c r="F27" s="130"/>
      <c r="G27" s="130"/>
      <c r="H27" s="130"/>
      <c r="I27" s="130"/>
      <c r="J27" s="127"/>
      <c r="K27" s="127"/>
      <c r="L27" s="127"/>
      <c r="M27" s="127"/>
      <c r="N27" s="127"/>
      <c r="O27" s="127"/>
      <c r="P27" s="127"/>
      <c r="Q27" s="127"/>
    </row>
    <row r="28" spans="1:17" x14ac:dyDescent="0.25">
      <c r="A28"/>
      <c r="B28"/>
      <c r="C28"/>
      <c r="D28"/>
      <c r="E28"/>
      <c r="F28"/>
      <c r="G28"/>
      <c r="H28"/>
      <c r="I28"/>
      <c r="J28"/>
      <c r="K28"/>
      <c r="L28"/>
      <c r="M28"/>
      <c r="N28"/>
      <c r="O28"/>
      <c r="P28"/>
    </row>
    <row r="29" spans="1:17" x14ac:dyDescent="0.25">
      <c r="A29"/>
      <c r="B29"/>
      <c r="C29"/>
      <c r="D29"/>
      <c r="E29"/>
      <c r="F29"/>
      <c r="G29"/>
      <c r="H29"/>
      <c r="I29"/>
      <c r="J29"/>
      <c r="K29"/>
      <c r="L29"/>
      <c r="M29"/>
      <c r="N29"/>
      <c r="O29"/>
      <c r="P29"/>
      <c r="Q29"/>
    </row>
    <row r="30" spans="1:17" x14ac:dyDescent="0.25">
      <c r="A30"/>
      <c r="B30"/>
      <c r="C30"/>
      <c r="D30"/>
      <c r="E30"/>
      <c r="F30"/>
      <c r="G30"/>
      <c r="H30"/>
      <c r="I30"/>
      <c r="J30"/>
      <c r="K30"/>
      <c r="L30"/>
      <c r="M30"/>
      <c r="N30"/>
      <c r="O30"/>
      <c r="P30"/>
      <c r="Q30"/>
    </row>
    <row r="31" spans="1:17" x14ac:dyDescent="0.25">
      <c r="A31"/>
      <c r="B31"/>
      <c r="C31"/>
      <c r="D31"/>
      <c r="E31"/>
      <c r="F31"/>
      <c r="G31"/>
      <c r="H31"/>
      <c r="I31"/>
      <c r="J31"/>
      <c r="K31"/>
      <c r="L31"/>
      <c r="M31"/>
      <c r="N31"/>
      <c r="O31"/>
      <c r="P31"/>
      <c r="Q31"/>
    </row>
    <row r="32" spans="1:17" x14ac:dyDescent="0.25">
      <c r="A32"/>
      <c r="B32"/>
      <c r="C32"/>
      <c r="D32"/>
      <c r="E32"/>
      <c r="F32"/>
      <c r="G32"/>
      <c r="H32"/>
      <c r="I32"/>
      <c r="J32"/>
      <c r="K32"/>
      <c r="L32"/>
      <c r="M32"/>
      <c r="N32"/>
      <c r="O32"/>
      <c r="P32"/>
      <c r="Q32"/>
    </row>
    <row r="33" spans="1:17" x14ac:dyDescent="0.25">
      <c r="A33"/>
      <c r="B33"/>
      <c r="C33"/>
      <c r="D33"/>
      <c r="E33"/>
      <c r="F33"/>
      <c r="G33"/>
      <c r="H33"/>
      <c r="I33"/>
      <c r="J33"/>
      <c r="K33"/>
      <c r="L33"/>
      <c r="M33"/>
      <c r="N33"/>
      <c r="O33"/>
      <c r="P33"/>
      <c r="Q33"/>
    </row>
    <row r="34" spans="1:17" x14ac:dyDescent="0.25">
      <c r="A34"/>
      <c r="B34"/>
      <c r="C34"/>
      <c r="D34"/>
      <c r="E34"/>
      <c r="F34"/>
      <c r="G34"/>
      <c r="H34"/>
      <c r="I34"/>
      <c r="J34"/>
      <c r="K34"/>
      <c r="L34"/>
      <c r="M34"/>
      <c r="N34"/>
      <c r="O34"/>
      <c r="P34"/>
      <c r="Q34"/>
    </row>
    <row r="35" spans="1:17" x14ac:dyDescent="0.25">
      <c r="A35"/>
      <c r="B35"/>
      <c r="C35"/>
      <c r="D35"/>
      <c r="E35"/>
      <c r="F35"/>
      <c r="G35"/>
      <c r="H35"/>
      <c r="I35"/>
      <c r="J35"/>
      <c r="K35"/>
      <c r="L35"/>
      <c r="M35"/>
      <c r="N35"/>
      <c r="O35"/>
      <c r="P35"/>
      <c r="Q35"/>
    </row>
    <row r="36" spans="1:17" x14ac:dyDescent="0.25">
      <c r="A36"/>
      <c r="B36"/>
      <c r="C36"/>
      <c r="D36"/>
      <c r="E36"/>
      <c r="F36"/>
      <c r="G36"/>
      <c r="H36"/>
      <c r="I36"/>
      <c r="J36"/>
      <c r="K36"/>
      <c r="L36"/>
      <c r="M36"/>
      <c r="N36"/>
      <c r="O36"/>
      <c r="P36"/>
      <c r="Q36"/>
    </row>
    <row r="37" spans="1:17" x14ac:dyDescent="0.25">
      <c r="A37"/>
      <c r="B37"/>
      <c r="C37"/>
      <c r="D37"/>
      <c r="E37"/>
      <c r="F37"/>
      <c r="G37"/>
      <c r="H37"/>
      <c r="I37"/>
      <c r="J37"/>
      <c r="K37"/>
      <c r="L37"/>
      <c r="M37"/>
      <c r="N37"/>
      <c r="O37"/>
      <c r="P37"/>
      <c r="Q37"/>
    </row>
    <row r="38" spans="1:17" x14ac:dyDescent="0.25">
      <c r="A38"/>
      <c r="B38"/>
      <c r="C38"/>
      <c r="D38"/>
      <c r="E38"/>
      <c r="F38"/>
      <c r="G38"/>
      <c r="H38"/>
      <c r="I38"/>
      <c r="J38"/>
      <c r="K38"/>
      <c r="L38"/>
      <c r="M38"/>
      <c r="N38"/>
      <c r="O38"/>
      <c r="P38"/>
      <c r="Q38"/>
    </row>
    <row r="39" spans="1:17" x14ac:dyDescent="0.25">
      <c r="A39"/>
      <c r="B39"/>
      <c r="C39"/>
      <c r="D39"/>
      <c r="E39"/>
      <c r="F39"/>
      <c r="G39"/>
      <c r="H39"/>
      <c r="I39"/>
      <c r="J39"/>
      <c r="K39"/>
      <c r="L39"/>
      <c r="M39"/>
      <c r="N39"/>
      <c r="O39"/>
      <c r="P39"/>
      <c r="Q39"/>
    </row>
    <row r="42" spans="1:17" x14ac:dyDescent="0.25">
      <c r="B42" s="70"/>
      <c r="C42" s="146"/>
      <c r="D42" s="146"/>
      <c r="E42" s="146"/>
      <c r="F42" s="146"/>
      <c r="G42" s="146"/>
      <c r="H42" s="146"/>
      <c r="I42" s="146"/>
      <c r="J42" s="146"/>
      <c r="K42" s="146"/>
      <c r="L42" s="146"/>
      <c r="M42" s="146"/>
      <c r="N42" s="146"/>
      <c r="O42" s="47"/>
      <c r="P42" s="79"/>
    </row>
    <row r="44" spans="1:17" x14ac:dyDescent="0.25">
      <c r="B44" s="70"/>
      <c r="C44" s="146"/>
      <c r="D44" s="146"/>
      <c r="E44" s="146"/>
      <c r="F44" s="146"/>
      <c r="G44" s="146"/>
      <c r="H44" s="146"/>
      <c r="I44" s="146"/>
      <c r="J44" s="146"/>
      <c r="K44" s="146"/>
      <c r="L44" s="146"/>
      <c r="M44" s="146"/>
      <c r="N44" s="146"/>
      <c r="O44" s="47"/>
      <c r="P44" s="79"/>
    </row>
  </sheetData>
  <mergeCells count="13">
    <mergeCell ref="N7:O7"/>
    <mergeCell ref="B7:C7"/>
    <mergeCell ref="D7:E7"/>
    <mergeCell ref="F7:G7"/>
    <mergeCell ref="H7:I7"/>
    <mergeCell ref="J7:K7"/>
    <mergeCell ref="L7:M7"/>
    <mergeCell ref="A6:O6"/>
    <mergeCell ref="A1:O1"/>
    <mergeCell ref="A2:O2"/>
    <mergeCell ref="A3:O3"/>
    <mergeCell ref="A4:O4"/>
    <mergeCell ref="A5:O5"/>
  </mergeCells>
  <pageMargins left="0.7" right="0.7" top="0.75" bottom="0.75" header="0.3" footer="0.3"/>
  <pageSetup paperSize="9" scale="5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5:H72"/>
  <sheetViews>
    <sheetView topLeftCell="A10" workbookViewId="0">
      <selection activeCell="H23" sqref="H23"/>
    </sheetView>
  </sheetViews>
  <sheetFormatPr baseColWidth="10" defaultColWidth="11.42578125" defaultRowHeight="15" x14ac:dyDescent="0.25"/>
  <cols>
    <col min="1" max="1" width="18.42578125" customWidth="1"/>
    <col min="3" max="3" width="18.140625" customWidth="1"/>
    <col min="6" max="6" width="13.7109375" bestFit="1" customWidth="1"/>
  </cols>
  <sheetData>
    <row r="5" spans="1:8" x14ac:dyDescent="0.25">
      <c r="A5" t="s">
        <v>104</v>
      </c>
    </row>
    <row r="6" spans="1:8" x14ac:dyDescent="0.25">
      <c r="A6" t="s">
        <v>105</v>
      </c>
      <c r="B6" t="s">
        <v>106</v>
      </c>
      <c r="C6" s="74">
        <v>31310</v>
      </c>
      <c r="D6" s="99">
        <v>0.2</v>
      </c>
      <c r="E6" s="74">
        <v>391848281</v>
      </c>
      <c r="F6" s="99">
        <v>0.19</v>
      </c>
    </row>
    <row r="7" spans="1:8" x14ac:dyDescent="0.25">
      <c r="A7" t="s">
        <v>107</v>
      </c>
      <c r="B7" s="74">
        <v>58606</v>
      </c>
      <c r="C7" s="99">
        <v>0.37</v>
      </c>
      <c r="D7" s="74">
        <v>502596251</v>
      </c>
      <c r="E7" s="99">
        <v>0.25</v>
      </c>
    </row>
    <row r="8" spans="1:8" x14ac:dyDescent="0.25">
      <c r="A8" t="s">
        <v>108</v>
      </c>
      <c r="B8" t="s">
        <v>109</v>
      </c>
      <c r="C8" t="s">
        <v>110</v>
      </c>
      <c r="D8">
        <v>280</v>
      </c>
      <c r="E8" s="100">
        <v>2E-3</v>
      </c>
      <c r="F8" s="74">
        <v>4723136</v>
      </c>
      <c r="G8" s="100">
        <v>2E-3</v>
      </c>
    </row>
    <row r="9" spans="1:8" x14ac:dyDescent="0.25">
      <c r="A9" t="s">
        <v>111</v>
      </c>
      <c r="B9" t="s">
        <v>112</v>
      </c>
      <c r="C9" t="s">
        <v>113</v>
      </c>
      <c r="D9" t="s">
        <v>114</v>
      </c>
      <c r="E9">
        <v>164</v>
      </c>
      <c r="F9" s="100">
        <v>1E-3</v>
      </c>
      <c r="G9" s="74">
        <v>4627394</v>
      </c>
      <c r="H9" s="100">
        <v>2E-3</v>
      </c>
    </row>
    <row r="10" spans="1:8" x14ac:dyDescent="0.25">
      <c r="A10" t="s">
        <v>115</v>
      </c>
      <c r="B10" t="s">
        <v>116</v>
      </c>
      <c r="C10">
        <v>311</v>
      </c>
      <c r="D10" s="100">
        <v>2E-3</v>
      </c>
      <c r="E10" s="74">
        <v>8307901</v>
      </c>
      <c r="F10" s="100">
        <v>4.0000000000000001E-3</v>
      </c>
    </row>
    <row r="11" spans="1:8" x14ac:dyDescent="0.25">
      <c r="A11" t="s">
        <v>115</v>
      </c>
      <c r="B11" t="s">
        <v>117</v>
      </c>
      <c r="C11" s="74">
        <v>19019</v>
      </c>
      <c r="D11" s="99">
        <v>0.12</v>
      </c>
      <c r="E11" s="74">
        <v>425653300</v>
      </c>
      <c r="F11" s="99">
        <v>0.21</v>
      </c>
    </row>
    <row r="12" spans="1:8" x14ac:dyDescent="0.25">
      <c r="A12" t="s">
        <v>118</v>
      </c>
      <c r="B12" t="s">
        <v>119</v>
      </c>
      <c r="C12" s="74">
        <v>21131</v>
      </c>
      <c r="D12" s="99">
        <v>0.13</v>
      </c>
      <c r="E12" s="74">
        <v>448771667</v>
      </c>
      <c r="F12" s="99">
        <v>0.22</v>
      </c>
    </row>
    <row r="13" spans="1:8" x14ac:dyDescent="0.25">
      <c r="A13" t="s">
        <v>105</v>
      </c>
      <c r="B13" t="s">
        <v>120</v>
      </c>
      <c r="C13" s="74">
        <v>10163</v>
      </c>
      <c r="D13" s="99">
        <v>0.06</v>
      </c>
      <c r="E13" s="74">
        <v>60978000</v>
      </c>
      <c r="F13" s="99">
        <v>0.03</v>
      </c>
    </row>
    <row r="14" spans="1:8" x14ac:dyDescent="0.25">
      <c r="A14" t="s">
        <v>121</v>
      </c>
      <c r="B14" t="s">
        <v>122</v>
      </c>
      <c r="C14" t="s">
        <v>123</v>
      </c>
      <c r="D14" s="74">
        <v>16719</v>
      </c>
      <c r="E14" s="99">
        <v>0.11</v>
      </c>
      <c r="F14" s="74">
        <v>171659274</v>
      </c>
      <c r="G14" s="99">
        <v>0.09</v>
      </c>
    </row>
    <row r="17" spans="1:7" x14ac:dyDescent="0.25">
      <c r="A17" t="s">
        <v>124</v>
      </c>
      <c r="B17" t="s">
        <v>125</v>
      </c>
      <c r="C17" t="s">
        <v>50</v>
      </c>
      <c r="D17" t="s">
        <v>126</v>
      </c>
      <c r="E17" t="s">
        <v>50</v>
      </c>
    </row>
    <row r="18" spans="1:7" x14ac:dyDescent="0.25">
      <c r="A18" t="s">
        <v>127</v>
      </c>
      <c r="B18" t="s">
        <v>128</v>
      </c>
      <c r="C18" t="s">
        <v>129</v>
      </c>
      <c r="D18">
        <v>42</v>
      </c>
      <c r="E18" s="100">
        <v>2.9999999999999997E-4</v>
      </c>
      <c r="F18" s="101">
        <v>167356.85</v>
      </c>
      <c r="G18" s="99">
        <v>0</v>
      </c>
    </row>
    <row r="19" spans="1:7" x14ac:dyDescent="0.25">
      <c r="A19" t="s">
        <v>130</v>
      </c>
      <c r="B19" t="s">
        <v>131</v>
      </c>
      <c r="C19" t="s">
        <v>132</v>
      </c>
      <c r="D19">
        <v>1</v>
      </c>
      <c r="E19" s="100">
        <v>0</v>
      </c>
      <c r="F19" s="101">
        <v>5117.5</v>
      </c>
      <c r="G19" s="99">
        <v>0</v>
      </c>
    </row>
    <row r="20" spans="1:7" x14ac:dyDescent="0.25">
      <c r="A20" s="101">
        <v>5117.5</v>
      </c>
      <c r="B20" t="s">
        <v>96</v>
      </c>
      <c r="C20" s="101">
        <v>10000</v>
      </c>
      <c r="D20" s="74">
        <v>93522</v>
      </c>
      <c r="E20" s="100">
        <v>0.73980000000000001</v>
      </c>
      <c r="F20" s="101">
        <v>750253033.45000005</v>
      </c>
      <c r="G20" s="99">
        <v>0.5</v>
      </c>
    </row>
    <row r="21" spans="1:7" x14ac:dyDescent="0.25">
      <c r="A21" s="101">
        <v>10000</v>
      </c>
      <c r="B21" t="s">
        <v>96</v>
      </c>
      <c r="C21" s="101">
        <v>20000</v>
      </c>
      <c r="D21" s="74">
        <v>18138</v>
      </c>
      <c r="E21" s="100">
        <v>0.14349999999999999</v>
      </c>
      <c r="F21" s="101">
        <v>227429836.90000001</v>
      </c>
      <c r="G21" s="99">
        <v>0.15</v>
      </c>
    </row>
    <row r="22" spans="1:7" x14ac:dyDescent="0.25">
      <c r="A22" s="101">
        <v>20000</v>
      </c>
      <c r="B22" t="s">
        <v>96</v>
      </c>
      <c r="C22" s="101">
        <v>30000</v>
      </c>
      <c r="D22" s="74">
        <v>6578</v>
      </c>
      <c r="E22" s="100">
        <v>5.1999999999999998E-2</v>
      </c>
      <c r="F22" s="101">
        <v>161421192.27000001</v>
      </c>
      <c r="G22" s="99">
        <v>0.11</v>
      </c>
    </row>
    <row r="23" spans="1:7" x14ac:dyDescent="0.25">
      <c r="A23" s="101">
        <v>30000</v>
      </c>
      <c r="B23" t="s">
        <v>96</v>
      </c>
      <c r="C23" s="101">
        <v>40000</v>
      </c>
      <c r="D23" s="74">
        <v>3651</v>
      </c>
      <c r="E23" s="100">
        <v>2.8899999999999999E-2</v>
      </c>
      <c r="F23" s="101">
        <v>122505219.92</v>
      </c>
      <c r="G23" s="99">
        <v>0.08</v>
      </c>
    </row>
    <row r="24" spans="1:7" x14ac:dyDescent="0.25">
      <c r="A24" s="101">
        <v>40000</v>
      </c>
      <c r="B24" t="s">
        <v>96</v>
      </c>
      <c r="C24" s="101">
        <v>50000</v>
      </c>
      <c r="D24" s="74">
        <v>2228</v>
      </c>
      <c r="E24" s="100">
        <v>1.7600000000000001E-2</v>
      </c>
      <c r="F24" s="101">
        <v>96897867.079999998</v>
      </c>
      <c r="G24" s="99">
        <v>0.06</v>
      </c>
    </row>
    <row r="25" spans="1:7" x14ac:dyDescent="0.25">
      <c r="A25" s="101">
        <v>50000</v>
      </c>
      <c r="B25" t="s">
        <v>96</v>
      </c>
      <c r="C25" s="101">
        <v>60000</v>
      </c>
      <c r="D25" s="74">
        <v>1212</v>
      </c>
      <c r="E25" s="100">
        <v>9.5999999999999992E-3</v>
      </c>
      <c r="F25" s="101">
        <v>63870772.049999997</v>
      </c>
      <c r="G25" s="99">
        <v>0.04</v>
      </c>
    </row>
    <row r="26" spans="1:7" x14ac:dyDescent="0.25">
      <c r="A26" s="101">
        <v>60000</v>
      </c>
      <c r="B26" t="s">
        <v>96</v>
      </c>
      <c r="C26" s="101">
        <v>70000</v>
      </c>
      <c r="D26">
        <v>256</v>
      </c>
      <c r="E26" s="100">
        <v>2E-3</v>
      </c>
      <c r="F26" s="101">
        <v>15987935.460000001</v>
      </c>
      <c r="G26" s="99">
        <v>0.01</v>
      </c>
    </row>
    <row r="27" spans="1:7" x14ac:dyDescent="0.25">
      <c r="A27" s="101">
        <v>70000</v>
      </c>
      <c r="B27" t="s">
        <v>96</v>
      </c>
      <c r="C27" s="101">
        <v>80000</v>
      </c>
      <c r="D27">
        <v>185</v>
      </c>
      <c r="E27" s="100">
        <v>1.5E-3</v>
      </c>
      <c r="F27" s="101">
        <v>13603340.310000001</v>
      </c>
      <c r="G27" s="99">
        <v>0.01</v>
      </c>
    </row>
    <row r="28" spans="1:7" x14ac:dyDescent="0.25">
      <c r="A28" s="101">
        <v>80000</v>
      </c>
      <c r="B28" t="s">
        <v>96</v>
      </c>
      <c r="C28" s="101">
        <v>90000</v>
      </c>
      <c r="D28">
        <v>246</v>
      </c>
      <c r="E28" s="100">
        <v>1.9E-3</v>
      </c>
      <c r="F28" s="101">
        <v>20637258.829999998</v>
      </c>
      <c r="G28" s="99">
        <v>0.01</v>
      </c>
    </row>
    <row r="29" spans="1:7" x14ac:dyDescent="0.25">
      <c r="A29" s="101">
        <v>90000</v>
      </c>
      <c r="B29" t="s">
        <v>96</v>
      </c>
      <c r="C29" s="101">
        <v>100000</v>
      </c>
      <c r="D29">
        <v>300</v>
      </c>
      <c r="E29" s="100">
        <v>2.3999999999999998E-3</v>
      </c>
      <c r="F29" s="101">
        <v>28790914.350000001</v>
      </c>
      <c r="G29" s="99">
        <v>0.02</v>
      </c>
    </row>
    <row r="30" spans="1:7" x14ac:dyDescent="0.25">
      <c r="A30" t="s">
        <v>133</v>
      </c>
      <c r="B30">
        <v>50</v>
      </c>
      <c r="C30" s="100">
        <v>4.0000000000000002E-4</v>
      </c>
      <c r="D30" s="101">
        <v>7845693.5999999996</v>
      </c>
      <c r="E30" s="99">
        <v>0.01</v>
      </c>
    </row>
    <row r="32" spans="1:7" x14ac:dyDescent="0.25">
      <c r="A32" t="s">
        <v>124</v>
      </c>
      <c r="B32" t="s">
        <v>125</v>
      </c>
      <c r="C32" t="s">
        <v>50</v>
      </c>
      <c r="D32" t="s">
        <v>126</v>
      </c>
      <c r="E32" t="s">
        <v>50</v>
      </c>
    </row>
    <row r="33" spans="1:7" x14ac:dyDescent="0.25">
      <c r="A33" t="s">
        <v>134</v>
      </c>
      <c r="B33">
        <v>8</v>
      </c>
      <c r="C33" s="100">
        <v>1E-4</v>
      </c>
      <c r="D33" s="74">
        <v>120807</v>
      </c>
      <c r="E33" s="100">
        <v>1E-4</v>
      </c>
    </row>
    <row r="34" spans="1:7" x14ac:dyDescent="0.25">
      <c r="A34" t="s">
        <v>135</v>
      </c>
      <c r="B34">
        <v>105</v>
      </c>
      <c r="C34" s="100">
        <v>8.9999999999999998E-4</v>
      </c>
      <c r="D34" s="74">
        <v>1623898</v>
      </c>
      <c r="E34" s="100">
        <v>1.1000000000000001E-3</v>
      </c>
    </row>
    <row r="35" spans="1:7" x14ac:dyDescent="0.25">
      <c r="A35" t="s">
        <v>136</v>
      </c>
      <c r="B35">
        <v>662</v>
      </c>
      <c r="C35" s="100">
        <v>5.7999999999999996E-3</v>
      </c>
      <c r="D35" s="74">
        <v>8844351</v>
      </c>
      <c r="E35" s="100">
        <v>5.8999999999999999E-3</v>
      </c>
    </row>
    <row r="36" spans="1:7" x14ac:dyDescent="0.25">
      <c r="A36" t="s">
        <v>137</v>
      </c>
      <c r="B36" s="74">
        <v>3613</v>
      </c>
      <c r="C36" s="100">
        <v>3.1699999999999999E-2</v>
      </c>
      <c r="D36" s="74">
        <v>58835635</v>
      </c>
      <c r="E36" s="100">
        <v>3.9E-2</v>
      </c>
    </row>
    <row r="37" spans="1:7" x14ac:dyDescent="0.25">
      <c r="A37" t="s">
        <v>138</v>
      </c>
      <c r="B37" s="74">
        <v>37680</v>
      </c>
      <c r="C37" s="100">
        <v>0.3306</v>
      </c>
      <c r="D37" s="74">
        <v>525796423</v>
      </c>
      <c r="E37" s="100">
        <v>0.3483</v>
      </c>
    </row>
    <row r="38" spans="1:7" x14ac:dyDescent="0.25">
      <c r="A38" t="s">
        <v>139</v>
      </c>
      <c r="B38" s="74">
        <v>44491</v>
      </c>
      <c r="C38" s="100">
        <v>0.39040000000000002</v>
      </c>
      <c r="D38" s="74">
        <v>593494378</v>
      </c>
      <c r="E38" s="100">
        <v>0.39319999999999999</v>
      </c>
    </row>
    <row r="39" spans="1:7" x14ac:dyDescent="0.25">
      <c r="A39" t="s">
        <v>140</v>
      </c>
      <c r="B39" s="74">
        <v>22199</v>
      </c>
      <c r="C39" s="100">
        <v>0.1948</v>
      </c>
      <c r="D39" s="74">
        <v>263071212</v>
      </c>
      <c r="E39" s="100">
        <v>0.17430000000000001</v>
      </c>
    </row>
    <row r="40" spans="1:7" x14ac:dyDescent="0.25">
      <c r="A40" t="s">
        <v>141</v>
      </c>
      <c r="B40" s="74">
        <v>4787</v>
      </c>
      <c r="C40" s="100">
        <v>4.2000000000000003E-2</v>
      </c>
      <c r="D40" s="74">
        <v>53293459</v>
      </c>
      <c r="E40" s="100">
        <v>3.5299999999999998E-2</v>
      </c>
    </row>
    <row r="41" spans="1:7" x14ac:dyDescent="0.25">
      <c r="A41">
        <v>100</v>
      </c>
      <c r="B41">
        <v>273</v>
      </c>
      <c r="C41" s="100">
        <v>2.3999999999999998E-3</v>
      </c>
      <c r="D41" s="74">
        <v>3036509</v>
      </c>
      <c r="E41" s="100">
        <v>2E-3</v>
      </c>
    </row>
    <row r="42" spans="1:7" x14ac:dyDescent="0.25">
      <c r="A42">
        <v>0</v>
      </c>
      <c r="B42">
        <v>148</v>
      </c>
      <c r="C42" s="100">
        <v>1.2999999999999999E-3</v>
      </c>
      <c r="D42" s="74">
        <v>1202867</v>
      </c>
      <c r="E42" s="100">
        <v>8.0000000000000004E-4</v>
      </c>
    </row>
    <row r="43" spans="1:7" x14ac:dyDescent="0.25">
      <c r="A43" t="s">
        <v>142</v>
      </c>
      <c r="B43" t="s">
        <v>143</v>
      </c>
      <c r="C43" s="104">
        <v>1</v>
      </c>
      <c r="D43">
        <v>11</v>
      </c>
      <c r="E43" s="100">
        <v>1E-4</v>
      </c>
      <c r="F43" s="74">
        <v>96000</v>
      </c>
      <c r="G43" s="100">
        <v>1E-4</v>
      </c>
    </row>
    <row r="60" spans="1:4" ht="1.5" customHeight="1" thickBot="1" x14ac:dyDescent="0.3"/>
    <row r="61" spans="1:4" ht="31.5" customHeight="1" x14ac:dyDescent="0.25">
      <c r="A61" s="363" t="s">
        <v>144</v>
      </c>
      <c r="B61" s="364"/>
      <c r="C61" s="364"/>
      <c r="D61" s="365"/>
    </row>
    <row r="62" spans="1:4" x14ac:dyDescent="0.25">
      <c r="A62" s="106" t="s">
        <v>145</v>
      </c>
      <c r="B62" s="107" t="s">
        <v>50</v>
      </c>
      <c r="C62" s="108" t="s">
        <v>7</v>
      </c>
      <c r="D62" s="109" t="s">
        <v>50</v>
      </c>
    </row>
    <row r="63" spans="1:4" x14ac:dyDescent="0.25">
      <c r="A63" s="89">
        <v>31137</v>
      </c>
      <c r="B63" s="77">
        <f>A63/$F$18</f>
        <v>0.18605154195959114</v>
      </c>
      <c r="C63" s="51">
        <v>395798200.03000003</v>
      </c>
      <c r="D63" s="90">
        <f>C63/C72</f>
        <v>0.19391687100775967</v>
      </c>
    </row>
    <row r="64" spans="1:4" x14ac:dyDescent="0.25">
      <c r="A64" s="89">
        <v>59538</v>
      </c>
      <c r="B64" s="77">
        <f t="shared" ref="B64:B71" si="0">A64/$F$18</f>
        <v>0.35575478386453857</v>
      </c>
      <c r="C64" s="51">
        <v>514655292.12</v>
      </c>
      <c r="D64" s="90">
        <f>C64/C72</f>
        <v>0.25214956482351464</v>
      </c>
    </row>
    <row r="65" spans="1:4" x14ac:dyDescent="0.25">
      <c r="A65" s="89">
        <v>272</v>
      </c>
      <c r="B65" s="78">
        <f t="shared" si="0"/>
        <v>1.6252695960756909E-3</v>
      </c>
      <c r="C65" s="51">
        <v>4588034.25</v>
      </c>
      <c r="D65" s="91">
        <f>C65/C72</f>
        <v>2.2478557147783836E-3</v>
      </c>
    </row>
    <row r="66" spans="1:4" x14ac:dyDescent="0.25">
      <c r="A66" s="89">
        <v>165</v>
      </c>
      <c r="B66" s="78">
        <f t="shared" si="0"/>
        <v>9.8591721820768022E-4</v>
      </c>
      <c r="C66" s="51">
        <v>4769926.3500000006</v>
      </c>
      <c r="D66" s="91">
        <f>C66/C72</f>
        <v>2.3369717008802837E-3</v>
      </c>
    </row>
    <row r="67" spans="1:4" x14ac:dyDescent="0.25">
      <c r="A67" s="89">
        <v>291</v>
      </c>
      <c r="B67" s="78">
        <f t="shared" si="0"/>
        <v>1.7387994575662723E-3</v>
      </c>
      <c r="C67" s="51">
        <v>7859081.6799999997</v>
      </c>
      <c r="D67" s="91">
        <f>C67/C72</f>
        <v>3.8504685677309622E-3</v>
      </c>
    </row>
    <row r="68" spans="1:4" x14ac:dyDescent="0.25">
      <c r="A68" s="89">
        <v>18719</v>
      </c>
      <c r="B68" s="77">
        <f t="shared" si="0"/>
        <v>0.11185081459169433</v>
      </c>
      <c r="C68" s="51">
        <v>422264407.25999999</v>
      </c>
      <c r="D68" s="90">
        <f>C68/C72</f>
        <v>0.20688369120324193</v>
      </c>
    </row>
    <row r="69" spans="1:4" x14ac:dyDescent="0.25">
      <c r="A69" s="89">
        <v>21144</v>
      </c>
      <c r="B69" s="77">
        <f t="shared" si="0"/>
        <v>0.12634081007141326</v>
      </c>
      <c r="C69" s="51">
        <v>451598843.05000001</v>
      </c>
      <c r="D69" s="90">
        <f>C69/C72</f>
        <v>0.22125576768247726</v>
      </c>
    </row>
    <row r="70" spans="1:4" x14ac:dyDescent="0.25">
      <c r="A70" s="89">
        <v>9753</v>
      </c>
      <c r="B70" s="77">
        <f t="shared" si="0"/>
        <v>5.8276670479875788E-2</v>
      </c>
      <c r="C70" s="51">
        <v>58518000</v>
      </c>
      <c r="D70" s="90">
        <f>C70/C72</f>
        <v>2.8670235126819606E-2</v>
      </c>
    </row>
    <row r="71" spans="1:4" x14ac:dyDescent="0.25">
      <c r="A71" s="89">
        <v>17481</v>
      </c>
      <c r="B71" s="77">
        <f t="shared" si="0"/>
        <v>0.10445344782720277</v>
      </c>
      <c r="C71" s="51">
        <v>181019721.69</v>
      </c>
      <c r="D71" s="90">
        <f>C71/C72</f>
        <v>8.8688574172797213E-2</v>
      </c>
    </row>
    <row r="72" spans="1:4" ht="15.75" thickBot="1" x14ac:dyDescent="0.3">
      <c r="A72" s="92">
        <f t="shared" ref="A72:D72" si="1">SUM(A63:A71)</f>
        <v>158500</v>
      </c>
      <c r="B72" s="93">
        <f t="shared" si="1"/>
        <v>0.9470780550661656</v>
      </c>
      <c r="C72" s="94">
        <f t="shared" si="1"/>
        <v>2041071506.4300001</v>
      </c>
      <c r="D72" s="95">
        <f t="shared" si="1"/>
        <v>0.99999999999999989</v>
      </c>
    </row>
  </sheetData>
  <mergeCells count="1">
    <mergeCell ref="A61:D6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pageSetUpPr fitToPage="1"/>
  </sheetPr>
  <dimension ref="A2:AA29"/>
  <sheetViews>
    <sheetView showGridLines="0" zoomScaleNormal="100" workbookViewId="0">
      <selection activeCell="A11" sqref="A11:M20"/>
    </sheetView>
  </sheetViews>
  <sheetFormatPr baseColWidth="10" defaultColWidth="11.42578125" defaultRowHeight="15" outlineLevelRow="1" x14ac:dyDescent="0.25"/>
  <cols>
    <col min="1" max="1" width="27.7109375" style="1" customWidth="1"/>
    <col min="2" max="2" width="13.42578125" style="1" customWidth="1"/>
    <col min="3" max="3" width="15.7109375" style="1" customWidth="1"/>
    <col min="4" max="4" width="17.7109375" style="1" bestFit="1" customWidth="1"/>
    <col min="5" max="5" width="11.42578125" style="1"/>
    <col min="6" max="6" width="13.42578125" style="1" customWidth="1"/>
    <col min="7" max="7" width="15.7109375" style="1" customWidth="1"/>
    <col min="8" max="8" width="18.42578125" style="1" bestFit="1" customWidth="1"/>
    <col min="9" max="9" width="11.42578125" style="1"/>
    <col min="10" max="11" width="11.42578125" style="1" bestFit="1" customWidth="1"/>
    <col min="12" max="12" width="18.5703125" style="1" customWidth="1"/>
    <col min="13" max="13" width="13" style="1" customWidth="1"/>
    <col min="14" max="14" width="16" style="1" customWidth="1"/>
    <col min="15" max="15" width="12.140625" style="1" customWidth="1"/>
    <col min="16" max="16" width="15.140625" style="1" customWidth="1"/>
    <col min="17" max="17" width="11.42578125" style="1" customWidth="1"/>
    <col min="18" max="19" width="15.7109375" style="1" customWidth="1"/>
    <col min="20" max="20" width="18.42578125" style="1" bestFit="1" customWidth="1"/>
    <col min="21" max="21" width="19.7109375" style="1" customWidth="1"/>
    <col min="22" max="22" width="11.42578125" style="1"/>
    <col min="23" max="23" width="13.7109375" style="1" bestFit="1" customWidth="1"/>
    <col min="24" max="16384" width="11.42578125" style="1"/>
  </cols>
  <sheetData>
    <row r="2" spans="1:27" x14ac:dyDescent="0.25">
      <c r="A2" s="332" t="s">
        <v>0</v>
      </c>
      <c r="B2" s="332"/>
      <c r="C2" s="332"/>
      <c r="D2" s="332"/>
      <c r="E2" s="332"/>
      <c r="F2" s="332"/>
      <c r="G2" s="332"/>
      <c r="H2" s="332"/>
      <c r="I2" s="332"/>
      <c r="J2" s="332"/>
      <c r="K2" s="332"/>
      <c r="L2" s="332"/>
      <c r="M2" s="332"/>
      <c r="N2" s="22"/>
      <c r="O2" s="22"/>
      <c r="P2" s="22"/>
      <c r="Q2" s="22"/>
      <c r="R2" s="22"/>
      <c r="S2" s="22"/>
      <c r="T2" s="22"/>
      <c r="U2" s="22"/>
      <c r="V2" s="22"/>
      <c r="W2" s="22"/>
      <c r="X2" s="22"/>
      <c r="Y2" s="22"/>
      <c r="Z2" s="22"/>
      <c r="AA2" s="22"/>
    </row>
    <row r="3" spans="1:27" x14ac:dyDescent="0.25">
      <c r="A3" s="332" t="s">
        <v>62</v>
      </c>
      <c r="B3" s="332"/>
      <c r="C3" s="332"/>
      <c r="D3" s="332"/>
      <c r="E3" s="332"/>
      <c r="F3" s="332"/>
      <c r="G3" s="332"/>
      <c r="H3" s="332"/>
      <c r="I3" s="332"/>
      <c r="J3" s="332"/>
      <c r="K3" s="332"/>
      <c r="L3" s="332"/>
      <c r="M3" s="332"/>
      <c r="N3" s="22"/>
      <c r="O3" s="22"/>
      <c r="P3" s="22"/>
      <c r="Q3" s="22"/>
      <c r="R3" s="22"/>
      <c r="S3" s="22"/>
      <c r="T3" s="22"/>
      <c r="U3" s="22"/>
      <c r="V3" s="22"/>
      <c r="W3" s="22"/>
      <c r="X3" s="22"/>
      <c r="Y3" s="22"/>
      <c r="Z3" s="22"/>
      <c r="AA3" s="22"/>
    </row>
    <row r="4" spans="1:27" x14ac:dyDescent="0.25">
      <c r="A4" s="332" t="s">
        <v>275</v>
      </c>
      <c r="B4" s="332"/>
      <c r="C4" s="332"/>
      <c r="D4" s="332"/>
      <c r="E4" s="332"/>
      <c r="F4" s="332"/>
      <c r="G4" s="332"/>
      <c r="H4" s="332"/>
      <c r="I4" s="332"/>
      <c r="J4" s="332"/>
      <c r="K4" s="332"/>
      <c r="L4" s="332"/>
      <c r="M4" s="332"/>
      <c r="N4" s="22"/>
      <c r="O4" s="22"/>
      <c r="P4" s="22"/>
      <c r="Q4" s="22"/>
      <c r="R4" s="22"/>
      <c r="S4" s="22"/>
      <c r="T4" s="22"/>
      <c r="U4" s="22"/>
      <c r="V4" s="22"/>
      <c r="W4" s="22"/>
      <c r="X4" s="22"/>
      <c r="Y4" s="22"/>
      <c r="Z4" s="22"/>
      <c r="AA4" s="22"/>
    </row>
    <row r="5" spans="1:27" x14ac:dyDescent="0.25">
      <c r="A5" s="332" t="s">
        <v>274</v>
      </c>
      <c r="B5" s="332"/>
      <c r="C5" s="332"/>
      <c r="D5" s="332"/>
      <c r="E5" s="332"/>
      <c r="F5" s="332"/>
      <c r="G5" s="332"/>
      <c r="H5" s="332"/>
      <c r="I5" s="332"/>
      <c r="J5" s="332"/>
      <c r="K5" s="332"/>
      <c r="L5" s="332"/>
      <c r="M5" s="332"/>
      <c r="N5" s="22"/>
      <c r="O5" s="22"/>
      <c r="P5" s="22"/>
      <c r="Q5" s="22"/>
      <c r="R5" s="22"/>
      <c r="S5" s="22"/>
      <c r="T5" s="22"/>
      <c r="U5" s="22"/>
      <c r="V5" s="22"/>
      <c r="W5" s="22"/>
      <c r="X5" s="22"/>
      <c r="Y5" s="22"/>
      <c r="Z5" s="22"/>
      <c r="AA5" s="22"/>
    </row>
    <row r="6" spans="1:27" x14ac:dyDescent="0.25">
      <c r="A6" s="332" t="s">
        <v>262</v>
      </c>
      <c r="B6" s="332"/>
      <c r="C6" s="332"/>
      <c r="D6" s="332"/>
      <c r="E6" s="332"/>
      <c r="F6" s="332"/>
      <c r="G6" s="332"/>
      <c r="H6" s="332"/>
      <c r="I6" s="332"/>
      <c r="J6" s="332"/>
      <c r="K6" s="332"/>
      <c r="L6" s="332"/>
      <c r="M6" s="332"/>
      <c r="N6" s="22"/>
      <c r="O6" s="22"/>
      <c r="P6" s="22"/>
      <c r="Q6" s="22"/>
      <c r="R6" s="22"/>
      <c r="S6" s="22"/>
      <c r="T6" s="22"/>
      <c r="U6" s="22"/>
      <c r="V6" s="22"/>
      <c r="W6" s="22"/>
      <c r="X6" s="22"/>
      <c r="Y6" s="22"/>
      <c r="Z6" s="22"/>
      <c r="AA6" s="22"/>
    </row>
    <row r="7" spans="1:27"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row>
    <row r="8" spans="1:27" ht="15.75" customHeight="1" thickBot="1" x14ac:dyDescent="0.3">
      <c r="A8" s="371" t="s">
        <v>146</v>
      </c>
      <c r="B8" s="371"/>
      <c r="C8" s="371"/>
      <c r="D8" s="371"/>
      <c r="E8" s="371"/>
      <c r="F8" s="371"/>
      <c r="G8" s="371"/>
      <c r="H8" s="371"/>
      <c r="I8" s="371"/>
      <c r="J8" s="371"/>
      <c r="K8" s="371"/>
      <c r="L8" s="371"/>
      <c r="M8" s="371"/>
      <c r="N8" s="117"/>
      <c r="O8" s="117"/>
      <c r="P8" s="117"/>
      <c r="Q8"/>
      <c r="R8"/>
      <c r="S8"/>
    </row>
    <row r="9" spans="1:27" ht="31.5" customHeight="1" x14ac:dyDescent="0.25">
      <c r="A9" s="147"/>
      <c r="B9" s="368" t="s">
        <v>247</v>
      </c>
      <c r="C9" s="369"/>
      <c r="D9" s="369"/>
      <c r="E9" s="370"/>
      <c r="F9" s="368" t="s">
        <v>273</v>
      </c>
      <c r="G9" s="369"/>
      <c r="H9" s="369"/>
      <c r="I9" s="370"/>
      <c r="J9" s="368" t="s">
        <v>77</v>
      </c>
      <c r="K9" s="369"/>
      <c r="L9" s="369"/>
      <c r="M9" s="370"/>
      <c r="N9" s="148"/>
      <c r="O9" s="148"/>
      <c r="P9" s="148"/>
      <c r="Q9"/>
      <c r="R9"/>
      <c r="S9"/>
    </row>
    <row r="10" spans="1:27" ht="45" x14ac:dyDescent="0.25">
      <c r="A10" s="102" t="s">
        <v>147</v>
      </c>
      <c r="B10" s="149" t="s">
        <v>145</v>
      </c>
      <c r="C10" s="107" t="s">
        <v>50</v>
      </c>
      <c r="D10" s="107" t="s">
        <v>7</v>
      </c>
      <c r="E10" s="109" t="s">
        <v>50</v>
      </c>
      <c r="F10" s="149" t="s">
        <v>145</v>
      </c>
      <c r="G10" s="107" t="s">
        <v>50</v>
      </c>
      <c r="H10" s="107" t="s">
        <v>7</v>
      </c>
      <c r="I10" s="109" t="s">
        <v>50</v>
      </c>
      <c r="J10" s="150" t="s">
        <v>148</v>
      </c>
      <c r="K10" s="110" t="s">
        <v>149</v>
      </c>
      <c r="L10" s="110" t="s">
        <v>150</v>
      </c>
      <c r="M10" s="111" t="s">
        <v>149</v>
      </c>
      <c r="N10"/>
      <c r="O10"/>
      <c r="P10"/>
      <c r="Q10"/>
      <c r="R10"/>
      <c r="S10"/>
    </row>
    <row r="11" spans="1:27" outlineLevel="1" x14ac:dyDescent="0.25">
      <c r="A11" s="96" t="s">
        <v>151</v>
      </c>
      <c r="B11" s="290">
        <v>33545</v>
      </c>
      <c r="C11" s="291">
        <v>0.14644762461909211</v>
      </c>
      <c r="D11" s="292">
        <v>1621822088.1399999</v>
      </c>
      <c r="E11" s="293">
        <v>0.15449817140673611</v>
      </c>
      <c r="F11" s="89">
        <v>39252</v>
      </c>
      <c r="G11" s="82">
        <f>F11/$B$20</f>
        <v>0.1713627116276227</v>
      </c>
      <c r="H11" s="155">
        <v>2449601897.5599999</v>
      </c>
      <c r="I11" s="82">
        <f>H11/$D$20</f>
        <v>0.23515193570112941</v>
      </c>
      <c r="J11" s="151">
        <f>+F11-B11</f>
        <v>5707</v>
      </c>
      <c r="K11" s="82">
        <f>+(F11-B11)/B11</f>
        <v>0.17012967655388284</v>
      </c>
      <c r="L11" s="155">
        <f>+H11-D11</f>
        <v>827779809.42000008</v>
      </c>
      <c r="M11" s="103">
        <f>+(H11-D11)/D11</f>
        <v>0.51040111950216827</v>
      </c>
      <c r="N11"/>
      <c r="O11"/>
      <c r="P11"/>
      <c r="Q11"/>
      <c r="R11"/>
      <c r="S11"/>
    </row>
    <row r="12" spans="1:27" outlineLevel="1" x14ac:dyDescent="0.25">
      <c r="A12" s="97" t="s">
        <v>107</v>
      </c>
      <c r="B12" s="290">
        <v>69432</v>
      </c>
      <c r="C12" s="291">
        <v>0.30311973386653163</v>
      </c>
      <c r="D12" s="292">
        <v>2127665759.1000001</v>
      </c>
      <c r="E12" s="293">
        <v>0.20329096040674013</v>
      </c>
      <c r="F12" s="89">
        <v>78284</v>
      </c>
      <c r="G12" s="82">
        <f t="shared" ref="G12:G19" si="0">F12/$B$20</f>
        <v>0.34176496782474308</v>
      </c>
      <c r="H12" s="155">
        <v>2423836090.4899998</v>
      </c>
      <c r="I12" s="82">
        <f t="shared" ref="I12:I19" si="1">H12/$D$20</f>
        <v>0.23267852179111917</v>
      </c>
      <c r="J12" s="151">
        <f t="shared" ref="J12:J20" si="2">+F12-B12</f>
        <v>8852</v>
      </c>
      <c r="K12" s="82">
        <f t="shared" ref="K12:K20" si="3">+(F12-B12)/B12</f>
        <v>0.12749164650305334</v>
      </c>
      <c r="L12" s="155">
        <f t="shared" ref="L12:L20" si="4">+H12-D12</f>
        <v>296170331.38999963</v>
      </c>
      <c r="M12" s="103">
        <f t="shared" ref="M12:M20" si="5">+(H12-D12)/D12</f>
        <v>0.1391996511309555</v>
      </c>
      <c r="N12"/>
      <c r="O12"/>
      <c r="P12"/>
      <c r="Q12"/>
      <c r="R12"/>
      <c r="S12"/>
    </row>
    <row r="13" spans="1:27" outlineLevel="1" x14ac:dyDescent="0.25">
      <c r="A13" s="97" t="s">
        <v>152</v>
      </c>
      <c r="B13" s="290">
        <v>253</v>
      </c>
      <c r="C13" s="291">
        <v>1.1045237450776658E-3</v>
      </c>
      <c r="D13" s="292">
        <v>22730663.25</v>
      </c>
      <c r="E13" s="293">
        <v>2.1523700829547509E-3</v>
      </c>
      <c r="F13" s="89">
        <v>250</v>
      </c>
      <c r="G13" s="82">
        <f t="shared" si="0"/>
        <v>1.0914266255708162E-3</v>
      </c>
      <c r="H13" s="155">
        <v>22410000</v>
      </c>
      <c r="I13" s="82">
        <f t="shared" si="1"/>
        <v>2.1512699203537558E-3</v>
      </c>
      <c r="J13" s="151">
        <f>+F13-B13</f>
        <v>-3</v>
      </c>
      <c r="K13" s="82">
        <f t="shared" si="3"/>
        <v>-1.1857707509881422E-2</v>
      </c>
      <c r="L13" s="155">
        <f t="shared" si="4"/>
        <v>-320663.25</v>
      </c>
      <c r="M13" s="103">
        <f t="shared" si="5"/>
        <v>-1.4107078463713547E-2</v>
      </c>
      <c r="N13"/>
      <c r="O13"/>
      <c r="P13"/>
      <c r="Q13"/>
      <c r="R13"/>
      <c r="S13"/>
    </row>
    <row r="14" spans="1:27" outlineLevel="1" x14ac:dyDescent="0.25">
      <c r="A14" s="97" t="s">
        <v>153</v>
      </c>
      <c r="B14" s="290">
        <v>169</v>
      </c>
      <c r="C14" s="291">
        <v>7.3780439888587171E-4</v>
      </c>
      <c r="D14" s="292">
        <v>25111201.280000001</v>
      </c>
      <c r="E14" s="293">
        <v>2.3872526196710305E-3</v>
      </c>
      <c r="F14" s="89">
        <v>174</v>
      </c>
      <c r="G14" s="82">
        <f t="shared" si="0"/>
        <v>7.5963293139728807E-4</v>
      </c>
      <c r="H14" s="155">
        <v>26625587.5</v>
      </c>
      <c r="I14" s="82">
        <f t="shared" si="1"/>
        <v>2.5559493753010689E-3</v>
      </c>
      <c r="J14" s="151">
        <f t="shared" si="2"/>
        <v>5</v>
      </c>
      <c r="K14" s="82">
        <f t="shared" si="3"/>
        <v>2.9585798816568046E-2</v>
      </c>
      <c r="L14" s="155">
        <f t="shared" si="4"/>
        <v>1514386.2199999988</v>
      </c>
      <c r="M14" s="103">
        <f t="shared" si="5"/>
        <v>6.030719928983018E-2</v>
      </c>
      <c r="N14"/>
      <c r="O14"/>
      <c r="P14"/>
      <c r="Q14"/>
      <c r="R14"/>
      <c r="S14"/>
    </row>
    <row r="15" spans="1:27" outlineLevel="1" x14ac:dyDescent="0.25">
      <c r="A15" s="97" t="s">
        <v>154</v>
      </c>
      <c r="B15" s="290">
        <v>229</v>
      </c>
      <c r="C15" s="291">
        <v>9.9974678902286758E-4</v>
      </c>
      <c r="D15" s="292">
        <v>21836750.169999998</v>
      </c>
      <c r="E15" s="293">
        <v>2.0561798553543967E-3</v>
      </c>
      <c r="F15" s="89">
        <v>224</v>
      </c>
      <c r="G15" s="82">
        <f t="shared" si="0"/>
        <v>9.7791825651145133E-4</v>
      </c>
      <c r="H15" s="155">
        <v>21629281.969999999</v>
      </c>
      <c r="I15" s="82">
        <f t="shared" si="1"/>
        <v>2.0763241276622411E-3</v>
      </c>
      <c r="J15" s="151">
        <f t="shared" si="2"/>
        <v>-5</v>
      </c>
      <c r="K15" s="82">
        <f t="shared" si="3"/>
        <v>-2.1834061135371178E-2</v>
      </c>
      <c r="L15" s="155">
        <f t="shared" si="4"/>
        <v>-207468.19999999925</v>
      </c>
      <c r="M15" s="103">
        <f t="shared" si="5"/>
        <v>-9.5008734534603716E-3</v>
      </c>
      <c r="N15"/>
      <c r="O15"/>
      <c r="P15"/>
      <c r="Q15"/>
      <c r="R15"/>
      <c r="S15"/>
    </row>
    <row r="16" spans="1:27" outlineLevel="1" x14ac:dyDescent="0.25">
      <c r="A16" s="97" t="s">
        <v>155</v>
      </c>
      <c r="B16" s="290">
        <v>33524</v>
      </c>
      <c r="C16" s="291">
        <v>0.14635594478254416</v>
      </c>
      <c r="D16" s="292">
        <v>2873885821.79</v>
      </c>
      <c r="E16" s="293">
        <v>0.27959390349293534</v>
      </c>
      <c r="F16" s="89">
        <v>27444</v>
      </c>
      <c r="G16" s="82">
        <f t="shared" si="0"/>
        <v>0.11981244924866191</v>
      </c>
      <c r="H16" s="155">
        <v>2450685367.5</v>
      </c>
      <c r="I16" s="82">
        <f t="shared" si="1"/>
        <v>0.23525594446023382</v>
      </c>
      <c r="J16" s="151">
        <f t="shared" si="2"/>
        <v>-6080</v>
      </c>
      <c r="K16" s="82">
        <f t="shared" si="3"/>
        <v>-0.18136260589428468</v>
      </c>
      <c r="L16" s="155">
        <f>+H16-D16</f>
        <v>-423200454.28999996</v>
      </c>
      <c r="M16" s="103">
        <f t="shared" si="5"/>
        <v>-0.14725722611568803</v>
      </c>
      <c r="N16"/>
      <c r="O16"/>
      <c r="P16"/>
      <c r="Q16"/>
      <c r="R16"/>
      <c r="S16"/>
    </row>
    <row r="17" spans="1:27" outlineLevel="1" x14ac:dyDescent="0.25">
      <c r="A17" s="97" t="s">
        <v>156</v>
      </c>
      <c r="B17" s="290">
        <v>24989</v>
      </c>
      <c r="C17" s="291">
        <v>0.1090946397855565</v>
      </c>
      <c r="D17" s="292">
        <v>2163586360.77</v>
      </c>
      <c r="E17" s="293">
        <v>0.20497339231223852</v>
      </c>
      <c r="F17" s="89">
        <v>25516</v>
      </c>
      <c r="G17" s="82">
        <f t="shared" si="0"/>
        <v>0.11139536711225978</v>
      </c>
      <c r="H17" s="155">
        <v>2304728695.4000001</v>
      </c>
      <c r="I17" s="82">
        <f t="shared" si="1"/>
        <v>0.22124469062874491</v>
      </c>
      <c r="J17" s="151">
        <f t="shared" si="2"/>
        <v>527</v>
      </c>
      <c r="K17" s="82">
        <f t="shared" si="3"/>
        <v>2.1089279282884468E-2</v>
      </c>
      <c r="L17" s="155">
        <f t="shared" si="4"/>
        <v>141142334.63000011</v>
      </c>
      <c r="M17" s="103">
        <f t="shared" si="5"/>
        <v>6.5235359766165693E-2</v>
      </c>
      <c r="N17"/>
      <c r="O17"/>
      <c r="P17"/>
      <c r="Q17"/>
      <c r="R17"/>
      <c r="S17"/>
    </row>
    <row r="18" spans="1:27" outlineLevel="1" x14ac:dyDescent="0.25">
      <c r="A18" s="97" t="s">
        <v>157</v>
      </c>
      <c r="B18" s="290">
        <v>47060</v>
      </c>
      <c r="C18" s="291">
        <v>0.20545014799745043</v>
      </c>
      <c r="D18" s="292">
        <v>816120000</v>
      </c>
      <c r="E18" s="293">
        <v>8.0210138605142131E-2</v>
      </c>
      <c r="F18" s="89">
        <v>52012</v>
      </c>
      <c r="G18" s="82">
        <f t="shared" si="0"/>
        <v>0.22706912659675715</v>
      </c>
      <c r="H18" s="155">
        <v>935682000</v>
      </c>
      <c r="I18" s="82">
        <f t="shared" si="1"/>
        <v>8.9821710915503922E-2</v>
      </c>
      <c r="J18" s="151">
        <f t="shared" si="2"/>
        <v>4952</v>
      </c>
      <c r="K18" s="82">
        <f t="shared" si="3"/>
        <v>0.10522736931576711</v>
      </c>
      <c r="L18" s="155">
        <f t="shared" si="4"/>
        <v>119562000</v>
      </c>
      <c r="M18" s="103">
        <f t="shared" si="5"/>
        <v>0.14650051463020144</v>
      </c>
      <c r="N18"/>
      <c r="O18"/>
      <c r="P18"/>
      <c r="Q18"/>
      <c r="R18"/>
      <c r="S18"/>
    </row>
    <row r="19" spans="1:27" outlineLevel="1" x14ac:dyDescent="0.25">
      <c r="A19" s="97" t="s">
        <v>158</v>
      </c>
      <c r="B19" s="290">
        <v>19857</v>
      </c>
      <c r="C19" s="291">
        <v>8.6689834015838782E-2</v>
      </c>
      <c r="D19" s="292">
        <v>744344196.92999995</v>
      </c>
      <c r="E19" s="293">
        <v>7.0837631218227753E-2</v>
      </c>
      <c r="F19" s="89">
        <v>20583</v>
      </c>
      <c r="G19" s="82">
        <f t="shared" si="0"/>
        <v>8.9859336936496434E-2</v>
      </c>
      <c r="H19" s="155">
        <v>786955963.40999997</v>
      </c>
      <c r="I19" s="82">
        <f t="shared" si="1"/>
        <v>7.5544609224763221E-2</v>
      </c>
      <c r="J19" s="151">
        <f t="shared" si="2"/>
        <v>726</v>
      </c>
      <c r="K19" s="82">
        <f t="shared" si="3"/>
        <v>3.6561414110892886E-2</v>
      </c>
      <c r="L19" s="155">
        <f t="shared" si="4"/>
        <v>42611766.480000019</v>
      </c>
      <c r="M19" s="103">
        <f t="shared" si="5"/>
        <v>5.7247395298773776E-2</v>
      </c>
      <c r="N19"/>
      <c r="O19"/>
      <c r="P19"/>
      <c r="Q19"/>
      <c r="R19"/>
      <c r="S19"/>
    </row>
    <row r="20" spans="1:27" ht="15.75" thickBot="1" x14ac:dyDescent="0.3">
      <c r="A20" s="98" t="s">
        <v>159</v>
      </c>
      <c r="B20" s="92">
        <f t="shared" ref="B20:I20" si="6">SUM(B11:B19)</f>
        <v>229058</v>
      </c>
      <c r="C20" s="236">
        <f t="shared" si="6"/>
        <v>1.0000000000000002</v>
      </c>
      <c r="D20" s="239">
        <f t="shared" si="6"/>
        <v>10417102841.43</v>
      </c>
      <c r="E20" s="236">
        <f t="shared" ref="E20" si="7">D20/$D$20</f>
        <v>1</v>
      </c>
      <c r="F20" s="92">
        <f t="shared" si="6"/>
        <v>243739</v>
      </c>
      <c r="G20" s="236">
        <f t="shared" si="6"/>
        <v>1.0640929371600207</v>
      </c>
      <c r="H20" s="238">
        <f>SUM(H11:H19)</f>
        <v>11422154883.83</v>
      </c>
      <c r="I20" s="237">
        <f t="shared" si="6"/>
        <v>1.0964809561448114</v>
      </c>
      <c r="J20" s="92">
        <f t="shared" si="2"/>
        <v>14681</v>
      </c>
      <c r="K20" s="236">
        <f t="shared" si="3"/>
        <v>6.409293716002061E-2</v>
      </c>
      <c r="L20" s="239">
        <f t="shared" si="4"/>
        <v>1005052042.3999996</v>
      </c>
      <c r="M20" s="237">
        <f t="shared" si="5"/>
        <v>9.6480956144811544E-2</v>
      </c>
      <c r="N20" s="153"/>
      <c r="O20"/>
      <c r="P20"/>
      <c r="Q20"/>
      <c r="R20"/>
      <c r="S20"/>
    </row>
    <row r="21" spans="1:27" ht="14.25" customHeight="1" x14ac:dyDescent="0.25">
      <c r="A21" s="366" t="s">
        <v>160</v>
      </c>
      <c r="B21" s="366"/>
      <c r="C21" s="366"/>
      <c r="D21" s="366"/>
      <c r="E21" s="366"/>
      <c r="F21" s="366"/>
      <c r="G21" s="366"/>
      <c r="H21" s="366"/>
      <c r="I21" s="366"/>
      <c r="J21" s="154"/>
      <c r="K21" s="154"/>
      <c r="L21" s="154"/>
      <c r="M21" s="154"/>
      <c r="N21" s="154"/>
      <c r="O21" s="154"/>
      <c r="P21" s="154"/>
      <c r="Q21" s="154"/>
      <c r="R21" s="154"/>
      <c r="S21" s="154"/>
      <c r="T21" s="154"/>
      <c r="U21" s="154"/>
      <c r="V21"/>
      <c r="W21"/>
      <c r="X21"/>
      <c r="Y21"/>
      <c r="Z21"/>
      <c r="AA21"/>
    </row>
    <row r="22" spans="1:27" ht="15" customHeight="1" x14ac:dyDescent="0.25">
      <c r="J22"/>
      <c r="K22"/>
      <c r="L22"/>
      <c r="M22"/>
      <c r="N22"/>
      <c r="O22"/>
      <c r="P22"/>
      <c r="Q22"/>
      <c r="R22"/>
      <c r="S22"/>
      <c r="T22"/>
      <c r="U22"/>
      <c r="V22"/>
      <c r="W22"/>
      <c r="X22"/>
      <c r="Y22"/>
      <c r="Z22"/>
      <c r="AA22"/>
    </row>
    <row r="23" spans="1:27" x14ac:dyDescent="0.25">
      <c r="A23"/>
      <c r="B23" s="202"/>
      <c r="C23"/>
      <c r="D23"/>
      <c r="E23"/>
      <c r="F23"/>
      <c r="G23"/>
      <c r="H23"/>
      <c r="I23"/>
      <c r="J23"/>
      <c r="K23"/>
      <c r="L23"/>
      <c r="M23"/>
      <c r="N23"/>
      <c r="O23"/>
      <c r="P23"/>
      <c r="Q23"/>
      <c r="R23"/>
      <c r="S23"/>
      <c r="T23"/>
      <c r="U23"/>
      <c r="V23"/>
      <c r="W23"/>
      <c r="X23"/>
      <c r="Y23"/>
      <c r="Z23"/>
      <c r="AA23"/>
    </row>
    <row r="24" spans="1:27" x14ac:dyDescent="0.25">
      <c r="A24"/>
      <c r="B24" s="202"/>
      <c r="C24" s="74"/>
      <c r="D24"/>
      <c r="E24"/>
      <c r="F24" s="74"/>
      <c r="G24"/>
      <c r="H24"/>
      <c r="I24"/>
      <c r="J24"/>
      <c r="K24"/>
      <c r="L24"/>
      <c r="M24"/>
      <c r="N24"/>
      <c r="O24"/>
      <c r="P24"/>
      <c r="Q24"/>
      <c r="R24"/>
      <c r="S24"/>
      <c r="T24"/>
      <c r="U24"/>
      <c r="V24"/>
      <c r="W24"/>
      <c r="X24"/>
      <c r="Y24"/>
      <c r="Z24"/>
      <c r="AA24"/>
    </row>
    <row r="25" spans="1:27" x14ac:dyDescent="0.25">
      <c r="A25"/>
      <c r="B25" s="202"/>
      <c r="C25"/>
      <c r="D25"/>
      <c r="E25"/>
      <c r="F25"/>
      <c r="G25"/>
      <c r="H25" s="202"/>
      <c r="I25"/>
      <c r="J25"/>
      <c r="K25"/>
      <c r="L25"/>
      <c r="M25"/>
      <c r="N25"/>
      <c r="O25"/>
      <c r="P25"/>
      <c r="Q25"/>
      <c r="R25"/>
      <c r="S25"/>
      <c r="T25"/>
      <c r="U25"/>
      <c r="V25"/>
      <c r="W25"/>
      <c r="X25"/>
      <c r="Y25"/>
      <c r="Z25"/>
      <c r="AA25"/>
    </row>
    <row r="26" spans="1:27" x14ac:dyDescent="0.25">
      <c r="A26"/>
      <c r="B26" s="32"/>
      <c r="C26"/>
      <c r="D26" s="202"/>
      <c r="E26"/>
      <c r="F26" s="160"/>
      <c r="G26"/>
      <c r="H26" s="155"/>
      <c r="I26"/>
      <c r="J26"/>
      <c r="K26"/>
      <c r="L26"/>
      <c r="M26"/>
      <c r="N26"/>
      <c r="O26"/>
      <c r="P26"/>
      <c r="Q26"/>
      <c r="R26"/>
      <c r="S26"/>
      <c r="T26"/>
      <c r="U26"/>
      <c r="V26"/>
      <c r="W26"/>
      <c r="X26"/>
      <c r="Y26"/>
      <c r="Z26"/>
      <c r="AA26"/>
    </row>
    <row r="27" spans="1:27" x14ac:dyDescent="0.25">
      <c r="A27"/>
      <c r="B27"/>
      <c r="C27"/>
      <c r="D27"/>
      <c r="E27"/>
      <c r="F27" s="152"/>
      <c r="G27" s="160"/>
      <c r="H27"/>
      <c r="I27"/>
      <c r="J27"/>
      <c r="K27"/>
      <c r="L27"/>
      <c r="M27"/>
      <c r="N27"/>
      <c r="O27"/>
      <c r="P27"/>
      <c r="Q27"/>
      <c r="R27"/>
      <c r="S27"/>
      <c r="T27"/>
      <c r="U27"/>
      <c r="V27"/>
      <c r="W27"/>
      <c r="X27"/>
      <c r="Y27"/>
      <c r="Z27"/>
      <c r="AA27"/>
    </row>
    <row r="28" spans="1:27" x14ac:dyDescent="0.25">
      <c r="A28"/>
      <c r="B28" s="32"/>
      <c r="C28"/>
      <c r="D28" s="160"/>
      <c r="E28" s="114"/>
      <c r="F28" s="114"/>
      <c r="G28" s="160"/>
      <c r="H28" s="114"/>
      <c r="I28"/>
      <c r="J28"/>
      <c r="K28"/>
      <c r="L28"/>
      <c r="M28"/>
      <c r="N28"/>
      <c r="O28"/>
      <c r="P28"/>
      <c r="Q28"/>
      <c r="R28"/>
      <c r="S28"/>
      <c r="T28"/>
      <c r="U28"/>
      <c r="V28"/>
      <c r="W28"/>
      <c r="X28"/>
      <c r="Y28"/>
      <c r="Z28"/>
      <c r="AA28"/>
    </row>
    <row r="29" spans="1:27" x14ac:dyDescent="0.25">
      <c r="A29"/>
      <c r="B29"/>
      <c r="C29"/>
      <c r="D29"/>
      <c r="E29"/>
      <c r="F29"/>
      <c r="G29" s="160"/>
      <c r="H29" s="74"/>
      <c r="I29"/>
      <c r="J29"/>
      <c r="K29"/>
      <c r="L29"/>
      <c r="M29"/>
      <c r="N29"/>
      <c r="O29"/>
      <c r="P29"/>
      <c r="Q29"/>
      <c r="R29"/>
      <c r="S29"/>
      <c r="T29"/>
      <c r="U29"/>
      <c r="V29"/>
      <c r="W29"/>
      <c r="X29"/>
      <c r="Y29"/>
      <c r="Z29"/>
      <c r="AA29"/>
    </row>
  </sheetData>
  <mergeCells count="11">
    <mergeCell ref="A21:I21"/>
    <mergeCell ref="A4:M4"/>
    <mergeCell ref="A5:M5"/>
    <mergeCell ref="A6:M6"/>
    <mergeCell ref="A2:M2"/>
    <mergeCell ref="A3:M3"/>
    <mergeCell ref="A7:AA7"/>
    <mergeCell ref="B9:E9"/>
    <mergeCell ref="F9:I9"/>
    <mergeCell ref="J9:M9"/>
    <mergeCell ref="A8:M8"/>
  </mergeCells>
  <pageMargins left="0.7" right="0.7" top="0.75" bottom="0.75" header="0.3" footer="0.3"/>
  <pageSetup paperSize="9" scale="18" orientation="portrait" r:id="rId1"/>
  <ignoredErrors>
    <ignoredError sqref="K11:K20 L11:L20 E20"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B2:T51"/>
  <sheetViews>
    <sheetView showGridLines="0" zoomScale="90" zoomScaleNormal="90" workbookViewId="0">
      <selection activeCell="K34" sqref="K34"/>
    </sheetView>
  </sheetViews>
  <sheetFormatPr baseColWidth="10" defaultColWidth="11.42578125" defaultRowHeight="15" x14ac:dyDescent="0.25"/>
  <cols>
    <col min="1" max="2" width="11.42578125" style="1"/>
    <col min="3" max="3" width="13.85546875" style="1" bestFit="1" customWidth="1"/>
    <col min="4" max="4" width="22.85546875" style="1" bestFit="1" customWidth="1"/>
    <col min="5" max="5" width="12.28515625" style="1" bestFit="1" customWidth="1"/>
    <col min="6" max="6" width="19.7109375" style="1" bestFit="1" customWidth="1"/>
    <col min="7" max="7" width="12.28515625" style="1" bestFit="1" customWidth="1"/>
    <col min="8" max="8" width="19.85546875" style="1" bestFit="1" customWidth="1"/>
    <col min="9" max="9" width="8.7109375" style="1" customWidth="1"/>
    <col min="10" max="10" width="18.42578125" style="1" bestFit="1" customWidth="1"/>
    <col min="11" max="11" width="11.42578125" style="1"/>
    <col min="12" max="12" width="22.140625" style="1" bestFit="1" customWidth="1"/>
    <col min="13" max="13" width="12.5703125" style="1" customWidth="1"/>
    <col min="14" max="14" width="18.140625" style="1" bestFit="1" customWidth="1"/>
    <col min="15" max="15" width="13" style="1" bestFit="1" customWidth="1"/>
    <col min="16" max="16" width="24.5703125" style="1" bestFit="1" customWidth="1"/>
    <col min="17" max="17" width="9" style="1" customWidth="1"/>
    <col min="18" max="18" width="20.28515625" style="1" bestFit="1" customWidth="1"/>
    <col min="19" max="19" width="15.7109375" style="1" customWidth="1"/>
    <col min="20" max="20" width="20.42578125" style="1" customWidth="1"/>
    <col min="21" max="16384" width="11.42578125" style="1"/>
  </cols>
  <sheetData>
    <row r="2" spans="2:20" x14ac:dyDescent="0.25">
      <c r="B2" s="332" t="s">
        <v>0</v>
      </c>
      <c r="C2" s="332"/>
      <c r="D2" s="332"/>
      <c r="E2" s="332"/>
      <c r="F2" s="332"/>
      <c r="G2" s="332"/>
      <c r="H2" s="332"/>
      <c r="I2" s="332"/>
      <c r="J2" s="332"/>
      <c r="K2" s="332"/>
      <c r="L2" s="332"/>
      <c r="M2" s="332"/>
      <c r="N2" s="332"/>
      <c r="O2" s="332"/>
      <c r="P2" s="332"/>
      <c r="Q2" s="332"/>
      <c r="R2" s="332"/>
      <c r="S2" s="205"/>
    </row>
    <row r="3" spans="2:20" x14ac:dyDescent="0.25">
      <c r="B3" s="332" t="s">
        <v>62</v>
      </c>
      <c r="C3" s="332"/>
      <c r="D3" s="332"/>
      <c r="E3" s="332"/>
      <c r="F3" s="332"/>
      <c r="G3" s="332"/>
      <c r="H3" s="332"/>
      <c r="I3" s="332"/>
      <c r="J3" s="332"/>
      <c r="K3" s="332"/>
      <c r="L3" s="332"/>
      <c r="M3" s="332"/>
      <c r="N3" s="332"/>
      <c r="O3" s="332"/>
      <c r="P3" s="332"/>
      <c r="Q3" s="332"/>
      <c r="R3" s="332"/>
      <c r="S3" s="205"/>
    </row>
    <row r="4" spans="2:20" x14ac:dyDescent="0.25">
      <c r="B4" s="332" t="s">
        <v>161</v>
      </c>
      <c r="C4" s="332"/>
      <c r="D4" s="332"/>
      <c r="E4" s="332"/>
      <c r="F4" s="332"/>
      <c r="G4" s="332"/>
      <c r="H4" s="332"/>
      <c r="I4" s="332"/>
      <c r="J4" s="332"/>
      <c r="K4" s="332"/>
      <c r="L4" s="332"/>
      <c r="M4" s="332"/>
      <c r="N4" s="332"/>
      <c r="O4" s="332"/>
      <c r="P4" s="332"/>
      <c r="Q4" s="332"/>
      <c r="R4" s="332"/>
      <c r="S4" s="205"/>
    </row>
    <row r="5" spans="2:20" x14ac:dyDescent="0.25">
      <c r="B5" s="332" t="s">
        <v>240</v>
      </c>
      <c r="C5" s="332"/>
      <c r="D5" s="332"/>
      <c r="E5" s="332"/>
      <c r="F5" s="332"/>
      <c r="G5" s="332"/>
      <c r="H5" s="332"/>
      <c r="I5" s="332"/>
      <c r="J5" s="332"/>
      <c r="K5" s="332"/>
      <c r="L5" s="332"/>
      <c r="M5" s="332"/>
      <c r="N5" s="332"/>
      <c r="O5" s="332"/>
      <c r="P5" s="332"/>
      <c r="Q5" s="332"/>
      <c r="R5" s="332"/>
      <c r="S5" s="205"/>
    </row>
    <row r="6" spans="2:20" ht="15.75" customHeight="1" x14ac:dyDescent="0.25">
      <c r="B6" s="332" t="s">
        <v>262</v>
      </c>
      <c r="C6" s="332"/>
      <c r="D6" s="332"/>
      <c r="E6" s="332"/>
      <c r="F6" s="332"/>
      <c r="G6" s="332"/>
      <c r="H6" s="332"/>
      <c r="I6" s="332"/>
      <c r="J6" s="332"/>
      <c r="K6" s="332"/>
      <c r="L6" s="332"/>
      <c r="M6" s="332"/>
      <c r="N6" s="332"/>
      <c r="O6" s="332"/>
      <c r="P6" s="332"/>
      <c r="Q6" s="332"/>
      <c r="R6" s="332"/>
      <c r="S6" s="205"/>
    </row>
    <row r="7" spans="2:20" x14ac:dyDescent="0.25">
      <c r="B7" s="86"/>
      <c r="C7" s="374" t="s">
        <v>71</v>
      </c>
      <c r="D7" s="374"/>
      <c r="E7" s="374"/>
      <c r="F7" s="374"/>
      <c r="G7" s="375" t="s">
        <v>72</v>
      </c>
      <c r="H7" s="375"/>
      <c r="I7" s="375"/>
      <c r="J7" s="375"/>
      <c r="K7" s="373" t="s">
        <v>73</v>
      </c>
      <c r="L7" s="373"/>
      <c r="M7" s="373"/>
      <c r="N7" s="373"/>
      <c r="O7" s="376" t="s">
        <v>74</v>
      </c>
      <c r="P7" s="376"/>
      <c r="Q7" s="376"/>
      <c r="R7" s="376"/>
      <c r="S7" s="205"/>
    </row>
    <row r="8" spans="2:20" x14ac:dyDescent="0.25">
      <c r="B8" s="145"/>
      <c r="C8" s="372" t="s">
        <v>162</v>
      </c>
      <c r="D8" s="372"/>
      <c r="E8" s="372" t="s">
        <v>163</v>
      </c>
      <c r="F8" s="372"/>
      <c r="G8" s="372" t="s">
        <v>162</v>
      </c>
      <c r="H8" s="372"/>
      <c r="I8" s="372" t="s">
        <v>163</v>
      </c>
      <c r="J8" s="372"/>
      <c r="K8" s="372" t="s">
        <v>162</v>
      </c>
      <c r="L8" s="372"/>
      <c r="M8" s="372" t="s">
        <v>163</v>
      </c>
      <c r="N8" s="372"/>
      <c r="O8" s="372" t="s">
        <v>164</v>
      </c>
      <c r="P8" s="372"/>
      <c r="Q8" s="372" t="s">
        <v>163</v>
      </c>
      <c r="R8" s="372"/>
      <c r="S8" s="205"/>
    </row>
    <row r="9" spans="2:20" ht="35.25" customHeight="1" x14ac:dyDescent="0.25">
      <c r="B9" s="131" t="s">
        <v>3</v>
      </c>
      <c r="C9" s="118" t="s">
        <v>165</v>
      </c>
      <c r="D9" s="118" t="s">
        <v>7</v>
      </c>
      <c r="E9" s="118" t="s">
        <v>76</v>
      </c>
      <c r="F9" s="132" t="s">
        <v>7</v>
      </c>
      <c r="G9" s="118" t="s">
        <v>166</v>
      </c>
      <c r="H9" s="118" t="s">
        <v>7</v>
      </c>
      <c r="I9" s="118" t="s">
        <v>76</v>
      </c>
      <c r="J9" s="132" t="s">
        <v>7</v>
      </c>
      <c r="K9" s="118" t="s">
        <v>166</v>
      </c>
      <c r="L9" s="118" t="s">
        <v>7</v>
      </c>
      <c r="M9" s="118" t="s">
        <v>76</v>
      </c>
      <c r="N9" s="156" t="s">
        <v>7</v>
      </c>
      <c r="O9" s="118" t="s">
        <v>167</v>
      </c>
      <c r="P9" s="118" t="s">
        <v>7</v>
      </c>
      <c r="Q9" s="118" t="s">
        <v>168</v>
      </c>
      <c r="R9" s="132" t="s">
        <v>7</v>
      </c>
      <c r="S9" s="205"/>
    </row>
    <row r="10" spans="2:20" ht="12.75" hidden="1" customHeight="1" x14ac:dyDescent="0.25">
      <c r="B10" s="44" t="s">
        <v>10</v>
      </c>
      <c r="C10" s="180"/>
      <c r="D10" s="228"/>
      <c r="E10" s="180"/>
      <c r="F10" s="242"/>
      <c r="G10" s="180"/>
      <c r="H10" s="228"/>
      <c r="I10" s="180"/>
      <c r="J10" s="158"/>
      <c r="K10" s="180"/>
      <c r="L10" s="244"/>
      <c r="M10" s="144"/>
      <c r="N10" s="228"/>
      <c r="O10" s="156">
        <f>+C10+K10+G10</f>
        <v>0</v>
      </c>
      <c r="P10" s="57">
        <f>+D10+L10+H10</f>
        <v>0</v>
      </c>
      <c r="Q10" s="181">
        <f>+E10+M10+I10</f>
        <v>0</v>
      </c>
      <c r="R10" s="246">
        <f>+F10+N10+J10</f>
        <v>0</v>
      </c>
      <c r="S10" s="205"/>
    </row>
    <row r="11" spans="2:20" x14ac:dyDescent="0.25">
      <c r="B11" s="44" t="s">
        <v>243</v>
      </c>
      <c r="C11" s="323">
        <v>166467</v>
      </c>
      <c r="D11" s="285">
        <v>2720233146.73</v>
      </c>
      <c r="E11" s="323">
        <v>891</v>
      </c>
      <c r="F11" s="285">
        <v>20702120.239999998</v>
      </c>
      <c r="G11" s="316">
        <v>51713</v>
      </c>
      <c r="H11" s="285">
        <v>310278000</v>
      </c>
      <c r="I11" s="316">
        <v>208</v>
      </c>
      <c r="J11" s="285">
        <v>1248000</v>
      </c>
      <c r="K11" s="316">
        <v>25761</v>
      </c>
      <c r="L11" s="285">
        <v>774398423.95000005</v>
      </c>
      <c r="M11" s="316">
        <v>8</v>
      </c>
      <c r="N11" s="285">
        <v>223387.53</v>
      </c>
      <c r="O11" s="38">
        <v>243941</v>
      </c>
      <c r="P11" s="57">
        <v>3804909570.6800003</v>
      </c>
      <c r="Q11" s="38">
        <v>1107</v>
      </c>
      <c r="R11" s="57">
        <v>22173507.77</v>
      </c>
      <c r="S11" s="205"/>
    </row>
    <row r="12" spans="2:20" x14ac:dyDescent="0.25">
      <c r="B12" s="44" t="s">
        <v>239</v>
      </c>
      <c r="C12" s="323">
        <v>166811</v>
      </c>
      <c r="D12" s="285">
        <v>2726502015.1700001</v>
      </c>
      <c r="E12" s="323">
        <v>45</v>
      </c>
      <c r="F12" s="285">
        <v>905762</v>
      </c>
      <c r="G12" s="316">
        <v>51952</v>
      </c>
      <c r="H12" s="285">
        <v>311712000</v>
      </c>
      <c r="I12" s="316">
        <v>62</v>
      </c>
      <c r="J12" s="285">
        <v>372000</v>
      </c>
      <c r="K12" s="316">
        <v>25740</v>
      </c>
      <c r="L12" s="285">
        <v>772053585.90999997</v>
      </c>
      <c r="M12" s="316">
        <v>4</v>
      </c>
      <c r="N12" s="285">
        <v>174058.64</v>
      </c>
      <c r="O12" s="38">
        <v>244503</v>
      </c>
      <c r="P12" s="57">
        <v>3810267601.0799999</v>
      </c>
      <c r="Q12" s="38">
        <v>111</v>
      </c>
      <c r="R12" s="57">
        <v>1451820.6400000001</v>
      </c>
    </row>
    <row r="13" spans="2:20" x14ac:dyDescent="0.25">
      <c r="B13" s="44" t="s">
        <v>241</v>
      </c>
      <c r="C13" s="323">
        <v>166046</v>
      </c>
      <c r="D13" s="285">
        <v>2710815117.8600001</v>
      </c>
      <c r="E13" s="323">
        <v>162</v>
      </c>
      <c r="F13" s="285">
        <v>2586026.4300000002</v>
      </c>
      <c r="G13" s="316">
        <v>51810</v>
      </c>
      <c r="H13" s="285">
        <v>310860000</v>
      </c>
      <c r="I13" s="316">
        <v>202</v>
      </c>
      <c r="J13" s="285">
        <v>1212000</v>
      </c>
      <c r="K13" s="316">
        <v>25508</v>
      </c>
      <c r="L13" s="285">
        <v>757743614.54999995</v>
      </c>
      <c r="M13" s="316">
        <v>8</v>
      </c>
      <c r="N13" s="285">
        <v>135624.82</v>
      </c>
      <c r="O13" s="38">
        <v>243364</v>
      </c>
      <c r="P13" s="57">
        <v>3779418732.4099998</v>
      </c>
      <c r="Q13" s="38">
        <v>372</v>
      </c>
      <c r="R13" s="57">
        <v>3933651.25</v>
      </c>
    </row>
    <row r="14" spans="2:20" x14ac:dyDescent="0.25">
      <c r="B14" s="46" t="s">
        <v>249</v>
      </c>
      <c r="C14" s="55">
        <f>+C11</f>
        <v>166467</v>
      </c>
      <c r="D14" s="241">
        <f>SUM(D10:D13)</f>
        <v>8157550279.7600002</v>
      </c>
      <c r="E14" s="40">
        <f>+E11</f>
        <v>891</v>
      </c>
      <c r="F14" s="241">
        <f>SUM(F10:F13)</f>
        <v>24193908.669999998</v>
      </c>
      <c r="G14" s="55">
        <f>+G11</f>
        <v>51713</v>
      </c>
      <c r="H14" s="243">
        <f>SUM(H10:H13)</f>
        <v>932850000</v>
      </c>
      <c r="I14" s="55">
        <f>+I11</f>
        <v>208</v>
      </c>
      <c r="J14" s="241">
        <f>SUM(J10:J13)</f>
        <v>2832000</v>
      </c>
      <c r="K14" s="55">
        <f>+K11</f>
        <v>25761</v>
      </c>
      <c r="L14" s="245">
        <f>SUM(L10:L13)</f>
        <v>2304195624.4099998</v>
      </c>
      <c r="M14" s="55">
        <f>+M11</f>
        <v>8</v>
      </c>
      <c r="N14" s="241">
        <f>SUM(N10:N13)</f>
        <v>533070.99</v>
      </c>
      <c r="O14" s="55">
        <f>+O13</f>
        <v>243364</v>
      </c>
      <c r="P14" s="241">
        <f>SUM(P10:P13)</f>
        <v>11394595904.17</v>
      </c>
      <c r="Q14" s="55">
        <f>Q13+Q12+Q11</f>
        <v>1590</v>
      </c>
      <c r="R14" s="241">
        <f>SUM(R10:R13)</f>
        <v>27558979.66</v>
      </c>
      <c r="S14" s="276">
        <f>O13+Q13</f>
        <v>243736</v>
      </c>
      <c r="T14" s="277">
        <f>P14+R14</f>
        <v>11422154883.83</v>
      </c>
    </row>
    <row r="15" spans="2:20" hidden="1" x14ac:dyDescent="0.25">
      <c r="B15" s="44" t="s">
        <v>15</v>
      </c>
      <c r="C15" s="144"/>
      <c r="D15" s="157"/>
      <c r="E15" s="144"/>
      <c r="F15" s="158"/>
      <c r="G15" s="144"/>
      <c r="H15" s="157"/>
      <c r="I15" s="144">
        <f>SUM(I12:I13)</f>
        <v>264</v>
      </c>
      <c r="J15" s="158"/>
      <c r="K15" s="144"/>
      <c r="L15" s="157"/>
      <c r="M15" s="144"/>
      <c r="N15" s="158"/>
      <c r="O15" s="38">
        <f t="shared" ref="O15:Q17" si="0">+C15+K15+G15</f>
        <v>0</v>
      </c>
      <c r="P15" s="57">
        <f t="shared" si="0"/>
        <v>0</v>
      </c>
      <c r="Q15" s="38">
        <f t="shared" si="0"/>
        <v>264</v>
      </c>
      <c r="R15" s="57">
        <f>+F15+N15+J15</f>
        <v>0</v>
      </c>
      <c r="S15" s="278"/>
      <c r="T15" s="279"/>
    </row>
    <row r="16" spans="2:20" hidden="1" x14ac:dyDescent="0.25">
      <c r="B16" s="44" t="s">
        <v>16</v>
      </c>
      <c r="C16" s="144"/>
      <c r="D16" s="157"/>
      <c r="E16" s="144"/>
      <c r="F16" s="158"/>
      <c r="G16" s="144"/>
      <c r="H16" s="157"/>
      <c r="I16" s="144"/>
      <c r="J16" s="158"/>
      <c r="K16" s="144"/>
      <c r="L16" s="157"/>
      <c r="M16" s="144"/>
      <c r="N16" s="158"/>
      <c r="O16" s="38">
        <f t="shared" si="0"/>
        <v>0</v>
      </c>
      <c r="P16" s="57">
        <f t="shared" si="0"/>
        <v>0</v>
      </c>
      <c r="Q16" s="38">
        <f t="shared" si="0"/>
        <v>0</v>
      </c>
      <c r="R16" s="57">
        <f>+F16+N16+J16</f>
        <v>0</v>
      </c>
      <c r="S16" s="278"/>
      <c r="T16" s="279"/>
    </row>
    <row r="17" spans="2:20" hidden="1" x14ac:dyDescent="0.25">
      <c r="B17" s="44" t="s">
        <v>17</v>
      </c>
      <c r="C17" s="144"/>
      <c r="D17" s="157"/>
      <c r="E17" s="144"/>
      <c r="F17" s="158"/>
      <c r="G17" s="144"/>
      <c r="H17" s="157"/>
      <c r="I17" s="144"/>
      <c r="J17" s="158"/>
      <c r="K17" s="144"/>
      <c r="L17" s="157"/>
      <c r="M17" s="144"/>
      <c r="N17" s="158"/>
      <c r="O17" s="38">
        <f t="shared" si="0"/>
        <v>0</v>
      </c>
      <c r="P17" s="57">
        <f t="shared" si="0"/>
        <v>0</v>
      </c>
      <c r="Q17" s="38">
        <f t="shared" si="0"/>
        <v>0</v>
      </c>
      <c r="R17" s="57">
        <f>+F17+N17+J17</f>
        <v>0</v>
      </c>
      <c r="S17" s="278"/>
      <c r="T17" s="279"/>
    </row>
    <row r="18" spans="2:20" hidden="1" x14ac:dyDescent="0.25">
      <c r="B18" s="46" t="s">
        <v>18</v>
      </c>
      <c r="C18" s="55">
        <f>+C17</f>
        <v>0</v>
      </c>
      <c r="D18" s="56">
        <f>SUM(D15:D17)</f>
        <v>0</v>
      </c>
      <c r="E18" s="55">
        <f>+E17</f>
        <v>0</v>
      </c>
      <c r="F18" s="56">
        <f>SUM(F15:F17)</f>
        <v>0</v>
      </c>
      <c r="G18" s="55">
        <f>+G17</f>
        <v>0</v>
      </c>
      <c r="H18" s="56">
        <f>SUM(H15:H17)</f>
        <v>0</v>
      </c>
      <c r="I18" s="55">
        <f>+I17</f>
        <v>0</v>
      </c>
      <c r="J18" s="56">
        <f>SUM(J15:J17)</f>
        <v>0</v>
      </c>
      <c r="K18" s="55">
        <f>+K17</f>
        <v>0</v>
      </c>
      <c r="L18" s="56">
        <f>SUM(L15:L17)</f>
        <v>0</v>
      </c>
      <c r="M18" s="55">
        <f>+M17</f>
        <v>0</v>
      </c>
      <c r="N18" s="56">
        <f>SUM(N15:N17)</f>
        <v>0</v>
      </c>
      <c r="O18" s="55">
        <f>+O17</f>
        <v>0</v>
      </c>
      <c r="P18" s="56">
        <f>SUM(P15:P17)</f>
        <v>0</v>
      </c>
      <c r="Q18" s="55">
        <f>+Q17</f>
        <v>0</v>
      </c>
      <c r="R18" s="56">
        <f>SUM(R15:R17)</f>
        <v>0</v>
      </c>
      <c r="S18" s="278"/>
      <c r="T18" s="280"/>
    </row>
    <row r="19" spans="2:20" hidden="1" x14ac:dyDescent="0.25">
      <c r="B19" s="44" t="s">
        <v>34</v>
      </c>
      <c r="C19" s="144"/>
      <c r="D19" s="157"/>
      <c r="E19" s="144"/>
      <c r="F19" s="158"/>
      <c r="G19" s="144"/>
      <c r="H19" s="157"/>
      <c r="I19" s="144"/>
      <c r="J19" s="158"/>
      <c r="K19" s="144"/>
      <c r="L19" s="157"/>
      <c r="M19" s="144"/>
      <c r="N19" s="158"/>
      <c r="O19" s="38">
        <f t="shared" ref="O19:Q21" si="1">+C19+K19+G19</f>
        <v>0</v>
      </c>
      <c r="P19" s="57">
        <f t="shared" si="1"/>
        <v>0</v>
      </c>
      <c r="Q19" s="38">
        <f t="shared" si="1"/>
        <v>0</v>
      </c>
      <c r="R19" s="57">
        <f>+F19+N19+J19</f>
        <v>0</v>
      </c>
      <c r="S19" s="278"/>
      <c r="T19" s="279"/>
    </row>
    <row r="20" spans="2:20" hidden="1" x14ac:dyDescent="0.25">
      <c r="B20" s="44" t="s">
        <v>20</v>
      </c>
      <c r="C20" s="144"/>
      <c r="D20" s="157"/>
      <c r="E20" s="144"/>
      <c r="F20" s="158"/>
      <c r="G20" s="144"/>
      <c r="H20" s="157"/>
      <c r="I20" s="144"/>
      <c r="J20" s="158"/>
      <c r="K20" s="144"/>
      <c r="L20" s="157"/>
      <c r="M20" s="144"/>
      <c r="N20" s="158"/>
      <c r="O20" s="38">
        <f t="shared" si="1"/>
        <v>0</v>
      </c>
      <c r="P20" s="57">
        <f t="shared" si="1"/>
        <v>0</v>
      </c>
      <c r="Q20" s="38">
        <f t="shared" si="1"/>
        <v>0</v>
      </c>
      <c r="R20" s="57">
        <f>+F20+N20+J20</f>
        <v>0</v>
      </c>
      <c r="S20" s="278"/>
      <c r="T20" s="279"/>
    </row>
    <row r="21" spans="2:20" hidden="1" x14ac:dyDescent="0.25">
      <c r="B21" s="44" t="s">
        <v>21</v>
      </c>
      <c r="C21" s="144"/>
      <c r="D21" s="157"/>
      <c r="E21" s="144"/>
      <c r="F21" s="158"/>
      <c r="G21" s="144"/>
      <c r="H21" s="157"/>
      <c r="I21" s="144"/>
      <c r="J21" s="158"/>
      <c r="K21" s="144"/>
      <c r="L21" s="157"/>
      <c r="M21" s="144"/>
      <c r="N21" s="158"/>
      <c r="O21" s="38">
        <f t="shared" si="1"/>
        <v>0</v>
      </c>
      <c r="P21" s="57">
        <f t="shared" si="1"/>
        <v>0</v>
      </c>
      <c r="Q21" s="38">
        <f t="shared" si="1"/>
        <v>0</v>
      </c>
      <c r="R21" s="57">
        <f>+F21+N21+J21</f>
        <v>0</v>
      </c>
      <c r="S21" s="278"/>
      <c r="T21" s="279"/>
    </row>
    <row r="22" spans="2:20" hidden="1" x14ac:dyDescent="0.25">
      <c r="B22" s="46" t="s">
        <v>22</v>
      </c>
      <c r="C22" s="55">
        <f>+C21</f>
        <v>0</v>
      </c>
      <c r="D22" s="56">
        <f>SUM(D19:D21)</f>
        <v>0</v>
      </c>
      <c r="E22" s="55">
        <f>+E21</f>
        <v>0</v>
      </c>
      <c r="F22" s="56">
        <f>SUM(F19:F21)</f>
        <v>0</v>
      </c>
      <c r="G22" s="55">
        <f>+G21</f>
        <v>0</v>
      </c>
      <c r="H22" s="56">
        <f>SUM(H19:H21)</f>
        <v>0</v>
      </c>
      <c r="I22" s="55">
        <f>+I21</f>
        <v>0</v>
      </c>
      <c r="J22" s="56">
        <f>SUM(J19:J21)</f>
        <v>0</v>
      </c>
      <c r="K22" s="55">
        <f>+K21</f>
        <v>0</v>
      </c>
      <c r="L22" s="56">
        <f>SUM(L19:L21)</f>
        <v>0</v>
      </c>
      <c r="M22" s="55">
        <f>+M21</f>
        <v>0</v>
      </c>
      <c r="N22" s="56">
        <f>SUM(N19:N21)</f>
        <v>0</v>
      </c>
      <c r="O22" s="55">
        <f>+O21</f>
        <v>0</v>
      </c>
      <c r="P22" s="56">
        <f>SUM(P19:P21)</f>
        <v>0</v>
      </c>
      <c r="Q22" s="55">
        <f>+Q21</f>
        <v>0</v>
      </c>
      <c r="R22" s="56">
        <f>SUM(R19:R21)</f>
        <v>0</v>
      </c>
      <c r="S22" s="278"/>
      <c r="T22" s="280"/>
    </row>
    <row r="23" spans="2:20" hidden="1" x14ac:dyDescent="0.25">
      <c r="B23" s="44" t="s">
        <v>13</v>
      </c>
      <c r="C23" s="144"/>
      <c r="D23" s="157"/>
      <c r="E23" s="144"/>
      <c r="F23" s="158"/>
      <c r="G23" s="144"/>
      <c r="H23" s="157"/>
      <c r="I23" s="144"/>
      <c r="J23" s="158"/>
      <c r="K23" s="144"/>
      <c r="L23" s="157"/>
      <c r="M23" s="144"/>
      <c r="N23" s="158"/>
      <c r="O23" s="38">
        <f t="shared" ref="O23:Q26" si="2">+C23+K23+G23</f>
        <v>0</v>
      </c>
      <c r="P23" s="57">
        <f t="shared" si="2"/>
        <v>0</v>
      </c>
      <c r="Q23" s="38">
        <f t="shared" si="2"/>
        <v>0</v>
      </c>
      <c r="R23" s="57">
        <f>+F23+N23+J23</f>
        <v>0</v>
      </c>
      <c r="S23" s="278"/>
      <c r="T23" s="279"/>
    </row>
    <row r="24" spans="2:20" hidden="1" x14ac:dyDescent="0.25">
      <c r="B24" s="44" t="s">
        <v>12</v>
      </c>
      <c r="C24" s="144"/>
      <c r="D24" s="157"/>
      <c r="E24" s="144"/>
      <c r="F24" s="158"/>
      <c r="G24" s="144"/>
      <c r="H24" s="157"/>
      <c r="I24" s="144"/>
      <c r="J24" s="158"/>
      <c r="K24" s="144"/>
      <c r="L24" s="157"/>
      <c r="M24" s="144"/>
      <c r="N24" s="158"/>
      <c r="O24" s="38">
        <f t="shared" si="2"/>
        <v>0</v>
      </c>
      <c r="P24" s="57">
        <f t="shared" si="2"/>
        <v>0</v>
      </c>
      <c r="Q24" s="38">
        <f t="shared" si="2"/>
        <v>0</v>
      </c>
      <c r="R24" s="57">
        <f>+F24+N24+J24</f>
        <v>0</v>
      </c>
      <c r="S24" s="278"/>
      <c r="T24" s="279"/>
    </row>
    <row r="25" spans="2:20" hidden="1" x14ac:dyDescent="0.25">
      <c r="B25" s="44" t="s">
        <v>11</v>
      </c>
      <c r="C25" s="144"/>
      <c r="D25" s="157"/>
      <c r="E25" s="144"/>
      <c r="F25" s="158"/>
      <c r="G25" s="144"/>
      <c r="H25" s="157"/>
      <c r="I25" s="144"/>
      <c r="J25" s="158"/>
      <c r="K25" s="144"/>
      <c r="L25" s="157"/>
      <c r="M25" s="144"/>
      <c r="N25" s="158"/>
      <c r="O25" s="38">
        <f t="shared" si="2"/>
        <v>0</v>
      </c>
      <c r="P25" s="57">
        <f t="shared" si="2"/>
        <v>0</v>
      </c>
      <c r="Q25" s="38">
        <f t="shared" si="2"/>
        <v>0</v>
      </c>
      <c r="R25" s="57">
        <f>+F25+N25+J25</f>
        <v>0</v>
      </c>
      <c r="S25" s="278"/>
      <c r="T25" s="279"/>
    </row>
    <row r="26" spans="2:20" hidden="1" x14ac:dyDescent="0.25">
      <c r="B26" s="44" t="s">
        <v>10</v>
      </c>
      <c r="C26" s="144"/>
      <c r="D26" s="157"/>
      <c r="E26" s="144"/>
      <c r="F26" s="158"/>
      <c r="G26" s="144"/>
      <c r="H26" s="157"/>
      <c r="I26" s="144"/>
      <c r="J26" s="158"/>
      <c r="K26" s="144"/>
      <c r="L26" s="157"/>
      <c r="M26" s="144"/>
      <c r="N26" s="158"/>
      <c r="O26" s="38">
        <f t="shared" si="2"/>
        <v>0</v>
      </c>
      <c r="P26" s="57">
        <f t="shared" si="2"/>
        <v>0</v>
      </c>
      <c r="Q26" s="38">
        <f t="shared" si="2"/>
        <v>0</v>
      </c>
      <c r="R26" s="57">
        <f>+F26+N26+J26</f>
        <v>0</v>
      </c>
      <c r="S26" s="278"/>
      <c r="T26" s="279"/>
    </row>
    <row r="27" spans="2:20" hidden="1" x14ac:dyDescent="0.25">
      <c r="B27" s="46" t="s">
        <v>14</v>
      </c>
      <c r="C27" s="55">
        <f>+C25</f>
        <v>0</v>
      </c>
      <c r="D27" s="55">
        <f>SUM(D23:D26)</f>
        <v>0</v>
      </c>
      <c r="E27" s="55">
        <f>+E25</f>
        <v>0</v>
      </c>
      <c r="F27" s="56">
        <f>SUM(F23:F26)</f>
        <v>0</v>
      </c>
      <c r="G27" s="55">
        <f>+G25</f>
        <v>0</v>
      </c>
      <c r="H27" s="56">
        <f>SUM(H23:H26)</f>
        <v>0</v>
      </c>
      <c r="I27" s="55">
        <f>+I25</f>
        <v>0</v>
      </c>
      <c r="J27" s="56">
        <f>SUM(J23:J26)</f>
        <v>0</v>
      </c>
      <c r="K27" s="55">
        <f>+K25</f>
        <v>0</v>
      </c>
      <c r="L27" s="56">
        <f>SUM(L23:L26)</f>
        <v>0</v>
      </c>
      <c r="M27" s="55">
        <f>+M25</f>
        <v>0</v>
      </c>
      <c r="N27" s="56">
        <f>SUM(N23:N26)</f>
        <v>0</v>
      </c>
      <c r="O27" s="55">
        <f>+O25</f>
        <v>0</v>
      </c>
      <c r="P27" s="56">
        <f>SUM(P23:P26)</f>
        <v>0</v>
      </c>
      <c r="Q27" s="55">
        <f>+Q25</f>
        <v>0</v>
      </c>
      <c r="R27" s="56">
        <f>SUM(R23:R26)</f>
        <v>0</v>
      </c>
      <c r="S27" s="278"/>
      <c r="T27" s="280"/>
    </row>
    <row r="28" spans="2:20" hidden="1" x14ac:dyDescent="0.25">
      <c r="B28" s="49" t="s">
        <v>23</v>
      </c>
      <c r="C28" s="58">
        <f>+C27</f>
        <v>0</v>
      </c>
      <c r="D28" s="59">
        <f>+D14+D18+D22+D27</f>
        <v>8157550279.7600002</v>
      </c>
      <c r="E28" s="58">
        <f>+E27</f>
        <v>0</v>
      </c>
      <c r="F28" s="59">
        <f>+F14+F18+F22+F27</f>
        <v>24193908.669999998</v>
      </c>
      <c r="G28" s="58">
        <f>+G27</f>
        <v>0</v>
      </c>
      <c r="H28" s="59">
        <f>+H14+H18+H22+H27</f>
        <v>932850000</v>
      </c>
      <c r="I28" s="58">
        <f>+I27</f>
        <v>0</v>
      </c>
      <c r="J28" s="59">
        <f>+J14+J18+J22+J27</f>
        <v>2832000</v>
      </c>
      <c r="K28" s="58">
        <f>+K27</f>
        <v>0</v>
      </c>
      <c r="L28" s="59">
        <f>+L14+L18+L22+L27</f>
        <v>2304195624.4099998</v>
      </c>
      <c r="M28" s="58">
        <f>+M27</f>
        <v>0</v>
      </c>
      <c r="N28" s="59">
        <f>+N14+N18+N22+N27</f>
        <v>533070.99</v>
      </c>
      <c r="O28" s="58">
        <f>+O27</f>
        <v>0</v>
      </c>
      <c r="P28" s="59">
        <f>+P14+P18+P22+P27</f>
        <v>11394595904.17</v>
      </c>
      <c r="Q28" s="58">
        <f>+Q27</f>
        <v>0</v>
      </c>
      <c r="R28" s="59">
        <f>+R14+R18+R22+R27</f>
        <v>27558979.66</v>
      </c>
      <c r="S28" s="278"/>
      <c r="T28" s="280"/>
    </row>
    <row r="29" spans="2:20" x14ac:dyDescent="0.25">
      <c r="B29" s="135" t="s">
        <v>50</v>
      </c>
      <c r="C29" s="24"/>
      <c r="D29" s="24"/>
      <c r="E29" s="25"/>
      <c r="F29" s="135"/>
      <c r="G29" s="135"/>
      <c r="H29" s="135"/>
      <c r="I29" s="135"/>
      <c r="J29" s="135"/>
      <c r="K29" s="135"/>
      <c r="L29" s="135"/>
      <c r="M29" s="135"/>
      <c r="N29" s="135"/>
      <c r="O29" s="135"/>
      <c r="P29" s="159">
        <f>P14/T14</f>
        <v>0.99758723463827181</v>
      </c>
      <c r="Q29" s="159"/>
      <c r="R29" s="159">
        <f>R14/T14</f>
        <v>2.4127653617282336E-3</v>
      </c>
      <c r="S29" s="278"/>
      <c r="T29" s="280">
        <f>T14-Nómina!M12</f>
        <v>0</v>
      </c>
    </row>
    <row r="30" spans="2:20" x14ac:dyDescent="0.25">
      <c r="B30" s="191" t="s">
        <v>276</v>
      </c>
      <c r="C30"/>
      <c r="D30" s="160"/>
      <c r="E30"/>
      <c r="F30"/>
      <c r="G30"/>
      <c r="H30" s="160"/>
      <c r="I30"/>
      <c r="J30"/>
      <c r="K30" s="160"/>
      <c r="L30" s="160"/>
      <c r="M30"/>
      <c r="N30"/>
      <c r="O30"/>
      <c r="P30" s="160"/>
      <c r="Q30"/>
      <c r="R30"/>
      <c r="S30" s="205"/>
      <c r="T30" s="35"/>
    </row>
    <row r="31" spans="2:20" x14ac:dyDescent="0.25">
      <c r="C31" s="35"/>
      <c r="D31" s="35"/>
      <c r="P31" s="35"/>
      <c r="S31" s="205"/>
    </row>
    <row r="32" spans="2:20" x14ac:dyDescent="0.25">
      <c r="S32" s="205"/>
    </row>
    <row r="33" spans="14:19" x14ac:dyDescent="0.25">
      <c r="S33" s="205"/>
    </row>
    <row r="35" spans="14:19" x14ac:dyDescent="0.25">
      <c r="P35" s="35"/>
    </row>
    <row r="37" spans="14:19" x14ac:dyDescent="0.25">
      <c r="O37" s="35"/>
    </row>
    <row r="39" spans="14:19" x14ac:dyDescent="0.25">
      <c r="N39" s="35"/>
    </row>
    <row r="44" spans="14:19" x14ac:dyDescent="0.25">
      <c r="O44" s="18"/>
    </row>
    <row r="49" spans="2:19" x14ac:dyDescent="0.25">
      <c r="B49" s="44"/>
      <c r="C49" s="144"/>
      <c r="D49" s="157"/>
      <c r="E49" s="144"/>
      <c r="F49" s="158"/>
      <c r="G49" s="144"/>
      <c r="H49" s="157"/>
      <c r="I49" s="144"/>
      <c r="J49" s="158"/>
      <c r="K49" s="144"/>
      <c r="L49" s="157"/>
      <c r="M49" s="144"/>
      <c r="N49" s="158"/>
      <c r="O49" s="38"/>
      <c r="P49" s="38"/>
      <c r="Q49" s="38"/>
      <c r="R49" s="57"/>
      <c r="S49" s="57"/>
    </row>
    <row r="51" spans="2:19" x14ac:dyDescent="0.25">
      <c r="B51" s="44"/>
      <c r="C51" s="144"/>
      <c r="D51" s="157"/>
      <c r="E51" s="144"/>
      <c r="F51" s="158"/>
      <c r="G51" s="144"/>
      <c r="H51" s="157"/>
      <c r="I51" s="144"/>
      <c r="J51" s="158"/>
      <c r="K51" s="144"/>
      <c r="L51" s="157"/>
      <c r="M51" s="144"/>
      <c r="N51" s="158"/>
      <c r="O51" s="38"/>
      <c r="P51" s="38"/>
      <c r="Q51" s="38"/>
      <c r="R51" s="57"/>
      <c r="S51" s="57"/>
    </row>
  </sheetData>
  <mergeCells count="17">
    <mergeCell ref="B2:R2"/>
    <mergeCell ref="B3:R3"/>
    <mergeCell ref="B4:R4"/>
    <mergeCell ref="B6:R6"/>
    <mergeCell ref="C8:D8"/>
    <mergeCell ref="E8:F8"/>
    <mergeCell ref="K8:L8"/>
    <mergeCell ref="O7:R7"/>
    <mergeCell ref="O8:P8"/>
    <mergeCell ref="Q8:R8"/>
    <mergeCell ref="B5:R5"/>
    <mergeCell ref="G8:H8"/>
    <mergeCell ref="I8:J8"/>
    <mergeCell ref="K7:N7"/>
    <mergeCell ref="C7:F7"/>
    <mergeCell ref="G7:J7"/>
    <mergeCell ref="M8:N8"/>
  </mergeCells>
  <pageMargins left="0.7" right="0.7" top="0.75" bottom="0.75" header="0.3" footer="0.3"/>
  <pageSetup paperSize="9" scale="42" orientation="portrait" r:id="rId1"/>
  <colBreaks count="1" manualBreakCount="1">
    <brk id="19" max="1048575" man="1"/>
  </colBreaks>
  <ignoredErrors>
    <ignoredError sqref="D27 F27 O14 Q14 L14 J14 H14 F14 D14" formula="1"/>
    <ignoredError sqref="R29 P29 S14:T14" unlocked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B2:U40"/>
  <sheetViews>
    <sheetView showGridLines="0" zoomScale="130" zoomScaleNormal="130" workbookViewId="0">
      <selection activeCell="F12" sqref="F12"/>
    </sheetView>
  </sheetViews>
  <sheetFormatPr baseColWidth="10" defaultColWidth="11.42578125" defaultRowHeight="15" x14ac:dyDescent="0.25"/>
  <cols>
    <col min="1" max="2" width="11.42578125" style="1"/>
    <col min="3" max="3" width="11" style="1" customWidth="1"/>
    <col min="4" max="4" width="9" style="1" bestFit="1" customWidth="1"/>
    <col min="5" max="5" width="14.42578125" style="1" customWidth="1"/>
    <col min="6" max="6" width="25.28515625" style="1" customWidth="1"/>
    <col min="7" max="7" width="25.5703125" style="1" customWidth="1"/>
    <col min="8" max="8" width="39.5703125" style="1" customWidth="1"/>
    <col min="9" max="9" width="11.42578125" style="1" customWidth="1"/>
    <col min="10" max="10" width="14" style="1" bestFit="1" customWidth="1"/>
    <col min="11" max="11" width="15" style="1" bestFit="1" customWidth="1"/>
    <col min="12" max="13" width="10.7109375" style="1" customWidth="1"/>
    <col min="14" max="14" width="15.140625" style="1" bestFit="1" customWidth="1"/>
    <col min="15" max="15" width="11.42578125" style="1" customWidth="1"/>
    <col min="16" max="16" width="20.42578125" style="1" customWidth="1"/>
    <col min="17" max="17" width="35.140625" style="1" customWidth="1"/>
    <col min="18" max="18" width="11.7109375" style="1" bestFit="1" customWidth="1"/>
    <col min="19" max="19" width="18.42578125" style="1" customWidth="1"/>
    <col min="20" max="20" width="16" style="1" bestFit="1" customWidth="1"/>
    <col min="21" max="21" width="11.7109375" style="1" bestFit="1" customWidth="1"/>
    <col min="22" max="16384" width="11.42578125" style="1"/>
  </cols>
  <sheetData>
    <row r="2" spans="2:19" x14ac:dyDescent="0.25">
      <c r="B2" s="332" t="s">
        <v>0</v>
      </c>
      <c r="C2" s="332"/>
      <c r="D2" s="332"/>
      <c r="E2" s="332"/>
      <c r="F2" s="332"/>
      <c r="G2" s="332"/>
      <c r="H2" s="332"/>
      <c r="I2" s="332"/>
      <c r="J2" s="332"/>
      <c r="K2" s="332"/>
      <c r="L2" s="332"/>
      <c r="M2" s="332"/>
      <c r="N2" s="332"/>
    </row>
    <row r="3" spans="2:19" x14ac:dyDescent="0.25">
      <c r="B3" s="332" t="s">
        <v>62</v>
      </c>
      <c r="C3" s="332"/>
      <c r="D3" s="332"/>
      <c r="E3" s="332"/>
      <c r="F3" s="332"/>
      <c r="G3" s="332"/>
      <c r="H3" s="332"/>
      <c r="I3" s="332"/>
      <c r="J3" s="332"/>
      <c r="K3" s="332"/>
      <c r="L3" s="332"/>
      <c r="M3" s="332"/>
      <c r="N3" s="332"/>
    </row>
    <row r="4" spans="2:19" x14ac:dyDescent="0.25">
      <c r="B4" s="332" t="s">
        <v>169</v>
      </c>
      <c r="C4" s="332"/>
      <c r="D4" s="332"/>
      <c r="E4" s="332"/>
      <c r="F4" s="332"/>
      <c r="G4" s="332"/>
      <c r="H4" s="332"/>
      <c r="I4" s="332"/>
      <c r="J4" s="332"/>
      <c r="K4" s="332"/>
      <c r="L4" s="332"/>
      <c r="M4" s="332"/>
      <c r="N4" s="332"/>
    </row>
    <row r="5" spans="2:19" x14ac:dyDescent="0.25">
      <c r="B5" s="332" t="s">
        <v>185</v>
      </c>
      <c r="C5" s="332"/>
      <c r="D5" s="332"/>
      <c r="E5" s="332"/>
      <c r="F5" s="332"/>
      <c r="G5" s="332"/>
      <c r="H5" s="332"/>
      <c r="I5" s="332"/>
      <c r="J5" s="332"/>
      <c r="K5" s="332"/>
      <c r="L5" s="332"/>
      <c r="M5" s="332"/>
      <c r="N5" s="332"/>
    </row>
    <row r="6" spans="2:19" x14ac:dyDescent="0.25">
      <c r="B6" s="332" t="s">
        <v>262</v>
      </c>
      <c r="C6" s="332"/>
      <c r="D6" s="332"/>
      <c r="E6" s="332"/>
      <c r="F6" s="332"/>
      <c r="G6" s="332"/>
      <c r="H6" s="332"/>
      <c r="I6" s="332"/>
      <c r="J6" s="332"/>
      <c r="K6" s="332"/>
      <c r="L6" s="332"/>
      <c r="M6" s="332"/>
      <c r="N6" s="332"/>
    </row>
    <row r="7" spans="2:19" x14ac:dyDescent="0.25">
      <c r="B7" s="86"/>
      <c r="C7" s="374" t="s">
        <v>71</v>
      </c>
      <c r="D7" s="374"/>
      <c r="E7" s="374"/>
      <c r="F7" s="375" t="s">
        <v>72</v>
      </c>
      <c r="G7" s="375"/>
      <c r="H7" s="375"/>
      <c r="I7" s="373" t="s">
        <v>73</v>
      </c>
      <c r="J7" s="373"/>
      <c r="K7" s="373"/>
      <c r="L7" s="376" t="s">
        <v>74</v>
      </c>
      <c r="M7" s="376"/>
      <c r="N7" s="376"/>
      <c r="O7"/>
      <c r="P7"/>
      <c r="Q7"/>
      <c r="R7"/>
      <c r="S7"/>
    </row>
    <row r="8" spans="2:19" ht="39.75" customHeight="1" x14ac:dyDescent="0.25">
      <c r="B8" s="87" t="s">
        <v>3</v>
      </c>
      <c r="C8" s="45" t="s">
        <v>170</v>
      </c>
      <c r="D8" s="45" t="s">
        <v>171</v>
      </c>
      <c r="E8" s="45" t="s">
        <v>7</v>
      </c>
      <c r="F8" s="45" t="s">
        <v>170</v>
      </c>
      <c r="G8" s="45" t="s">
        <v>171</v>
      </c>
      <c r="H8" s="45" t="s">
        <v>7</v>
      </c>
      <c r="I8" s="45" t="s">
        <v>170</v>
      </c>
      <c r="J8" s="45" t="s">
        <v>171</v>
      </c>
      <c r="K8" s="45" t="s">
        <v>7</v>
      </c>
      <c r="L8" s="45" t="s">
        <v>75</v>
      </c>
      <c r="M8" s="45" t="s">
        <v>76</v>
      </c>
      <c r="N8" s="45" t="s">
        <v>7</v>
      </c>
      <c r="O8"/>
      <c r="P8"/>
      <c r="Q8"/>
      <c r="R8"/>
      <c r="S8"/>
    </row>
    <row r="9" spans="2:19" ht="0.75" customHeight="1" x14ac:dyDescent="0.25">
      <c r="B9" s="247" t="s">
        <v>172</v>
      </c>
      <c r="C9" s="180">
        <v>0</v>
      </c>
      <c r="D9" s="180">
        <v>0</v>
      </c>
      <c r="E9" s="114">
        <v>0</v>
      </c>
      <c r="F9" s="183"/>
      <c r="G9" s="183"/>
      <c r="H9" s="183"/>
      <c r="I9" s="182">
        <v>0</v>
      </c>
      <c r="J9" s="182">
        <v>0</v>
      </c>
      <c r="K9" s="60">
        <v>0</v>
      </c>
      <c r="L9" s="38">
        <f t="shared" ref="L9" si="0">+C9+I9+F9</f>
        <v>0</v>
      </c>
      <c r="M9" s="38">
        <f t="shared" ref="M9" si="1">+D9+J9+G9</f>
        <v>0</v>
      </c>
      <c r="N9" s="38">
        <f t="shared" ref="N9" si="2">+E9+K9+H9</f>
        <v>0</v>
      </c>
      <c r="O9"/>
      <c r="P9"/>
      <c r="Q9"/>
      <c r="R9"/>
      <c r="S9"/>
    </row>
    <row r="10" spans="2:19" x14ac:dyDescent="0.25">
      <c r="B10" s="131" t="s">
        <v>243</v>
      </c>
      <c r="C10" s="286">
        <v>226</v>
      </c>
      <c r="D10" s="286">
        <v>241</v>
      </c>
      <c r="E10" s="287">
        <v>16783497.149999999</v>
      </c>
      <c r="F10" s="114"/>
      <c r="G10" s="114"/>
      <c r="H10" s="161"/>
      <c r="I10" s="114">
        <v>25</v>
      </c>
      <c r="J10" s="114">
        <v>25</v>
      </c>
      <c r="K10" s="161">
        <v>9770741.0600000005</v>
      </c>
      <c r="L10" s="38">
        <f>+C10+I10+F10</f>
        <v>251</v>
      </c>
      <c r="M10" s="38">
        <f>+D10+J10+G10</f>
        <v>266</v>
      </c>
      <c r="N10" s="57">
        <f>+E10+K10+H10</f>
        <v>26554238.210000001</v>
      </c>
      <c r="O10"/>
      <c r="P10"/>
      <c r="Q10"/>
      <c r="R10"/>
      <c r="S10"/>
    </row>
    <row r="11" spans="2:19" x14ac:dyDescent="0.25">
      <c r="B11" s="131" t="s">
        <v>245</v>
      </c>
      <c r="C11" s="286">
        <v>149</v>
      </c>
      <c r="D11" s="286">
        <v>161</v>
      </c>
      <c r="E11" s="287">
        <v>13503353.789999999</v>
      </c>
      <c r="F11" s="317"/>
      <c r="G11" s="317"/>
      <c r="H11" s="287"/>
      <c r="I11" s="317">
        <v>204</v>
      </c>
      <c r="J11" s="317">
        <v>204</v>
      </c>
      <c r="K11" s="287">
        <v>43925576.619999997</v>
      </c>
      <c r="L11" s="38">
        <f>+C11+I11+F11</f>
        <v>353</v>
      </c>
      <c r="M11" s="38">
        <f>+D11+J11+G11</f>
        <v>365</v>
      </c>
      <c r="N11" s="57">
        <f t="shared" ref="N11" si="3">+E11+K11+H11</f>
        <v>57428930.409999996</v>
      </c>
      <c r="O11"/>
      <c r="P11"/>
      <c r="Q11"/>
      <c r="R11"/>
      <c r="S11"/>
    </row>
    <row r="12" spans="2:19" x14ac:dyDescent="0.25">
      <c r="B12" s="131" t="s">
        <v>241</v>
      </c>
      <c r="C12" s="162">
        <v>139</v>
      </c>
      <c r="D12" s="162">
        <v>158</v>
      </c>
      <c r="E12" s="161">
        <v>16254812.189999999</v>
      </c>
      <c r="F12" s="114"/>
      <c r="G12" s="114"/>
      <c r="H12" s="161"/>
      <c r="I12" s="114">
        <v>69</v>
      </c>
      <c r="J12" s="114">
        <v>69</v>
      </c>
      <c r="K12" s="161">
        <v>4597370.0599999996</v>
      </c>
      <c r="L12" s="38">
        <f t="shared" ref="L12" si="4">+C12+I12+F12</f>
        <v>208</v>
      </c>
      <c r="M12" s="38">
        <f t="shared" ref="M12" si="5">+D12+J12+G12</f>
        <v>227</v>
      </c>
      <c r="N12" s="57">
        <f t="shared" ref="N12" si="6">+E12+K12+H12</f>
        <v>20852182.25</v>
      </c>
      <c r="O12"/>
      <c r="P12"/>
      <c r="Q12"/>
      <c r="R12"/>
      <c r="S12"/>
    </row>
    <row r="13" spans="2:19" x14ac:dyDescent="0.25">
      <c r="B13" s="46" t="s">
        <v>248</v>
      </c>
      <c r="C13" s="324">
        <f>SUM(C10:C12)</f>
        <v>514</v>
      </c>
      <c r="D13" s="324">
        <f>SUM(D10:D12)</f>
        <v>560</v>
      </c>
      <c r="E13" s="248">
        <f>SUM(E10:E12)</f>
        <v>46541663.129999995</v>
      </c>
      <c r="F13" s="40">
        <f>SUM(F10:F12)</f>
        <v>0</v>
      </c>
      <c r="G13" s="40">
        <f>SUM(G10:G12)</f>
        <v>0</v>
      </c>
      <c r="H13" s="40">
        <f>SUM(H11:H12)</f>
        <v>0</v>
      </c>
      <c r="I13" s="184">
        <f t="shared" ref="I13:N13" si="7">SUM(I10:I12)</f>
        <v>298</v>
      </c>
      <c r="J13" s="184">
        <f t="shared" si="7"/>
        <v>298</v>
      </c>
      <c r="K13" s="248">
        <f t="shared" si="7"/>
        <v>58293687.740000002</v>
      </c>
      <c r="L13" s="40">
        <f t="shared" si="7"/>
        <v>812</v>
      </c>
      <c r="M13" s="40">
        <f t="shared" si="7"/>
        <v>858</v>
      </c>
      <c r="N13" s="248">
        <f t="shared" si="7"/>
        <v>104835350.87</v>
      </c>
      <c r="O13"/>
      <c r="P13"/>
      <c r="Q13"/>
      <c r="R13"/>
      <c r="S13"/>
    </row>
    <row r="14" spans="2:19" hidden="1" x14ac:dyDescent="0.25">
      <c r="B14" s="44" t="s">
        <v>15</v>
      </c>
      <c r="C14" s="114"/>
      <c r="D14" s="114"/>
      <c r="E14" s="161"/>
      <c r="F14" s="114"/>
      <c r="G14" s="114"/>
      <c r="H14" s="161"/>
      <c r="I14" s="114"/>
      <c r="J14" s="114"/>
      <c r="K14" s="161"/>
      <c r="L14" s="37">
        <f t="shared" ref="L14:N16" si="8">+C14+I14+F14</f>
        <v>0</v>
      </c>
      <c r="M14" s="37">
        <f t="shared" si="8"/>
        <v>0</v>
      </c>
      <c r="N14" s="65">
        <f t="shared" si="8"/>
        <v>0</v>
      </c>
      <c r="O14"/>
      <c r="P14"/>
      <c r="Q14"/>
      <c r="R14"/>
      <c r="S14"/>
    </row>
    <row r="15" spans="2:19" hidden="1" x14ac:dyDescent="0.25">
      <c r="B15" s="44" t="s">
        <v>16</v>
      </c>
      <c r="C15" s="114"/>
      <c r="D15" s="114"/>
      <c r="E15" s="161"/>
      <c r="F15" s="114"/>
      <c r="G15" s="114"/>
      <c r="H15" s="161"/>
      <c r="I15" s="114"/>
      <c r="J15" s="114"/>
      <c r="K15" s="161"/>
      <c r="L15" s="37">
        <f t="shared" si="8"/>
        <v>0</v>
      </c>
      <c r="M15" s="37">
        <f t="shared" si="8"/>
        <v>0</v>
      </c>
      <c r="N15" s="65">
        <f t="shared" si="8"/>
        <v>0</v>
      </c>
      <c r="O15"/>
      <c r="P15"/>
      <c r="Q15"/>
      <c r="R15"/>
      <c r="S15"/>
    </row>
    <row r="16" spans="2:19" hidden="1" x14ac:dyDescent="0.25">
      <c r="B16" s="44" t="s">
        <v>17</v>
      </c>
      <c r="C16" s="114"/>
      <c r="D16" s="114"/>
      <c r="E16" s="161"/>
      <c r="F16" s="114"/>
      <c r="G16" s="114"/>
      <c r="H16" s="161"/>
      <c r="I16" s="114"/>
      <c r="J16" s="114"/>
      <c r="K16" s="161"/>
      <c r="L16" s="37">
        <f t="shared" si="8"/>
        <v>0</v>
      </c>
      <c r="M16" s="37">
        <f t="shared" si="8"/>
        <v>0</v>
      </c>
      <c r="N16" s="65">
        <f t="shared" si="8"/>
        <v>0</v>
      </c>
      <c r="O16"/>
      <c r="P16"/>
      <c r="Q16"/>
      <c r="R16"/>
      <c r="S16"/>
    </row>
    <row r="17" spans="2:19" hidden="1" x14ac:dyDescent="0.25">
      <c r="B17" s="27" t="s">
        <v>18</v>
      </c>
      <c r="C17" s="39">
        <f t="shared" ref="C17:N17" si="9">SUM(C14:C16)</f>
        <v>0</v>
      </c>
      <c r="D17" s="39">
        <f t="shared" si="9"/>
        <v>0</v>
      </c>
      <c r="E17" s="39">
        <f t="shared" si="9"/>
        <v>0</v>
      </c>
      <c r="F17" s="39">
        <f t="shared" ref="F17:K17" si="10">SUM(F14:F16)</f>
        <v>0</v>
      </c>
      <c r="G17" s="39">
        <f t="shared" si="10"/>
        <v>0</v>
      </c>
      <c r="H17" s="39">
        <f t="shared" si="10"/>
        <v>0</v>
      </c>
      <c r="I17" s="39">
        <f t="shared" si="10"/>
        <v>0</v>
      </c>
      <c r="J17" s="39">
        <f t="shared" si="10"/>
        <v>0</v>
      </c>
      <c r="K17" s="39">
        <f t="shared" si="10"/>
        <v>0</v>
      </c>
      <c r="L17" s="39">
        <f t="shared" si="9"/>
        <v>0</v>
      </c>
      <c r="M17" s="39">
        <f t="shared" si="9"/>
        <v>0</v>
      </c>
      <c r="N17" s="39">
        <f t="shared" si="9"/>
        <v>0</v>
      </c>
      <c r="O17"/>
      <c r="P17"/>
      <c r="Q17"/>
      <c r="R17"/>
      <c r="S17"/>
    </row>
    <row r="18" spans="2:19" hidden="1" x14ac:dyDescent="0.25">
      <c r="B18" s="44" t="s">
        <v>34</v>
      </c>
      <c r="C18" s="114"/>
      <c r="D18" s="114"/>
      <c r="E18" s="161"/>
      <c r="F18" s="114"/>
      <c r="G18" s="114"/>
      <c r="H18" s="161"/>
      <c r="I18" s="114"/>
      <c r="J18" s="114"/>
      <c r="K18" s="161"/>
      <c r="L18" s="37">
        <f t="shared" ref="L18:N20" si="11">+C18+I18+F18</f>
        <v>0</v>
      </c>
      <c r="M18" s="37">
        <f t="shared" si="11"/>
        <v>0</v>
      </c>
      <c r="N18" s="65">
        <f t="shared" si="11"/>
        <v>0</v>
      </c>
      <c r="O18"/>
      <c r="P18"/>
      <c r="Q18"/>
      <c r="R18"/>
      <c r="S18"/>
    </row>
    <row r="19" spans="2:19" hidden="1" x14ac:dyDescent="0.25">
      <c r="B19" s="44" t="s">
        <v>20</v>
      </c>
      <c r="C19" s="114"/>
      <c r="D19" s="114"/>
      <c r="E19" s="161"/>
      <c r="F19" s="114"/>
      <c r="G19" s="114"/>
      <c r="H19" s="161"/>
      <c r="I19" s="114"/>
      <c r="J19" s="114"/>
      <c r="K19" s="161"/>
      <c r="L19" s="37">
        <f t="shared" si="11"/>
        <v>0</v>
      </c>
      <c r="M19" s="37">
        <f t="shared" si="11"/>
        <v>0</v>
      </c>
      <c r="N19" s="65">
        <f t="shared" si="11"/>
        <v>0</v>
      </c>
      <c r="O19"/>
      <c r="P19"/>
      <c r="Q19"/>
      <c r="R19"/>
      <c r="S19"/>
    </row>
    <row r="20" spans="2:19" hidden="1" x14ac:dyDescent="0.25">
      <c r="B20" s="44" t="s">
        <v>21</v>
      </c>
      <c r="C20" s="114"/>
      <c r="D20" s="114"/>
      <c r="E20" s="161"/>
      <c r="F20" s="114"/>
      <c r="G20" s="114"/>
      <c r="H20" s="161"/>
      <c r="I20" s="114"/>
      <c r="J20" s="114"/>
      <c r="K20" s="161"/>
      <c r="L20" s="37">
        <f t="shared" si="11"/>
        <v>0</v>
      </c>
      <c r="M20" s="37">
        <f t="shared" si="11"/>
        <v>0</v>
      </c>
      <c r="N20" s="65">
        <f t="shared" si="11"/>
        <v>0</v>
      </c>
      <c r="O20"/>
      <c r="P20"/>
      <c r="Q20"/>
      <c r="R20"/>
      <c r="S20"/>
    </row>
    <row r="21" spans="2:19" hidden="1" x14ac:dyDescent="0.25">
      <c r="B21" s="27" t="s">
        <v>22</v>
      </c>
      <c r="C21" s="39">
        <f t="shared" ref="C21:E21" si="12">SUM(C18:C20)</f>
        <v>0</v>
      </c>
      <c r="D21" s="39">
        <f t="shared" si="12"/>
        <v>0</v>
      </c>
      <c r="E21" s="39">
        <f t="shared" si="12"/>
        <v>0</v>
      </c>
      <c r="F21" s="39">
        <f t="shared" ref="F21:N21" si="13">SUM(F18:F20)</f>
        <v>0</v>
      </c>
      <c r="G21" s="39">
        <f t="shared" si="13"/>
        <v>0</v>
      </c>
      <c r="H21" s="39">
        <f t="shared" si="13"/>
        <v>0</v>
      </c>
      <c r="I21" s="39">
        <f>SUM(I18:I20)</f>
        <v>0</v>
      </c>
      <c r="J21" s="39">
        <f>SUM(J18:J20)</f>
        <v>0</v>
      </c>
      <c r="K21" s="39">
        <f>SUM(K18:K20)</f>
        <v>0</v>
      </c>
      <c r="L21" s="39">
        <f t="shared" si="13"/>
        <v>0</v>
      </c>
      <c r="M21" s="39">
        <f t="shared" si="13"/>
        <v>0</v>
      </c>
      <c r="N21" s="39">
        <f t="shared" si="13"/>
        <v>0</v>
      </c>
      <c r="O21"/>
      <c r="P21"/>
      <c r="Q21"/>
      <c r="R21"/>
      <c r="S21"/>
    </row>
    <row r="22" spans="2:19" hidden="1" x14ac:dyDescent="0.25">
      <c r="B22" s="44" t="s">
        <v>13</v>
      </c>
      <c r="C22" s="114"/>
      <c r="D22" s="114"/>
      <c r="E22" s="161"/>
      <c r="F22" s="114"/>
      <c r="G22" s="114"/>
      <c r="H22" s="161"/>
      <c r="I22" s="114"/>
      <c r="J22" s="114"/>
      <c r="K22" s="161"/>
      <c r="L22" s="37">
        <f t="shared" ref="L22:N24" si="14">+C22+I22+F22</f>
        <v>0</v>
      </c>
      <c r="M22" s="37">
        <f t="shared" si="14"/>
        <v>0</v>
      </c>
      <c r="N22" s="65">
        <f t="shared" si="14"/>
        <v>0</v>
      </c>
      <c r="O22"/>
      <c r="P22"/>
      <c r="Q22"/>
      <c r="R22"/>
      <c r="S22"/>
    </row>
    <row r="23" spans="2:19" hidden="1" x14ac:dyDescent="0.25">
      <c r="B23" s="44" t="s">
        <v>12</v>
      </c>
      <c r="C23" s="114"/>
      <c r="D23" s="114"/>
      <c r="E23" s="161"/>
      <c r="F23" s="114"/>
      <c r="G23" s="114"/>
      <c r="H23" s="161"/>
      <c r="I23" s="114"/>
      <c r="J23" s="114"/>
      <c r="K23" s="161"/>
      <c r="L23" s="37">
        <f t="shared" si="14"/>
        <v>0</v>
      </c>
      <c r="M23" s="37">
        <f t="shared" si="14"/>
        <v>0</v>
      </c>
      <c r="N23" s="65">
        <f t="shared" si="14"/>
        <v>0</v>
      </c>
      <c r="O23"/>
      <c r="P23"/>
      <c r="Q23"/>
      <c r="R23"/>
      <c r="S23"/>
    </row>
    <row r="24" spans="2:19" hidden="1" x14ac:dyDescent="0.25">
      <c r="B24" s="44" t="s">
        <v>173</v>
      </c>
      <c r="C24" s="114"/>
      <c r="D24" s="114"/>
      <c r="E24" s="161"/>
      <c r="F24" s="114"/>
      <c r="G24" s="114"/>
      <c r="H24" s="161"/>
      <c r="I24" s="114"/>
      <c r="J24" s="114"/>
      <c r="K24" s="161"/>
      <c r="L24" s="37">
        <f t="shared" si="14"/>
        <v>0</v>
      </c>
      <c r="M24" s="37">
        <f t="shared" si="14"/>
        <v>0</v>
      </c>
      <c r="N24" s="65">
        <f t="shared" si="14"/>
        <v>0</v>
      </c>
      <c r="O24"/>
      <c r="P24"/>
      <c r="Q24"/>
      <c r="R24"/>
      <c r="S24"/>
    </row>
    <row r="25" spans="2:19" hidden="1" x14ac:dyDescent="0.25">
      <c r="B25" s="27" t="s">
        <v>14</v>
      </c>
      <c r="C25" s="39">
        <f t="shared" ref="C25:N25" si="15">SUM(C22:C24)</f>
        <v>0</v>
      </c>
      <c r="D25" s="39">
        <f t="shared" si="15"/>
        <v>0</v>
      </c>
      <c r="E25" s="39">
        <f t="shared" si="15"/>
        <v>0</v>
      </c>
      <c r="F25" s="39">
        <f t="shared" ref="F25:K25" si="16">SUM(F22:F24)</f>
        <v>0</v>
      </c>
      <c r="G25" s="39">
        <f t="shared" si="16"/>
        <v>0</v>
      </c>
      <c r="H25" s="39">
        <f t="shared" si="16"/>
        <v>0</v>
      </c>
      <c r="I25" s="39">
        <f t="shared" si="16"/>
        <v>0</v>
      </c>
      <c r="J25" s="39">
        <f t="shared" si="16"/>
        <v>0</v>
      </c>
      <c r="K25" s="39">
        <f t="shared" si="16"/>
        <v>0</v>
      </c>
      <c r="L25" s="39">
        <f t="shared" si="15"/>
        <v>0</v>
      </c>
      <c r="M25" s="39">
        <f t="shared" si="15"/>
        <v>0</v>
      </c>
      <c r="N25" s="39">
        <f t="shared" si="15"/>
        <v>0</v>
      </c>
      <c r="O25"/>
      <c r="P25"/>
      <c r="Q25"/>
      <c r="R25"/>
      <c r="S25"/>
    </row>
    <row r="26" spans="2:19" hidden="1" x14ac:dyDescent="0.25">
      <c r="B26" s="71" t="s">
        <v>23</v>
      </c>
      <c r="C26" s="41">
        <f t="shared" ref="C26:L26" si="17">+C13+C17+C21+C25</f>
        <v>514</v>
      </c>
      <c r="D26" s="41">
        <f t="shared" si="17"/>
        <v>560</v>
      </c>
      <c r="E26" s="41">
        <f t="shared" si="17"/>
        <v>46541663.129999995</v>
      </c>
      <c r="F26" s="41">
        <f t="shared" si="17"/>
        <v>0</v>
      </c>
      <c r="G26" s="41">
        <f t="shared" si="17"/>
        <v>0</v>
      </c>
      <c r="H26" s="41">
        <f t="shared" si="17"/>
        <v>0</v>
      </c>
      <c r="I26" s="41">
        <f t="shared" si="17"/>
        <v>298</v>
      </c>
      <c r="J26" s="41">
        <f t="shared" si="17"/>
        <v>298</v>
      </c>
      <c r="K26" s="41">
        <f t="shared" si="17"/>
        <v>58293687.740000002</v>
      </c>
      <c r="L26" s="41">
        <f t="shared" si="17"/>
        <v>812</v>
      </c>
      <c r="M26" s="41">
        <f t="shared" ref="M26:N26" si="18">+M13+M17+M21+M25</f>
        <v>858</v>
      </c>
      <c r="N26" s="41">
        <f t="shared" si="18"/>
        <v>104835350.87</v>
      </c>
      <c r="O26"/>
      <c r="P26"/>
      <c r="Q26"/>
      <c r="R26"/>
      <c r="S26"/>
    </row>
    <row r="27" spans="2:19" hidden="1" x14ac:dyDescent="0.25">
      <c r="B27" s="164" t="s">
        <v>174</v>
      </c>
      <c r="C27"/>
      <c r="D27"/>
      <c r="E27"/>
      <c r="F27"/>
      <c r="G27"/>
      <c r="H27"/>
      <c r="I27"/>
      <c r="J27"/>
      <c r="K27"/>
      <c r="L27"/>
      <c r="M27"/>
      <c r="N27"/>
      <c r="O27"/>
      <c r="P27"/>
      <c r="Q27"/>
      <c r="R27"/>
      <c r="S27"/>
    </row>
    <row r="28" spans="2:19" x14ac:dyDescent="0.25">
      <c r="B28" s="191" t="s">
        <v>175</v>
      </c>
      <c r="C28"/>
      <c r="D28"/>
      <c r="E28"/>
      <c r="F28"/>
      <c r="G28"/>
      <c r="H28"/>
      <c r="I28"/>
      <c r="J28"/>
      <c r="K28"/>
      <c r="L28"/>
      <c r="M28"/>
      <c r="N28"/>
      <c r="O28"/>
      <c r="P28"/>
      <c r="Q28"/>
      <c r="R28"/>
      <c r="S28"/>
    </row>
    <row r="29" spans="2:19" x14ac:dyDescent="0.25">
      <c r="B29"/>
      <c r="C29"/>
      <c r="D29"/>
      <c r="E29"/>
      <c r="F29"/>
      <c r="G29"/>
      <c r="H29"/>
      <c r="I29"/>
      <c r="J29"/>
      <c r="K29"/>
      <c r="L29"/>
      <c r="M29"/>
      <c r="N29"/>
      <c r="O29"/>
    </row>
    <row r="30" spans="2:19" x14ac:dyDescent="0.25">
      <c r="B30"/>
      <c r="C30"/>
      <c r="D30"/>
      <c r="E30"/>
      <c r="F30"/>
      <c r="G30"/>
      <c r="H30"/>
      <c r="I30"/>
      <c r="J30"/>
      <c r="K30"/>
      <c r="L30"/>
      <c r="M30"/>
      <c r="N30"/>
      <c r="O30" s="160"/>
      <c r="P30"/>
      <c r="Q30"/>
      <c r="R30"/>
      <c r="S30"/>
    </row>
    <row r="31" spans="2:19" x14ac:dyDescent="0.25">
      <c r="B31"/>
      <c r="C31"/>
      <c r="D31"/>
      <c r="E31"/>
      <c r="F31"/>
      <c r="G31"/>
      <c r="H31"/>
      <c r="I31"/>
      <c r="J31"/>
      <c r="K31"/>
      <c r="L31"/>
      <c r="M31"/>
      <c r="N31"/>
      <c r="O31" s="160"/>
      <c r="P31"/>
      <c r="Q31"/>
      <c r="R31"/>
      <c r="S31"/>
    </row>
    <row r="32" spans="2:19" x14ac:dyDescent="0.25">
      <c r="B32" s="44"/>
      <c r="C32" s="144"/>
      <c r="D32" s="144"/>
      <c r="E32" s="114"/>
      <c r="F32" s="114"/>
      <c r="G32" s="114"/>
      <c r="H32" s="161"/>
      <c r="I32" s="162"/>
      <c r="J32" s="163"/>
      <c r="K32" s="114"/>
      <c r="L32" s="38"/>
      <c r="M32" s="38"/>
      <c r="N32" s="38"/>
    </row>
    <row r="33" spans="2:21" x14ac:dyDescent="0.25">
      <c r="O33" s="36"/>
      <c r="R33" s="51"/>
      <c r="S33" s="63"/>
      <c r="T33" s="52"/>
      <c r="U33" s="64"/>
    </row>
    <row r="34" spans="2:21" x14ac:dyDescent="0.25">
      <c r="B34" s="44"/>
      <c r="C34" s="144"/>
      <c r="D34" s="144"/>
      <c r="E34" s="114"/>
      <c r="F34" s="114"/>
      <c r="G34" s="114"/>
      <c r="H34" s="161"/>
      <c r="I34" s="162"/>
      <c r="J34" s="163"/>
      <c r="K34" s="114"/>
      <c r="L34" s="38"/>
      <c r="M34" s="38"/>
      <c r="N34" s="38"/>
      <c r="R34" s="51"/>
      <c r="S34" s="63"/>
      <c r="T34" s="52"/>
      <c r="U34" s="64"/>
    </row>
    <row r="35" spans="2:21" x14ac:dyDescent="0.25">
      <c r="R35" s="51"/>
      <c r="S35" s="63"/>
      <c r="T35" s="52"/>
      <c r="U35" s="64"/>
    </row>
    <row r="36" spans="2:21" x14ac:dyDescent="0.25">
      <c r="R36" s="51"/>
      <c r="S36" s="63"/>
      <c r="T36" s="52"/>
      <c r="U36" s="64"/>
    </row>
    <row r="37" spans="2:21" x14ac:dyDescent="0.25">
      <c r="R37" s="51"/>
      <c r="S37" s="63"/>
      <c r="T37" s="52"/>
      <c r="U37" s="64"/>
    </row>
    <row r="38" spans="2:21" x14ac:dyDescent="0.25">
      <c r="R38" s="51"/>
      <c r="S38" s="63"/>
      <c r="T38" s="52"/>
      <c r="U38" s="64"/>
    </row>
    <row r="39" spans="2:21" x14ac:dyDescent="0.25">
      <c r="R39" s="51"/>
      <c r="S39" s="63"/>
      <c r="T39" s="52"/>
      <c r="U39" s="64"/>
    </row>
    <row r="40" spans="2:21" x14ac:dyDescent="0.25">
      <c r="R40" s="51"/>
      <c r="S40" s="63"/>
      <c r="T40" s="52"/>
      <c r="U40" s="64"/>
    </row>
  </sheetData>
  <mergeCells count="9">
    <mergeCell ref="B2:N2"/>
    <mergeCell ref="B3:N3"/>
    <mergeCell ref="B4:N4"/>
    <mergeCell ref="B6:N6"/>
    <mergeCell ref="C7:E7"/>
    <mergeCell ref="I7:K7"/>
    <mergeCell ref="L7:N7"/>
    <mergeCell ref="B5:N5"/>
    <mergeCell ref="F7:H7"/>
  </mergeCells>
  <pageMargins left="0.7" right="0.7" top="0.75" bottom="0.75" header="0.3" footer="0.3"/>
  <pageSetup paperSize="9" scale="72" orientation="portrait" r:id="rId1"/>
  <rowBreaks count="1" manualBreakCount="1">
    <brk id="46" min="1" max="10" man="1"/>
  </rowBreaks>
  <ignoredErrors>
    <ignoredError sqref="B13 F13:H13 L13:N13" formula="1"/>
    <ignoredError sqref="C13:E13 I13:K13" formula="1" formulaRange="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P39"/>
  <sheetViews>
    <sheetView showGridLines="0" workbookViewId="0">
      <selection activeCell="F8" sqref="F8:G10"/>
    </sheetView>
  </sheetViews>
  <sheetFormatPr baseColWidth="10" defaultColWidth="11.42578125" defaultRowHeight="15" x14ac:dyDescent="0.25"/>
  <cols>
    <col min="1" max="1" width="11.42578125" style="1"/>
    <col min="2" max="2" width="11" style="1" customWidth="1"/>
    <col min="3" max="3" width="14.140625" style="1" customWidth="1"/>
    <col min="4" max="4" width="12.42578125" style="1" customWidth="1"/>
    <col min="5" max="5" width="17.7109375" style="1" bestFit="1" customWidth="1"/>
    <col min="6" max="6" width="12.42578125" style="1" customWidth="1"/>
    <col min="7" max="7" width="16.140625" style="1" bestFit="1" customWidth="1"/>
    <col min="8" max="8" width="10.7109375" style="1" customWidth="1"/>
    <col min="9" max="9" width="15.28515625" style="1" bestFit="1" customWidth="1"/>
    <col min="10" max="10" width="11.42578125" style="1" customWidth="1"/>
    <col min="11" max="12" width="11.42578125" style="1"/>
    <col min="13" max="14" width="11.7109375" style="1" bestFit="1" customWidth="1"/>
    <col min="15" max="15" width="16" style="1" bestFit="1" customWidth="1"/>
    <col min="16" max="16" width="11.7109375" style="1" bestFit="1" customWidth="1"/>
    <col min="17" max="16384" width="11.42578125" style="1"/>
  </cols>
  <sheetData>
    <row r="1" spans="1:9" x14ac:dyDescent="0.25">
      <c r="A1" s="332" t="s">
        <v>176</v>
      </c>
      <c r="B1" s="332"/>
      <c r="C1" s="332"/>
      <c r="D1" s="332"/>
      <c r="E1" s="332"/>
      <c r="F1" s="332"/>
      <c r="G1" s="332"/>
      <c r="H1" s="332"/>
      <c r="I1" s="332"/>
    </row>
    <row r="2" spans="1:9" x14ac:dyDescent="0.25">
      <c r="A2" s="332" t="s">
        <v>62</v>
      </c>
      <c r="B2" s="332"/>
      <c r="C2" s="332"/>
      <c r="D2" s="332"/>
      <c r="E2" s="332"/>
      <c r="F2" s="332"/>
      <c r="G2" s="332"/>
      <c r="H2" s="332"/>
      <c r="I2" s="332"/>
    </row>
    <row r="3" spans="1:9" x14ac:dyDescent="0.25">
      <c r="A3" s="332" t="s">
        <v>177</v>
      </c>
      <c r="B3" s="332"/>
      <c r="C3" s="332"/>
      <c r="D3" s="332"/>
      <c r="E3" s="332"/>
      <c r="F3" s="332"/>
      <c r="G3" s="332"/>
      <c r="H3" s="332"/>
      <c r="I3" s="332"/>
    </row>
    <row r="4" spans="1:9" x14ac:dyDescent="0.25">
      <c r="A4" s="332" t="s">
        <v>178</v>
      </c>
      <c r="B4" s="332"/>
      <c r="C4" s="332"/>
      <c r="D4" s="332"/>
      <c r="E4" s="332"/>
      <c r="F4" s="332"/>
      <c r="G4" s="332"/>
      <c r="H4" s="332"/>
      <c r="I4" s="332"/>
    </row>
    <row r="5" spans="1:9" x14ac:dyDescent="0.25">
      <c r="A5" s="332" t="s">
        <v>179</v>
      </c>
      <c r="B5" s="332"/>
      <c r="C5" s="332"/>
      <c r="D5" s="332"/>
      <c r="E5" s="332"/>
      <c r="F5" s="332"/>
      <c r="G5" s="332"/>
      <c r="H5" s="332"/>
      <c r="I5" s="332"/>
    </row>
    <row r="6" spans="1:9" x14ac:dyDescent="0.25">
      <c r="A6" s="86"/>
      <c r="B6" s="374" t="s">
        <v>180</v>
      </c>
      <c r="C6" s="374"/>
      <c r="D6" s="373" t="s">
        <v>73</v>
      </c>
      <c r="E6" s="373"/>
      <c r="F6" s="375" t="s">
        <v>72</v>
      </c>
      <c r="G6" s="375"/>
      <c r="H6" s="376" t="s">
        <v>74</v>
      </c>
      <c r="I6" s="376"/>
    </row>
    <row r="7" spans="1:9" ht="34.5" customHeight="1" x14ac:dyDescent="0.25">
      <c r="A7" s="87" t="s">
        <v>3</v>
      </c>
      <c r="B7" s="45" t="s">
        <v>181</v>
      </c>
      <c r="C7" s="45" t="s">
        <v>7</v>
      </c>
      <c r="D7" s="45" t="s">
        <v>181</v>
      </c>
      <c r="E7" s="45" t="s">
        <v>7</v>
      </c>
      <c r="F7" s="45" t="s">
        <v>181</v>
      </c>
      <c r="G7" s="45" t="s">
        <v>7</v>
      </c>
      <c r="H7" s="45" t="s">
        <v>181</v>
      </c>
      <c r="I7" s="45" t="s">
        <v>7</v>
      </c>
    </row>
    <row r="8" spans="1:9" x14ac:dyDescent="0.25">
      <c r="A8" s="44" t="s">
        <v>15</v>
      </c>
      <c r="B8" s="32">
        <v>0</v>
      </c>
      <c r="C8" s="60">
        <v>0</v>
      </c>
      <c r="D8" s="32">
        <v>0</v>
      </c>
      <c r="E8" s="60">
        <v>0</v>
      </c>
      <c r="F8" s="32">
        <v>0</v>
      </c>
      <c r="G8" s="60">
        <v>0</v>
      </c>
      <c r="H8" s="37">
        <f t="shared" ref="H8:I10" si="0">+B8+D8+F8</f>
        <v>0</v>
      </c>
      <c r="I8" s="65">
        <f t="shared" si="0"/>
        <v>0</v>
      </c>
    </row>
    <row r="9" spans="1:9" x14ac:dyDescent="0.25">
      <c r="A9" s="44" t="s">
        <v>16</v>
      </c>
      <c r="B9" s="32">
        <f>4+28+31</f>
        <v>63</v>
      </c>
      <c r="C9" s="60">
        <f>30992+216880.44+240467.76</f>
        <v>488340.2</v>
      </c>
      <c r="D9" s="32">
        <v>3</v>
      </c>
      <c r="E9" s="60">
        <v>224872.69</v>
      </c>
      <c r="F9" s="32">
        <f>2+12</f>
        <v>14</v>
      </c>
      <c r="G9" s="60">
        <f>12000+72000</f>
        <v>84000</v>
      </c>
      <c r="H9" s="37">
        <f t="shared" si="0"/>
        <v>80</v>
      </c>
      <c r="I9" s="65">
        <f t="shared" si="0"/>
        <v>797212.89</v>
      </c>
    </row>
    <row r="10" spans="1:9" x14ac:dyDescent="0.25">
      <c r="A10" s="44" t="s">
        <v>17</v>
      </c>
      <c r="B10" s="32">
        <v>1413</v>
      </c>
      <c r="C10" s="60">
        <v>11172621.32</v>
      </c>
      <c r="D10" s="32">
        <v>34</v>
      </c>
      <c r="E10" s="60">
        <v>278309.3</v>
      </c>
      <c r="F10" s="32">
        <v>1549</v>
      </c>
      <c r="G10" s="60">
        <v>9294000</v>
      </c>
      <c r="H10" s="37">
        <f t="shared" si="0"/>
        <v>2996</v>
      </c>
      <c r="I10" s="37">
        <f t="shared" si="0"/>
        <v>20744930.620000001</v>
      </c>
    </row>
    <row r="11" spans="1:9" x14ac:dyDescent="0.25">
      <c r="A11" s="27" t="s">
        <v>18</v>
      </c>
      <c r="B11" s="39">
        <f t="shared" ref="B11:I11" si="1">SUM(B8:B10)</f>
        <v>1476</v>
      </c>
      <c r="C11" s="39">
        <f t="shared" si="1"/>
        <v>11660961.52</v>
      </c>
      <c r="D11" s="39">
        <f t="shared" si="1"/>
        <v>37</v>
      </c>
      <c r="E11" s="39">
        <f t="shared" si="1"/>
        <v>503181.99</v>
      </c>
      <c r="F11" s="39">
        <f>SUM(F8:F10)</f>
        <v>1563</v>
      </c>
      <c r="G11" s="39">
        <f t="shared" ref="G11" si="2">SUM(G8:G10)</f>
        <v>9378000</v>
      </c>
      <c r="H11" s="39">
        <f>SUM(H8:H10)</f>
        <v>3076</v>
      </c>
      <c r="I11" s="39">
        <f t="shared" si="1"/>
        <v>21542143.510000002</v>
      </c>
    </row>
    <row r="12" spans="1:9" hidden="1" x14ac:dyDescent="0.25">
      <c r="A12" s="44" t="s">
        <v>15</v>
      </c>
      <c r="B12" s="32"/>
      <c r="C12" s="60"/>
      <c r="D12" s="32"/>
      <c r="E12" s="60"/>
      <c r="F12" s="32"/>
      <c r="G12" s="60"/>
      <c r="H12" s="37">
        <f t="shared" ref="H12:I14" si="3">+B12+D12+F12</f>
        <v>0</v>
      </c>
      <c r="I12" s="65">
        <f t="shared" si="3"/>
        <v>0</v>
      </c>
    </row>
    <row r="13" spans="1:9" hidden="1" x14ac:dyDescent="0.25">
      <c r="A13" s="44" t="s">
        <v>16</v>
      </c>
      <c r="B13" s="32"/>
      <c r="C13" s="60"/>
      <c r="D13" s="32"/>
      <c r="E13" s="60"/>
      <c r="F13" s="32"/>
      <c r="G13" s="60"/>
      <c r="H13" s="37">
        <f t="shared" si="3"/>
        <v>0</v>
      </c>
      <c r="I13" s="65">
        <f t="shared" si="3"/>
        <v>0</v>
      </c>
    </row>
    <row r="14" spans="1:9" hidden="1" x14ac:dyDescent="0.25">
      <c r="A14" s="44" t="s">
        <v>17</v>
      </c>
      <c r="B14" s="32"/>
      <c r="C14" s="60"/>
      <c r="D14" s="32"/>
      <c r="E14" s="60"/>
      <c r="F14" s="32"/>
      <c r="G14" s="60"/>
      <c r="H14" s="37">
        <f t="shared" si="3"/>
        <v>0</v>
      </c>
      <c r="I14" s="65">
        <f t="shared" si="3"/>
        <v>0</v>
      </c>
    </row>
    <row r="15" spans="1:9" hidden="1" x14ac:dyDescent="0.25">
      <c r="A15" s="27" t="s">
        <v>18</v>
      </c>
      <c r="B15" s="39">
        <f t="shared" ref="B15:I15" si="4">SUM(B12:B14)</f>
        <v>0</v>
      </c>
      <c r="C15" s="39">
        <f t="shared" si="4"/>
        <v>0</v>
      </c>
      <c r="D15" s="39">
        <f t="shared" si="4"/>
        <v>0</v>
      </c>
      <c r="E15" s="39">
        <f t="shared" si="4"/>
        <v>0</v>
      </c>
      <c r="F15" s="39">
        <f t="shared" ref="F15:G15" si="5">SUM(F12:F14)</f>
        <v>0</v>
      </c>
      <c r="G15" s="39">
        <f t="shared" si="5"/>
        <v>0</v>
      </c>
      <c r="H15" s="39">
        <f t="shared" si="4"/>
        <v>0</v>
      </c>
      <c r="I15" s="39">
        <f t="shared" si="4"/>
        <v>0</v>
      </c>
    </row>
    <row r="16" spans="1:9" hidden="1" x14ac:dyDescent="0.25">
      <c r="A16" s="44" t="s">
        <v>34</v>
      </c>
      <c r="B16" s="32"/>
      <c r="C16" s="60"/>
      <c r="D16" s="32"/>
      <c r="E16" s="60"/>
      <c r="F16" s="32"/>
      <c r="G16" s="60"/>
      <c r="H16" s="37">
        <f t="shared" ref="H16:I18" si="6">+B16+D16+F16</f>
        <v>0</v>
      </c>
      <c r="I16" s="65">
        <f t="shared" si="6"/>
        <v>0</v>
      </c>
    </row>
    <row r="17" spans="1:16" hidden="1" x14ac:dyDescent="0.25">
      <c r="A17" s="44" t="s">
        <v>20</v>
      </c>
      <c r="B17" s="32"/>
      <c r="C17" s="60"/>
      <c r="D17" s="32"/>
      <c r="E17" s="60"/>
      <c r="F17" s="32"/>
      <c r="G17" s="60"/>
      <c r="H17" s="37">
        <f t="shared" si="6"/>
        <v>0</v>
      </c>
      <c r="I17" s="65">
        <f t="shared" si="6"/>
        <v>0</v>
      </c>
    </row>
    <row r="18" spans="1:16" hidden="1" x14ac:dyDescent="0.25">
      <c r="A18" s="44" t="s">
        <v>21</v>
      </c>
      <c r="B18" s="32"/>
      <c r="C18" s="60"/>
      <c r="D18" s="32"/>
      <c r="E18" s="60"/>
      <c r="F18" s="32"/>
      <c r="G18" s="60"/>
      <c r="H18" s="37">
        <f t="shared" si="6"/>
        <v>0</v>
      </c>
      <c r="I18" s="65">
        <f t="shared" si="6"/>
        <v>0</v>
      </c>
    </row>
    <row r="19" spans="1:16" hidden="1" x14ac:dyDescent="0.25">
      <c r="A19" s="27" t="s">
        <v>22</v>
      </c>
      <c r="B19" s="39">
        <f t="shared" ref="B19:E19" si="7">SUM(B16:B18)</f>
        <v>0</v>
      </c>
      <c r="C19" s="39">
        <f t="shared" si="7"/>
        <v>0</v>
      </c>
      <c r="D19" s="39">
        <f t="shared" si="7"/>
        <v>0</v>
      </c>
      <c r="E19" s="39">
        <f t="shared" si="7"/>
        <v>0</v>
      </c>
      <c r="F19" s="39">
        <f t="shared" ref="F19:G19" si="8">SUM(F16:F18)</f>
        <v>0</v>
      </c>
      <c r="G19" s="39">
        <f t="shared" si="8"/>
        <v>0</v>
      </c>
      <c r="H19" s="39">
        <f>SUM(H16:H18)</f>
        <v>0</v>
      </c>
      <c r="I19" s="39">
        <f>SUM(I16:I18)</f>
        <v>0</v>
      </c>
    </row>
    <row r="20" spans="1:16" hidden="1" x14ac:dyDescent="0.25">
      <c r="A20" s="31" t="s">
        <v>13</v>
      </c>
      <c r="B20" s="32"/>
      <c r="C20" s="60"/>
      <c r="D20" s="32"/>
      <c r="E20" s="60"/>
      <c r="F20" s="32"/>
      <c r="G20" s="60"/>
      <c r="H20" s="37">
        <f t="shared" ref="H20:I22" si="9">+B20+D20+F20</f>
        <v>0</v>
      </c>
      <c r="I20" s="65">
        <f t="shared" si="9"/>
        <v>0</v>
      </c>
    </row>
    <row r="21" spans="1:16" hidden="1" x14ac:dyDescent="0.25">
      <c r="A21" s="31" t="s">
        <v>12</v>
      </c>
      <c r="B21" s="32"/>
      <c r="C21" s="60"/>
      <c r="D21" s="32"/>
      <c r="E21" s="60"/>
      <c r="F21" s="32"/>
      <c r="G21" s="60"/>
      <c r="H21" s="37">
        <f t="shared" si="9"/>
        <v>0</v>
      </c>
      <c r="I21" s="65">
        <f t="shared" si="9"/>
        <v>0</v>
      </c>
    </row>
    <row r="22" spans="1:16" hidden="1" x14ac:dyDescent="0.25">
      <c r="A22" s="31" t="s">
        <v>11</v>
      </c>
      <c r="B22" s="32"/>
      <c r="C22" s="60"/>
      <c r="D22" s="32"/>
      <c r="E22" s="60"/>
      <c r="F22" s="32"/>
      <c r="G22" s="60"/>
      <c r="H22" s="37">
        <f t="shared" si="9"/>
        <v>0</v>
      </c>
      <c r="I22" s="65">
        <f t="shared" si="9"/>
        <v>0</v>
      </c>
    </row>
    <row r="23" spans="1:16" hidden="1" x14ac:dyDescent="0.25">
      <c r="A23" s="12" t="s">
        <v>14</v>
      </c>
      <c r="B23" s="39">
        <f t="shared" ref="B23:I23" si="10">SUM(B20:B22)</f>
        <v>0</v>
      </c>
      <c r="C23" s="39">
        <f t="shared" si="10"/>
        <v>0</v>
      </c>
      <c r="D23" s="39">
        <f t="shared" si="10"/>
        <v>0</v>
      </c>
      <c r="E23" s="39">
        <f t="shared" si="10"/>
        <v>0</v>
      </c>
      <c r="F23" s="39">
        <f t="shared" ref="F23:G23" si="11">SUM(F20:F22)</f>
        <v>0</v>
      </c>
      <c r="G23" s="39">
        <f t="shared" si="11"/>
        <v>0</v>
      </c>
      <c r="H23" s="39">
        <f t="shared" si="10"/>
        <v>0</v>
      </c>
      <c r="I23" s="39">
        <f t="shared" si="10"/>
        <v>0</v>
      </c>
    </row>
    <row r="24" spans="1:16" hidden="1" x14ac:dyDescent="0.25">
      <c r="A24" s="61" t="s">
        <v>23</v>
      </c>
      <c r="B24" s="41">
        <f>+B11+B15+B19+B23</f>
        <v>1476</v>
      </c>
      <c r="C24" s="41">
        <f>+C11+C15+C19+C23</f>
        <v>11660961.52</v>
      </c>
      <c r="D24" s="41">
        <f t="shared" ref="D24:I24" si="12">+D11+D15+D19+D23</f>
        <v>37</v>
      </c>
      <c r="E24" s="41">
        <f t="shared" si="12"/>
        <v>503181.99</v>
      </c>
      <c r="F24" s="41">
        <f t="shared" si="12"/>
        <v>1563</v>
      </c>
      <c r="G24" s="41">
        <f t="shared" si="12"/>
        <v>9378000</v>
      </c>
      <c r="H24" s="41">
        <f>+H11+H15+H19+H23</f>
        <v>3076</v>
      </c>
      <c r="I24" s="41">
        <f t="shared" si="12"/>
        <v>21542143.510000002</v>
      </c>
    </row>
    <row r="25" spans="1:16" hidden="1" x14ac:dyDescent="0.25">
      <c r="A25" s="62" t="s">
        <v>182</v>
      </c>
    </row>
    <row r="26" spans="1:16" x14ac:dyDescent="0.25">
      <c r="A26" s="15" t="s">
        <v>183</v>
      </c>
      <c r="E26" s="36"/>
      <c r="G26" s="36"/>
    </row>
    <row r="32" spans="1:16" x14ac:dyDescent="0.25">
      <c r="M32" s="51">
        <v>32154</v>
      </c>
      <c r="N32" s="63" t="e">
        <f t="shared" ref="N32:N39" si="13">M32/$B$29*100</f>
        <v>#DIV/0!</v>
      </c>
      <c r="O32" s="52">
        <v>386810064.19999999</v>
      </c>
      <c r="P32" s="64" t="e">
        <f>O32/O40*100</f>
        <v>#DIV/0!</v>
      </c>
    </row>
    <row r="33" spans="13:16" x14ac:dyDescent="0.25">
      <c r="M33" s="51">
        <v>56199</v>
      </c>
      <c r="N33" s="63" t="e">
        <f t="shared" si="13"/>
        <v>#DIV/0!</v>
      </c>
      <c r="O33" s="52">
        <v>471111842.94</v>
      </c>
      <c r="P33" s="64" t="e">
        <f>O33/O40*100</f>
        <v>#DIV/0!</v>
      </c>
    </row>
    <row r="34" spans="13:16" x14ac:dyDescent="0.25">
      <c r="M34" s="51">
        <v>297</v>
      </c>
      <c r="N34" s="63" t="e">
        <f t="shared" si="13"/>
        <v>#DIV/0!</v>
      </c>
      <c r="O34" s="52">
        <v>5010228</v>
      </c>
      <c r="P34" s="64" t="e">
        <f>O34/O40*100</f>
        <v>#DIV/0!</v>
      </c>
    </row>
    <row r="35" spans="13:16" x14ac:dyDescent="0.25">
      <c r="M35" s="51">
        <v>163</v>
      </c>
      <c r="N35" s="63" t="e">
        <f t="shared" si="13"/>
        <v>#DIV/0!</v>
      </c>
      <c r="O35" s="52">
        <v>4392328.91</v>
      </c>
      <c r="P35" s="64" t="e">
        <f>O35/O40*100</f>
        <v>#DIV/0!</v>
      </c>
    </row>
    <row r="36" spans="13:16" x14ac:dyDescent="0.25">
      <c r="M36" s="51">
        <v>366</v>
      </c>
      <c r="N36" s="63" t="e">
        <f t="shared" si="13"/>
        <v>#DIV/0!</v>
      </c>
      <c r="O36" s="52">
        <v>9034522.6500000004</v>
      </c>
      <c r="P36" s="64" t="e">
        <f>O36/O40*100</f>
        <v>#DIV/0!</v>
      </c>
    </row>
    <row r="37" spans="13:16" x14ac:dyDescent="0.25">
      <c r="M37" s="51">
        <v>17249</v>
      </c>
      <c r="N37" s="63" t="e">
        <f t="shared" si="13"/>
        <v>#DIV/0!</v>
      </c>
      <c r="O37" s="52">
        <v>405400068.69</v>
      </c>
      <c r="P37" s="64" t="e">
        <f>O37/O40*100</f>
        <v>#DIV/0!</v>
      </c>
    </row>
    <row r="38" spans="13:16" x14ac:dyDescent="0.25">
      <c r="M38" s="51">
        <v>18745</v>
      </c>
      <c r="N38" s="63" t="e">
        <f t="shared" si="13"/>
        <v>#DIV/0!</v>
      </c>
      <c r="O38" s="52">
        <v>369724631.60000002</v>
      </c>
      <c r="P38" s="64" t="e">
        <f>O38/O40*100</f>
        <v>#DIV/0!</v>
      </c>
    </row>
    <row r="39" spans="13:16" x14ac:dyDescent="0.25">
      <c r="M39" s="51">
        <v>15130</v>
      </c>
      <c r="N39" s="63" t="e">
        <f t="shared" si="13"/>
        <v>#DIV/0!</v>
      </c>
      <c r="O39" s="52">
        <v>151015428.50999999</v>
      </c>
      <c r="P39" s="64" t="e">
        <f>O39/O40*100</f>
        <v>#DIV/0!</v>
      </c>
    </row>
  </sheetData>
  <mergeCells count="9">
    <mergeCell ref="B6:C6"/>
    <mergeCell ref="D6:E6"/>
    <mergeCell ref="F6:G6"/>
    <mergeCell ref="H6:I6"/>
    <mergeCell ref="A1:I1"/>
    <mergeCell ref="A2:I2"/>
    <mergeCell ref="A3:I3"/>
    <mergeCell ref="A4:I4"/>
    <mergeCell ref="A5:I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sheetPr>
  <dimension ref="A1:P39"/>
  <sheetViews>
    <sheetView showGridLines="0" workbookViewId="0">
      <selection activeCell="B27" sqref="B27"/>
    </sheetView>
  </sheetViews>
  <sheetFormatPr baseColWidth="10" defaultColWidth="11.42578125" defaultRowHeight="15" x14ac:dyDescent="0.25"/>
  <cols>
    <col min="1" max="1" width="11.42578125" style="1"/>
    <col min="2" max="2" width="11" style="1" customWidth="1"/>
    <col min="3" max="3" width="14.140625" style="1" customWidth="1"/>
    <col min="4" max="4" width="12.42578125" style="1" customWidth="1"/>
    <col min="5" max="5" width="17.7109375" style="1" bestFit="1" customWidth="1"/>
    <col min="6" max="6" width="12.42578125" style="1" customWidth="1"/>
    <col min="7" max="7" width="16.140625" style="1" bestFit="1" customWidth="1"/>
    <col min="8" max="8" width="10.7109375" style="1" customWidth="1"/>
    <col min="9" max="9" width="15.28515625" style="1" bestFit="1" customWidth="1"/>
    <col min="10" max="10" width="11.42578125" style="1" customWidth="1"/>
    <col min="11" max="12" width="11.42578125" style="1"/>
    <col min="13" max="14" width="11.7109375" style="1" bestFit="1" customWidth="1"/>
    <col min="15" max="15" width="16" style="1" bestFit="1" customWidth="1"/>
    <col min="16" max="16" width="11.7109375" style="1" bestFit="1" customWidth="1"/>
    <col min="17" max="16384" width="11.42578125" style="1"/>
  </cols>
  <sheetData>
    <row r="1" spans="1:9" x14ac:dyDescent="0.25">
      <c r="A1" s="332" t="s">
        <v>176</v>
      </c>
      <c r="B1" s="332"/>
      <c r="C1" s="332"/>
      <c r="D1" s="332"/>
      <c r="E1" s="332"/>
      <c r="F1" s="332"/>
      <c r="G1" s="332"/>
      <c r="H1" s="332"/>
      <c r="I1" s="332"/>
    </row>
    <row r="2" spans="1:9" x14ac:dyDescent="0.25">
      <c r="A2" s="332" t="s">
        <v>62</v>
      </c>
      <c r="B2" s="332"/>
      <c r="C2" s="332"/>
      <c r="D2" s="332"/>
      <c r="E2" s="332"/>
      <c r="F2" s="332"/>
      <c r="G2" s="332"/>
      <c r="H2" s="332"/>
      <c r="I2" s="332"/>
    </row>
    <row r="3" spans="1:9" x14ac:dyDescent="0.25">
      <c r="A3" s="332" t="s">
        <v>184</v>
      </c>
      <c r="B3" s="332"/>
      <c r="C3" s="332"/>
      <c r="D3" s="332"/>
      <c r="E3" s="332"/>
      <c r="F3" s="332"/>
      <c r="G3" s="332"/>
      <c r="H3" s="332"/>
      <c r="I3" s="332"/>
    </row>
    <row r="4" spans="1:9" x14ac:dyDescent="0.25">
      <c r="A4" s="332" t="s">
        <v>185</v>
      </c>
      <c r="B4" s="332"/>
      <c r="C4" s="332"/>
      <c r="D4" s="332"/>
      <c r="E4" s="332"/>
      <c r="F4" s="332"/>
      <c r="G4" s="332"/>
      <c r="H4" s="332"/>
      <c r="I4" s="332"/>
    </row>
    <row r="5" spans="1:9" x14ac:dyDescent="0.25">
      <c r="A5" s="332" t="s">
        <v>179</v>
      </c>
      <c r="B5" s="332"/>
      <c r="C5" s="332"/>
      <c r="D5" s="332"/>
      <c r="E5" s="332"/>
      <c r="F5" s="332"/>
      <c r="G5" s="332"/>
      <c r="H5" s="332"/>
      <c r="I5" s="332"/>
    </row>
    <row r="6" spans="1:9" x14ac:dyDescent="0.25">
      <c r="A6" s="86"/>
      <c r="B6" s="374" t="s">
        <v>180</v>
      </c>
      <c r="C6" s="374"/>
      <c r="D6" s="373" t="s">
        <v>73</v>
      </c>
      <c r="E6" s="373"/>
      <c r="F6" s="375" t="s">
        <v>72</v>
      </c>
      <c r="G6" s="375"/>
      <c r="H6" s="376" t="s">
        <v>74</v>
      </c>
      <c r="I6" s="376"/>
    </row>
    <row r="7" spans="1:9" ht="34.5" customHeight="1" x14ac:dyDescent="0.25">
      <c r="A7" s="87" t="s">
        <v>3</v>
      </c>
      <c r="B7" s="45" t="s">
        <v>186</v>
      </c>
      <c r="C7" s="45" t="s">
        <v>7</v>
      </c>
      <c r="D7" s="45" t="s">
        <v>186</v>
      </c>
      <c r="E7" s="45" t="s">
        <v>7</v>
      </c>
      <c r="F7" s="45" t="s">
        <v>186</v>
      </c>
      <c r="G7" s="45" t="s">
        <v>7</v>
      </c>
      <c r="H7" s="45" t="s">
        <v>186</v>
      </c>
      <c r="I7" s="45" t="s">
        <v>7</v>
      </c>
    </row>
    <row r="8" spans="1:9" x14ac:dyDescent="0.25">
      <c r="A8" s="44" t="s">
        <v>15</v>
      </c>
      <c r="B8" s="32">
        <v>0</v>
      </c>
      <c r="C8" s="60">
        <v>0</v>
      </c>
      <c r="D8" s="32">
        <v>0</v>
      </c>
      <c r="E8" s="60">
        <v>0</v>
      </c>
      <c r="F8" s="32">
        <v>0</v>
      </c>
      <c r="G8" s="60">
        <v>0</v>
      </c>
      <c r="H8" s="37">
        <f t="shared" ref="H8:I10" si="0">+B8+D8+F8</f>
        <v>0</v>
      </c>
      <c r="I8" s="65">
        <f t="shared" si="0"/>
        <v>0</v>
      </c>
    </row>
    <row r="9" spans="1:9" x14ac:dyDescent="0.25">
      <c r="A9" s="44" t="s">
        <v>16</v>
      </c>
      <c r="B9" s="32">
        <v>36</v>
      </c>
      <c r="C9" s="60">
        <v>386001.61</v>
      </c>
      <c r="D9" s="32">
        <v>2</v>
      </c>
      <c r="E9" s="60">
        <v>16030.61</v>
      </c>
      <c r="F9" s="32">
        <v>2</v>
      </c>
      <c r="G9" s="60">
        <v>12000</v>
      </c>
      <c r="H9" s="37">
        <f t="shared" si="0"/>
        <v>40</v>
      </c>
      <c r="I9" s="65">
        <f t="shared" si="0"/>
        <v>414032.22</v>
      </c>
    </row>
    <row r="10" spans="1:9" x14ac:dyDescent="0.25">
      <c r="A10" s="44" t="s">
        <v>17</v>
      </c>
      <c r="B10" s="32">
        <v>131</v>
      </c>
      <c r="C10" s="60">
        <v>1444844.33</v>
      </c>
      <c r="D10" s="32">
        <v>5</v>
      </c>
      <c r="E10" s="60">
        <v>110598.45</v>
      </c>
      <c r="F10" s="32">
        <v>6</v>
      </c>
      <c r="G10" s="60">
        <v>36000</v>
      </c>
      <c r="H10" s="37">
        <f t="shared" si="0"/>
        <v>142</v>
      </c>
      <c r="I10" s="37">
        <f t="shared" si="0"/>
        <v>1591442.78</v>
      </c>
    </row>
    <row r="11" spans="1:9" x14ac:dyDescent="0.25">
      <c r="A11" s="27" t="s">
        <v>18</v>
      </c>
      <c r="B11" s="39">
        <f t="shared" ref="B11:I11" si="1">SUM(B8:B10)</f>
        <v>167</v>
      </c>
      <c r="C11" s="39">
        <f t="shared" si="1"/>
        <v>1830845.94</v>
      </c>
      <c r="D11" s="39">
        <f t="shared" si="1"/>
        <v>7</v>
      </c>
      <c r="E11" s="39">
        <f t="shared" si="1"/>
        <v>126629.06</v>
      </c>
      <c r="F11" s="39">
        <f>SUM(F8:F10)</f>
        <v>8</v>
      </c>
      <c r="G11" s="39">
        <f t="shared" ref="G11" si="2">SUM(G8:G10)</f>
        <v>48000</v>
      </c>
      <c r="H11" s="39">
        <f t="shared" si="1"/>
        <v>182</v>
      </c>
      <c r="I11" s="39">
        <f t="shared" si="1"/>
        <v>2005475</v>
      </c>
    </row>
    <row r="12" spans="1:9" hidden="1" x14ac:dyDescent="0.25">
      <c r="A12" s="44" t="s">
        <v>15</v>
      </c>
      <c r="B12" s="32">
        <v>52</v>
      </c>
      <c r="C12" s="60">
        <v>621254.41</v>
      </c>
      <c r="D12" s="32">
        <v>2</v>
      </c>
      <c r="E12" s="60">
        <v>15128.119999999999</v>
      </c>
      <c r="F12" s="32"/>
      <c r="G12" s="60"/>
      <c r="H12" s="37">
        <f t="shared" ref="H12:I14" si="3">+B12+D12+F12</f>
        <v>54</v>
      </c>
      <c r="I12" s="65">
        <f t="shared" si="3"/>
        <v>636382.53</v>
      </c>
    </row>
    <row r="13" spans="1:9" hidden="1" x14ac:dyDescent="0.25">
      <c r="A13" s="44" t="s">
        <v>16</v>
      </c>
      <c r="B13" s="32"/>
      <c r="C13" s="60"/>
      <c r="D13" s="32"/>
      <c r="E13" s="60"/>
      <c r="F13" s="32"/>
      <c r="G13" s="60"/>
      <c r="H13" s="37">
        <f t="shared" si="3"/>
        <v>0</v>
      </c>
      <c r="I13" s="65">
        <f t="shared" si="3"/>
        <v>0</v>
      </c>
    </row>
    <row r="14" spans="1:9" hidden="1" x14ac:dyDescent="0.25">
      <c r="A14" s="44" t="s">
        <v>17</v>
      </c>
      <c r="B14" s="32"/>
      <c r="C14" s="60"/>
      <c r="D14" s="32"/>
      <c r="E14" s="60"/>
      <c r="F14" s="32"/>
      <c r="G14" s="60"/>
      <c r="H14" s="37">
        <f t="shared" si="3"/>
        <v>0</v>
      </c>
      <c r="I14" s="65">
        <f t="shared" si="3"/>
        <v>0</v>
      </c>
    </row>
    <row r="15" spans="1:9" hidden="1" x14ac:dyDescent="0.25">
      <c r="A15" s="27" t="s">
        <v>18</v>
      </c>
      <c r="B15" s="39">
        <f t="shared" ref="B15:I15" si="4">SUM(B12:B14)</f>
        <v>52</v>
      </c>
      <c r="C15" s="39">
        <f t="shared" si="4"/>
        <v>621254.41</v>
      </c>
      <c r="D15" s="39">
        <f t="shared" si="4"/>
        <v>2</v>
      </c>
      <c r="E15" s="39">
        <f t="shared" si="4"/>
        <v>15128.119999999999</v>
      </c>
      <c r="F15" s="39">
        <f t="shared" ref="F15:G15" si="5">SUM(F12:F14)</f>
        <v>0</v>
      </c>
      <c r="G15" s="39">
        <f t="shared" si="5"/>
        <v>0</v>
      </c>
      <c r="H15" s="39">
        <f t="shared" si="4"/>
        <v>54</v>
      </c>
      <c r="I15" s="39">
        <f t="shared" si="4"/>
        <v>636382.53</v>
      </c>
    </row>
    <row r="16" spans="1:9" hidden="1" x14ac:dyDescent="0.25">
      <c r="A16" s="44" t="s">
        <v>34</v>
      </c>
      <c r="B16" s="32"/>
      <c r="C16" s="60"/>
      <c r="D16" s="32"/>
      <c r="E16" s="60"/>
      <c r="F16" s="32"/>
      <c r="G16" s="60"/>
      <c r="H16" s="37">
        <f t="shared" ref="H16:I18" si="6">+B16+D16+F16</f>
        <v>0</v>
      </c>
      <c r="I16" s="65">
        <f t="shared" si="6"/>
        <v>0</v>
      </c>
    </row>
    <row r="17" spans="1:16" hidden="1" x14ac:dyDescent="0.25">
      <c r="A17" s="44" t="s">
        <v>20</v>
      </c>
      <c r="B17" s="32"/>
      <c r="C17" s="60"/>
      <c r="D17" s="32"/>
      <c r="E17" s="60"/>
      <c r="F17" s="32"/>
      <c r="G17" s="60"/>
      <c r="H17" s="37">
        <f t="shared" si="6"/>
        <v>0</v>
      </c>
      <c r="I17" s="65">
        <f t="shared" si="6"/>
        <v>0</v>
      </c>
    </row>
    <row r="18" spans="1:16" hidden="1" x14ac:dyDescent="0.25">
      <c r="A18" s="44" t="s">
        <v>21</v>
      </c>
      <c r="B18" s="32"/>
      <c r="C18" s="60"/>
      <c r="D18" s="32"/>
      <c r="E18" s="60"/>
      <c r="F18" s="32"/>
      <c r="G18" s="60"/>
      <c r="H18" s="37">
        <f t="shared" si="6"/>
        <v>0</v>
      </c>
      <c r="I18" s="65">
        <f t="shared" si="6"/>
        <v>0</v>
      </c>
    </row>
    <row r="19" spans="1:16" hidden="1" x14ac:dyDescent="0.25">
      <c r="A19" s="27" t="s">
        <v>22</v>
      </c>
      <c r="B19" s="39">
        <f t="shared" ref="B19:E19" si="7">SUM(B16:B18)</f>
        <v>0</v>
      </c>
      <c r="C19" s="39">
        <f t="shared" si="7"/>
        <v>0</v>
      </c>
      <c r="D19" s="39">
        <f t="shared" si="7"/>
        <v>0</v>
      </c>
      <c r="E19" s="39">
        <f t="shared" si="7"/>
        <v>0</v>
      </c>
      <c r="F19" s="39">
        <f t="shared" ref="F19:G19" si="8">SUM(F16:F18)</f>
        <v>0</v>
      </c>
      <c r="G19" s="39">
        <f t="shared" si="8"/>
        <v>0</v>
      </c>
      <c r="H19" s="39">
        <f>SUM(H16:H18)</f>
        <v>0</v>
      </c>
      <c r="I19" s="39">
        <f>SUM(I16:I18)</f>
        <v>0</v>
      </c>
    </row>
    <row r="20" spans="1:16" hidden="1" x14ac:dyDescent="0.25">
      <c r="A20" s="31" t="s">
        <v>13</v>
      </c>
      <c r="B20" s="32"/>
      <c r="C20" s="60"/>
      <c r="D20" s="32"/>
      <c r="E20" s="60"/>
      <c r="F20" s="32"/>
      <c r="G20" s="60"/>
      <c r="H20" s="37">
        <f t="shared" ref="H20:I22" si="9">+B20+D20+F20</f>
        <v>0</v>
      </c>
      <c r="I20" s="65">
        <f t="shared" si="9"/>
        <v>0</v>
      </c>
    </row>
    <row r="21" spans="1:16" hidden="1" x14ac:dyDescent="0.25">
      <c r="A21" s="31" t="s">
        <v>12</v>
      </c>
      <c r="B21" s="32"/>
      <c r="C21" s="60"/>
      <c r="D21" s="32"/>
      <c r="E21" s="60"/>
      <c r="F21" s="32"/>
      <c r="G21" s="60"/>
      <c r="H21" s="37">
        <f t="shared" si="9"/>
        <v>0</v>
      </c>
      <c r="I21" s="65">
        <f t="shared" si="9"/>
        <v>0</v>
      </c>
    </row>
    <row r="22" spans="1:16" hidden="1" x14ac:dyDescent="0.25">
      <c r="A22" s="31" t="s">
        <v>11</v>
      </c>
      <c r="B22" s="32"/>
      <c r="C22" s="60"/>
      <c r="D22" s="32"/>
      <c r="E22" s="60"/>
      <c r="F22" s="32"/>
      <c r="G22" s="60"/>
      <c r="H22" s="37">
        <f t="shared" si="9"/>
        <v>0</v>
      </c>
      <c r="I22" s="65">
        <f t="shared" si="9"/>
        <v>0</v>
      </c>
    </row>
    <row r="23" spans="1:16" hidden="1" x14ac:dyDescent="0.25">
      <c r="A23" s="12" t="s">
        <v>14</v>
      </c>
      <c r="B23" s="39">
        <f t="shared" ref="B23:I23" si="10">SUM(B20:B22)</f>
        <v>0</v>
      </c>
      <c r="C23" s="39">
        <f t="shared" si="10"/>
        <v>0</v>
      </c>
      <c r="D23" s="39">
        <f t="shared" si="10"/>
        <v>0</v>
      </c>
      <c r="E23" s="39">
        <f t="shared" si="10"/>
        <v>0</v>
      </c>
      <c r="F23" s="39">
        <f t="shared" ref="F23:G23" si="11">SUM(F20:F22)</f>
        <v>0</v>
      </c>
      <c r="G23" s="39">
        <f t="shared" si="11"/>
        <v>0</v>
      </c>
      <c r="H23" s="39">
        <f t="shared" si="10"/>
        <v>0</v>
      </c>
      <c r="I23" s="39">
        <f t="shared" si="10"/>
        <v>0</v>
      </c>
    </row>
    <row r="24" spans="1:16" hidden="1" x14ac:dyDescent="0.25">
      <c r="A24" s="61" t="s">
        <v>23</v>
      </c>
      <c r="B24" s="41">
        <f>+B11+B15+B19+B23</f>
        <v>219</v>
      </c>
      <c r="C24" s="41">
        <f>+C11+C15+C19+C23</f>
        <v>2452100.35</v>
      </c>
      <c r="D24" s="41">
        <f t="shared" ref="D24:I24" si="12">+D11+D15+D19+D23</f>
        <v>9</v>
      </c>
      <c r="E24" s="41">
        <f t="shared" si="12"/>
        <v>141757.18</v>
      </c>
      <c r="F24" s="41">
        <f t="shared" si="12"/>
        <v>8</v>
      </c>
      <c r="G24" s="41">
        <f t="shared" si="12"/>
        <v>48000</v>
      </c>
      <c r="H24" s="41">
        <f>+H11+H15+H19+H23</f>
        <v>236</v>
      </c>
      <c r="I24" s="41">
        <f t="shared" si="12"/>
        <v>2641857.5300000003</v>
      </c>
    </row>
    <row r="25" spans="1:16" x14ac:dyDescent="0.25">
      <c r="A25" s="15" t="s">
        <v>183</v>
      </c>
    </row>
    <row r="26" spans="1:16" x14ac:dyDescent="0.25">
      <c r="E26" s="36"/>
      <c r="G26" s="36"/>
    </row>
    <row r="32" spans="1:16" x14ac:dyDescent="0.25">
      <c r="M32" s="51">
        <v>32154</v>
      </c>
      <c r="N32" s="63" t="e">
        <f t="shared" ref="N32:N39" si="13">M32/$B$29*100</f>
        <v>#DIV/0!</v>
      </c>
      <c r="O32" s="52">
        <v>386810064.19999999</v>
      </c>
      <c r="P32" s="64" t="e">
        <f>O32/O40*100</f>
        <v>#DIV/0!</v>
      </c>
    </row>
    <row r="33" spans="13:16" x14ac:dyDescent="0.25">
      <c r="M33" s="51">
        <v>56199</v>
      </c>
      <c r="N33" s="63" t="e">
        <f t="shared" si="13"/>
        <v>#DIV/0!</v>
      </c>
      <c r="O33" s="52">
        <v>471111842.94</v>
      </c>
      <c r="P33" s="64" t="e">
        <f>O33/O40*100</f>
        <v>#DIV/0!</v>
      </c>
    </row>
    <row r="34" spans="13:16" x14ac:dyDescent="0.25">
      <c r="M34" s="51">
        <v>297</v>
      </c>
      <c r="N34" s="63" t="e">
        <f t="shared" si="13"/>
        <v>#DIV/0!</v>
      </c>
      <c r="O34" s="52">
        <v>5010228</v>
      </c>
      <c r="P34" s="64" t="e">
        <f>O34/O40*100</f>
        <v>#DIV/0!</v>
      </c>
    </row>
    <row r="35" spans="13:16" x14ac:dyDescent="0.25">
      <c r="M35" s="51">
        <v>163</v>
      </c>
      <c r="N35" s="63" t="e">
        <f t="shared" si="13"/>
        <v>#DIV/0!</v>
      </c>
      <c r="O35" s="52">
        <v>4392328.91</v>
      </c>
      <c r="P35" s="64" t="e">
        <f>O35/O40*100</f>
        <v>#DIV/0!</v>
      </c>
    </row>
    <row r="36" spans="13:16" x14ac:dyDescent="0.25">
      <c r="M36" s="51">
        <v>366</v>
      </c>
      <c r="N36" s="63" t="e">
        <f t="shared" si="13"/>
        <v>#DIV/0!</v>
      </c>
      <c r="O36" s="52">
        <v>9034522.6500000004</v>
      </c>
      <c r="P36" s="64" t="e">
        <f>O36/O40*100</f>
        <v>#DIV/0!</v>
      </c>
    </row>
    <row r="37" spans="13:16" x14ac:dyDescent="0.25">
      <c r="M37" s="51">
        <v>17249</v>
      </c>
      <c r="N37" s="63" t="e">
        <f t="shared" si="13"/>
        <v>#DIV/0!</v>
      </c>
      <c r="O37" s="52">
        <v>405400068.69</v>
      </c>
      <c r="P37" s="64" t="e">
        <f>O37/O40*100</f>
        <v>#DIV/0!</v>
      </c>
    </row>
    <row r="38" spans="13:16" x14ac:dyDescent="0.25">
      <c r="M38" s="51">
        <v>18745</v>
      </c>
      <c r="N38" s="63" t="e">
        <f t="shared" si="13"/>
        <v>#DIV/0!</v>
      </c>
      <c r="O38" s="52">
        <v>369724631.60000002</v>
      </c>
      <c r="P38" s="64" t="e">
        <f>O38/O40*100</f>
        <v>#DIV/0!</v>
      </c>
    </row>
    <row r="39" spans="13:16" x14ac:dyDescent="0.25">
      <c r="M39" s="51">
        <v>15130</v>
      </c>
      <c r="N39" s="63" t="e">
        <f t="shared" si="13"/>
        <v>#DIV/0!</v>
      </c>
      <c r="O39" s="52">
        <v>151015428.50999999</v>
      </c>
      <c r="P39" s="64" t="e">
        <f>O39/O40*100</f>
        <v>#DIV/0!</v>
      </c>
    </row>
  </sheetData>
  <mergeCells count="9">
    <mergeCell ref="B6:C6"/>
    <mergeCell ref="D6:E6"/>
    <mergeCell ref="F6:G6"/>
    <mergeCell ref="H6:I6"/>
    <mergeCell ref="A1:I1"/>
    <mergeCell ref="A2:I2"/>
    <mergeCell ref="A3:I3"/>
    <mergeCell ref="A4:I4"/>
    <mergeCell ref="A5:I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FC94A-CB5A-45F2-B896-85DE3097DD67}">
  <sheetPr>
    <tabColor theme="8"/>
  </sheetPr>
  <dimension ref="A2:T37"/>
  <sheetViews>
    <sheetView showGridLines="0" workbookViewId="0">
      <selection activeCell="L27" sqref="L27"/>
    </sheetView>
  </sheetViews>
  <sheetFormatPr baseColWidth="10" defaultColWidth="9.140625" defaultRowHeight="15" x14ac:dyDescent="0.25"/>
  <cols>
    <col min="1" max="1" width="15.85546875" customWidth="1"/>
    <col min="2" max="2" width="13.140625" customWidth="1"/>
    <col min="4" max="4" width="23.85546875" customWidth="1"/>
    <col min="5" max="5" width="12.85546875" customWidth="1"/>
    <col min="7" max="7" width="14.7109375" customWidth="1"/>
    <col min="8" max="8" width="12" customWidth="1"/>
    <col min="9" max="9" width="10.42578125" customWidth="1"/>
    <col min="10" max="10" width="15.28515625" customWidth="1"/>
  </cols>
  <sheetData>
    <row r="2" spans="1:10" x14ac:dyDescent="0.25">
      <c r="A2" s="332" t="s">
        <v>0</v>
      </c>
      <c r="B2" s="332"/>
      <c r="C2" s="332"/>
      <c r="D2" s="332"/>
      <c r="E2" s="332"/>
      <c r="F2" s="332"/>
      <c r="G2" s="332"/>
      <c r="H2" s="332"/>
      <c r="I2" s="332"/>
      <c r="J2" s="332"/>
    </row>
    <row r="3" spans="1:10" x14ac:dyDescent="0.25">
      <c r="A3" s="332" t="s">
        <v>62</v>
      </c>
      <c r="B3" s="332"/>
      <c r="C3" s="332"/>
      <c r="D3" s="332"/>
      <c r="E3" s="332"/>
      <c r="F3" s="332"/>
      <c r="G3" s="332"/>
      <c r="H3" s="332"/>
      <c r="I3" s="332"/>
      <c r="J3" s="332"/>
    </row>
    <row r="4" spans="1:10" x14ac:dyDescent="0.25">
      <c r="A4" s="332" t="s">
        <v>187</v>
      </c>
      <c r="B4" s="332"/>
      <c r="C4" s="332"/>
      <c r="D4" s="332"/>
      <c r="E4" s="332"/>
      <c r="F4" s="332"/>
      <c r="G4" s="332"/>
      <c r="H4" s="332"/>
      <c r="I4" s="332"/>
      <c r="J4" s="332"/>
    </row>
    <row r="5" spans="1:10" x14ac:dyDescent="0.25">
      <c r="A5" s="332" t="s">
        <v>246</v>
      </c>
      <c r="B5" s="332"/>
      <c r="C5" s="332"/>
      <c r="D5" s="332"/>
      <c r="E5" s="332"/>
      <c r="F5" s="332"/>
      <c r="G5" s="332"/>
      <c r="H5" s="332"/>
      <c r="I5" s="332"/>
      <c r="J5" s="332"/>
    </row>
    <row r="6" spans="1:10" x14ac:dyDescent="0.25">
      <c r="A6" s="332" t="s">
        <v>262</v>
      </c>
      <c r="B6" s="332"/>
      <c r="C6" s="332"/>
      <c r="D6" s="332"/>
      <c r="E6" s="332"/>
      <c r="F6" s="332"/>
      <c r="G6" s="332"/>
      <c r="H6" s="332"/>
      <c r="I6" s="332"/>
      <c r="J6" s="332"/>
    </row>
    <row r="7" spans="1:10" x14ac:dyDescent="0.25">
      <c r="A7" s="131"/>
      <c r="B7" s="377" t="s">
        <v>71</v>
      </c>
      <c r="C7" s="377"/>
      <c r="D7" s="377"/>
      <c r="E7" s="378" t="s">
        <v>73</v>
      </c>
      <c r="F7" s="378"/>
      <c r="G7" s="378"/>
      <c r="H7" s="379" t="s">
        <v>74</v>
      </c>
      <c r="I7" s="379"/>
      <c r="J7" s="379"/>
    </row>
    <row r="8" spans="1:10" ht="25.5" x14ac:dyDescent="0.25">
      <c r="A8" s="87" t="s">
        <v>3</v>
      </c>
      <c r="B8" s="45" t="s">
        <v>170</v>
      </c>
      <c r="C8" s="45" t="s">
        <v>171</v>
      </c>
      <c r="D8" s="45" t="s">
        <v>7</v>
      </c>
      <c r="E8" s="45" t="s">
        <v>170</v>
      </c>
      <c r="F8" s="45" t="s">
        <v>171</v>
      </c>
      <c r="G8" s="45" t="s">
        <v>7</v>
      </c>
      <c r="H8" s="45" t="s">
        <v>75</v>
      </c>
      <c r="I8" s="45" t="s">
        <v>76</v>
      </c>
      <c r="J8" s="45" t="s">
        <v>7</v>
      </c>
    </row>
    <row r="9" spans="1:10" hidden="1" x14ac:dyDescent="0.25">
      <c r="A9" s="31" t="s">
        <v>10</v>
      </c>
      <c r="B9" s="240">
        <v>0</v>
      </c>
      <c r="C9" s="240">
        <v>0</v>
      </c>
      <c r="D9" s="265">
        <v>0</v>
      </c>
      <c r="E9" s="240">
        <v>0</v>
      </c>
      <c r="F9" s="240">
        <v>0</v>
      </c>
      <c r="G9" s="240"/>
      <c r="H9" s="266">
        <f>SUM(B9,E9)</f>
        <v>0</v>
      </c>
      <c r="I9" s="266">
        <f>SUM(C9,F9)</f>
        <v>0</v>
      </c>
      <c r="J9" s="266">
        <f>SUM(D9,G9)</f>
        <v>0</v>
      </c>
    </row>
    <row r="10" spans="1:10" x14ac:dyDescent="0.25">
      <c r="A10" s="31" t="s">
        <v>243</v>
      </c>
      <c r="B10" s="286">
        <v>8</v>
      </c>
      <c r="C10" s="286">
        <v>8</v>
      </c>
      <c r="D10" s="287">
        <v>2180358.4500000002</v>
      </c>
      <c r="E10" s="267">
        <v>0</v>
      </c>
      <c r="F10" s="267">
        <v>0</v>
      </c>
      <c r="G10" s="321">
        <v>0</v>
      </c>
      <c r="H10" s="267">
        <v>8</v>
      </c>
      <c r="I10" s="267">
        <v>8</v>
      </c>
      <c r="J10" s="267">
        <f>SUM(D12,G10)</f>
        <v>626407.86</v>
      </c>
    </row>
    <row r="11" spans="1:10" x14ac:dyDescent="0.25">
      <c r="A11" s="31" t="s">
        <v>239</v>
      </c>
      <c r="B11" s="286">
        <v>10</v>
      </c>
      <c r="C11" s="286">
        <v>10</v>
      </c>
      <c r="D11" s="287">
        <v>1988748.05</v>
      </c>
      <c r="E11" s="286"/>
      <c r="F11" s="286"/>
      <c r="G11" s="287"/>
      <c r="H11" s="328">
        <v>10</v>
      </c>
      <c r="I11" s="325">
        <f t="shared" ref="I11:J11" si="0">SUM(C11,F11)</f>
        <v>10</v>
      </c>
      <c r="J11" s="266">
        <f t="shared" si="0"/>
        <v>1988748.05</v>
      </c>
    </row>
    <row r="12" spans="1:10" x14ac:dyDescent="0.25">
      <c r="A12" s="31" t="s">
        <v>241</v>
      </c>
      <c r="B12" s="326">
        <v>5</v>
      </c>
      <c r="C12" s="326">
        <v>5</v>
      </c>
      <c r="D12" s="320">
        <v>626407.86</v>
      </c>
      <c r="E12" s="286"/>
      <c r="F12" s="286"/>
      <c r="G12" s="287"/>
      <c r="H12" s="267">
        <v>5</v>
      </c>
      <c r="I12" s="267">
        <v>5</v>
      </c>
      <c r="J12" s="266">
        <f>SUM(D10,G12)</f>
        <v>2180358.4500000002</v>
      </c>
    </row>
    <row r="13" spans="1:10" x14ac:dyDescent="0.25">
      <c r="A13" s="61" t="s">
        <v>248</v>
      </c>
      <c r="B13" s="327">
        <f>SUM(B9:B12)</f>
        <v>23</v>
      </c>
      <c r="C13" s="327">
        <f>SUM(C9:C12)</f>
        <v>23</v>
      </c>
      <c r="D13" s="269">
        <f>SUM(D9:D12)</f>
        <v>4795514.3600000003</v>
      </c>
      <c r="E13" s="268">
        <f t="shared" ref="E13:J13" si="1">SUM(E9:E12)</f>
        <v>0</v>
      </c>
      <c r="F13" s="268">
        <f t="shared" si="1"/>
        <v>0</v>
      </c>
      <c r="G13" s="270">
        <f t="shared" si="1"/>
        <v>0</v>
      </c>
      <c r="H13" s="268">
        <f t="shared" si="1"/>
        <v>23</v>
      </c>
      <c r="I13" s="268">
        <f t="shared" si="1"/>
        <v>23</v>
      </c>
      <c r="J13" s="270">
        <f t="shared" si="1"/>
        <v>4795514.3600000003</v>
      </c>
    </row>
    <row r="14" spans="1:10" x14ac:dyDescent="0.25">
      <c r="A14" s="191" t="s">
        <v>175</v>
      </c>
    </row>
    <row r="37" spans="20:20" x14ac:dyDescent="0.25">
      <c r="T37" s="1"/>
    </row>
  </sheetData>
  <mergeCells count="8">
    <mergeCell ref="B7:D7"/>
    <mergeCell ref="E7:G7"/>
    <mergeCell ref="H7:J7"/>
    <mergeCell ref="A2:J2"/>
    <mergeCell ref="A3:J3"/>
    <mergeCell ref="A4:J4"/>
    <mergeCell ref="A5:J5"/>
    <mergeCell ref="A6:J6"/>
  </mergeCells>
  <pageMargins left="0.7" right="0.7" top="0.75" bottom="0.75" header="0.3" footer="0.3"/>
  <ignoredErrors>
    <ignoredError sqref="I13:J13 G13:H13 D13:F13" unlockedFormula="1"/>
  </ignoredError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B2:K62"/>
  <sheetViews>
    <sheetView showGridLines="0" zoomScale="130" zoomScaleNormal="130" workbookViewId="0">
      <selection activeCell="I39" sqref="I39"/>
    </sheetView>
  </sheetViews>
  <sheetFormatPr baseColWidth="10" defaultColWidth="9.140625" defaultRowHeight="15" x14ac:dyDescent="0.25"/>
  <cols>
    <col min="1" max="1" width="9.140625" style="1"/>
    <col min="2" max="6" width="13.140625" style="1" customWidth="1"/>
    <col min="7" max="7" width="14" style="1" customWidth="1"/>
    <col min="8" max="8" width="13.140625" style="1" customWidth="1"/>
    <col min="9" max="16384" width="9.140625" style="1"/>
  </cols>
  <sheetData>
    <row r="2" spans="2:11" x14ac:dyDescent="0.25">
      <c r="B2" s="332" t="s">
        <v>0</v>
      </c>
      <c r="C2" s="332"/>
      <c r="D2" s="332"/>
      <c r="E2" s="332"/>
      <c r="F2" s="332"/>
      <c r="G2" s="332"/>
      <c r="H2" s="332"/>
      <c r="I2" s="22"/>
      <c r="J2" s="22"/>
      <c r="K2" s="22"/>
    </row>
    <row r="3" spans="2:11" x14ac:dyDescent="0.25">
      <c r="B3" s="332" t="s">
        <v>62</v>
      </c>
      <c r="C3" s="332"/>
      <c r="D3" s="332"/>
      <c r="E3" s="332"/>
      <c r="F3" s="332"/>
      <c r="G3" s="332"/>
      <c r="H3" s="332"/>
      <c r="I3" s="22"/>
      <c r="J3" s="22"/>
      <c r="K3" s="22"/>
    </row>
    <row r="4" spans="2:11" x14ac:dyDescent="0.25">
      <c r="B4" s="332" t="s">
        <v>188</v>
      </c>
      <c r="C4" s="332"/>
      <c r="D4" s="332"/>
      <c r="E4" s="332"/>
      <c r="F4" s="332"/>
      <c r="G4" s="332"/>
      <c r="H4" s="332"/>
      <c r="I4" s="22"/>
      <c r="J4" s="22"/>
      <c r="K4" s="22"/>
    </row>
    <row r="5" spans="2:11" x14ac:dyDescent="0.25">
      <c r="B5" s="332" t="s">
        <v>240</v>
      </c>
      <c r="C5" s="332"/>
      <c r="D5" s="332"/>
      <c r="E5" s="332"/>
      <c r="F5" s="332"/>
      <c r="G5" s="332"/>
      <c r="H5" s="332"/>
      <c r="I5" s="22"/>
      <c r="J5" s="22"/>
      <c r="K5" s="22"/>
    </row>
    <row r="6" spans="2:11" x14ac:dyDescent="0.25">
      <c r="B6" s="332" t="s">
        <v>262</v>
      </c>
      <c r="C6" s="332"/>
      <c r="D6" s="332"/>
      <c r="E6" s="332"/>
      <c r="F6" s="332"/>
      <c r="G6" s="332"/>
      <c r="H6" s="332"/>
      <c r="I6" s="22"/>
      <c r="J6" s="22"/>
      <c r="K6" s="22"/>
    </row>
    <row r="7" spans="2:11" ht="51" x14ac:dyDescent="0.25">
      <c r="B7" s="87" t="s">
        <v>3</v>
      </c>
      <c r="C7" s="45" t="s">
        <v>189</v>
      </c>
      <c r="D7" s="45" t="s">
        <v>190</v>
      </c>
      <c r="E7" s="45" t="s">
        <v>191</v>
      </c>
      <c r="F7" s="45" t="s">
        <v>192</v>
      </c>
      <c r="G7" s="45" t="s">
        <v>193</v>
      </c>
      <c r="H7" s="165" t="s">
        <v>194</v>
      </c>
      <c r="I7"/>
    </row>
    <row r="8" spans="2:11" x14ac:dyDescent="0.25">
      <c r="B8" s="70" t="s">
        <v>243</v>
      </c>
      <c r="C8" s="288">
        <v>127</v>
      </c>
      <c r="D8" s="289">
        <v>8669900.1799999997</v>
      </c>
      <c r="E8" s="289">
        <v>8049811.3199999994</v>
      </c>
      <c r="F8" s="318">
        <v>620088.86</v>
      </c>
      <c r="G8" s="252">
        <v>1922973.0899999999</v>
      </c>
      <c r="H8" s="254">
        <f>G8/D8</f>
        <v>0.22179875777993097</v>
      </c>
      <c r="I8"/>
    </row>
    <row r="9" spans="2:11" x14ac:dyDescent="0.25">
      <c r="B9" s="70" t="s">
        <v>239</v>
      </c>
      <c r="C9" s="288">
        <v>110</v>
      </c>
      <c r="D9" s="289">
        <v>5717119.3100000005</v>
      </c>
      <c r="E9" s="289">
        <v>5412699.1100000003</v>
      </c>
      <c r="F9" s="318">
        <v>304420.19999999995</v>
      </c>
      <c r="G9" s="252">
        <v>0</v>
      </c>
      <c r="H9" s="254">
        <f>G9/D9</f>
        <v>0</v>
      </c>
      <c r="I9"/>
    </row>
    <row r="10" spans="2:11" x14ac:dyDescent="0.25">
      <c r="B10" s="70" t="s">
        <v>241</v>
      </c>
      <c r="C10" s="288">
        <v>97</v>
      </c>
      <c r="D10" s="289">
        <v>5287964.3899999997</v>
      </c>
      <c r="E10" s="289">
        <v>5287964.3899999997</v>
      </c>
      <c r="F10" s="182">
        <v>0</v>
      </c>
      <c r="G10" s="252">
        <v>0</v>
      </c>
      <c r="H10" s="254">
        <f>G10/D10</f>
        <v>0</v>
      </c>
      <c r="I10"/>
    </row>
    <row r="11" spans="2:11" x14ac:dyDescent="0.25">
      <c r="B11" s="27" t="s">
        <v>248</v>
      </c>
      <c r="C11" s="8">
        <f>SUM(C8:C10)</f>
        <v>334</v>
      </c>
      <c r="D11" s="250">
        <f>SUM(D8:D10)</f>
        <v>19674983.879999999</v>
      </c>
      <c r="E11" s="251">
        <f>SUM(E8:E10)</f>
        <v>18750474.82</v>
      </c>
      <c r="F11" s="319">
        <f>SUM(F8:F10)</f>
        <v>924509.05999999994</v>
      </c>
      <c r="G11" s="253">
        <f>SUM(G8:G10)</f>
        <v>1922973.0899999999</v>
      </c>
      <c r="H11" s="88">
        <f t="shared" ref="H11:H24" si="0">G11/D11</f>
        <v>9.7736958857421938E-2</v>
      </c>
      <c r="I11"/>
    </row>
    <row r="12" spans="2:11" hidden="1" x14ac:dyDescent="0.25">
      <c r="B12" s="70" t="s">
        <v>15</v>
      </c>
      <c r="C12" s="166"/>
      <c r="D12" s="168"/>
      <c r="E12" s="168"/>
      <c r="F12" s="168"/>
      <c r="G12" s="66">
        <f>F12+E12</f>
        <v>0</v>
      </c>
      <c r="H12" s="67" t="e">
        <f t="shared" si="0"/>
        <v>#DIV/0!</v>
      </c>
      <c r="I12"/>
    </row>
    <row r="13" spans="2:11" hidden="1" x14ac:dyDescent="0.25">
      <c r="B13" s="70" t="s">
        <v>16</v>
      </c>
      <c r="C13" s="166"/>
      <c r="D13" s="168"/>
      <c r="E13" s="168"/>
      <c r="F13" s="168"/>
      <c r="G13" s="66">
        <f>F13+E13</f>
        <v>0</v>
      </c>
      <c r="H13" s="67" t="e">
        <f t="shared" si="0"/>
        <v>#DIV/0!</v>
      </c>
      <c r="I13"/>
    </row>
    <row r="14" spans="2:11" hidden="1" x14ac:dyDescent="0.25">
      <c r="B14" s="70" t="s">
        <v>17</v>
      </c>
      <c r="C14" s="166"/>
      <c r="D14" s="168"/>
      <c r="E14" s="143"/>
      <c r="F14" s="143"/>
      <c r="G14" s="68">
        <f>F14+E14</f>
        <v>0</v>
      </c>
      <c r="H14" s="67" t="e">
        <f t="shared" si="0"/>
        <v>#DIV/0!</v>
      </c>
      <c r="I14"/>
    </row>
    <row r="15" spans="2:11" hidden="1" x14ac:dyDescent="0.25">
      <c r="B15" s="27" t="s">
        <v>18</v>
      </c>
      <c r="C15" s="8">
        <f>SUM(C12:C14)</f>
        <v>0</v>
      </c>
      <c r="D15" s="69">
        <f>SUM(D12:D14)</f>
        <v>0</v>
      </c>
      <c r="E15" s="69">
        <f>SUM(E12:E14)</f>
        <v>0</v>
      </c>
      <c r="F15" s="69">
        <f>SUM(F12:F14)</f>
        <v>0</v>
      </c>
      <c r="G15" s="69">
        <f>SUM(G12:G14)</f>
        <v>0</v>
      </c>
      <c r="H15" s="16" t="e">
        <f t="shared" si="0"/>
        <v>#DIV/0!</v>
      </c>
      <c r="I15"/>
    </row>
    <row r="16" spans="2:11" hidden="1" x14ac:dyDescent="0.25">
      <c r="B16" s="70" t="s">
        <v>34</v>
      </c>
      <c r="C16" s="166"/>
      <c r="D16" s="168"/>
      <c r="E16" s="168"/>
      <c r="F16" s="168"/>
      <c r="G16" s="66">
        <f>F16+E16</f>
        <v>0</v>
      </c>
      <c r="H16" s="67" t="e">
        <f t="shared" si="0"/>
        <v>#DIV/0!</v>
      </c>
      <c r="I16"/>
    </row>
    <row r="17" spans="2:9" hidden="1" x14ac:dyDescent="0.25">
      <c r="B17" s="70" t="s">
        <v>20</v>
      </c>
      <c r="C17" s="166"/>
      <c r="D17" s="168"/>
      <c r="E17" s="168"/>
      <c r="F17" s="168"/>
      <c r="G17" s="66">
        <f>F17+E17</f>
        <v>0</v>
      </c>
      <c r="H17" s="67" t="e">
        <f t="shared" si="0"/>
        <v>#DIV/0!</v>
      </c>
      <c r="I17"/>
    </row>
    <row r="18" spans="2:9" hidden="1" x14ac:dyDescent="0.25">
      <c r="B18" s="70" t="s">
        <v>21</v>
      </c>
      <c r="C18" s="166"/>
      <c r="D18" s="168"/>
      <c r="E18" s="143"/>
      <c r="F18" s="143"/>
      <c r="G18" s="68">
        <f>F18+E18</f>
        <v>0</v>
      </c>
      <c r="H18" s="67" t="e">
        <f t="shared" si="0"/>
        <v>#DIV/0!</v>
      </c>
      <c r="I18"/>
    </row>
    <row r="19" spans="2:9" hidden="1" x14ac:dyDescent="0.25">
      <c r="B19" s="27" t="s">
        <v>22</v>
      </c>
      <c r="C19" s="8">
        <f>SUM(C16:C18)</f>
        <v>0</v>
      </c>
      <c r="D19" s="69">
        <f>SUM(D16:D18)</f>
        <v>0</v>
      </c>
      <c r="E19" s="69">
        <f>SUM(E16:E18)</f>
        <v>0</v>
      </c>
      <c r="F19" s="69">
        <f>SUM(F16:F18)</f>
        <v>0</v>
      </c>
      <c r="G19" s="69">
        <f>SUM(G16:G18)</f>
        <v>0</v>
      </c>
      <c r="H19" s="16" t="e">
        <f t="shared" si="0"/>
        <v>#DIV/0!</v>
      </c>
      <c r="I19"/>
    </row>
    <row r="20" spans="2:9" hidden="1" x14ac:dyDescent="0.25">
      <c r="B20" s="70" t="s">
        <v>13</v>
      </c>
      <c r="C20" s="166"/>
      <c r="D20" s="168"/>
      <c r="E20" s="168"/>
      <c r="F20" s="168"/>
      <c r="G20" s="66">
        <f>F20+E20</f>
        <v>0</v>
      </c>
      <c r="H20" s="67" t="e">
        <f t="shared" si="0"/>
        <v>#DIV/0!</v>
      </c>
      <c r="I20"/>
    </row>
    <row r="21" spans="2:9" hidden="1" x14ac:dyDescent="0.25">
      <c r="B21" s="70" t="s">
        <v>12</v>
      </c>
      <c r="C21" s="166"/>
      <c r="D21" s="168"/>
      <c r="E21" s="168"/>
      <c r="F21" s="168"/>
      <c r="G21" s="66">
        <f>F21+E21</f>
        <v>0</v>
      </c>
      <c r="H21" s="67" t="e">
        <f t="shared" si="0"/>
        <v>#DIV/0!</v>
      </c>
      <c r="I21"/>
    </row>
    <row r="22" spans="2:9" hidden="1" x14ac:dyDescent="0.25">
      <c r="B22" s="70" t="s">
        <v>11</v>
      </c>
      <c r="C22" s="166"/>
      <c r="D22" s="168"/>
      <c r="E22" s="143"/>
      <c r="F22" s="143"/>
      <c r="G22" s="68">
        <f>F22+E22</f>
        <v>0</v>
      </c>
      <c r="H22" s="67" t="e">
        <f t="shared" si="0"/>
        <v>#DIV/0!</v>
      </c>
      <c r="I22"/>
    </row>
    <row r="23" spans="2:9" hidden="1" x14ac:dyDescent="0.25">
      <c r="B23" s="27" t="s">
        <v>14</v>
      </c>
      <c r="C23" s="8">
        <f>SUM(C20:C22)</f>
        <v>0</v>
      </c>
      <c r="D23" s="69">
        <f>SUM(D20:D22)</f>
        <v>0</v>
      </c>
      <c r="E23" s="69">
        <f>SUM(E20:E22)</f>
        <v>0</v>
      </c>
      <c r="F23" s="69">
        <f>SUM(F20:F22)</f>
        <v>0</v>
      </c>
      <c r="G23" s="69">
        <f>SUM(G20:G22)</f>
        <v>0</v>
      </c>
      <c r="H23" s="16" t="e">
        <f t="shared" si="0"/>
        <v>#DIV/0!</v>
      </c>
      <c r="I23"/>
    </row>
    <row r="24" spans="2:9" hidden="1" x14ac:dyDescent="0.25">
      <c r="B24" s="71" t="s">
        <v>23</v>
      </c>
      <c r="C24" s="10">
        <f>+C11+C15+C19+C23</f>
        <v>334</v>
      </c>
      <c r="D24" s="10">
        <f>+D11+D15+D19+D23</f>
        <v>19674983.879999999</v>
      </c>
      <c r="E24" s="10">
        <f>+E11+E15+E19+E23</f>
        <v>18750474.82</v>
      </c>
      <c r="F24" s="10">
        <f>+F11+F15+F19+F23</f>
        <v>924509.05999999994</v>
      </c>
      <c r="G24" s="10">
        <f>+G11+G15+G19+G23</f>
        <v>1922973.0899999999</v>
      </c>
      <c r="H24" s="10">
        <f t="shared" si="0"/>
        <v>9.7736958857421938E-2</v>
      </c>
      <c r="I24"/>
    </row>
    <row r="25" spans="2:9" hidden="1" x14ac:dyDescent="0.25">
      <c r="B25"/>
      <c r="C25"/>
      <c r="D25"/>
      <c r="E25"/>
      <c r="F25"/>
      <c r="G25"/>
      <c r="H25"/>
      <c r="I25"/>
    </row>
    <row r="26" spans="2:9" hidden="1" x14ac:dyDescent="0.25">
      <c r="B26"/>
      <c r="C26"/>
      <c r="D26"/>
      <c r="E26"/>
      <c r="F26"/>
      <c r="G26"/>
      <c r="H26"/>
      <c r="I26"/>
    </row>
    <row r="27" spans="2:9" hidden="1" x14ac:dyDescent="0.25">
      <c r="B27"/>
      <c r="C27"/>
      <c r="D27"/>
      <c r="E27"/>
      <c r="F27"/>
      <c r="G27"/>
      <c r="H27"/>
      <c r="I27"/>
    </row>
    <row r="28" spans="2:9" hidden="1" x14ac:dyDescent="0.25">
      <c r="B28"/>
      <c r="C28"/>
      <c r="D28"/>
      <c r="E28"/>
      <c r="F28"/>
      <c r="G28"/>
      <c r="H28"/>
      <c r="I28"/>
    </row>
    <row r="29" spans="2:9" hidden="1" x14ac:dyDescent="0.25">
      <c r="B29"/>
      <c r="C29"/>
      <c r="D29"/>
      <c r="E29"/>
      <c r="F29"/>
      <c r="G29"/>
      <c r="H29"/>
      <c r="I29"/>
    </row>
    <row r="30" spans="2:9" hidden="1" x14ac:dyDescent="0.25">
      <c r="B30"/>
      <c r="C30"/>
      <c r="D30"/>
      <c r="E30"/>
      <c r="F30"/>
      <c r="G30"/>
      <c r="H30"/>
      <c r="I30"/>
    </row>
    <row r="31" spans="2:9" hidden="1" x14ac:dyDescent="0.25">
      <c r="B31"/>
      <c r="C31"/>
      <c r="D31"/>
      <c r="E31"/>
      <c r="F31"/>
      <c r="G31"/>
      <c r="H31"/>
      <c r="I31"/>
    </row>
    <row r="32" spans="2:9" hidden="1" x14ac:dyDescent="0.25">
      <c r="B32"/>
      <c r="C32"/>
      <c r="D32"/>
      <c r="E32"/>
      <c r="F32"/>
      <c r="G32"/>
      <c r="H32"/>
      <c r="I32"/>
    </row>
    <row r="33" spans="2:9" hidden="1" x14ac:dyDescent="0.25">
      <c r="B33"/>
      <c r="C33"/>
      <c r="D33"/>
      <c r="E33"/>
      <c r="F33"/>
      <c r="G33"/>
      <c r="H33"/>
      <c r="I33"/>
    </row>
    <row r="34" spans="2:9" hidden="1" x14ac:dyDescent="0.25">
      <c r="B34"/>
      <c r="C34"/>
      <c r="D34"/>
      <c r="E34"/>
      <c r="F34"/>
      <c r="G34"/>
      <c r="H34"/>
      <c r="I34"/>
    </row>
    <row r="35" spans="2:9" x14ac:dyDescent="0.25">
      <c r="B35" s="191" t="s">
        <v>175</v>
      </c>
      <c r="C35"/>
      <c r="D35"/>
      <c r="E35"/>
      <c r="F35"/>
      <c r="G35"/>
      <c r="H35"/>
      <c r="I35"/>
    </row>
    <row r="36" spans="2:9" x14ac:dyDescent="0.25">
      <c r="B36" s="126"/>
      <c r="C36"/>
      <c r="D36"/>
      <c r="E36"/>
      <c r="F36"/>
      <c r="G36"/>
      <c r="H36"/>
      <c r="I36"/>
    </row>
    <row r="37" spans="2:9" x14ac:dyDescent="0.25">
      <c r="B37"/>
      <c r="C37"/>
      <c r="D37"/>
      <c r="E37"/>
      <c r="F37"/>
      <c r="G37"/>
      <c r="H37"/>
      <c r="I37"/>
    </row>
    <row r="38" spans="2:9" x14ac:dyDescent="0.25">
      <c r="B38"/>
      <c r="C38"/>
      <c r="D38"/>
      <c r="E38"/>
      <c r="F38"/>
      <c r="G38"/>
      <c r="H38"/>
      <c r="I38"/>
    </row>
    <row r="39" spans="2:9" x14ac:dyDescent="0.25">
      <c r="B39"/>
      <c r="C39"/>
      <c r="D39"/>
      <c r="E39"/>
      <c r="F39"/>
      <c r="G39"/>
      <c r="H39"/>
      <c r="I39"/>
    </row>
    <row r="40" spans="2:9" x14ac:dyDescent="0.25">
      <c r="B40"/>
      <c r="C40"/>
      <c r="D40"/>
      <c r="E40"/>
      <c r="F40"/>
      <c r="G40"/>
      <c r="H40"/>
      <c r="I40"/>
    </row>
    <row r="41" spans="2:9" x14ac:dyDescent="0.25">
      <c r="B41"/>
      <c r="C41"/>
      <c r="D41"/>
      <c r="E41"/>
      <c r="F41"/>
      <c r="G41"/>
      <c r="H41"/>
      <c r="I41"/>
    </row>
    <row r="42" spans="2:9" x14ac:dyDescent="0.25">
      <c r="B42"/>
      <c r="C42"/>
      <c r="D42"/>
      <c r="E42"/>
      <c r="F42"/>
      <c r="G42"/>
      <c r="H42"/>
      <c r="I42"/>
    </row>
    <row r="43" spans="2:9" x14ac:dyDescent="0.25">
      <c r="B43"/>
      <c r="C43"/>
      <c r="D43"/>
      <c r="E43"/>
      <c r="F43"/>
      <c r="G43"/>
      <c r="H43"/>
      <c r="I43"/>
    </row>
    <row r="44" spans="2:9" x14ac:dyDescent="0.25">
      <c r="B44"/>
      <c r="C44"/>
      <c r="D44"/>
      <c r="E44"/>
      <c r="F44"/>
      <c r="G44"/>
      <c r="H44"/>
      <c r="I44"/>
    </row>
    <row r="45" spans="2:9" x14ac:dyDescent="0.25">
      <c r="B45"/>
      <c r="C45"/>
      <c r="D45"/>
      <c r="E45"/>
      <c r="F45"/>
      <c r="G45"/>
      <c r="H45"/>
      <c r="I45"/>
    </row>
    <row r="46" spans="2:9" x14ac:dyDescent="0.25">
      <c r="B46"/>
      <c r="C46"/>
      <c r="D46"/>
      <c r="E46"/>
      <c r="F46"/>
      <c r="G46"/>
      <c r="H46"/>
      <c r="I46"/>
    </row>
    <row r="47" spans="2:9" x14ac:dyDescent="0.25">
      <c r="B47"/>
      <c r="C47"/>
      <c r="D47"/>
      <c r="E47"/>
      <c r="F47"/>
      <c r="G47"/>
      <c r="H47"/>
      <c r="I47"/>
    </row>
    <row r="48" spans="2:9" x14ac:dyDescent="0.25">
      <c r="B48"/>
      <c r="C48"/>
      <c r="D48"/>
      <c r="E48"/>
      <c r="F48"/>
      <c r="G48"/>
      <c r="H48"/>
      <c r="I48"/>
    </row>
    <row r="49" spans="2:9" x14ac:dyDescent="0.25">
      <c r="B49"/>
      <c r="C49"/>
      <c r="D49"/>
      <c r="E49"/>
      <c r="F49"/>
      <c r="G49"/>
      <c r="H49"/>
      <c r="I49"/>
    </row>
    <row r="50" spans="2:9" x14ac:dyDescent="0.25">
      <c r="B50"/>
      <c r="C50"/>
      <c r="D50"/>
      <c r="E50"/>
      <c r="F50"/>
      <c r="G50"/>
      <c r="H50"/>
      <c r="I50"/>
    </row>
    <row r="51" spans="2:9" x14ac:dyDescent="0.25">
      <c r="B51"/>
      <c r="C51"/>
      <c r="D51"/>
      <c r="E51"/>
      <c r="F51"/>
      <c r="G51"/>
      <c r="H51"/>
      <c r="I51"/>
    </row>
    <row r="52" spans="2:9" x14ac:dyDescent="0.25">
      <c r="B52"/>
      <c r="C52"/>
      <c r="D52"/>
      <c r="E52"/>
      <c r="F52"/>
      <c r="G52"/>
      <c r="H52"/>
      <c r="I52"/>
    </row>
    <row r="53" spans="2:9" x14ac:dyDescent="0.25">
      <c r="B53"/>
      <c r="C53"/>
      <c r="D53"/>
      <c r="E53"/>
      <c r="F53"/>
      <c r="G53"/>
      <c r="H53"/>
      <c r="I53"/>
    </row>
    <row r="54" spans="2:9" x14ac:dyDescent="0.25">
      <c r="B54"/>
      <c r="C54"/>
      <c r="D54"/>
      <c r="E54"/>
      <c r="F54"/>
      <c r="G54"/>
      <c r="H54"/>
      <c r="I54"/>
    </row>
    <row r="55" spans="2:9" x14ac:dyDescent="0.25">
      <c r="B55"/>
      <c r="C55"/>
      <c r="D55"/>
      <c r="E55"/>
      <c r="F55"/>
      <c r="G55"/>
      <c r="H55"/>
      <c r="I55"/>
    </row>
    <row r="56" spans="2:9" x14ac:dyDescent="0.25">
      <c r="B56"/>
      <c r="C56"/>
      <c r="D56"/>
      <c r="E56"/>
      <c r="F56"/>
      <c r="G56"/>
      <c r="H56"/>
      <c r="I56"/>
    </row>
    <row r="57" spans="2:9" x14ac:dyDescent="0.25">
      <c r="B57"/>
      <c r="C57"/>
      <c r="D57"/>
      <c r="E57"/>
      <c r="F57"/>
      <c r="G57"/>
      <c r="H57"/>
      <c r="I57"/>
    </row>
    <row r="58" spans="2:9" x14ac:dyDescent="0.25">
      <c r="B58"/>
      <c r="C58"/>
      <c r="D58"/>
      <c r="E58"/>
      <c r="F58"/>
      <c r="G58"/>
      <c r="H58"/>
      <c r="I58"/>
    </row>
    <row r="60" spans="2:9" x14ac:dyDescent="0.25">
      <c r="B60" s="70"/>
      <c r="C60" s="169"/>
      <c r="D60" s="167"/>
      <c r="E60" s="143"/>
      <c r="F60" s="143"/>
      <c r="G60" s="68"/>
      <c r="H60" s="67"/>
    </row>
    <row r="62" spans="2:9" x14ac:dyDescent="0.25">
      <c r="B62" s="70"/>
      <c r="C62" s="166"/>
      <c r="D62" s="167"/>
      <c r="E62" s="168"/>
      <c r="F62" s="168"/>
      <c r="G62" s="68"/>
      <c r="H62" s="67"/>
    </row>
  </sheetData>
  <mergeCells count="5">
    <mergeCell ref="B2:H2"/>
    <mergeCell ref="B3:H3"/>
    <mergeCell ref="B4:H4"/>
    <mergeCell ref="B6:H6"/>
    <mergeCell ref="B5:H5"/>
  </mergeCells>
  <pageMargins left="0.7" right="0.7" top="0.75" bottom="0.75" header="0.3" footer="0.3"/>
  <pageSetup paperSize="9" scale="54"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pageSetUpPr fitToPage="1"/>
  </sheetPr>
  <dimension ref="B2:Z75"/>
  <sheetViews>
    <sheetView showGridLines="0" zoomScale="115" zoomScaleNormal="115" workbookViewId="0">
      <selection activeCell="T4" sqref="T4"/>
    </sheetView>
  </sheetViews>
  <sheetFormatPr baseColWidth="10" defaultColWidth="11.42578125" defaultRowHeight="15" x14ac:dyDescent="0.25"/>
  <cols>
    <col min="1" max="1" width="11.42578125" style="1"/>
    <col min="2" max="2" width="45.7109375" style="1" bestFit="1" customWidth="1"/>
    <col min="3" max="3" width="9.42578125" style="1" hidden="1" customWidth="1"/>
    <col min="4" max="4" width="10.85546875" style="1" hidden="1" customWidth="1"/>
    <col min="5" max="5" width="11.42578125" style="1" hidden="1" customWidth="1"/>
    <col min="6" max="6" width="9.42578125" style="1" hidden="1" customWidth="1"/>
    <col min="7" max="7" width="10.85546875" style="1" hidden="1" customWidth="1"/>
    <col min="8" max="8" width="11.42578125" style="1" hidden="1" customWidth="1"/>
    <col min="9" max="9" width="9.42578125" style="1" hidden="1" customWidth="1"/>
    <col min="10" max="10" width="10.85546875" style="1" hidden="1" customWidth="1"/>
    <col min="11" max="11" width="11.42578125" style="1" hidden="1" customWidth="1"/>
    <col min="12" max="13" width="11.42578125" style="1"/>
    <col min="14" max="14" width="12.140625" style="1" customWidth="1"/>
    <col min="15" max="15" width="25.5703125" style="1" hidden="1" customWidth="1"/>
    <col min="16" max="16" width="18.85546875" style="1" hidden="1" customWidth="1"/>
    <col min="17" max="16384" width="11.42578125" style="1"/>
  </cols>
  <sheetData>
    <row r="2" spans="2:26" x14ac:dyDescent="0.25">
      <c r="B2" s="332" t="s">
        <v>176</v>
      </c>
      <c r="C2" s="332"/>
      <c r="D2" s="332"/>
      <c r="E2" s="332"/>
      <c r="F2" s="332"/>
      <c r="G2" s="332"/>
      <c r="H2" s="332"/>
      <c r="I2" s="332"/>
      <c r="J2" s="332"/>
      <c r="K2" s="332"/>
      <c r="L2" s="332"/>
      <c r="M2" s="332"/>
      <c r="N2" s="332"/>
    </row>
    <row r="3" spans="2:26" x14ac:dyDescent="0.25">
      <c r="B3" s="332" t="s">
        <v>195</v>
      </c>
      <c r="C3" s="332"/>
      <c r="D3" s="332"/>
      <c r="E3" s="332"/>
      <c r="F3" s="332"/>
      <c r="G3" s="332"/>
      <c r="H3" s="332"/>
      <c r="I3" s="332"/>
      <c r="J3" s="332"/>
      <c r="K3" s="332"/>
      <c r="L3" s="332"/>
      <c r="M3" s="332"/>
      <c r="N3" s="332"/>
    </row>
    <row r="4" spans="2:26" x14ac:dyDescent="0.25">
      <c r="B4" s="332" t="s">
        <v>196</v>
      </c>
      <c r="C4" s="332"/>
      <c r="D4" s="332"/>
      <c r="E4" s="332"/>
      <c r="F4" s="332"/>
      <c r="G4" s="332"/>
      <c r="H4" s="332"/>
      <c r="I4" s="332"/>
      <c r="J4" s="332"/>
      <c r="K4" s="332"/>
      <c r="L4" s="332"/>
      <c r="M4" s="332"/>
      <c r="N4" s="332"/>
    </row>
    <row r="5" spans="2:26" x14ac:dyDescent="0.25">
      <c r="B5" s="332" t="s">
        <v>240</v>
      </c>
      <c r="C5" s="332"/>
      <c r="D5" s="332"/>
      <c r="E5" s="332"/>
      <c r="F5" s="332"/>
      <c r="G5" s="332"/>
      <c r="H5" s="332"/>
      <c r="I5" s="332"/>
      <c r="J5" s="332"/>
      <c r="K5" s="332"/>
      <c r="L5" s="332"/>
      <c r="M5" s="332"/>
      <c r="N5" s="332"/>
    </row>
    <row r="6" spans="2:26" x14ac:dyDescent="0.25">
      <c r="B6" s="332" t="s">
        <v>262</v>
      </c>
      <c r="C6" s="332"/>
      <c r="D6" s="332"/>
      <c r="E6" s="332"/>
      <c r="F6" s="332"/>
      <c r="G6" s="332"/>
      <c r="H6" s="332"/>
      <c r="I6" s="332"/>
      <c r="J6" s="332"/>
      <c r="K6" s="332"/>
      <c r="L6" s="332"/>
      <c r="M6" s="332"/>
      <c r="N6" s="332"/>
    </row>
    <row r="8" spans="2:26" ht="11.25" customHeight="1" x14ac:dyDescent="0.25"/>
    <row r="9" spans="2:26" ht="15.75" x14ac:dyDescent="0.25">
      <c r="B9" s="381" t="s">
        <v>197</v>
      </c>
      <c r="C9" s="381"/>
      <c r="D9" s="381"/>
      <c r="E9" s="381"/>
      <c r="F9" s="381"/>
      <c r="G9" s="381"/>
      <c r="H9" s="381"/>
      <c r="I9" s="381"/>
      <c r="J9" s="381"/>
      <c r="K9" s="381"/>
      <c r="L9" s="381"/>
      <c r="M9" s="381"/>
      <c r="N9" s="381"/>
      <c r="Z9" s="18"/>
    </row>
    <row r="10" spans="2:26" x14ac:dyDescent="0.25">
      <c r="B10" s="170"/>
      <c r="C10" s="362" t="s">
        <v>241</v>
      </c>
      <c r="D10" s="362"/>
      <c r="E10" s="362"/>
      <c r="F10" s="362" t="s">
        <v>239</v>
      </c>
      <c r="G10" s="362"/>
      <c r="H10" s="362"/>
      <c r="I10" s="362" t="s">
        <v>243</v>
      </c>
      <c r="J10" s="362"/>
      <c r="K10" s="362"/>
      <c r="L10" s="362" t="s">
        <v>242</v>
      </c>
      <c r="M10" s="362"/>
      <c r="N10" s="362"/>
      <c r="O10"/>
      <c r="P10"/>
      <c r="Q10"/>
      <c r="R10"/>
      <c r="S10"/>
      <c r="T10"/>
      <c r="U10"/>
      <c r="V10"/>
    </row>
    <row r="11" spans="2:26" x14ac:dyDescent="0.25">
      <c r="B11" s="54" t="s">
        <v>198</v>
      </c>
      <c r="C11" s="54" t="s">
        <v>199</v>
      </c>
      <c r="D11" s="54" t="s">
        <v>200</v>
      </c>
      <c r="E11" s="54" t="s">
        <v>201</v>
      </c>
      <c r="F11" s="54" t="s">
        <v>199</v>
      </c>
      <c r="G11" s="54" t="s">
        <v>200</v>
      </c>
      <c r="H11" s="54" t="s">
        <v>201</v>
      </c>
      <c r="I11" s="54" t="s">
        <v>199</v>
      </c>
      <c r="J11" s="54" t="s">
        <v>200</v>
      </c>
      <c r="K11" s="54" t="s">
        <v>201</v>
      </c>
      <c r="L11" s="54" t="s">
        <v>199</v>
      </c>
      <c r="M11" s="54" t="s">
        <v>200</v>
      </c>
      <c r="N11" s="54" t="s">
        <v>201</v>
      </c>
      <c r="O11"/>
      <c r="P11"/>
      <c r="Q11"/>
      <c r="R11"/>
      <c r="S11"/>
      <c r="T11"/>
      <c r="U11"/>
      <c r="V11"/>
    </row>
    <row r="12" spans="2:26" x14ac:dyDescent="0.25">
      <c r="B12" s="53" t="s">
        <v>202</v>
      </c>
      <c r="C12" s="122">
        <v>5</v>
      </c>
      <c r="D12" s="122">
        <v>4</v>
      </c>
      <c r="E12" s="113">
        <f>IFERROR(D12/C12,"-")</f>
        <v>0.8</v>
      </c>
      <c r="F12" s="122">
        <v>6</v>
      </c>
      <c r="G12" s="122">
        <v>6</v>
      </c>
      <c r="H12" s="113">
        <f>IFERROR(G12/F12,"-")</f>
        <v>1</v>
      </c>
      <c r="I12" s="122">
        <v>3</v>
      </c>
      <c r="J12" s="122">
        <v>3</v>
      </c>
      <c r="K12" s="113">
        <f>IFERROR(J12/I12,"-")</f>
        <v>1</v>
      </c>
      <c r="L12" s="122">
        <f>C12+F12+I12</f>
        <v>14</v>
      </c>
      <c r="M12" s="122">
        <f>D12+G12+J12</f>
        <v>13</v>
      </c>
      <c r="N12" s="113">
        <f>IFERROR(M12/L12,"-")</f>
        <v>0.9285714285714286</v>
      </c>
      <c r="O12"/>
      <c r="P12"/>
      <c r="Q12"/>
      <c r="R12"/>
      <c r="S12"/>
      <c r="T12"/>
      <c r="U12"/>
      <c r="V12"/>
    </row>
    <row r="13" spans="2:26" x14ac:dyDescent="0.25">
      <c r="B13" s="53" t="s">
        <v>203</v>
      </c>
      <c r="C13" s="122">
        <v>155</v>
      </c>
      <c r="D13" s="122">
        <v>154</v>
      </c>
      <c r="E13" s="113">
        <f t="shared" ref="E13:E24" si="0">IFERROR(D13/C13,"-")</f>
        <v>0.99354838709677418</v>
      </c>
      <c r="F13" s="122">
        <v>127</v>
      </c>
      <c r="G13" s="122">
        <v>126</v>
      </c>
      <c r="H13" s="113">
        <f t="shared" ref="H13:H21" si="1">IFERROR(G13/F13,"-")</f>
        <v>0.99212598425196852</v>
      </c>
      <c r="I13" s="122">
        <v>183</v>
      </c>
      <c r="J13" s="122">
        <v>171</v>
      </c>
      <c r="K13" s="113">
        <f t="shared" ref="K13:K21" si="2">IFERROR(J13/I13,"-")</f>
        <v>0.93442622950819676</v>
      </c>
      <c r="L13" s="122">
        <f t="shared" ref="L13:L24" si="3">C13+F13+I13</f>
        <v>465</v>
      </c>
      <c r="M13" s="122">
        <f t="shared" ref="M13:M24" si="4">D13+G13+J13</f>
        <v>451</v>
      </c>
      <c r="N13" s="113">
        <f t="shared" ref="N13:N23" si="5">IFERROR(M13/L13,"-")</f>
        <v>0.96989247311827953</v>
      </c>
      <c r="O13"/>
      <c r="P13"/>
      <c r="Q13"/>
      <c r="R13"/>
      <c r="S13"/>
      <c r="T13"/>
      <c r="U13"/>
      <c r="V13"/>
    </row>
    <row r="14" spans="2:26" x14ac:dyDescent="0.25">
      <c r="B14" s="53" t="s">
        <v>204</v>
      </c>
      <c r="C14" s="122">
        <v>41</v>
      </c>
      <c r="D14" s="122">
        <v>41</v>
      </c>
      <c r="E14" s="113">
        <f t="shared" si="0"/>
        <v>1</v>
      </c>
      <c r="F14" s="122">
        <v>36</v>
      </c>
      <c r="G14" s="122">
        <v>36</v>
      </c>
      <c r="H14" s="113">
        <f t="shared" si="1"/>
        <v>1</v>
      </c>
      <c r="I14" s="122">
        <v>43</v>
      </c>
      <c r="J14" s="122">
        <v>0</v>
      </c>
      <c r="K14" s="113">
        <f t="shared" si="2"/>
        <v>0</v>
      </c>
      <c r="L14" s="122">
        <f t="shared" si="3"/>
        <v>120</v>
      </c>
      <c r="M14" s="122">
        <f t="shared" si="4"/>
        <v>77</v>
      </c>
      <c r="N14" s="113">
        <f t="shared" si="5"/>
        <v>0.64166666666666672</v>
      </c>
      <c r="O14"/>
      <c r="P14"/>
      <c r="Q14"/>
      <c r="R14"/>
      <c r="S14"/>
      <c r="T14"/>
      <c r="U14"/>
      <c r="V14"/>
    </row>
    <row r="15" spans="2:26" x14ac:dyDescent="0.25">
      <c r="B15" s="53" t="s">
        <v>205</v>
      </c>
      <c r="C15" s="122">
        <v>130</v>
      </c>
      <c r="D15" s="122">
        <v>130</v>
      </c>
      <c r="E15" s="113">
        <f t="shared" si="0"/>
        <v>1</v>
      </c>
      <c r="F15" s="122">
        <v>197</v>
      </c>
      <c r="G15" s="122">
        <v>196</v>
      </c>
      <c r="H15" s="113">
        <f t="shared" si="1"/>
        <v>0.99492385786802029</v>
      </c>
      <c r="I15" s="122">
        <v>137</v>
      </c>
      <c r="J15" s="122">
        <v>136</v>
      </c>
      <c r="K15" s="113">
        <f t="shared" si="2"/>
        <v>0.99270072992700731</v>
      </c>
      <c r="L15" s="122">
        <f t="shared" si="3"/>
        <v>464</v>
      </c>
      <c r="M15" s="122">
        <f t="shared" si="4"/>
        <v>462</v>
      </c>
      <c r="N15" s="113">
        <f t="shared" si="5"/>
        <v>0.99568965517241381</v>
      </c>
      <c r="O15"/>
      <c r="P15"/>
      <c r="Q15"/>
      <c r="R15"/>
      <c r="S15"/>
      <c r="T15"/>
      <c r="U15"/>
      <c r="V15"/>
    </row>
    <row r="16" spans="2:26" x14ac:dyDescent="0.25">
      <c r="B16" s="53" t="s">
        <v>206</v>
      </c>
      <c r="C16" s="122">
        <v>2492</v>
      </c>
      <c r="D16" s="122">
        <v>2470</v>
      </c>
      <c r="E16" s="113">
        <f t="shared" si="0"/>
        <v>0.9911717495987159</v>
      </c>
      <c r="F16" s="122">
        <v>3152</v>
      </c>
      <c r="G16" s="122">
        <v>3145</v>
      </c>
      <c r="H16" s="113">
        <f t="shared" si="1"/>
        <v>0.99777918781725883</v>
      </c>
      <c r="I16" s="122">
        <v>4919</v>
      </c>
      <c r="J16" s="122">
        <v>4830</v>
      </c>
      <c r="K16" s="113">
        <f t="shared" si="2"/>
        <v>0.98190689164464318</v>
      </c>
      <c r="L16" s="122">
        <f t="shared" si="3"/>
        <v>10563</v>
      </c>
      <c r="M16" s="122">
        <f t="shared" si="4"/>
        <v>10445</v>
      </c>
      <c r="N16" s="113">
        <f t="shared" si="5"/>
        <v>0.9888289311748556</v>
      </c>
      <c r="O16"/>
      <c r="P16"/>
      <c r="Q16"/>
      <c r="R16"/>
      <c r="S16"/>
      <c r="T16"/>
      <c r="U16"/>
      <c r="V16"/>
    </row>
    <row r="17" spans="2:22" x14ac:dyDescent="0.25">
      <c r="B17" s="53" t="s">
        <v>207</v>
      </c>
      <c r="C17" s="122">
        <v>288</v>
      </c>
      <c r="D17" s="122">
        <v>287</v>
      </c>
      <c r="E17" s="113">
        <f t="shared" si="0"/>
        <v>0.99652777777777779</v>
      </c>
      <c r="F17" s="122">
        <v>255</v>
      </c>
      <c r="G17" s="122">
        <v>255</v>
      </c>
      <c r="H17" s="113">
        <f t="shared" si="1"/>
        <v>1</v>
      </c>
      <c r="I17" s="122">
        <v>300</v>
      </c>
      <c r="J17" s="122">
        <v>284</v>
      </c>
      <c r="K17" s="113">
        <f t="shared" si="2"/>
        <v>0.94666666666666666</v>
      </c>
      <c r="L17" s="122">
        <f t="shared" si="3"/>
        <v>843</v>
      </c>
      <c r="M17" s="122">
        <f t="shared" si="4"/>
        <v>826</v>
      </c>
      <c r="N17" s="113">
        <f t="shared" si="5"/>
        <v>0.97983392645314349</v>
      </c>
      <c r="O17"/>
      <c r="P17"/>
      <c r="Q17"/>
      <c r="R17"/>
      <c r="S17"/>
      <c r="T17"/>
      <c r="U17"/>
      <c r="V17"/>
    </row>
    <row r="18" spans="2:22" x14ac:dyDescent="0.25">
      <c r="B18" s="53" t="s">
        <v>208</v>
      </c>
      <c r="C18" s="122">
        <v>1473</v>
      </c>
      <c r="D18" s="122">
        <v>1468</v>
      </c>
      <c r="E18" s="113">
        <f t="shared" si="0"/>
        <v>0.99660556687033264</v>
      </c>
      <c r="F18" s="122">
        <v>717</v>
      </c>
      <c r="G18" s="122">
        <v>716</v>
      </c>
      <c r="H18" s="113">
        <f t="shared" si="1"/>
        <v>0.99860529986053004</v>
      </c>
      <c r="I18" s="122">
        <v>1327</v>
      </c>
      <c r="J18" s="122">
        <v>1284</v>
      </c>
      <c r="K18" s="113">
        <f t="shared" si="2"/>
        <v>0.96759608138658626</v>
      </c>
      <c r="L18" s="122">
        <f t="shared" si="3"/>
        <v>3517</v>
      </c>
      <c r="M18" s="122">
        <f t="shared" si="4"/>
        <v>3468</v>
      </c>
      <c r="N18" s="113">
        <f t="shared" si="5"/>
        <v>0.98606767131077622</v>
      </c>
      <c r="O18"/>
      <c r="P18"/>
      <c r="Q18"/>
      <c r="R18"/>
      <c r="S18"/>
      <c r="T18"/>
      <c r="U18"/>
      <c r="V18"/>
    </row>
    <row r="19" spans="2:22" x14ac:dyDescent="0.25">
      <c r="B19" s="53" t="s">
        <v>209</v>
      </c>
      <c r="C19" s="122">
        <v>6</v>
      </c>
      <c r="D19" s="122">
        <v>6</v>
      </c>
      <c r="E19" s="113">
        <f t="shared" si="0"/>
        <v>1</v>
      </c>
      <c r="F19" s="122">
        <v>6</v>
      </c>
      <c r="G19" s="122">
        <v>6</v>
      </c>
      <c r="H19" s="113">
        <f t="shared" si="1"/>
        <v>1</v>
      </c>
      <c r="I19" s="122">
        <v>7</v>
      </c>
      <c r="J19" s="122">
        <v>7</v>
      </c>
      <c r="K19" s="113">
        <f t="shared" si="2"/>
        <v>1</v>
      </c>
      <c r="L19" s="122">
        <f t="shared" si="3"/>
        <v>19</v>
      </c>
      <c r="M19" s="122">
        <f t="shared" si="4"/>
        <v>19</v>
      </c>
      <c r="N19" s="113">
        <f t="shared" si="5"/>
        <v>1</v>
      </c>
      <c r="O19"/>
      <c r="P19"/>
      <c r="Q19"/>
      <c r="R19"/>
      <c r="S19"/>
      <c r="T19"/>
      <c r="U19"/>
      <c r="V19"/>
    </row>
    <row r="20" spans="2:22" x14ac:dyDescent="0.25">
      <c r="B20" s="53" t="s">
        <v>210</v>
      </c>
      <c r="C20" s="122">
        <v>75</v>
      </c>
      <c r="D20" s="122">
        <v>75</v>
      </c>
      <c r="E20" s="113">
        <f t="shared" si="0"/>
        <v>1</v>
      </c>
      <c r="F20" s="122">
        <v>65</v>
      </c>
      <c r="G20" s="122">
        <v>64</v>
      </c>
      <c r="H20" s="113">
        <f t="shared" si="1"/>
        <v>0.98461538461538467</v>
      </c>
      <c r="I20" s="122">
        <v>79</v>
      </c>
      <c r="J20" s="122">
        <v>76</v>
      </c>
      <c r="K20" s="113">
        <f t="shared" si="2"/>
        <v>0.96202531645569622</v>
      </c>
      <c r="L20" s="122">
        <f t="shared" si="3"/>
        <v>219</v>
      </c>
      <c r="M20" s="122">
        <f t="shared" si="4"/>
        <v>215</v>
      </c>
      <c r="N20" s="113">
        <f t="shared" si="5"/>
        <v>0.9817351598173516</v>
      </c>
      <c r="O20"/>
      <c r="P20"/>
      <c r="Q20"/>
      <c r="R20"/>
      <c r="S20"/>
      <c r="T20"/>
      <c r="U20"/>
      <c r="V20"/>
    </row>
    <row r="21" spans="2:22" x14ac:dyDescent="0.25">
      <c r="B21" s="53" t="s">
        <v>211</v>
      </c>
      <c r="C21" s="122">
        <v>12</v>
      </c>
      <c r="D21" s="122">
        <v>12</v>
      </c>
      <c r="E21" s="113">
        <f t="shared" si="0"/>
        <v>1</v>
      </c>
      <c r="F21" s="122">
        <v>7</v>
      </c>
      <c r="G21" s="122">
        <v>5</v>
      </c>
      <c r="H21" s="113">
        <f t="shared" si="1"/>
        <v>0.7142857142857143</v>
      </c>
      <c r="I21" s="122">
        <v>14</v>
      </c>
      <c r="J21" s="122">
        <v>13</v>
      </c>
      <c r="K21" s="113">
        <f t="shared" si="2"/>
        <v>0.9285714285714286</v>
      </c>
      <c r="L21" s="122">
        <f t="shared" si="3"/>
        <v>33</v>
      </c>
      <c r="M21" s="122">
        <f t="shared" si="4"/>
        <v>30</v>
      </c>
      <c r="N21" s="113">
        <f>IFERROR(M21/L21,"-")</f>
        <v>0.90909090909090906</v>
      </c>
      <c r="O21"/>
      <c r="P21"/>
      <c r="Q21"/>
      <c r="R21"/>
      <c r="S21"/>
      <c r="T21"/>
      <c r="U21"/>
      <c r="V21"/>
    </row>
    <row r="22" spans="2:22" x14ac:dyDescent="0.25">
      <c r="B22" s="53" t="s">
        <v>212</v>
      </c>
      <c r="C22" s="122">
        <v>145</v>
      </c>
      <c r="D22" s="122">
        <v>145</v>
      </c>
      <c r="E22" s="113">
        <f t="shared" si="0"/>
        <v>1</v>
      </c>
      <c r="F22" s="122">
        <v>218</v>
      </c>
      <c r="G22" s="122">
        <v>213</v>
      </c>
      <c r="H22" s="113">
        <f t="shared" ref="H22:H25" si="6">IFERROR(G22/F22,"-")</f>
        <v>0.97706422018348627</v>
      </c>
      <c r="I22" s="122">
        <v>206</v>
      </c>
      <c r="J22" s="122">
        <v>189</v>
      </c>
      <c r="K22" s="113">
        <f t="shared" ref="K22:K25" si="7">IFERROR(J22/I22,"-")</f>
        <v>0.91747572815533984</v>
      </c>
      <c r="L22" s="122">
        <f t="shared" si="3"/>
        <v>569</v>
      </c>
      <c r="M22" s="122">
        <f t="shared" si="4"/>
        <v>547</v>
      </c>
      <c r="N22" s="113">
        <f t="shared" si="5"/>
        <v>0.961335676625659</v>
      </c>
      <c r="O22"/>
      <c r="P22"/>
      <c r="Q22"/>
      <c r="R22"/>
      <c r="S22"/>
      <c r="T22"/>
      <c r="U22"/>
      <c r="V22"/>
    </row>
    <row r="23" spans="2:22" x14ac:dyDescent="0.25">
      <c r="B23" s="53" t="s">
        <v>213</v>
      </c>
      <c r="C23" s="122">
        <v>118</v>
      </c>
      <c r="D23" s="122">
        <v>118</v>
      </c>
      <c r="E23" s="113">
        <f t="shared" si="0"/>
        <v>1</v>
      </c>
      <c r="F23" s="122">
        <v>129</v>
      </c>
      <c r="G23" s="122">
        <v>128</v>
      </c>
      <c r="H23" s="113">
        <f t="shared" si="6"/>
        <v>0.99224806201550386</v>
      </c>
      <c r="I23" s="122">
        <v>230</v>
      </c>
      <c r="J23" s="122">
        <v>228</v>
      </c>
      <c r="K23" s="113">
        <f t="shared" si="7"/>
        <v>0.99130434782608701</v>
      </c>
      <c r="L23" s="122">
        <f t="shared" si="3"/>
        <v>477</v>
      </c>
      <c r="M23" s="122">
        <f t="shared" si="4"/>
        <v>474</v>
      </c>
      <c r="N23" s="113">
        <f t="shared" si="5"/>
        <v>0.99371069182389937</v>
      </c>
      <c r="O23"/>
      <c r="P23"/>
      <c r="Q23"/>
      <c r="R23"/>
      <c r="S23"/>
      <c r="T23"/>
      <c r="U23"/>
      <c r="V23"/>
    </row>
    <row r="24" spans="2:22" x14ac:dyDescent="0.25">
      <c r="B24" s="53" t="s">
        <v>214</v>
      </c>
      <c r="C24" s="122">
        <v>4</v>
      </c>
      <c r="D24" s="122">
        <v>4</v>
      </c>
      <c r="E24" s="113">
        <f t="shared" si="0"/>
        <v>1</v>
      </c>
      <c r="F24" s="122">
        <v>1</v>
      </c>
      <c r="G24" s="122">
        <v>1</v>
      </c>
      <c r="H24" s="113">
        <f t="shared" si="6"/>
        <v>1</v>
      </c>
      <c r="I24" s="122">
        <v>6</v>
      </c>
      <c r="J24" s="122">
        <v>6</v>
      </c>
      <c r="K24" s="113">
        <f t="shared" si="7"/>
        <v>1</v>
      </c>
      <c r="L24" s="122">
        <f t="shared" si="3"/>
        <v>11</v>
      </c>
      <c r="M24" s="122">
        <f t="shared" si="4"/>
        <v>11</v>
      </c>
      <c r="N24" s="113">
        <f t="shared" ref="N24" si="8">IFERROR(M24/L24,"-")</f>
        <v>1</v>
      </c>
      <c r="O24"/>
      <c r="P24"/>
      <c r="Q24"/>
      <c r="R24"/>
      <c r="S24"/>
      <c r="T24"/>
      <c r="U24"/>
      <c r="V24"/>
    </row>
    <row r="25" spans="2:22" x14ac:dyDescent="0.25">
      <c r="B25" s="46" t="s">
        <v>215</v>
      </c>
      <c r="C25" s="8">
        <f>SUM(C12:C24)</f>
        <v>4944</v>
      </c>
      <c r="D25" s="8">
        <f>SUM(D12:D24)</f>
        <v>4914</v>
      </c>
      <c r="E25" s="8">
        <f>IFERROR(D25/C25,"-")</f>
        <v>0.9939320388349514</v>
      </c>
      <c r="F25" s="8">
        <f>SUM(F12:F24)</f>
        <v>4916</v>
      </c>
      <c r="G25" s="8">
        <f>SUM(G12:G24)</f>
        <v>4897</v>
      </c>
      <c r="H25" s="8">
        <f t="shared" si="6"/>
        <v>0.99613506916192029</v>
      </c>
      <c r="I25" s="8">
        <f>SUM(I12:I24)</f>
        <v>7454</v>
      </c>
      <c r="J25" s="8">
        <f>SUM(J12:J24)</f>
        <v>7227</v>
      </c>
      <c r="K25" s="8">
        <f t="shared" si="7"/>
        <v>0.96954655218674535</v>
      </c>
      <c r="L25" s="8">
        <f>SUM(L12:L24)</f>
        <v>17314</v>
      </c>
      <c r="M25" s="8">
        <f>SUM(M12:M24)</f>
        <v>17038</v>
      </c>
      <c r="N25" s="88">
        <f>+M25/L25</f>
        <v>0.98405914289014673</v>
      </c>
      <c r="O25"/>
      <c r="P25"/>
      <c r="Q25"/>
      <c r="R25"/>
      <c r="S25"/>
      <c r="T25"/>
      <c r="U25"/>
      <c r="V25"/>
    </row>
    <row r="26" spans="2:22" ht="3.75" customHeight="1" x14ac:dyDescent="0.25">
      <c r="B26" s="130"/>
      <c r="C26"/>
      <c r="D26"/>
      <c r="E26"/>
      <c r="F26"/>
      <c r="G26"/>
      <c r="H26"/>
      <c r="I26"/>
      <c r="J26"/>
      <c r="K26"/>
      <c r="L26"/>
      <c r="M26"/>
      <c r="N26"/>
      <c r="O26"/>
      <c r="P26"/>
      <c r="Q26"/>
      <c r="R26"/>
      <c r="S26"/>
      <c r="T26"/>
      <c r="U26"/>
      <c r="V26"/>
    </row>
    <row r="27" spans="2:22" hidden="1" x14ac:dyDescent="0.25">
      <c r="B27" s="130" t="s">
        <v>216</v>
      </c>
      <c r="C27"/>
      <c r="D27"/>
      <c r="E27"/>
      <c r="F27"/>
      <c r="G27"/>
      <c r="H27"/>
      <c r="I27"/>
      <c r="J27"/>
      <c r="K27"/>
      <c r="L27"/>
      <c r="M27"/>
      <c r="N27"/>
      <c r="O27"/>
      <c r="P27"/>
      <c r="Q27"/>
      <c r="R27"/>
      <c r="S27"/>
      <c r="T27"/>
      <c r="U27"/>
      <c r="V27"/>
    </row>
    <row r="28" spans="2:22" x14ac:dyDescent="0.25">
      <c r="B28"/>
      <c r="C28"/>
      <c r="D28"/>
      <c r="E28"/>
      <c r="F28"/>
      <c r="G28"/>
      <c r="H28"/>
      <c r="I28"/>
      <c r="J28"/>
      <c r="K28"/>
      <c r="L28"/>
      <c r="M28"/>
      <c r="N28"/>
      <c r="O28"/>
      <c r="P28"/>
      <c r="Q28"/>
      <c r="R28"/>
      <c r="S28"/>
      <c r="T28"/>
      <c r="U28"/>
      <c r="V28"/>
    </row>
    <row r="29" spans="2:22" x14ac:dyDescent="0.25">
      <c r="B29"/>
      <c r="C29"/>
      <c r="D29"/>
      <c r="E29"/>
      <c r="F29"/>
      <c r="G29"/>
      <c r="H29"/>
      <c r="I29"/>
      <c r="J29"/>
      <c r="K29"/>
      <c r="L29"/>
      <c r="M29"/>
      <c r="N29"/>
      <c r="O29"/>
      <c r="P29"/>
      <c r="Q29"/>
      <c r="R29"/>
      <c r="S29"/>
      <c r="T29"/>
      <c r="U29"/>
      <c r="V29"/>
    </row>
    <row r="30" spans="2:22" x14ac:dyDescent="0.25">
      <c r="B30"/>
      <c r="C30"/>
      <c r="D30"/>
      <c r="E30"/>
      <c r="F30"/>
      <c r="G30"/>
      <c r="H30"/>
      <c r="I30"/>
      <c r="J30"/>
      <c r="K30"/>
      <c r="L30"/>
      <c r="M30"/>
      <c r="N30"/>
      <c r="O30"/>
      <c r="P30"/>
      <c r="Q30"/>
      <c r="R30"/>
      <c r="S30"/>
      <c r="T30"/>
      <c r="U30"/>
      <c r="V30"/>
    </row>
    <row r="31" spans="2:22" x14ac:dyDescent="0.25">
      <c r="B31"/>
      <c r="C31"/>
      <c r="D31"/>
      <c r="E31"/>
      <c r="F31"/>
      <c r="G31"/>
      <c r="H31"/>
      <c r="I31"/>
      <c r="J31"/>
      <c r="K31"/>
      <c r="L31"/>
      <c r="M31"/>
      <c r="N31"/>
      <c r="O31"/>
      <c r="P31"/>
      <c r="Q31"/>
      <c r="R31"/>
      <c r="S31"/>
      <c r="T31"/>
      <c r="U31"/>
      <c r="V31"/>
    </row>
    <row r="32" spans="2:22" x14ac:dyDescent="0.25">
      <c r="B32"/>
      <c r="C32"/>
      <c r="D32"/>
      <c r="E32"/>
      <c r="F32"/>
      <c r="G32"/>
      <c r="H32"/>
      <c r="I32"/>
      <c r="J32"/>
      <c r="K32"/>
      <c r="L32"/>
      <c r="M32"/>
      <c r="N32"/>
      <c r="O32"/>
      <c r="P32"/>
      <c r="Q32"/>
      <c r="R32"/>
      <c r="S32"/>
      <c r="T32"/>
      <c r="U32"/>
      <c r="V32"/>
    </row>
    <row r="33" spans="2:22" x14ac:dyDescent="0.25">
      <c r="B33"/>
      <c r="C33"/>
      <c r="D33"/>
      <c r="E33"/>
      <c r="F33"/>
      <c r="G33"/>
      <c r="H33"/>
      <c r="I33"/>
      <c r="J33"/>
      <c r="K33"/>
      <c r="L33"/>
      <c r="M33"/>
      <c r="N33"/>
      <c r="O33"/>
      <c r="P33"/>
      <c r="Q33"/>
      <c r="R33"/>
      <c r="S33"/>
      <c r="T33"/>
      <c r="U33"/>
      <c r="V33"/>
    </row>
    <row r="34" spans="2:22" ht="15.75" x14ac:dyDescent="0.25">
      <c r="B34" s="380" t="s">
        <v>263</v>
      </c>
      <c r="C34" s="380"/>
      <c r="D34" s="380"/>
      <c r="E34" s="380"/>
      <c r="F34" s="380"/>
      <c r="G34" s="380"/>
      <c r="H34" s="380"/>
      <c r="I34" s="380"/>
      <c r="J34" s="380"/>
      <c r="K34" s="380"/>
      <c r="L34" s="380"/>
      <c r="M34" s="275"/>
      <c r="N34" s="275"/>
      <c r="O34"/>
      <c r="P34"/>
      <c r="Q34"/>
      <c r="R34"/>
      <c r="S34"/>
      <c r="T34"/>
      <c r="U34"/>
      <c r="V34"/>
    </row>
    <row r="35" spans="2:22" x14ac:dyDescent="0.25">
      <c r="B35" s="170"/>
      <c r="C35" s="362" t="s">
        <v>241</v>
      </c>
      <c r="D35" s="362"/>
      <c r="E35" s="362"/>
      <c r="F35" s="362" t="s">
        <v>239</v>
      </c>
      <c r="G35" s="362"/>
      <c r="H35" s="362"/>
      <c r="I35" s="362" t="s">
        <v>243</v>
      </c>
      <c r="J35" s="362"/>
      <c r="K35" s="362"/>
      <c r="L35" s="274"/>
      <c r="M35"/>
      <c r="N35"/>
      <c r="O35"/>
      <c r="P35"/>
      <c r="Q35"/>
      <c r="R35"/>
      <c r="S35"/>
      <c r="T35"/>
      <c r="U35"/>
      <c r="V35"/>
    </row>
    <row r="36" spans="2:22" x14ac:dyDescent="0.25">
      <c r="B36" s="54" t="s">
        <v>198</v>
      </c>
      <c r="C36" s="54" t="s">
        <v>199</v>
      </c>
      <c r="D36" s="54" t="s">
        <v>200</v>
      </c>
      <c r="E36" s="54" t="s">
        <v>50</v>
      </c>
      <c r="F36" s="54" t="s">
        <v>199</v>
      </c>
      <c r="G36" s="54" t="s">
        <v>200</v>
      </c>
      <c r="H36" s="54" t="s">
        <v>201</v>
      </c>
      <c r="I36" s="54" t="s">
        <v>199</v>
      </c>
      <c r="J36" s="54" t="s">
        <v>200</v>
      </c>
      <c r="K36" s="54" t="s">
        <v>201</v>
      </c>
      <c r="L36" s="54" t="s">
        <v>217</v>
      </c>
      <c r="M36"/>
      <c r="N36"/>
      <c r="O36"/>
      <c r="P36"/>
      <c r="Q36"/>
      <c r="R36"/>
      <c r="S36"/>
      <c r="T36"/>
      <c r="U36"/>
      <c r="V36"/>
    </row>
    <row r="37" spans="2:22" x14ac:dyDescent="0.25">
      <c r="B37" s="53" t="s">
        <v>219</v>
      </c>
      <c r="C37" s="122">
        <v>142</v>
      </c>
      <c r="D37" s="122">
        <v>140</v>
      </c>
      <c r="E37" s="209">
        <f>IFERROR(D37/C37,"-")</f>
        <v>0.9859154929577465</v>
      </c>
      <c r="F37" s="122">
        <v>86</v>
      </c>
      <c r="G37" s="122">
        <v>86</v>
      </c>
      <c r="H37" s="209">
        <f t="shared" ref="H37:H50" si="9">IFERROR(G37/F37,"-")</f>
        <v>1</v>
      </c>
      <c r="I37" s="122">
        <v>113</v>
      </c>
      <c r="J37" s="122">
        <v>11</v>
      </c>
      <c r="K37" s="209">
        <f t="shared" ref="K37:K50" si="10">IFERROR(J37/I37,"-")</f>
        <v>9.7345132743362831E-2</v>
      </c>
      <c r="L37" s="122">
        <f>D37+G37+J37</f>
        <v>237</v>
      </c>
      <c r="M37"/>
      <c r="N37"/>
      <c r="O37"/>
      <c r="P37"/>
      <c r="Q37"/>
      <c r="R37"/>
      <c r="S37"/>
      <c r="T37"/>
      <c r="U37"/>
      <c r="V37"/>
    </row>
    <row r="38" spans="2:22" x14ac:dyDescent="0.25">
      <c r="B38" s="53" t="s">
        <v>218</v>
      </c>
      <c r="C38" s="122">
        <v>19</v>
      </c>
      <c r="D38" s="122">
        <v>19</v>
      </c>
      <c r="E38" s="209">
        <f t="shared" ref="E38:E50" si="11">IFERROR(D38/C38,"-")</f>
        <v>1</v>
      </c>
      <c r="F38" s="122">
        <v>19</v>
      </c>
      <c r="G38" s="122">
        <v>19</v>
      </c>
      <c r="H38" s="209">
        <f t="shared" si="9"/>
        <v>1</v>
      </c>
      <c r="I38" s="122">
        <v>16</v>
      </c>
      <c r="J38" s="122">
        <v>16</v>
      </c>
      <c r="K38" s="209">
        <f t="shared" si="10"/>
        <v>1</v>
      </c>
      <c r="L38" s="122">
        <f t="shared" ref="L38:L50" si="12">D38+G38+J38</f>
        <v>54</v>
      </c>
      <c r="M38"/>
      <c r="N38"/>
      <c r="O38"/>
      <c r="P38"/>
      <c r="Q38"/>
      <c r="R38"/>
      <c r="S38"/>
      <c r="T38"/>
      <c r="U38"/>
      <c r="V38"/>
    </row>
    <row r="39" spans="2:22" x14ac:dyDescent="0.25">
      <c r="B39" s="53" t="s">
        <v>220</v>
      </c>
      <c r="C39" s="122">
        <v>1</v>
      </c>
      <c r="D39" s="122">
        <v>1</v>
      </c>
      <c r="E39" s="209">
        <f t="shared" si="11"/>
        <v>1</v>
      </c>
      <c r="F39" s="122">
        <v>2</v>
      </c>
      <c r="G39" s="122">
        <v>2</v>
      </c>
      <c r="H39" s="209">
        <f t="shared" si="9"/>
        <v>1</v>
      </c>
      <c r="I39" s="122">
        <v>6</v>
      </c>
      <c r="J39" s="122">
        <v>6</v>
      </c>
      <c r="K39" s="209">
        <f t="shared" si="10"/>
        <v>1</v>
      </c>
      <c r="L39" s="122">
        <f t="shared" si="12"/>
        <v>9</v>
      </c>
      <c r="M39"/>
      <c r="N39"/>
      <c r="O39"/>
      <c r="P39"/>
      <c r="Q39"/>
      <c r="R39"/>
      <c r="S39"/>
      <c r="T39"/>
      <c r="U39"/>
      <c r="V39"/>
    </row>
    <row r="40" spans="2:22" x14ac:dyDescent="0.25">
      <c r="B40" s="53" t="s">
        <v>221</v>
      </c>
      <c r="C40" s="122">
        <v>3</v>
      </c>
      <c r="D40" s="122">
        <v>3</v>
      </c>
      <c r="E40" s="209">
        <f t="shared" si="11"/>
        <v>1</v>
      </c>
      <c r="F40" s="122">
        <v>8</v>
      </c>
      <c r="G40" s="122">
        <v>8</v>
      </c>
      <c r="H40" s="209">
        <f t="shared" si="9"/>
        <v>1</v>
      </c>
      <c r="I40" s="122">
        <v>8</v>
      </c>
      <c r="J40" s="122">
        <v>8</v>
      </c>
      <c r="K40" s="209">
        <f t="shared" si="10"/>
        <v>1</v>
      </c>
      <c r="L40" s="122">
        <f t="shared" si="12"/>
        <v>19</v>
      </c>
      <c r="M40"/>
      <c r="N40"/>
      <c r="O40"/>
      <c r="P40"/>
      <c r="Q40"/>
      <c r="R40"/>
      <c r="S40"/>
      <c r="T40"/>
      <c r="U40"/>
      <c r="V40"/>
    </row>
    <row r="41" spans="2:22" x14ac:dyDescent="0.25">
      <c r="B41" s="53" t="s">
        <v>222</v>
      </c>
      <c r="C41" s="122"/>
      <c r="D41" s="122"/>
      <c r="E41" s="209" t="str">
        <f t="shared" si="11"/>
        <v>-</v>
      </c>
      <c r="F41" s="122">
        <v>1</v>
      </c>
      <c r="G41" s="122">
        <v>1</v>
      </c>
      <c r="H41" s="209">
        <f t="shared" si="9"/>
        <v>1</v>
      </c>
      <c r="I41" s="122"/>
      <c r="J41" s="122"/>
      <c r="K41" s="209" t="str">
        <f t="shared" si="10"/>
        <v>-</v>
      </c>
      <c r="L41" s="122">
        <f t="shared" si="12"/>
        <v>1</v>
      </c>
      <c r="M41"/>
      <c r="N41"/>
      <c r="O41"/>
      <c r="P41"/>
      <c r="Q41"/>
      <c r="R41"/>
      <c r="S41"/>
      <c r="T41"/>
      <c r="U41"/>
      <c r="V41"/>
    </row>
    <row r="42" spans="2:22" x14ac:dyDescent="0.25">
      <c r="B42" s="53" t="s">
        <v>223</v>
      </c>
      <c r="C42" s="122">
        <v>30</v>
      </c>
      <c r="D42" s="122">
        <v>30</v>
      </c>
      <c r="E42" s="209">
        <f t="shared" si="11"/>
        <v>1</v>
      </c>
      <c r="F42" s="122">
        <v>46</v>
      </c>
      <c r="G42" s="122">
        <v>30</v>
      </c>
      <c r="H42" s="209">
        <f t="shared" si="9"/>
        <v>0.65217391304347827</v>
      </c>
      <c r="I42" s="122">
        <v>35</v>
      </c>
      <c r="J42" s="122">
        <v>30</v>
      </c>
      <c r="K42" s="209">
        <f t="shared" si="10"/>
        <v>0.8571428571428571</v>
      </c>
      <c r="L42" s="122">
        <f t="shared" si="12"/>
        <v>90</v>
      </c>
      <c r="M42"/>
      <c r="N42"/>
      <c r="O42"/>
      <c r="P42"/>
      <c r="Q42"/>
      <c r="R42"/>
      <c r="S42"/>
      <c r="T42"/>
      <c r="U42"/>
      <c r="V42"/>
    </row>
    <row r="43" spans="2:22" x14ac:dyDescent="0.25">
      <c r="B43" s="53" t="s">
        <v>224</v>
      </c>
      <c r="C43" s="122">
        <v>28</v>
      </c>
      <c r="D43" s="122">
        <v>26</v>
      </c>
      <c r="E43" s="209">
        <f t="shared" si="11"/>
        <v>0.9285714285714286</v>
      </c>
      <c r="F43" s="122">
        <v>25</v>
      </c>
      <c r="G43" s="122">
        <v>23</v>
      </c>
      <c r="H43" s="209">
        <f t="shared" si="9"/>
        <v>0.92</v>
      </c>
      <c r="I43" s="122">
        <v>7</v>
      </c>
      <c r="J43" s="122">
        <v>2</v>
      </c>
      <c r="K43" s="209">
        <f t="shared" si="10"/>
        <v>0.2857142857142857</v>
      </c>
      <c r="L43" s="122">
        <f t="shared" si="12"/>
        <v>51</v>
      </c>
      <c r="M43"/>
      <c r="N43"/>
      <c r="O43"/>
      <c r="P43"/>
      <c r="Q43"/>
      <c r="R43"/>
      <c r="S43"/>
      <c r="T43"/>
      <c r="U43"/>
      <c r="V43"/>
    </row>
    <row r="44" spans="2:22" x14ac:dyDescent="0.25">
      <c r="B44" s="53" t="s">
        <v>225</v>
      </c>
      <c r="C44" s="122">
        <v>88</v>
      </c>
      <c r="D44" s="122">
        <v>80</v>
      </c>
      <c r="E44" s="209">
        <f t="shared" si="11"/>
        <v>0.90909090909090906</v>
      </c>
      <c r="F44" s="122">
        <v>71</v>
      </c>
      <c r="G44" s="122">
        <v>80</v>
      </c>
      <c r="H44" s="209">
        <f t="shared" si="9"/>
        <v>1.1267605633802817</v>
      </c>
      <c r="I44" s="122">
        <v>140</v>
      </c>
      <c r="J44" s="122">
        <v>80</v>
      </c>
      <c r="K44" s="209">
        <f t="shared" si="10"/>
        <v>0.5714285714285714</v>
      </c>
      <c r="L44" s="122">
        <f t="shared" si="12"/>
        <v>240</v>
      </c>
      <c r="M44"/>
      <c r="N44"/>
      <c r="O44"/>
      <c r="P44"/>
      <c r="Q44"/>
      <c r="R44"/>
      <c r="S44"/>
      <c r="T44"/>
      <c r="U44"/>
      <c r="V44"/>
    </row>
    <row r="45" spans="2:22" x14ac:dyDescent="0.25">
      <c r="B45" s="53" t="s">
        <v>226</v>
      </c>
      <c r="C45" s="122">
        <v>71</v>
      </c>
      <c r="D45" s="122">
        <v>8</v>
      </c>
      <c r="E45" s="209">
        <f t="shared" si="11"/>
        <v>0.11267605633802817</v>
      </c>
      <c r="F45" s="122">
        <v>40</v>
      </c>
      <c r="G45" s="122">
        <v>8</v>
      </c>
      <c r="H45" s="209">
        <f t="shared" si="9"/>
        <v>0.2</v>
      </c>
      <c r="I45" s="122">
        <v>30</v>
      </c>
      <c r="J45" s="122">
        <v>8</v>
      </c>
      <c r="K45" s="209">
        <f t="shared" si="10"/>
        <v>0.26666666666666666</v>
      </c>
      <c r="L45" s="122">
        <f t="shared" si="12"/>
        <v>24</v>
      </c>
      <c r="M45"/>
      <c r="N45"/>
      <c r="O45"/>
      <c r="P45"/>
      <c r="Q45"/>
      <c r="R45"/>
      <c r="S45"/>
      <c r="T45"/>
      <c r="U45"/>
      <c r="V45"/>
    </row>
    <row r="46" spans="2:22" x14ac:dyDescent="0.25">
      <c r="B46" s="53" t="s">
        <v>227</v>
      </c>
      <c r="C46" s="122">
        <v>336</v>
      </c>
      <c r="D46" s="122">
        <v>48</v>
      </c>
      <c r="E46" s="209">
        <f t="shared" si="11"/>
        <v>0.14285714285714285</v>
      </c>
      <c r="F46" s="122">
        <v>191</v>
      </c>
      <c r="G46" s="122">
        <v>48</v>
      </c>
      <c r="H46" s="209">
        <f t="shared" si="9"/>
        <v>0.2513089005235602</v>
      </c>
      <c r="I46" s="122">
        <v>299</v>
      </c>
      <c r="J46" s="122">
        <v>48</v>
      </c>
      <c r="K46" s="209">
        <f t="shared" si="10"/>
        <v>0.16053511705685619</v>
      </c>
      <c r="L46" s="122">
        <f t="shared" si="12"/>
        <v>144</v>
      </c>
      <c r="M46"/>
      <c r="N46"/>
      <c r="O46"/>
      <c r="P46"/>
      <c r="Q46"/>
      <c r="R46"/>
      <c r="S46"/>
      <c r="T46"/>
      <c r="U46"/>
      <c r="V46"/>
    </row>
    <row r="47" spans="2:22" x14ac:dyDescent="0.25">
      <c r="B47" s="53" t="s">
        <v>228</v>
      </c>
      <c r="C47" s="122">
        <v>7</v>
      </c>
      <c r="D47" s="122">
        <v>7</v>
      </c>
      <c r="E47" s="209">
        <f t="shared" si="11"/>
        <v>1</v>
      </c>
      <c r="F47" s="122">
        <v>8</v>
      </c>
      <c r="G47" s="122">
        <v>8</v>
      </c>
      <c r="H47" s="209">
        <f t="shared" si="9"/>
        <v>1</v>
      </c>
      <c r="I47" s="122">
        <v>3</v>
      </c>
      <c r="J47" s="122">
        <v>3</v>
      </c>
      <c r="K47" s="209">
        <f t="shared" si="10"/>
        <v>1</v>
      </c>
      <c r="L47" s="122">
        <f t="shared" si="12"/>
        <v>18</v>
      </c>
      <c r="M47"/>
      <c r="N47"/>
      <c r="O47"/>
      <c r="P47"/>
      <c r="Q47"/>
      <c r="R47"/>
      <c r="S47"/>
      <c r="T47"/>
      <c r="U47"/>
      <c r="V47"/>
    </row>
    <row r="48" spans="2:22" x14ac:dyDescent="0.25">
      <c r="B48" s="53" t="s">
        <v>208</v>
      </c>
      <c r="C48" s="122">
        <v>1674</v>
      </c>
      <c r="D48" s="122">
        <v>729</v>
      </c>
      <c r="E48" s="209">
        <f t="shared" si="11"/>
        <v>0.43548387096774194</v>
      </c>
      <c r="F48" s="122">
        <v>738</v>
      </c>
      <c r="G48" s="122">
        <v>729</v>
      </c>
      <c r="H48" s="209">
        <f t="shared" si="9"/>
        <v>0.98780487804878048</v>
      </c>
      <c r="I48" s="122">
        <v>1049</v>
      </c>
      <c r="J48" s="122">
        <v>729</v>
      </c>
      <c r="K48" s="209">
        <f t="shared" si="10"/>
        <v>0.69494756911344135</v>
      </c>
      <c r="L48" s="122">
        <f>D48+G48+J48</f>
        <v>2187</v>
      </c>
      <c r="M48"/>
      <c r="N48"/>
      <c r="O48"/>
      <c r="P48"/>
      <c r="Q48"/>
      <c r="R48"/>
      <c r="S48"/>
      <c r="T48"/>
      <c r="U48"/>
      <c r="V48"/>
    </row>
    <row r="49" spans="2:22" x14ac:dyDescent="0.25">
      <c r="B49" s="53" t="s">
        <v>229</v>
      </c>
      <c r="C49" s="122">
        <v>43</v>
      </c>
      <c r="D49" s="122">
        <v>43</v>
      </c>
      <c r="E49" s="209">
        <f t="shared" si="11"/>
        <v>1</v>
      </c>
      <c r="F49" s="122">
        <v>25</v>
      </c>
      <c r="G49" s="122">
        <v>25</v>
      </c>
      <c r="H49" s="209">
        <f t="shared" si="9"/>
        <v>1</v>
      </c>
      <c r="I49" s="122">
        <v>37</v>
      </c>
      <c r="J49" s="122">
        <v>37</v>
      </c>
      <c r="K49" s="209">
        <f t="shared" si="10"/>
        <v>1</v>
      </c>
      <c r="L49" s="122">
        <f t="shared" si="12"/>
        <v>105</v>
      </c>
      <c r="M49"/>
      <c r="N49"/>
      <c r="O49"/>
      <c r="P49"/>
      <c r="Q49"/>
      <c r="R49"/>
      <c r="S49"/>
      <c r="T49"/>
      <c r="U49"/>
      <c r="V49"/>
    </row>
    <row r="50" spans="2:22" x14ac:dyDescent="0.25">
      <c r="B50" s="53" t="s">
        <v>230</v>
      </c>
      <c r="C50" s="122">
        <v>220</v>
      </c>
      <c r="D50" s="122">
        <v>220</v>
      </c>
      <c r="E50" s="209">
        <f t="shared" si="11"/>
        <v>1</v>
      </c>
      <c r="F50" s="122">
        <v>65</v>
      </c>
      <c r="G50" s="122">
        <v>65</v>
      </c>
      <c r="H50" s="209">
        <f t="shared" si="9"/>
        <v>1</v>
      </c>
      <c r="I50" s="122">
        <v>125</v>
      </c>
      <c r="J50" s="122">
        <v>125</v>
      </c>
      <c r="K50" s="209">
        <f t="shared" si="10"/>
        <v>1</v>
      </c>
      <c r="L50" s="122">
        <f t="shared" si="12"/>
        <v>410</v>
      </c>
      <c r="M50"/>
      <c r="N50"/>
      <c r="O50"/>
      <c r="P50"/>
      <c r="Q50"/>
      <c r="R50"/>
      <c r="S50"/>
      <c r="T50"/>
      <c r="U50"/>
      <c r="V50"/>
    </row>
    <row r="51" spans="2:22" x14ac:dyDescent="0.25">
      <c r="B51" s="46" t="s">
        <v>215</v>
      </c>
      <c r="C51" s="8">
        <f>SUM(C37:C50)</f>
        <v>2662</v>
      </c>
      <c r="D51" s="8">
        <f>SUM(D37:D50)</f>
        <v>1354</v>
      </c>
      <c r="E51" s="8"/>
      <c r="F51" s="8">
        <f>SUM(F37:F50)</f>
        <v>1325</v>
      </c>
      <c r="G51" s="8">
        <f>SUM(G37:G50)</f>
        <v>1132</v>
      </c>
      <c r="H51" s="8"/>
      <c r="I51" s="8">
        <f>SUM(I37:I50)</f>
        <v>1868</v>
      </c>
      <c r="J51" s="8">
        <f>SUM(J37:J50)</f>
        <v>1103</v>
      </c>
      <c r="K51" s="8"/>
      <c r="L51" s="8">
        <f>SUM(L37:L50)</f>
        <v>3589</v>
      </c>
      <c r="M51"/>
      <c r="N51"/>
      <c r="O51"/>
      <c r="P51"/>
      <c r="Q51"/>
      <c r="R51"/>
      <c r="S51"/>
      <c r="T51"/>
      <c r="U51"/>
      <c r="V51"/>
    </row>
    <row r="52" spans="2:22" x14ac:dyDescent="0.25">
      <c r="B52" s="130" t="s">
        <v>231</v>
      </c>
      <c r="C52"/>
      <c r="D52"/>
      <c r="E52"/>
      <c r="F52"/>
      <c r="G52"/>
      <c r="H52"/>
      <c r="I52"/>
      <c r="J52"/>
      <c r="K52"/>
      <c r="L52"/>
      <c r="M52"/>
      <c r="N52"/>
      <c r="O52"/>
      <c r="P52"/>
      <c r="Q52"/>
      <c r="R52"/>
      <c r="S52"/>
      <c r="T52"/>
      <c r="U52"/>
      <c r="V52"/>
    </row>
    <row r="53" spans="2:22" x14ac:dyDescent="0.25">
      <c r="B53" s="130"/>
      <c r="C53"/>
      <c r="D53"/>
      <c r="E53"/>
      <c r="F53"/>
      <c r="G53"/>
      <c r="H53"/>
      <c r="I53"/>
      <c r="J53"/>
      <c r="K53"/>
      <c r="L53"/>
      <c r="M53"/>
      <c r="N53"/>
      <c r="O53"/>
      <c r="P53"/>
      <c r="Q53"/>
      <c r="R53"/>
      <c r="S53"/>
      <c r="T53"/>
      <c r="U53"/>
      <c r="V53"/>
    </row>
    <row r="54" spans="2:22" x14ac:dyDescent="0.25">
      <c r="B54"/>
      <c r="C54"/>
      <c r="D54"/>
      <c r="E54"/>
      <c r="F54"/>
      <c r="G54"/>
      <c r="H54"/>
      <c r="I54"/>
      <c r="J54"/>
      <c r="K54"/>
      <c r="L54"/>
      <c r="M54"/>
      <c r="N54"/>
      <c r="O54"/>
      <c r="P54"/>
      <c r="Q54"/>
      <c r="R54"/>
      <c r="S54"/>
      <c r="T54"/>
      <c r="U54"/>
      <c r="V54"/>
    </row>
    <row r="55" spans="2:22" x14ac:dyDescent="0.25">
      <c r="B55"/>
      <c r="C55"/>
      <c r="D55"/>
      <c r="E55"/>
      <c r="F55"/>
      <c r="G55"/>
      <c r="H55"/>
      <c r="I55"/>
      <c r="J55"/>
      <c r="K55"/>
      <c r="L55"/>
      <c r="M55"/>
      <c r="N55"/>
      <c r="O55"/>
      <c r="P55"/>
      <c r="Q55"/>
      <c r="R55"/>
      <c r="S55"/>
      <c r="T55"/>
      <c r="U55"/>
      <c r="V55"/>
    </row>
    <row r="56" spans="2:22" x14ac:dyDescent="0.25">
      <c r="B56"/>
      <c r="C56"/>
      <c r="D56"/>
      <c r="E56"/>
      <c r="F56"/>
      <c r="G56"/>
      <c r="H56"/>
      <c r="I56"/>
      <c r="J56"/>
      <c r="K56"/>
      <c r="L56"/>
      <c r="M56"/>
      <c r="N56"/>
      <c r="O56"/>
      <c r="P56"/>
      <c r="Q56"/>
      <c r="R56"/>
      <c r="S56"/>
      <c r="T56"/>
      <c r="U56"/>
      <c r="V56"/>
    </row>
    <row r="57" spans="2:22" x14ac:dyDescent="0.25">
      <c r="O57"/>
      <c r="P57"/>
      <c r="Q57"/>
      <c r="R57"/>
      <c r="S57"/>
      <c r="T57"/>
      <c r="U57"/>
      <c r="V57"/>
    </row>
    <row r="58" spans="2:22" x14ac:dyDescent="0.25">
      <c r="O58"/>
      <c r="P58"/>
      <c r="Q58"/>
      <c r="R58"/>
      <c r="S58"/>
      <c r="T58"/>
      <c r="U58"/>
      <c r="V58"/>
    </row>
    <row r="59" spans="2:22" x14ac:dyDescent="0.25">
      <c r="O59"/>
      <c r="P59"/>
      <c r="Q59"/>
      <c r="R59"/>
      <c r="S59"/>
      <c r="T59"/>
      <c r="U59"/>
      <c r="V59"/>
    </row>
    <row r="60" spans="2:22" x14ac:dyDescent="0.25">
      <c r="O60"/>
      <c r="P60"/>
      <c r="Q60"/>
      <c r="R60"/>
      <c r="S60"/>
      <c r="T60"/>
      <c r="U60"/>
      <c r="V60"/>
    </row>
    <row r="61" spans="2:22" x14ac:dyDescent="0.25">
      <c r="O61"/>
      <c r="P61"/>
      <c r="Q61"/>
      <c r="R61"/>
      <c r="S61"/>
      <c r="T61"/>
      <c r="U61"/>
      <c r="V61"/>
    </row>
    <row r="62" spans="2:22" x14ac:dyDescent="0.25">
      <c r="O62"/>
      <c r="P62"/>
      <c r="Q62"/>
      <c r="R62"/>
      <c r="S62"/>
      <c r="T62"/>
      <c r="U62"/>
      <c r="V62"/>
    </row>
    <row r="66" spans="2:15" ht="15.75" x14ac:dyDescent="0.25">
      <c r="B66" s="382" t="s">
        <v>277</v>
      </c>
      <c r="C66" s="382"/>
      <c r="D66" s="382"/>
      <c r="E66" s="382"/>
      <c r="F66" s="382"/>
      <c r="G66" s="382"/>
      <c r="H66" s="382"/>
      <c r="I66" s="382"/>
      <c r="J66" s="382"/>
      <c r="K66" s="382"/>
      <c r="L66" s="382"/>
      <c r="M66" s="382"/>
    </row>
    <row r="67" spans="2:15" x14ac:dyDescent="0.25">
      <c r="B67" s="165"/>
      <c r="C67" s="362" t="s">
        <v>241</v>
      </c>
      <c r="D67" s="362"/>
      <c r="E67" s="362"/>
      <c r="F67" s="362" t="s">
        <v>239</v>
      </c>
      <c r="G67" s="362"/>
      <c r="H67" s="362"/>
      <c r="I67" s="362" t="s">
        <v>243</v>
      </c>
      <c r="J67" s="362"/>
      <c r="K67" s="362"/>
      <c r="L67" s="362" t="s">
        <v>244</v>
      </c>
      <c r="M67" s="362"/>
      <c r="N67"/>
    </row>
    <row r="68" spans="2:15" x14ac:dyDescent="0.25">
      <c r="B68" s="53" t="s">
        <v>198</v>
      </c>
      <c r="C68" s="54" t="s">
        <v>199</v>
      </c>
      <c r="D68" s="54" t="s">
        <v>200</v>
      </c>
      <c r="E68" s="54" t="s">
        <v>50</v>
      </c>
      <c r="F68" s="54" t="s">
        <v>199</v>
      </c>
      <c r="G68" s="54" t="s">
        <v>200</v>
      </c>
      <c r="H68" s="54" t="s">
        <v>201</v>
      </c>
      <c r="I68" s="54" t="s">
        <v>199</v>
      </c>
      <c r="J68" s="54" t="s">
        <v>200</v>
      </c>
      <c r="K68" s="54" t="s">
        <v>201</v>
      </c>
      <c r="L68" s="54" t="s">
        <v>199</v>
      </c>
      <c r="M68" s="54" t="s">
        <v>232</v>
      </c>
    </row>
    <row r="69" spans="2:15" x14ac:dyDescent="0.25">
      <c r="B69" s="53" t="s">
        <v>233</v>
      </c>
      <c r="C69" s="122">
        <v>10</v>
      </c>
      <c r="D69" s="122">
        <v>8</v>
      </c>
      <c r="E69" s="209">
        <f>IFERROR(D69/C69,"-")</f>
        <v>0.8</v>
      </c>
      <c r="F69" s="122">
        <v>12</v>
      </c>
      <c r="G69" s="122">
        <v>8</v>
      </c>
      <c r="H69" s="209">
        <f t="shared" ref="H69:H73" si="13">IFERROR(G69/F69,"-")</f>
        <v>0.66666666666666663</v>
      </c>
      <c r="I69" s="122">
        <v>8</v>
      </c>
      <c r="J69" s="122">
        <v>11</v>
      </c>
      <c r="K69" s="209">
        <f t="shared" ref="K69:K73" si="14">IFERROR(J69/I69,"-")</f>
        <v>1.375</v>
      </c>
      <c r="L69" s="122">
        <f>C69+F69+I69</f>
        <v>30</v>
      </c>
      <c r="M69" s="122">
        <f>D69+G69+J69</f>
        <v>27</v>
      </c>
    </row>
    <row r="70" spans="2:15" x14ac:dyDescent="0.25">
      <c r="B70" s="53" t="s">
        <v>234</v>
      </c>
      <c r="C70" s="122">
        <v>5</v>
      </c>
      <c r="D70" s="122">
        <v>4</v>
      </c>
      <c r="E70" s="209">
        <f t="shared" ref="E70:E72" si="15">IFERROR(D70/C70,"-")</f>
        <v>0.8</v>
      </c>
      <c r="F70" s="122">
        <v>5</v>
      </c>
      <c r="G70" s="122">
        <v>4</v>
      </c>
      <c r="H70" s="209">
        <f t="shared" si="13"/>
        <v>0.8</v>
      </c>
      <c r="I70" s="122">
        <v>4</v>
      </c>
      <c r="J70" s="122">
        <v>1</v>
      </c>
      <c r="K70" s="209">
        <f t="shared" si="14"/>
        <v>0.25</v>
      </c>
      <c r="L70" s="122">
        <f t="shared" ref="L70:L72" si="16">C70+F70+I70</f>
        <v>14</v>
      </c>
      <c r="M70" s="122">
        <f t="shared" ref="M70:M72" si="17">D70+G70+J70</f>
        <v>9</v>
      </c>
    </row>
    <row r="71" spans="2:15" x14ac:dyDescent="0.25">
      <c r="B71" s="53" t="s">
        <v>235</v>
      </c>
      <c r="C71" s="122">
        <v>2</v>
      </c>
      <c r="D71" s="122">
        <v>1</v>
      </c>
      <c r="E71" s="209">
        <f t="shared" si="15"/>
        <v>0.5</v>
      </c>
      <c r="F71" s="122">
        <v>1</v>
      </c>
      <c r="G71" s="122">
        <v>0</v>
      </c>
      <c r="H71" s="209">
        <f t="shared" si="13"/>
        <v>0</v>
      </c>
      <c r="I71" s="122">
        <v>2</v>
      </c>
      <c r="J71" s="122">
        <v>5</v>
      </c>
      <c r="K71" s="209">
        <f t="shared" si="14"/>
        <v>2.5</v>
      </c>
      <c r="L71" s="122">
        <f t="shared" si="16"/>
        <v>5</v>
      </c>
      <c r="M71" s="122">
        <f t="shared" si="17"/>
        <v>6</v>
      </c>
    </row>
    <row r="72" spans="2:15" x14ac:dyDescent="0.25">
      <c r="B72" s="53" t="s">
        <v>236</v>
      </c>
      <c r="C72" s="122">
        <v>0</v>
      </c>
      <c r="D72" s="122">
        <v>0</v>
      </c>
      <c r="E72" s="209" t="str">
        <f t="shared" si="15"/>
        <v>-</v>
      </c>
      <c r="F72" s="122">
        <v>0</v>
      </c>
      <c r="G72" s="122">
        <v>0</v>
      </c>
      <c r="H72" s="209" t="str">
        <f t="shared" si="13"/>
        <v>-</v>
      </c>
      <c r="I72" s="122">
        <v>0</v>
      </c>
      <c r="J72" s="122">
        <v>0</v>
      </c>
      <c r="K72" s="209" t="str">
        <f t="shared" si="14"/>
        <v>-</v>
      </c>
      <c r="L72" s="122">
        <f t="shared" si="16"/>
        <v>0</v>
      </c>
      <c r="M72" s="122">
        <f t="shared" si="17"/>
        <v>0</v>
      </c>
    </row>
    <row r="73" spans="2:15" x14ac:dyDescent="0.25">
      <c r="B73" s="46" t="s">
        <v>215</v>
      </c>
      <c r="C73" s="8">
        <f>SUM(C63:C65)</f>
        <v>0</v>
      </c>
      <c r="D73" s="8">
        <f>SUM(D63:D65)</f>
        <v>0</v>
      </c>
      <c r="E73" s="8" t="str">
        <f>IFERROR(D73/C73,"-")</f>
        <v>-</v>
      </c>
      <c r="F73" s="8">
        <f>SUM(F63:F65)</f>
        <v>0</v>
      </c>
      <c r="G73" s="8">
        <f>SUM(G63:G65)</f>
        <v>0</v>
      </c>
      <c r="H73" s="8" t="str">
        <f t="shared" si="13"/>
        <v>-</v>
      </c>
      <c r="I73" s="8">
        <f>SUM(I63:I65)</f>
        <v>0</v>
      </c>
      <c r="J73" s="8">
        <f>SUM(J63:J65)</f>
        <v>0</v>
      </c>
      <c r="K73" s="8" t="str">
        <f t="shared" si="14"/>
        <v>-</v>
      </c>
      <c r="L73" s="8">
        <f>SUM(L69:L72)</f>
        <v>49</v>
      </c>
      <c r="M73" s="8">
        <f>SUM(M69:M72)</f>
        <v>42</v>
      </c>
    </row>
    <row r="74" spans="2:15" ht="17.25" customHeight="1" x14ac:dyDescent="0.25">
      <c r="B74" s="271" t="s">
        <v>237</v>
      </c>
      <c r="C74" s="271"/>
      <c r="D74" s="271"/>
      <c r="E74" s="271"/>
      <c r="F74" s="271"/>
      <c r="G74" s="271"/>
      <c r="H74" s="271"/>
      <c r="I74" s="271"/>
      <c r="J74" s="271"/>
      <c r="K74" s="271"/>
      <c r="L74" s="271"/>
      <c r="M74" s="271"/>
    </row>
    <row r="75" spans="2:15" ht="39.75" customHeight="1" x14ac:dyDescent="0.25">
      <c r="B75" s="383" t="s">
        <v>255</v>
      </c>
      <c r="C75" s="383"/>
      <c r="D75" s="383"/>
      <c r="E75" s="383"/>
      <c r="F75" s="383"/>
      <c r="G75" s="383"/>
      <c r="H75" s="383"/>
      <c r="I75" s="383"/>
      <c r="J75" s="383"/>
      <c r="K75" s="383"/>
      <c r="L75" s="383"/>
      <c r="M75" s="383"/>
      <c r="N75" s="383"/>
      <c r="O75" s="271"/>
    </row>
  </sheetData>
  <mergeCells count="20">
    <mergeCell ref="B66:M66"/>
    <mergeCell ref="C35:E35"/>
    <mergeCell ref="F35:H35"/>
    <mergeCell ref="I35:K35"/>
    <mergeCell ref="B75:N75"/>
    <mergeCell ref="C67:E67"/>
    <mergeCell ref="F67:H67"/>
    <mergeCell ref="I67:K67"/>
    <mergeCell ref="L67:M67"/>
    <mergeCell ref="B34:L34"/>
    <mergeCell ref="B6:N6"/>
    <mergeCell ref="B2:N2"/>
    <mergeCell ref="B3:N3"/>
    <mergeCell ref="B4:N4"/>
    <mergeCell ref="C10:E10"/>
    <mergeCell ref="B5:N5"/>
    <mergeCell ref="B9:N9"/>
    <mergeCell ref="F10:H10"/>
    <mergeCell ref="I10:K10"/>
    <mergeCell ref="L10:N10"/>
  </mergeCells>
  <pageMargins left="0.7" right="0.7" top="0.75" bottom="0.75" header="0.3" footer="0.3"/>
  <pageSetup paperSize="9" scale="29" orientation="portrait" r:id="rId1"/>
  <colBreaks count="1" manualBreakCount="1">
    <brk id="23" max="1048575" man="1"/>
  </colBreaks>
  <ignoredErrors>
    <ignoredError sqref="N25 E25:K2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B1:Q84"/>
  <sheetViews>
    <sheetView showGridLines="0" zoomScale="145" zoomScaleNormal="145" zoomScaleSheetLayoutView="100" workbookViewId="0">
      <selection activeCell="K6" sqref="K6:N26"/>
    </sheetView>
  </sheetViews>
  <sheetFormatPr baseColWidth="10" defaultColWidth="11.42578125" defaultRowHeight="15" x14ac:dyDescent="0.25"/>
  <cols>
    <col min="1" max="1" width="11.42578125" style="1"/>
    <col min="2" max="2" width="12.140625" style="1" customWidth="1"/>
    <col min="3" max="3" width="11.42578125" style="1"/>
    <col min="4" max="4" width="13.140625" style="1" bestFit="1" customWidth="1"/>
    <col min="5" max="5" width="12.140625" style="1" customWidth="1"/>
    <col min="6" max="6" width="13.42578125" style="1" customWidth="1"/>
    <col min="7" max="7" width="14.140625" style="1" customWidth="1"/>
    <col min="8" max="8" width="13.140625" style="1" customWidth="1"/>
    <col min="9" max="16384" width="11.42578125" style="1"/>
  </cols>
  <sheetData>
    <row r="1" spans="2:17" x14ac:dyDescent="0.25">
      <c r="B1" s="336" t="s">
        <v>0</v>
      </c>
      <c r="C1" s="336"/>
      <c r="D1" s="336"/>
      <c r="E1" s="336"/>
      <c r="F1" s="336"/>
      <c r="G1" s="336"/>
      <c r="H1" s="336"/>
    </row>
    <row r="2" spans="2:17" x14ac:dyDescent="0.25">
      <c r="B2" s="336" t="s">
        <v>25</v>
      </c>
      <c r="C2" s="336"/>
      <c r="D2" s="336"/>
      <c r="E2" s="336"/>
      <c r="F2" s="336"/>
      <c r="G2" s="336"/>
      <c r="H2" s="336"/>
    </row>
    <row r="3" spans="2:17" x14ac:dyDescent="0.25">
      <c r="B3" s="336" t="s">
        <v>26</v>
      </c>
      <c r="C3" s="336"/>
      <c r="D3" s="336"/>
      <c r="E3" s="336"/>
      <c r="F3" s="336"/>
      <c r="G3" s="336"/>
      <c r="H3" s="336"/>
    </row>
    <row r="4" spans="2:17" x14ac:dyDescent="0.25">
      <c r="B4" s="336" t="s">
        <v>246</v>
      </c>
      <c r="C4" s="336"/>
      <c r="D4" s="336"/>
      <c r="E4" s="336"/>
      <c r="F4" s="336"/>
      <c r="G4" s="336"/>
      <c r="H4" s="336"/>
    </row>
    <row r="5" spans="2:17" x14ac:dyDescent="0.25">
      <c r="B5" s="336" t="s">
        <v>262</v>
      </c>
      <c r="C5" s="336"/>
      <c r="D5" s="336"/>
      <c r="E5" s="336"/>
      <c r="F5" s="336"/>
      <c r="G5" s="336"/>
      <c r="H5" s="336"/>
      <c r="Q5" s="18"/>
    </row>
    <row r="6" spans="2:17" ht="40.5" customHeight="1" x14ac:dyDescent="0.25">
      <c r="B6" s="43" t="s">
        <v>3</v>
      </c>
      <c r="C6" s="45" t="s">
        <v>27</v>
      </c>
      <c r="D6" s="45" t="s">
        <v>28</v>
      </c>
      <c r="E6" s="45" t="s">
        <v>29</v>
      </c>
      <c r="F6" s="45" t="s">
        <v>30</v>
      </c>
      <c r="G6" s="45" t="s">
        <v>31</v>
      </c>
      <c r="H6" s="45" t="s">
        <v>32</v>
      </c>
      <c r="K6"/>
      <c r="L6"/>
      <c r="M6"/>
      <c r="N6"/>
      <c r="O6"/>
      <c r="P6"/>
    </row>
    <row r="7" spans="2:17" x14ac:dyDescent="0.25">
      <c r="B7" s="70" t="s">
        <v>243</v>
      </c>
      <c r="C7" s="128">
        <v>91992</v>
      </c>
      <c r="D7" s="128">
        <v>23912</v>
      </c>
      <c r="E7" s="272">
        <f t="shared" ref="E7:E23" si="0">+D7/C7</f>
        <v>0.25993564657796331</v>
      </c>
      <c r="F7" s="128">
        <v>68080</v>
      </c>
      <c r="G7" s="272">
        <f>+F7/C7</f>
        <v>0.74006435342203669</v>
      </c>
      <c r="H7" s="128">
        <v>59827</v>
      </c>
      <c r="I7"/>
      <c r="J7"/>
      <c r="K7"/>
      <c r="L7" s="74"/>
      <c r="M7" s="74"/>
      <c r="N7"/>
      <c r="O7"/>
      <c r="P7"/>
    </row>
    <row r="8" spans="2:17" x14ac:dyDescent="0.25">
      <c r="B8" s="70" t="s">
        <v>239</v>
      </c>
      <c r="C8" s="128">
        <v>91946</v>
      </c>
      <c r="D8" s="128">
        <v>23900</v>
      </c>
      <c r="E8" s="272">
        <f t="shared" si="0"/>
        <v>0.2599351793443978</v>
      </c>
      <c r="F8" s="128">
        <v>68046</v>
      </c>
      <c r="G8" s="272">
        <f t="shared" ref="G8:G23" si="1">+F8/C8</f>
        <v>0.7400648206556022</v>
      </c>
      <c r="H8" s="128">
        <v>59767</v>
      </c>
      <c r="I8"/>
      <c r="J8"/>
      <c r="K8"/>
      <c r="L8"/>
      <c r="M8" s="74"/>
      <c r="N8"/>
      <c r="O8"/>
      <c r="P8"/>
    </row>
    <row r="9" spans="2:17" x14ac:dyDescent="0.25">
      <c r="B9" s="70" t="s">
        <v>241</v>
      </c>
      <c r="C9" s="128">
        <v>91952</v>
      </c>
      <c r="D9" s="128">
        <v>24069</v>
      </c>
      <c r="E9" s="272">
        <f t="shared" si="0"/>
        <v>0.26175613363493999</v>
      </c>
      <c r="F9" s="128">
        <v>67883</v>
      </c>
      <c r="G9" s="272">
        <f t="shared" si="1"/>
        <v>0.73824386636506001</v>
      </c>
      <c r="H9" s="128">
        <v>59681</v>
      </c>
      <c r="I9"/>
      <c r="J9"/>
      <c r="K9"/>
      <c r="L9"/>
      <c r="M9"/>
      <c r="N9"/>
      <c r="O9"/>
      <c r="P9"/>
    </row>
    <row r="10" spans="2:17" ht="24" customHeight="1" x14ac:dyDescent="0.25">
      <c r="B10" s="200" t="s">
        <v>250</v>
      </c>
      <c r="C10" s="204">
        <f>+AVERAGE(C7:C9)</f>
        <v>91963.333333333328</v>
      </c>
      <c r="D10" s="204">
        <f>+D7</f>
        <v>23912</v>
      </c>
      <c r="E10" s="273">
        <f>AVERAGE(E7:E9)</f>
        <v>0.2605423198524337</v>
      </c>
      <c r="F10" s="204">
        <f>+F7</f>
        <v>68080</v>
      </c>
      <c r="G10" s="273">
        <f>AVERAGE(G7:G9)</f>
        <v>0.73945768014756619</v>
      </c>
      <c r="H10" s="8">
        <f>+H7</f>
        <v>59827</v>
      </c>
      <c r="I10"/>
      <c r="J10"/>
      <c r="K10"/>
      <c r="L10"/>
      <c r="M10" s="329"/>
      <c r="N10"/>
      <c r="O10"/>
      <c r="P10"/>
    </row>
    <row r="11" spans="2:17" hidden="1" x14ac:dyDescent="0.25">
      <c r="B11" s="195" t="s">
        <v>15</v>
      </c>
      <c r="C11" s="128"/>
      <c r="D11" s="128"/>
      <c r="E11" s="194" t="e">
        <f t="shared" si="0"/>
        <v>#DIV/0!</v>
      </c>
      <c r="F11" s="128"/>
      <c r="G11" s="194" t="e">
        <f t="shared" si="1"/>
        <v>#DIV/0!</v>
      </c>
      <c r="H11" s="194"/>
      <c r="I11"/>
      <c r="J11"/>
      <c r="K11"/>
      <c r="L11" s="74"/>
      <c r="M11" s="74"/>
      <c r="N11"/>
      <c r="O11"/>
      <c r="P11"/>
    </row>
    <row r="12" spans="2:17" hidden="1" x14ac:dyDescent="0.25">
      <c r="B12" s="197" t="s">
        <v>16</v>
      </c>
      <c r="C12" s="128"/>
      <c r="D12" s="128"/>
      <c r="E12" s="194" t="e">
        <f t="shared" si="0"/>
        <v>#DIV/0!</v>
      </c>
      <c r="F12" s="128"/>
      <c r="G12" s="194" t="e">
        <f t="shared" si="1"/>
        <v>#DIV/0!</v>
      </c>
      <c r="H12" s="194"/>
      <c r="I12"/>
      <c r="J12"/>
      <c r="K12"/>
      <c r="L12"/>
      <c r="M12" s="74"/>
      <c r="N12"/>
      <c r="O12"/>
      <c r="P12"/>
    </row>
    <row r="13" spans="2:17" hidden="1" x14ac:dyDescent="0.25">
      <c r="B13" s="197" t="s">
        <v>17</v>
      </c>
      <c r="C13" s="128"/>
      <c r="D13" s="128"/>
      <c r="E13" s="194" t="e">
        <f t="shared" si="0"/>
        <v>#DIV/0!</v>
      </c>
      <c r="F13" s="128"/>
      <c r="G13" s="194" t="e">
        <f t="shared" si="1"/>
        <v>#DIV/0!</v>
      </c>
      <c r="H13" s="194"/>
      <c r="I13"/>
      <c r="J13"/>
      <c r="K13"/>
      <c r="L13"/>
      <c r="M13"/>
      <c r="N13"/>
      <c r="O13"/>
      <c r="P13"/>
    </row>
    <row r="14" spans="2:17" ht="80.25" hidden="1" customHeight="1" x14ac:dyDescent="0.25">
      <c r="B14" s="129" t="s">
        <v>33</v>
      </c>
      <c r="C14" s="8" t="e">
        <f>+AVERAGE(C11:C13)</f>
        <v>#DIV/0!</v>
      </c>
      <c r="D14" s="8" t="e">
        <f>+AVERAGE(D11:D13)</f>
        <v>#DIV/0!</v>
      </c>
      <c r="E14" s="16" t="e">
        <f t="shared" si="0"/>
        <v>#DIV/0!</v>
      </c>
      <c r="F14" s="8" t="e">
        <f>+AVERAGE(F11:F13)</f>
        <v>#DIV/0!</v>
      </c>
      <c r="G14" s="16" t="e">
        <f t="shared" si="1"/>
        <v>#DIV/0!</v>
      </c>
      <c r="H14" s="16"/>
      <c r="I14"/>
      <c r="J14"/>
      <c r="K14"/>
      <c r="L14"/>
      <c r="M14" s="196"/>
      <c r="N14"/>
      <c r="O14"/>
      <c r="P14"/>
    </row>
    <row r="15" spans="2:17" hidden="1" x14ac:dyDescent="0.25">
      <c r="B15" s="195" t="s">
        <v>34</v>
      </c>
      <c r="C15" s="128"/>
      <c r="D15" s="128"/>
      <c r="E15" s="194" t="e">
        <f t="shared" si="0"/>
        <v>#DIV/0!</v>
      </c>
      <c r="F15" s="128"/>
      <c r="G15" s="194" t="e">
        <f t="shared" si="1"/>
        <v>#DIV/0!</v>
      </c>
      <c r="H15" s="194"/>
      <c r="I15"/>
      <c r="J15"/>
      <c r="K15"/>
      <c r="L15" s="74"/>
      <c r="M15" s="74"/>
      <c r="N15"/>
      <c r="O15"/>
      <c r="P15"/>
    </row>
    <row r="16" spans="2:17" hidden="1" x14ac:dyDescent="0.25">
      <c r="B16" s="197" t="s">
        <v>20</v>
      </c>
      <c r="C16" s="128"/>
      <c r="D16" s="128"/>
      <c r="E16" s="194" t="e">
        <f t="shared" si="0"/>
        <v>#DIV/0!</v>
      </c>
      <c r="F16" s="128"/>
      <c r="G16" s="194" t="e">
        <f t="shared" si="1"/>
        <v>#DIV/0!</v>
      </c>
      <c r="H16" s="194"/>
      <c r="I16"/>
      <c r="J16"/>
      <c r="K16"/>
      <c r="L16"/>
      <c r="M16" s="74"/>
      <c r="N16"/>
      <c r="O16"/>
      <c r="P16"/>
    </row>
    <row r="17" spans="2:16" hidden="1" x14ac:dyDescent="0.25">
      <c r="B17" s="197" t="s">
        <v>21</v>
      </c>
      <c r="C17" s="128"/>
      <c r="D17" s="128"/>
      <c r="E17" s="194" t="e">
        <f t="shared" si="0"/>
        <v>#DIV/0!</v>
      </c>
      <c r="F17" s="128"/>
      <c r="G17" s="194" t="e">
        <f t="shared" si="1"/>
        <v>#DIV/0!</v>
      </c>
      <c r="H17" s="194"/>
      <c r="I17"/>
      <c r="J17"/>
      <c r="K17"/>
      <c r="L17"/>
      <c r="M17"/>
      <c r="N17"/>
      <c r="O17"/>
      <c r="P17"/>
    </row>
    <row r="18" spans="2:16" ht="147" hidden="1" customHeight="1" x14ac:dyDescent="0.25">
      <c r="B18" s="129" t="s">
        <v>35</v>
      </c>
      <c r="C18" s="8" t="e">
        <f>+AVERAGE(C15:C17)</f>
        <v>#DIV/0!</v>
      </c>
      <c r="D18" s="8" t="e">
        <f>+AVERAGE(D15:D17)</f>
        <v>#DIV/0!</v>
      </c>
      <c r="E18" s="16" t="e">
        <f t="shared" si="0"/>
        <v>#DIV/0!</v>
      </c>
      <c r="F18" s="8" t="e">
        <f>+AVERAGE(F15:F17)</f>
        <v>#DIV/0!</v>
      </c>
      <c r="G18" s="16" t="e">
        <f t="shared" si="1"/>
        <v>#DIV/0!</v>
      </c>
      <c r="H18" s="16"/>
      <c r="I18"/>
      <c r="J18"/>
      <c r="K18"/>
      <c r="L18"/>
      <c r="M18" s="196"/>
      <c r="N18"/>
      <c r="O18"/>
      <c r="P18"/>
    </row>
    <row r="19" spans="2:16" hidden="1" x14ac:dyDescent="0.25">
      <c r="B19" s="195" t="s">
        <v>13</v>
      </c>
      <c r="C19" s="128"/>
      <c r="D19" s="128"/>
      <c r="E19" s="194" t="e">
        <f t="shared" si="0"/>
        <v>#DIV/0!</v>
      </c>
      <c r="F19" s="128"/>
      <c r="G19" s="194" t="e">
        <f t="shared" si="1"/>
        <v>#DIV/0!</v>
      </c>
      <c r="H19" s="194"/>
      <c r="I19"/>
      <c r="J19"/>
      <c r="K19"/>
      <c r="L19" s="74"/>
      <c r="M19" s="74"/>
      <c r="N19"/>
      <c r="O19"/>
      <c r="P19"/>
    </row>
    <row r="20" spans="2:16" hidden="1" x14ac:dyDescent="0.25">
      <c r="B20" s="197" t="s">
        <v>12</v>
      </c>
      <c r="C20" s="128"/>
      <c r="D20" s="128"/>
      <c r="E20" s="194" t="e">
        <f t="shared" si="0"/>
        <v>#DIV/0!</v>
      </c>
      <c r="F20" s="128"/>
      <c r="G20" s="194" t="e">
        <f t="shared" si="1"/>
        <v>#DIV/0!</v>
      </c>
      <c r="H20" s="194"/>
      <c r="I20"/>
      <c r="J20"/>
      <c r="K20"/>
      <c r="L20"/>
      <c r="M20" s="74"/>
      <c r="N20"/>
      <c r="O20"/>
      <c r="P20"/>
    </row>
    <row r="21" spans="2:16" hidden="1" x14ac:dyDescent="0.25">
      <c r="B21" s="197" t="s">
        <v>11</v>
      </c>
      <c r="C21" s="128"/>
      <c r="D21" s="128"/>
      <c r="E21" s="194" t="e">
        <f t="shared" si="0"/>
        <v>#DIV/0!</v>
      </c>
      <c r="F21" s="128"/>
      <c r="G21" s="194" t="e">
        <f t="shared" si="1"/>
        <v>#DIV/0!</v>
      </c>
      <c r="H21" s="194"/>
      <c r="I21"/>
      <c r="J21"/>
      <c r="K21"/>
      <c r="L21"/>
      <c r="M21"/>
      <c r="N21"/>
      <c r="O21"/>
      <c r="P21"/>
    </row>
    <row r="22" spans="2:16" ht="81.75" hidden="1" customHeight="1" x14ac:dyDescent="0.25">
      <c r="B22" s="129" t="s">
        <v>36</v>
      </c>
      <c r="C22" s="8" t="e">
        <f>+AVERAGE(C19:C21)</f>
        <v>#DIV/0!</v>
      </c>
      <c r="D22" s="8" t="e">
        <f>+AVERAGE(D19:D21)</f>
        <v>#DIV/0!</v>
      </c>
      <c r="E22" s="16" t="e">
        <f t="shared" si="0"/>
        <v>#DIV/0!</v>
      </c>
      <c r="F22" s="8" t="e">
        <f>+AVERAGE(F19:F21)</f>
        <v>#DIV/0!</v>
      </c>
      <c r="G22" s="16" t="e">
        <f t="shared" si="1"/>
        <v>#DIV/0!</v>
      </c>
      <c r="H22" s="16"/>
      <c r="I22"/>
      <c r="J22"/>
      <c r="K22"/>
      <c r="L22"/>
      <c r="M22" s="196"/>
      <c r="N22"/>
      <c r="O22"/>
      <c r="P22"/>
    </row>
    <row r="23" spans="2:16" hidden="1" x14ac:dyDescent="0.25">
      <c r="B23" s="28" t="s">
        <v>23</v>
      </c>
      <c r="C23" s="10" t="e">
        <f>+AVERAGE(C10,C14,C18,C22)</f>
        <v>#DIV/0!</v>
      </c>
      <c r="D23" s="10" t="e">
        <f>+AVERAGE(D10,D14,D18,D22)</f>
        <v>#DIV/0!</v>
      </c>
      <c r="E23" s="17" t="e">
        <f t="shared" si="0"/>
        <v>#DIV/0!</v>
      </c>
      <c r="F23" s="10" t="e">
        <f>+AVERAGE(F10,F14,F18,F22,)</f>
        <v>#DIV/0!</v>
      </c>
      <c r="G23" s="17" t="e">
        <f t="shared" si="1"/>
        <v>#DIV/0!</v>
      </c>
      <c r="H23" s="17"/>
      <c r="I23"/>
      <c r="J23"/>
      <c r="K23"/>
      <c r="L23"/>
      <c r="M23" s="196"/>
      <c r="N23"/>
      <c r="O23"/>
      <c r="P23"/>
    </row>
    <row r="24" spans="2:16" ht="16.5" customHeight="1" x14ac:dyDescent="0.25">
      <c r="B24" s="203" t="s">
        <v>258</v>
      </c>
      <c r="C24" s="189"/>
      <c r="D24"/>
      <c r="E24" s="196"/>
      <c r="F24"/>
      <c r="G24" s="196"/>
      <c r="H24" s="196"/>
      <c r="I24"/>
      <c r="J24"/>
      <c r="K24"/>
      <c r="L24"/>
      <c r="M24" s="196"/>
      <c r="N24"/>
      <c r="O24"/>
      <c r="P24"/>
    </row>
    <row r="25" spans="2:16" x14ac:dyDescent="0.25">
      <c r="B25" s="203"/>
      <c r="C25" s="128"/>
      <c r="D25" s="128"/>
      <c r="E25" s="194"/>
      <c r="F25" s="128"/>
      <c r="G25" s="194"/>
      <c r="H25" s="194"/>
      <c r="I25"/>
      <c r="J25"/>
      <c r="K25"/>
      <c r="L25"/>
      <c r="M25" s="196"/>
      <c r="N25"/>
      <c r="O25"/>
      <c r="P25"/>
    </row>
    <row r="26" spans="2:16" x14ac:dyDescent="0.25">
      <c r="B26" s="203"/>
      <c r="C26" s="128"/>
      <c r="D26" s="128"/>
      <c r="E26" s="194"/>
      <c r="F26" s="128"/>
      <c r="G26" s="194"/>
      <c r="H26" s="194"/>
      <c r="I26"/>
      <c r="J26"/>
      <c r="K26"/>
      <c r="L26"/>
      <c r="M26" s="196"/>
      <c r="N26"/>
      <c r="O26"/>
      <c r="P26"/>
    </row>
    <row r="27" spans="2:16" x14ac:dyDescent="0.25">
      <c r="B27" s="203"/>
      <c r="C27" s="128"/>
      <c r="D27" s="128"/>
      <c r="E27" s="194"/>
      <c r="F27" s="128"/>
      <c r="G27" s="194"/>
      <c r="H27" s="194"/>
      <c r="I27"/>
      <c r="J27"/>
      <c r="K27"/>
      <c r="L27"/>
      <c r="M27" s="196"/>
      <c r="N27"/>
      <c r="O27"/>
      <c r="P27"/>
    </row>
    <row r="28" spans="2:16" x14ac:dyDescent="0.25">
      <c r="B28" s="195"/>
      <c r="C28" s="128"/>
      <c r="D28" s="128"/>
      <c r="E28" s="194"/>
      <c r="F28" s="128"/>
      <c r="G28" s="194"/>
      <c r="H28" s="194"/>
      <c r="I28"/>
      <c r="J28"/>
      <c r="K28"/>
      <c r="L28"/>
      <c r="M28"/>
      <c r="N28"/>
      <c r="O28"/>
      <c r="P28"/>
    </row>
    <row r="29" spans="2:16" x14ac:dyDescent="0.25">
      <c r="B29"/>
      <c r="C29"/>
      <c r="D29"/>
      <c r="E29"/>
      <c r="F29"/>
      <c r="G29"/>
      <c r="H29"/>
      <c r="I29"/>
      <c r="J29"/>
      <c r="K29"/>
      <c r="L29"/>
      <c r="M29"/>
      <c r="N29"/>
      <c r="O29"/>
      <c r="P29"/>
    </row>
    <row r="30" spans="2:16" x14ac:dyDescent="0.25">
      <c r="B30"/>
      <c r="C30"/>
      <c r="D30"/>
      <c r="E30"/>
      <c r="F30"/>
      <c r="G30"/>
      <c r="H30"/>
      <c r="I30"/>
      <c r="J30"/>
      <c r="K30"/>
      <c r="L30"/>
      <c r="M30"/>
      <c r="N30"/>
      <c r="O30"/>
      <c r="P30"/>
    </row>
    <row r="31" spans="2:16" x14ac:dyDescent="0.25">
      <c r="B31"/>
      <c r="C31"/>
      <c r="D31"/>
      <c r="E31"/>
      <c r="F31"/>
      <c r="G31"/>
      <c r="H31"/>
      <c r="I31"/>
      <c r="J31"/>
      <c r="K31"/>
      <c r="L31"/>
      <c r="M31"/>
      <c r="N31"/>
      <c r="O31"/>
      <c r="P31"/>
    </row>
    <row r="32" spans="2:16" x14ac:dyDescent="0.25">
      <c r="B32"/>
      <c r="C32"/>
      <c r="D32"/>
      <c r="E32"/>
      <c r="F32"/>
      <c r="G32"/>
      <c r="H32"/>
      <c r="I32"/>
      <c r="J32"/>
      <c r="K32"/>
      <c r="L32"/>
      <c r="M32"/>
      <c r="N32"/>
      <c r="O32"/>
      <c r="P32"/>
    </row>
    <row r="33" spans="2:16" x14ac:dyDescent="0.25">
      <c r="B33"/>
      <c r="C33"/>
      <c r="D33"/>
      <c r="E33"/>
      <c r="F33"/>
      <c r="G33"/>
      <c r="H33"/>
      <c r="I33"/>
      <c r="J33"/>
      <c r="K33"/>
      <c r="L33"/>
      <c r="M33"/>
      <c r="N33"/>
      <c r="O33"/>
      <c r="P33"/>
    </row>
    <row r="34" spans="2:16" x14ac:dyDescent="0.25">
      <c r="B34"/>
      <c r="C34"/>
      <c r="D34"/>
      <c r="E34"/>
      <c r="F34"/>
      <c r="G34"/>
      <c r="H34"/>
      <c r="I34"/>
      <c r="J34"/>
      <c r="K34"/>
      <c r="L34"/>
      <c r="M34"/>
      <c r="N34"/>
      <c r="O34"/>
      <c r="P34"/>
    </row>
    <row r="35" spans="2:16" x14ac:dyDescent="0.25">
      <c r="B35"/>
      <c r="C35"/>
      <c r="D35"/>
      <c r="E35"/>
      <c r="F35"/>
      <c r="G35"/>
      <c r="H35"/>
      <c r="I35"/>
      <c r="J35"/>
      <c r="K35"/>
      <c r="L35"/>
      <c r="M35"/>
      <c r="N35"/>
      <c r="O35"/>
      <c r="P35"/>
    </row>
    <row r="36" spans="2:16" x14ac:dyDescent="0.25">
      <c r="B36"/>
      <c r="C36"/>
      <c r="D36"/>
      <c r="E36"/>
      <c r="F36"/>
      <c r="G36"/>
      <c r="H36"/>
      <c r="I36"/>
      <c r="J36"/>
      <c r="K36"/>
      <c r="L36"/>
      <c r="M36"/>
      <c r="N36"/>
      <c r="O36"/>
      <c r="P36"/>
    </row>
    <row r="37" spans="2:16" x14ac:dyDescent="0.25">
      <c r="B37"/>
      <c r="C37"/>
      <c r="D37"/>
      <c r="E37"/>
      <c r="F37"/>
      <c r="G37"/>
      <c r="H37"/>
      <c r="I37"/>
      <c r="J37"/>
      <c r="K37"/>
      <c r="L37"/>
      <c r="M37"/>
      <c r="N37"/>
      <c r="O37"/>
      <c r="P37"/>
    </row>
    <row r="38" spans="2:16" x14ac:dyDescent="0.25">
      <c r="B38"/>
      <c r="C38"/>
      <c r="D38"/>
      <c r="E38"/>
      <c r="F38"/>
      <c r="G38"/>
      <c r="H38"/>
      <c r="I38"/>
      <c r="J38"/>
      <c r="K38"/>
      <c r="L38"/>
      <c r="M38"/>
      <c r="N38"/>
      <c r="O38"/>
      <c r="P38"/>
    </row>
    <row r="39" spans="2:16" x14ac:dyDescent="0.25">
      <c r="B39"/>
      <c r="C39"/>
      <c r="D39"/>
      <c r="E39"/>
      <c r="F39"/>
      <c r="G39"/>
      <c r="H39"/>
      <c r="I39"/>
      <c r="J39"/>
      <c r="K39"/>
      <c r="L39"/>
      <c r="M39"/>
      <c r="N39"/>
      <c r="O39"/>
      <c r="P39"/>
    </row>
    <row r="40" spans="2:16" x14ac:dyDescent="0.25">
      <c r="B40"/>
      <c r="C40"/>
      <c r="D40"/>
      <c r="E40"/>
      <c r="F40"/>
      <c r="G40"/>
      <c r="H40"/>
      <c r="I40"/>
      <c r="J40"/>
      <c r="K40"/>
      <c r="L40"/>
      <c r="M40"/>
      <c r="N40"/>
      <c r="O40"/>
      <c r="P40"/>
    </row>
    <row r="41" spans="2:16" x14ac:dyDescent="0.25">
      <c r="B41"/>
      <c r="C41"/>
      <c r="D41"/>
      <c r="E41"/>
      <c r="F41"/>
      <c r="G41"/>
      <c r="H41"/>
      <c r="I41"/>
      <c r="J41"/>
      <c r="K41"/>
      <c r="L41"/>
      <c r="M41"/>
      <c r="N41"/>
      <c r="O41"/>
      <c r="P41"/>
    </row>
    <row r="42" spans="2:16" x14ac:dyDescent="0.25">
      <c r="B42"/>
      <c r="C42"/>
      <c r="D42"/>
      <c r="E42"/>
      <c r="F42"/>
      <c r="G42"/>
      <c r="H42"/>
      <c r="I42"/>
      <c r="J42"/>
      <c r="K42"/>
      <c r="L42"/>
      <c r="M42"/>
      <c r="N42"/>
      <c r="O42"/>
      <c r="P42"/>
    </row>
    <row r="43" spans="2:16" x14ac:dyDescent="0.25">
      <c r="B43"/>
      <c r="C43"/>
      <c r="D43"/>
      <c r="E43"/>
      <c r="F43"/>
      <c r="G43"/>
      <c r="H43"/>
      <c r="I43"/>
      <c r="J43"/>
      <c r="K43"/>
      <c r="L43"/>
      <c r="M43"/>
      <c r="N43"/>
      <c r="O43"/>
      <c r="P43"/>
    </row>
    <row r="44" spans="2:16" x14ac:dyDescent="0.25">
      <c r="B44"/>
      <c r="C44"/>
      <c r="D44"/>
      <c r="E44"/>
      <c r="F44"/>
      <c r="G44"/>
      <c r="H44"/>
      <c r="I44"/>
      <c r="J44"/>
      <c r="K44"/>
      <c r="L44"/>
      <c r="M44"/>
      <c r="N44"/>
      <c r="O44" t="s">
        <v>37</v>
      </c>
      <c r="P44"/>
    </row>
    <row r="45" spans="2:16" x14ac:dyDescent="0.25">
      <c r="B45"/>
      <c r="C45"/>
      <c r="D45"/>
      <c r="E45"/>
      <c r="F45"/>
      <c r="G45"/>
      <c r="H45"/>
      <c r="I45"/>
      <c r="J45"/>
      <c r="K45"/>
      <c r="L45"/>
      <c r="M45"/>
      <c r="N45"/>
      <c r="O45"/>
      <c r="P45"/>
    </row>
    <row r="46" spans="2:16" x14ac:dyDescent="0.25">
      <c r="B46"/>
      <c r="C46"/>
      <c r="D46"/>
      <c r="E46"/>
      <c r="F46"/>
      <c r="G46"/>
      <c r="H46"/>
      <c r="I46"/>
      <c r="J46"/>
      <c r="K46"/>
      <c r="L46"/>
      <c r="M46"/>
      <c r="N46"/>
      <c r="O46"/>
      <c r="P46"/>
    </row>
    <row r="47" spans="2:16" x14ac:dyDescent="0.25">
      <c r="B47"/>
      <c r="C47"/>
      <c r="D47"/>
      <c r="E47"/>
      <c r="F47"/>
      <c r="G47"/>
      <c r="H47"/>
      <c r="I47"/>
      <c r="J47"/>
      <c r="K47"/>
      <c r="L47"/>
      <c r="M47"/>
      <c r="N47"/>
      <c r="O47"/>
      <c r="P47"/>
    </row>
    <row r="59" spans="3:4" x14ac:dyDescent="0.25">
      <c r="C59"/>
      <c r="D59" s="199"/>
    </row>
    <row r="60" spans="3:4" x14ac:dyDescent="0.25">
      <c r="C60"/>
      <c r="D60" s="18"/>
    </row>
    <row r="75" spans="6:10" x14ac:dyDescent="0.25">
      <c r="F75"/>
      <c r="G75"/>
      <c r="H75"/>
      <c r="I75"/>
      <c r="J75"/>
    </row>
    <row r="76" spans="6:10" x14ac:dyDescent="0.25">
      <c r="F76"/>
      <c r="G76"/>
      <c r="H76"/>
      <c r="I76"/>
      <c r="J76"/>
    </row>
    <row r="77" spans="6:10" x14ac:dyDescent="0.25">
      <c r="F77"/>
      <c r="G77"/>
      <c r="H77"/>
      <c r="I77"/>
      <c r="J77"/>
    </row>
    <row r="78" spans="6:10" x14ac:dyDescent="0.25">
      <c r="F78"/>
      <c r="G78"/>
      <c r="H78"/>
      <c r="I78"/>
      <c r="J78"/>
    </row>
    <row r="79" spans="6:10" x14ac:dyDescent="0.25">
      <c r="F79"/>
      <c r="G79"/>
      <c r="H79"/>
      <c r="I79"/>
      <c r="J79"/>
    </row>
    <row r="80" spans="6:10" x14ac:dyDescent="0.25">
      <c r="F80"/>
      <c r="G80"/>
      <c r="H80"/>
      <c r="I80"/>
      <c r="J80"/>
    </row>
    <row r="81" spans="6:10" x14ac:dyDescent="0.25">
      <c r="F81"/>
      <c r="G81"/>
      <c r="H81"/>
      <c r="I81"/>
      <c r="J81"/>
    </row>
    <row r="82" spans="6:10" x14ac:dyDescent="0.25">
      <c r="F82"/>
      <c r="G82"/>
      <c r="H82"/>
      <c r="I82"/>
      <c r="J82"/>
    </row>
    <row r="83" spans="6:10" x14ac:dyDescent="0.25">
      <c r="F83"/>
      <c r="G83"/>
      <c r="H83"/>
      <c r="I83"/>
      <c r="J83"/>
    </row>
    <row r="84" spans="6:10" x14ac:dyDescent="0.25">
      <c r="F84"/>
      <c r="G84"/>
      <c r="H84"/>
      <c r="I84"/>
      <c r="J84"/>
    </row>
  </sheetData>
  <mergeCells count="5">
    <mergeCell ref="B1:H1"/>
    <mergeCell ref="B2:H2"/>
    <mergeCell ref="B3:H3"/>
    <mergeCell ref="B4:H4"/>
    <mergeCell ref="B5:H5"/>
  </mergeCells>
  <pageMargins left="0.7" right="0.7" top="0.75" bottom="0.75" header="0.3" footer="0.3"/>
  <pageSetup paperSize="9" scale="52" orientation="portrait" r:id="rId1"/>
  <ignoredErrors>
    <ignoredError sqref="G10 E10"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O47"/>
  <sheetViews>
    <sheetView showGridLines="0" zoomScaleNormal="100" workbookViewId="0">
      <selection activeCell="C9" sqref="C9"/>
    </sheetView>
  </sheetViews>
  <sheetFormatPr baseColWidth="10" defaultColWidth="11.42578125" defaultRowHeight="15" x14ac:dyDescent="0.25"/>
  <cols>
    <col min="1" max="1" width="12.42578125" style="1" customWidth="1"/>
    <col min="2" max="2" width="14.42578125" style="1" customWidth="1"/>
    <col min="3" max="11" width="11.42578125" style="1"/>
    <col min="12" max="12" width="0" style="1" hidden="1" customWidth="1"/>
    <col min="13" max="13" width="12.7109375" style="1" hidden="1" customWidth="1"/>
    <col min="14" max="15" width="0" style="1" hidden="1" customWidth="1"/>
    <col min="16" max="16384" width="11.42578125" style="1"/>
  </cols>
  <sheetData>
    <row r="1" spans="1:15" x14ac:dyDescent="0.25">
      <c r="A1" s="336" t="s">
        <v>0</v>
      </c>
      <c r="B1" s="336"/>
      <c r="C1" s="336"/>
      <c r="D1" s="336"/>
      <c r="E1" s="336"/>
      <c r="F1" s="336"/>
    </row>
    <row r="2" spans="1:15" x14ac:dyDescent="0.25">
      <c r="A2" s="336" t="s">
        <v>25</v>
      </c>
      <c r="B2" s="336"/>
      <c r="C2" s="336"/>
      <c r="D2" s="336"/>
      <c r="E2" s="336"/>
      <c r="F2" s="336"/>
    </row>
    <row r="3" spans="1:15" x14ac:dyDescent="0.25">
      <c r="A3" s="336" t="s">
        <v>38</v>
      </c>
      <c r="B3" s="336"/>
      <c r="C3" s="336"/>
      <c r="D3" s="336"/>
      <c r="E3" s="336"/>
      <c r="F3" s="336"/>
    </row>
    <row r="4" spans="1:15" x14ac:dyDescent="0.25">
      <c r="A4" s="336" t="s">
        <v>252</v>
      </c>
      <c r="B4" s="336"/>
      <c r="C4" s="336"/>
      <c r="D4" s="336"/>
      <c r="E4" s="336"/>
      <c r="F4" s="336"/>
    </row>
    <row r="5" spans="1:15" x14ac:dyDescent="0.25">
      <c r="A5" s="336" t="s">
        <v>262</v>
      </c>
      <c r="B5" s="336"/>
      <c r="C5" s="336"/>
      <c r="D5" s="336"/>
      <c r="E5" s="336"/>
      <c r="F5" s="336"/>
    </row>
    <row r="6" spans="1:15" ht="30.75" customHeight="1" x14ac:dyDescent="0.25">
      <c r="A6" s="337" t="s">
        <v>39</v>
      </c>
      <c r="B6" s="337"/>
      <c r="C6" s="337"/>
      <c r="D6" s="337"/>
      <c r="E6" s="337"/>
      <c r="F6" s="337"/>
      <c r="G6"/>
      <c r="H6"/>
      <c r="I6"/>
      <c r="J6"/>
      <c r="K6"/>
    </row>
    <row r="7" spans="1:15" ht="15" customHeight="1" x14ac:dyDescent="0.25">
      <c r="A7" s="131"/>
      <c r="B7" s="132" t="s">
        <v>40</v>
      </c>
      <c r="C7" s="132" t="s">
        <v>41</v>
      </c>
      <c r="D7" s="132" t="s">
        <v>23</v>
      </c>
      <c r="E7" s="132" t="s">
        <v>42</v>
      </c>
      <c r="F7" s="132" t="s">
        <v>43</v>
      </c>
      <c r="G7"/>
      <c r="H7"/>
      <c r="I7"/>
      <c r="J7"/>
      <c r="K7"/>
      <c r="L7" s="1" t="s">
        <v>44</v>
      </c>
    </row>
    <row r="8" spans="1:15" x14ac:dyDescent="0.25">
      <c r="A8" s="197" t="s">
        <v>241</v>
      </c>
      <c r="B8" s="128">
        <v>20309.940000000002</v>
      </c>
      <c r="C8" s="128">
        <v>4764.0600000000004</v>
      </c>
      <c r="D8" s="19">
        <f>+B8+C8</f>
        <v>25074.000000000004</v>
      </c>
      <c r="E8" s="20">
        <f>B8/D8</f>
        <v>0.80999999999999994</v>
      </c>
      <c r="F8" s="20">
        <f>+C8/D8</f>
        <v>0.19</v>
      </c>
      <c r="G8"/>
      <c r="H8"/>
      <c r="I8"/>
      <c r="J8"/>
      <c r="K8"/>
      <c r="L8" s="14">
        <v>29288</v>
      </c>
    </row>
    <row r="9" spans="1:15" x14ac:dyDescent="0.25">
      <c r="A9" s="197" t="s">
        <v>239</v>
      </c>
      <c r="B9" s="128">
        <v>21227.670000000002</v>
      </c>
      <c r="C9" s="128">
        <v>4979.33</v>
      </c>
      <c r="D9" s="19">
        <f t="shared" ref="D9:D22" si="0">+B9+C9</f>
        <v>26207</v>
      </c>
      <c r="E9" s="20">
        <f>B9/D9</f>
        <v>0.81</v>
      </c>
      <c r="F9" s="20">
        <f>+C9/D9</f>
        <v>0.19</v>
      </c>
      <c r="G9"/>
      <c r="H9"/>
      <c r="I9"/>
      <c r="J9"/>
      <c r="K9"/>
      <c r="L9" s="14">
        <v>29900</v>
      </c>
      <c r="O9" s="14">
        <f>+D9-D8</f>
        <v>1132.9999999999964</v>
      </c>
    </row>
    <row r="10" spans="1:15" x14ac:dyDescent="0.25">
      <c r="A10" s="1" t="s">
        <v>243</v>
      </c>
      <c r="B10" s="128">
        <v>21911.31</v>
      </c>
      <c r="C10" s="128">
        <v>5139.6900000000005</v>
      </c>
      <c r="D10" s="19">
        <f>+B10+C10</f>
        <v>27051</v>
      </c>
      <c r="E10" s="20">
        <f>B10/D10</f>
        <v>0.81</v>
      </c>
      <c r="F10" s="20">
        <f>+C10/D10</f>
        <v>0.19000000000000003</v>
      </c>
      <c r="G10"/>
      <c r="H10"/>
      <c r="I10"/>
      <c r="J10"/>
      <c r="K10"/>
      <c r="L10" s="14">
        <v>30160</v>
      </c>
      <c r="O10" s="14">
        <f>+D10-D9</f>
        <v>844</v>
      </c>
    </row>
    <row r="11" spans="1:15" ht="25.5" x14ac:dyDescent="0.25">
      <c r="A11" s="129" t="s">
        <v>251</v>
      </c>
      <c r="B11" s="80">
        <f>AVERAGE(B8:B10)</f>
        <v>21149.64</v>
      </c>
      <c r="C11" s="80">
        <f>AVERAGE(C8:C10)</f>
        <v>4961.0266666666666</v>
      </c>
      <c r="D11" s="80">
        <f>AVERAGE(D8:D10)</f>
        <v>26110.666666666668</v>
      </c>
      <c r="E11" s="16">
        <f>+AVERAGE(E8:E10)</f>
        <v>0.81</v>
      </c>
      <c r="F11" s="16">
        <f>+AVERAGE(F8:F10)</f>
        <v>0.19000000000000003</v>
      </c>
      <c r="G11"/>
      <c r="H11"/>
      <c r="I11"/>
      <c r="J11"/>
      <c r="K11"/>
      <c r="L11" s="14">
        <v>29782.666666666668</v>
      </c>
      <c r="M11" s="75">
        <f>+(D11-L11)/D11*100</f>
        <v>-14.063218097329317</v>
      </c>
      <c r="O11" s="14">
        <f>+D11-L11</f>
        <v>-3672</v>
      </c>
    </row>
    <row r="12" spans="1:15" hidden="1" x14ac:dyDescent="0.25">
      <c r="A12" s="53" t="s">
        <v>15</v>
      </c>
      <c r="B12" s="128"/>
      <c r="C12" s="128"/>
      <c r="D12" s="19">
        <f>+B12+C12</f>
        <v>0</v>
      </c>
      <c r="E12" s="20" t="e">
        <f>+B12/D12</f>
        <v>#DIV/0!</v>
      </c>
      <c r="F12" s="20" t="e">
        <f>+C12/D12</f>
        <v>#DIV/0!</v>
      </c>
      <c r="G12"/>
      <c r="H12"/>
      <c r="I12"/>
      <c r="J12"/>
      <c r="K12"/>
    </row>
    <row r="13" spans="1:15" hidden="1" x14ac:dyDescent="0.25">
      <c r="A13" s="53" t="s">
        <v>16</v>
      </c>
      <c r="B13" s="128"/>
      <c r="C13" s="128"/>
      <c r="D13" s="19">
        <f t="shared" si="0"/>
        <v>0</v>
      </c>
      <c r="E13" s="20" t="e">
        <f>+B13/D13</f>
        <v>#DIV/0!</v>
      </c>
      <c r="F13" s="20" t="e">
        <f>+C13/D13</f>
        <v>#DIV/0!</v>
      </c>
      <c r="G13"/>
      <c r="H13"/>
      <c r="I13"/>
      <c r="J13"/>
      <c r="K13"/>
    </row>
    <row r="14" spans="1:15" hidden="1" x14ac:dyDescent="0.25">
      <c r="A14" s="53" t="s">
        <v>17</v>
      </c>
      <c r="B14" s="128"/>
      <c r="C14" s="128"/>
      <c r="D14" s="19">
        <f t="shared" si="0"/>
        <v>0</v>
      </c>
      <c r="E14" s="20" t="e">
        <f>+B14/D14</f>
        <v>#DIV/0!</v>
      </c>
      <c r="F14" s="20" t="e">
        <f>+C14/D14</f>
        <v>#DIV/0!</v>
      </c>
      <c r="G14"/>
      <c r="H14"/>
      <c r="I14"/>
      <c r="J14"/>
      <c r="K14"/>
    </row>
    <row r="15" spans="1:15" ht="25.5" hidden="1" x14ac:dyDescent="0.25">
      <c r="A15" s="129" t="s">
        <v>33</v>
      </c>
      <c r="B15" s="8" t="e">
        <f>AVERAGE(B12:B14)</f>
        <v>#DIV/0!</v>
      </c>
      <c r="C15" s="8" t="e">
        <f>AVERAGE(C12:C14)</f>
        <v>#DIV/0!</v>
      </c>
      <c r="D15" s="8">
        <f>AVERAGE(D12:D14)</f>
        <v>0</v>
      </c>
      <c r="E15" s="16" t="e">
        <f>+AVERAGE(E12:E14)</f>
        <v>#DIV/0!</v>
      </c>
      <c r="F15" s="16" t="e">
        <f>+AVERAGE(F12:F14)</f>
        <v>#DIV/0!</v>
      </c>
      <c r="G15"/>
      <c r="H15"/>
      <c r="I15"/>
      <c r="J15"/>
      <c r="K15"/>
    </row>
    <row r="16" spans="1:15" hidden="1" x14ac:dyDescent="0.25">
      <c r="A16" s="53" t="s">
        <v>34</v>
      </c>
      <c r="B16" s="128"/>
      <c r="C16" s="128"/>
      <c r="D16" s="19">
        <f t="shared" si="0"/>
        <v>0</v>
      </c>
      <c r="E16" s="20" t="e">
        <f>+B16/D16</f>
        <v>#DIV/0!</v>
      </c>
      <c r="F16" s="20" t="e">
        <f>+C16/D16</f>
        <v>#DIV/0!</v>
      </c>
      <c r="G16"/>
      <c r="H16"/>
      <c r="I16"/>
      <c r="J16"/>
      <c r="K16"/>
    </row>
    <row r="17" spans="1:12" hidden="1" x14ac:dyDescent="0.25">
      <c r="A17" s="53" t="s">
        <v>20</v>
      </c>
      <c r="B17" s="128"/>
      <c r="C17" s="128"/>
      <c r="D17" s="19">
        <f t="shared" si="0"/>
        <v>0</v>
      </c>
      <c r="E17" s="20" t="e">
        <f>+B17/D17</f>
        <v>#DIV/0!</v>
      </c>
      <c r="F17" s="20" t="e">
        <f>+C17/D17</f>
        <v>#DIV/0!</v>
      </c>
      <c r="G17"/>
      <c r="H17"/>
      <c r="I17"/>
      <c r="J17"/>
      <c r="K17"/>
    </row>
    <row r="18" spans="1:12" hidden="1" x14ac:dyDescent="0.25">
      <c r="A18" s="53" t="s">
        <v>21</v>
      </c>
      <c r="B18" s="128"/>
      <c r="C18" s="128"/>
      <c r="D18" s="19">
        <f t="shared" si="0"/>
        <v>0</v>
      </c>
      <c r="E18" s="20" t="e">
        <f>+B18/D18</f>
        <v>#DIV/0!</v>
      </c>
      <c r="F18" s="20" t="e">
        <f>+C18/D18</f>
        <v>#DIV/0!</v>
      </c>
      <c r="G18"/>
      <c r="H18"/>
      <c r="I18"/>
      <c r="J18"/>
      <c r="K18"/>
    </row>
    <row r="19" spans="1:12" ht="25.5" hidden="1" x14ac:dyDescent="0.25">
      <c r="A19" s="129" t="s">
        <v>35</v>
      </c>
      <c r="B19" s="8" t="e">
        <f>AVERAGE(B16:B18)</f>
        <v>#DIV/0!</v>
      </c>
      <c r="C19" s="8" t="e">
        <f>AVERAGE(C16:C18)</f>
        <v>#DIV/0!</v>
      </c>
      <c r="D19" s="8">
        <f>AVERAGE(D16:D18)</f>
        <v>0</v>
      </c>
      <c r="E19" s="16" t="e">
        <f>+AVERAGE(E16:E18)</f>
        <v>#DIV/0!</v>
      </c>
      <c r="F19" s="16" t="e">
        <f>+AVERAGE(F16:F18)</f>
        <v>#DIV/0!</v>
      </c>
      <c r="G19"/>
      <c r="H19"/>
      <c r="I19"/>
      <c r="J19"/>
      <c r="K19"/>
    </row>
    <row r="20" spans="1:12" hidden="1" x14ac:dyDescent="0.25">
      <c r="A20" s="53" t="s">
        <v>13</v>
      </c>
      <c r="B20" s="128"/>
      <c r="C20" s="128"/>
      <c r="D20" s="19">
        <f t="shared" si="0"/>
        <v>0</v>
      </c>
      <c r="E20" s="20" t="e">
        <f>+B20/D20</f>
        <v>#DIV/0!</v>
      </c>
      <c r="F20" s="20" t="e">
        <f>+C20/D20</f>
        <v>#DIV/0!</v>
      </c>
      <c r="G20"/>
      <c r="H20"/>
      <c r="I20"/>
      <c r="J20"/>
      <c r="K20"/>
    </row>
    <row r="21" spans="1:12" hidden="1" x14ac:dyDescent="0.25">
      <c r="A21" s="53" t="s">
        <v>12</v>
      </c>
      <c r="B21" s="128"/>
      <c r="C21" s="128"/>
      <c r="D21" s="19">
        <f t="shared" si="0"/>
        <v>0</v>
      </c>
      <c r="E21" s="20" t="e">
        <f>+B21/D21</f>
        <v>#DIV/0!</v>
      </c>
      <c r="F21" s="20" t="e">
        <f>+C21/D21</f>
        <v>#DIV/0!</v>
      </c>
      <c r="G21"/>
      <c r="H21"/>
      <c r="I21"/>
      <c r="J21"/>
      <c r="K21"/>
    </row>
    <row r="22" spans="1:12" hidden="1" x14ac:dyDescent="0.25">
      <c r="A22" s="53" t="s">
        <v>11</v>
      </c>
      <c r="B22" s="128"/>
      <c r="C22" s="128"/>
      <c r="D22" s="19">
        <f t="shared" si="0"/>
        <v>0</v>
      </c>
      <c r="E22" s="20" t="e">
        <f>+B22/D22</f>
        <v>#DIV/0!</v>
      </c>
      <c r="F22" s="20" t="e">
        <f>+C22/D22</f>
        <v>#DIV/0!</v>
      </c>
      <c r="G22"/>
      <c r="H22"/>
      <c r="I22"/>
      <c r="J22"/>
      <c r="K22"/>
    </row>
    <row r="23" spans="1:12" ht="25.5" hidden="1" x14ac:dyDescent="0.25">
      <c r="A23" s="129" t="s">
        <v>36</v>
      </c>
      <c r="B23" s="8" t="e">
        <f t="shared" ref="B23:D24" si="1">AVERAGE(B20:B22)</f>
        <v>#DIV/0!</v>
      </c>
      <c r="C23" s="8" t="e">
        <f t="shared" si="1"/>
        <v>#DIV/0!</v>
      </c>
      <c r="D23" s="8">
        <f t="shared" si="1"/>
        <v>0</v>
      </c>
      <c r="E23" s="16" t="e">
        <f>+AVERAGE(E20:E22)</f>
        <v>#DIV/0!</v>
      </c>
      <c r="F23" s="16" t="e">
        <f>+AVERAGE(F20:F22)</f>
        <v>#DIV/0!</v>
      </c>
      <c r="G23"/>
      <c r="H23"/>
      <c r="I23"/>
      <c r="J23"/>
      <c r="K23"/>
    </row>
    <row r="24" spans="1:12" hidden="1" x14ac:dyDescent="0.25">
      <c r="A24" s="28" t="s">
        <v>23</v>
      </c>
      <c r="B24" s="10" t="e">
        <f t="shared" si="1"/>
        <v>#DIV/0!</v>
      </c>
      <c r="C24" s="10" t="e">
        <f t="shared" si="1"/>
        <v>#DIV/0!</v>
      </c>
      <c r="D24" s="17">
        <f t="shared" si="1"/>
        <v>0</v>
      </c>
      <c r="E24" s="10" t="e">
        <f>+AVERAGE(E21:E23)</f>
        <v>#DIV/0!</v>
      </c>
      <c r="F24" s="17" t="e">
        <f>+AVERAGE(F21:F23)</f>
        <v>#DIV/0!</v>
      </c>
      <c r="G24"/>
      <c r="H24"/>
      <c r="I24" s="74"/>
      <c r="J24" s="74"/>
      <c r="K24" s="74"/>
    </row>
    <row r="25" spans="1:12" x14ac:dyDescent="0.25">
      <c r="A25" s="203" t="s">
        <v>257</v>
      </c>
      <c r="B25"/>
      <c r="C25"/>
      <c r="D25"/>
      <c r="E25"/>
      <c r="F25"/>
      <c r="G25"/>
      <c r="H25"/>
      <c r="I25"/>
      <c r="J25"/>
      <c r="K25"/>
      <c r="L25" s="18"/>
    </row>
    <row r="26" spans="1:12" x14ac:dyDescent="0.25">
      <c r="A26" s="203"/>
      <c r="B26"/>
      <c r="C26"/>
      <c r="D26"/>
      <c r="E26"/>
      <c r="F26"/>
      <c r="G26"/>
      <c r="H26"/>
      <c r="I26"/>
      <c r="J26"/>
      <c r="K26"/>
      <c r="L26" s="18"/>
    </row>
    <row r="27" spans="1:12" x14ac:dyDescent="0.25">
      <c r="A27" s="203"/>
      <c r="B27"/>
      <c r="C27"/>
      <c r="D27"/>
      <c r="E27"/>
      <c r="F27"/>
      <c r="G27"/>
      <c r="H27"/>
      <c r="I27"/>
      <c r="J27"/>
      <c r="K27"/>
      <c r="L27" s="18"/>
    </row>
    <row r="28" spans="1:12" x14ac:dyDescent="0.25">
      <c r="A28"/>
      <c r="B28"/>
      <c r="C28"/>
      <c r="D28"/>
      <c r="E28"/>
      <c r="F28"/>
      <c r="G28"/>
      <c r="H28"/>
      <c r="I28"/>
      <c r="J28"/>
      <c r="K28"/>
    </row>
    <row r="29" spans="1:12" x14ac:dyDescent="0.25">
      <c r="A29"/>
      <c r="B29"/>
      <c r="C29"/>
      <c r="D29"/>
      <c r="E29"/>
      <c r="F29"/>
      <c r="G29"/>
      <c r="H29"/>
      <c r="I29"/>
      <c r="J29"/>
      <c r="K29"/>
    </row>
    <row r="30" spans="1:12" x14ac:dyDescent="0.25">
      <c r="A30"/>
      <c r="B30"/>
      <c r="C30"/>
      <c r="D30"/>
      <c r="E30"/>
      <c r="F30"/>
      <c r="G30"/>
      <c r="H30"/>
      <c r="I30"/>
      <c r="J30"/>
      <c r="K30"/>
    </row>
    <row r="31" spans="1:12" x14ac:dyDescent="0.25">
      <c r="A31"/>
      <c r="B31"/>
      <c r="C31"/>
      <c r="D31"/>
      <c r="E31"/>
      <c r="F31"/>
      <c r="G31"/>
      <c r="H31"/>
      <c r="I31"/>
      <c r="J31"/>
      <c r="K31"/>
    </row>
    <row r="32" spans="1:12" x14ac:dyDescent="0.25">
      <c r="A32"/>
      <c r="B32"/>
      <c r="C32"/>
      <c r="D32"/>
      <c r="E32"/>
      <c r="F32"/>
      <c r="G32"/>
      <c r="H32"/>
      <c r="I32"/>
      <c r="J32"/>
      <c r="K32"/>
    </row>
    <row r="33" spans="1:11" x14ac:dyDescent="0.25">
      <c r="A33"/>
      <c r="B33"/>
      <c r="C33"/>
      <c r="D33"/>
      <c r="E33"/>
      <c r="F33"/>
      <c r="G33"/>
      <c r="H33"/>
      <c r="I33"/>
      <c r="J33"/>
      <c r="K33"/>
    </row>
    <row r="34" spans="1:11" x14ac:dyDescent="0.25">
      <c r="A34"/>
      <c r="B34"/>
      <c r="C34"/>
      <c r="D34"/>
      <c r="E34"/>
      <c r="F34"/>
      <c r="G34"/>
      <c r="H34"/>
      <c r="I34"/>
      <c r="J34"/>
      <c r="K34"/>
    </row>
    <row r="35" spans="1:11" x14ac:dyDescent="0.25">
      <c r="A35"/>
      <c r="B35"/>
      <c r="C35"/>
      <c r="D35"/>
      <c r="E35"/>
      <c r="F35"/>
      <c r="G35"/>
      <c r="H35"/>
      <c r="I35"/>
      <c r="J35"/>
      <c r="K35"/>
    </row>
    <row r="36" spans="1:11" x14ac:dyDescent="0.25">
      <c r="A36"/>
      <c r="B36"/>
      <c r="C36"/>
      <c r="D36"/>
      <c r="E36"/>
      <c r="F36"/>
      <c r="G36"/>
      <c r="H36"/>
      <c r="I36"/>
      <c r="J36"/>
      <c r="K36"/>
    </row>
    <row r="37" spans="1:11" x14ac:dyDescent="0.25">
      <c r="A37"/>
      <c r="B37"/>
      <c r="C37"/>
      <c r="D37"/>
      <c r="E37"/>
      <c r="F37"/>
      <c r="G37"/>
      <c r="H37"/>
      <c r="I37"/>
      <c r="J37"/>
      <c r="K37"/>
    </row>
    <row r="38" spans="1:11" x14ac:dyDescent="0.25">
      <c r="A38"/>
      <c r="B38"/>
      <c r="C38"/>
      <c r="D38"/>
      <c r="E38"/>
      <c r="F38"/>
      <c r="G38"/>
      <c r="H38"/>
      <c r="I38"/>
      <c r="J38"/>
      <c r="K38"/>
    </row>
    <row r="39" spans="1:11" x14ac:dyDescent="0.25">
      <c r="A39"/>
      <c r="B39"/>
      <c r="C39"/>
      <c r="D39"/>
      <c r="E39"/>
      <c r="F39"/>
      <c r="G39"/>
      <c r="H39"/>
      <c r="I39"/>
      <c r="J39"/>
      <c r="K39"/>
    </row>
    <row r="40" spans="1:11" x14ac:dyDescent="0.25">
      <c r="A40"/>
      <c r="B40"/>
      <c r="C40"/>
      <c r="D40"/>
      <c r="E40"/>
      <c r="F40"/>
      <c r="G40"/>
      <c r="H40"/>
      <c r="I40"/>
      <c r="J40"/>
      <c r="K40"/>
    </row>
    <row r="46" spans="1:11" x14ac:dyDescent="0.25">
      <c r="A46" s="53"/>
      <c r="B46" s="128"/>
      <c r="C46" s="128"/>
      <c r="D46" s="19"/>
      <c r="E46" s="20"/>
      <c r="F46" s="20"/>
    </row>
    <row r="47" spans="1:11" x14ac:dyDescent="0.25">
      <c r="A47" s="53"/>
      <c r="B47" s="128"/>
      <c r="C47" s="128"/>
      <c r="D47" s="19"/>
      <c r="E47" s="20"/>
      <c r="F47" s="20"/>
    </row>
  </sheetData>
  <mergeCells count="6">
    <mergeCell ref="A6:F6"/>
    <mergeCell ref="A1:F1"/>
    <mergeCell ref="A2:F2"/>
    <mergeCell ref="A3:F3"/>
    <mergeCell ref="A5:F5"/>
    <mergeCell ref="A4:F4"/>
  </mergeCells>
  <pageMargins left="0.7" right="0.7" top="0.75" bottom="0.75" header="0.3" footer="0.3"/>
  <pageSetup paperSize="9" scale="67" orientation="portrait" r:id="rId1"/>
  <ignoredErrors>
    <ignoredError sqref="F11"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K41"/>
  <sheetViews>
    <sheetView showGridLines="0" zoomScale="115" zoomScaleNormal="115" workbookViewId="0">
      <selection activeCell="C10" sqref="C10"/>
    </sheetView>
  </sheetViews>
  <sheetFormatPr baseColWidth="10" defaultColWidth="11.42578125" defaultRowHeight="15" x14ac:dyDescent="0.25"/>
  <cols>
    <col min="1" max="1" width="11.7109375" style="1" customWidth="1"/>
    <col min="2" max="2" width="20.5703125" style="1" customWidth="1"/>
    <col min="3" max="3" width="19.7109375" style="1" customWidth="1"/>
    <col min="4" max="4" width="20" style="1" customWidth="1"/>
    <col min="5" max="16384" width="11.42578125" style="1"/>
  </cols>
  <sheetData>
    <row r="1" spans="1:11" x14ac:dyDescent="0.25">
      <c r="A1" s="336" t="s">
        <v>0</v>
      </c>
      <c r="B1" s="336"/>
      <c r="C1" s="336"/>
      <c r="D1" s="336"/>
      <c r="E1" s="21"/>
      <c r="F1" s="21"/>
    </row>
    <row r="2" spans="1:11" x14ac:dyDescent="0.25">
      <c r="A2" s="336" t="s">
        <v>25</v>
      </c>
      <c r="B2" s="336"/>
      <c r="C2" s="336"/>
      <c r="D2" s="336"/>
      <c r="E2" s="22"/>
      <c r="F2" s="22"/>
    </row>
    <row r="3" spans="1:11" x14ac:dyDescent="0.25">
      <c r="A3" s="336" t="s">
        <v>45</v>
      </c>
      <c r="B3" s="336"/>
      <c r="C3" s="336"/>
      <c r="D3" s="336"/>
      <c r="E3" s="22"/>
      <c r="F3" s="22"/>
    </row>
    <row r="4" spans="1:11" x14ac:dyDescent="0.25">
      <c r="A4" s="336" t="s">
        <v>246</v>
      </c>
      <c r="B4" s="336"/>
      <c r="C4" s="336"/>
      <c r="D4" s="336"/>
      <c r="E4" s="21"/>
      <c r="F4" s="21"/>
    </row>
    <row r="5" spans="1:11" x14ac:dyDescent="0.25">
      <c r="A5" s="336" t="s">
        <v>262</v>
      </c>
      <c r="B5" s="336"/>
      <c r="C5" s="336"/>
      <c r="D5" s="336"/>
      <c r="E5" s="22"/>
      <c r="F5" s="22"/>
    </row>
    <row r="6" spans="1:11" x14ac:dyDescent="0.25">
      <c r="A6" s="337" t="s">
        <v>46</v>
      </c>
      <c r="B6" s="337"/>
      <c r="C6" s="337"/>
      <c r="D6" s="337"/>
      <c r="E6"/>
      <c r="F6"/>
      <c r="G6"/>
      <c r="H6"/>
      <c r="I6"/>
      <c r="J6"/>
      <c r="K6"/>
    </row>
    <row r="7" spans="1:11" x14ac:dyDescent="0.25">
      <c r="A7" s="131"/>
      <c r="B7" s="300" t="s">
        <v>47</v>
      </c>
      <c r="C7" s="301" t="s">
        <v>48</v>
      </c>
      <c r="D7" s="301" t="s">
        <v>49</v>
      </c>
      <c r="E7"/>
      <c r="F7"/>
      <c r="G7"/>
      <c r="H7"/>
      <c r="I7"/>
      <c r="J7"/>
      <c r="K7"/>
    </row>
    <row r="8" spans="1:11" x14ac:dyDescent="0.25">
      <c r="A8" s="70" t="s">
        <v>243</v>
      </c>
      <c r="B8" s="297">
        <v>81936304.693200007</v>
      </c>
      <c r="C8" s="297">
        <v>19219627.026799999</v>
      </c>
      <c r="D8" s="298">
        <f>+B8+C8</f>
        <v>101155931.72</v>
      </c>
      <c r="E8"/>
      <c r="F8" s="134"/>
      <c r="G8" s="134"/>
      <c r="H8"/>
      <c r="I8"/>
      <c r="J8"/>
      <c r="K8"/>
    </row>
    <row r="9" spans="1:11" x14ac:dyDescent="0.25">
      <c r="A9" s="70" t="s">
        <v>239</v>
      </c>
      <c r="B9" s="297">
        <v>77159723.150700003</v>
      </c>
      <c r="C9" s="297">
        <v>18099194.3193</v>
      </c>
      <c r="D9" s="298">
        <f>+B9+C9</f>
        <v>95258917.469999999</v>
      </c>
      <c r="E9"/>
      <c r="F9"/>
      <c r="G9"/>
      <c r="H9"/>
      <c r="I9"/>
      <c r="J9"/>
      <c r="K9"/>
    </row>
    <row r="10" spans="1:11" x14ac:dyDescent="0.25">
      <c r="A10" s="70" t="s">
        <v>241</v>
      </c>
      <c r="B10" s="297">
        <v>77514157.989999995</v>
      </c>
      <c r="C10" s="297">
        <v>18182333.3565</v>
      </c>
      <c r="D10" s="298">
        <f>+B10+C10</f>
        <v>95696491.346499994</v>
      </c>
      <c r="E10"/>
      <c r="F10"/>
      <c r="G10"/>
      <c r="H10"/>
      <c r="I10"/>
      <c r="J10"/>
      <c r="K10"/>
    </row>
    <row r="11" spans="1:11" x14ac:dyDescent="0.25">
      <c r="A11" s="27" t="s">
        <v>248</v>
      </c>
      <c r="B11" s="296">
        <f>SUM(B8:B10)</f>
        <v>236610185.83390003</v>
      </c>
      <c r="C11" s="296">
        <f>SUM(C8:C10)</f>
        <v>55501154.702600002</v>
      </c>
      <c r="D11" s="296">
        <f>SUM(D8:D10)</f>
        <v>292111340.53649998</v>
      </c>
      <c r="E11"/>
      <c r="F11"/>
      <c r="G11"/>
      <c r="H11"/>
      <c r="I11"/>
      <c r="J11"/>
      <c r="K11"/>
    </row>
    <row r="12" spans="1:11" hidden="1" x14ac:dyDescent="0.25">
      <c r="A12" s="206" t="s">
        <v>15</v>
      </c>
      <c r="B12" s="133"/>
      <c r="C12" s="133"/>
      <c r="D12" s="26">
        <f>+B12+C12</f>
        <v>0</v>
      </c>
      <c r="E12"/>
      <c r="F12" s="134"/>
      <c r="G12" s="134"/>
      <c r="H12"/>
      <c r="I12"/>
      <c r="J12"/>
      <c r="K12"/>
    </row>
    <row r="13" spans="1:11" hidden="1" x14ac:dyDescent="0.25">
      <c r="A13" s="206" t="s">
        <v>16</v>
      </c>
      <c r="B13" s="133"/>
      <c r="C13" s="133"/>
      <c r="D13" s="26">
        <f>+B13+C13</f>
        <v>0</v>
      </c>
      <c r="E13"/>
      <c r="F13"/>
      <c r="G13"/>
      <c r="H13"/>
      <c r="I13"/>
      <c r="J13"/>
      <c r="K13"/>
    </row>
    <row r="14" spans="1:11" hidden="1" x14ac:dyDescent="0.25">
      <c r="A14" s="206" t="s">
        <v>17</v>
      </c>
      <c r="B14" s="133"/>
      <c r="C14" s="133"/>
      <c r="D14" s="26">
        <f>+B14+C14</f>
        <v>0</v>
      </c>
      <c r="E14"/>
      <c r="F14"/>
      <c r="G14"/>
      <c r="H14"/>
      <c r="I14"/>
      <c r="J14"/>
      <c r="K14"/>
    </row>
    <row r="15" spans="1:11" hidden="1" x14ac:dyDescent="0.25">
      <c r="A15" s="27" t="s">
        <v>18</v>
      </c>
      <c r="B15" s="8">
        <f>SUM(B12:B14)</f>
        <v>0</v>
      </c>
      <c r="C15" s="8">
        <f>SUM(C12:C14)</f>
        <v>0</v>
      </c>
      <c r="D15" s="8">
        <f>SUM(D12:D14)</f>
        <v>0</v>
      </c>
      <c r="E15"/>
      <c r="F15"/>
      <c r="G15"/>
      <c r="H15"/>
      <c r="I15"/>
      <c r="J15"/>
      <c r="K15"/>
    </row>
    <row r="16" spans="1:11" hidden="1" x14ac:dyDescent="0.25">
      <c r="A16" s="206" t="s">
        <v>34</v>
      </c>
      <c r="B16" s="133"/>
      <c r="C16" s="133"/>
      <c r="D16" s="26">
        <f>+B16+C16</f>
        <v>0</v>
      </c>
      <c r="E16"/>
      <c r="F16" s="134"/>
      <c r="G16" s="134"/>
      <c r="H16"/>
      <c r="I16"/>
      <c r="J16"/>
      <c r="K16"/>
    </row>
    <row r="17" spans="1:11" hidden="1" x14ac:dyDescent="0.25">
      <c r="A17" s="206" t="s">
        <v>20</v>
      </c>
      <c r="B17" s="133"/>
      <c r="C17" s="133"/>
      <c r="D17" s="26">
        <f>+B17+C17</f>
        <v>0</v>
      </c>
      <c r="E17"/>
      <c r="F17"/>
      <c r="G17"/>
      <c r="H17"/>
      <c r="I17"/>
      <c r="J17"/>
      <c r="K17"/>
    </row>
    <row r="18" spans="1:11" hidden="1" x14ac:dyDescent="0.25">
      <c r="A18" s="206" t="s">
        <v>21</v>
      </c>
      <c r="B18" s="133"/>
      <c r="C18" s="133"/>
      <c r="D18" s="26">
        <f>+B18+C18</f>
        <v>0</v>
      </c>
      <c r="E18"/>
      <c r="F18"/>
      <c r="G18"/>
      <c r="H18"/>
      <c r="I18"/>
      <c r="J18"/>
      <c r="K18"/>
    </row>
    <row r="19" spans="1:11" hidden="1" x14ac:dyDescent="0.25">
      <c r="A19" s="27" t="s">
        <v>22</v>
      </c>
      <c r="B19" s="8">
        <f>SUM(B16:B18)</f>
        <v>0</v>
      </c>
      <c r="C19" s="8">
        <f>SUM(C16:C18)</f>
        <v>0</v>
      </c>
      <c r="D19" s="8">
        <f>SUM(D16:D18)</f>
        <v>0</v>
      </c>
      <c r="E19"/>
      <c r="F19"/>
      <c r="G19"/>
      <c r="H19"/>
      <c r="I19"/>
      <c r="J19"/>
      <c r="K19"/>
    </row>
    <row r="20" spans="1:11" hidden="1" x14ac:dyDescent="0.25">
      <c r="A20" s="206" t="s">
        <v>13</v>
      </c>
      <c r="B20" s="133"/>
      <c r="C20" s="133"/>
      <c r="D20" s="26">
        <f>+B20+C20</f>
        <v>0</v>
      </c>
      <c r="E20"/>
      <c r="F20" s="134"/>
      <c r="G20" s="134"/>
      <c r="H20"/>
      <c r="I20"/>
      <c r="J20"/>
      <c r="K20"/>
    </row>
    <row r="21" spans="1:11" hidden="1" x14ac:dyDescent="0.25">
      <c r="A21" s="206" t="s">
        <v>12</v>
      </c>
      <c r="B21" s="133"/>
      <c r="C21" s="133"/>
      <c r="D21" s="26">
        <f>+B21+C21</f>
        <v>0</v>
      </c>
      <c r="E21"/>
      <c r="F21"/>
      <c r="G21"/>
      <c r="H21"/>
      <c r="I21"/>
      <c r="J21"/>
      <c r="K21"/>
    </row>
    <row r="22" spans="1:11" hidden="1" x14ac:dyDescent="0.25">
      <c r="A22" s="206" t="s">
        <v>11</v>
      </c>
      <c r="B22" s="133"/>
      <c r="C22" s="133"/>
      <c r="D22" s="26">
        <f>+B22+C22</f>
        <v>0</v>
      </c>
      <c r="E22"/>
      <c r="F22"/>
      <c r="G22"/>
      <c r="H22"/>
      <c r="I22"/>
      <c r="J22"/>
      <c r="K22"/>
    </row>
    <row r="23" spans="1:11" hidden="1" x14ac:dyDescent="0.25">
      <c r="A23" s="27" t="s">
        <v>14</v>
      </c>
      <c r="B23" s="8">
        <f>SUM(B20:B22)</f>
        <v>0</v>
      </c>
      <c r="C23" s="8">
        <f>SUM(C20:C22)</f>
        <v>0</v>
      </c>
      <c r="D23" s="8">
        <f>SUM(D20:D22)</f>
        <v>0</v>
      </c>
      <c r="E23"/>
      <c r="F23"/>
      <c r="G23"/>
      <c r="H23"/>
      <c r="I23"/>
      <c r="J23"/>
      <c r="K23"/>
    </row>
    <row r="24" spans="1:11" hidden="1" x14ac:dyDescent="0.25">
      <c r="A24" s="28" t="s">
        <v>23</v>
      </c>
      <c r="B24" s="23">
        <f>+B11+B15+B19+B23</f>
        <v>236610185.83390003</v>
      </c>
      <c r="C24" s="23">
        <f>+C11+C15+C19+C23</f>
        <v>55501154.702600002</v>
      </c>
      <c r="D24" s="23">
        <f>+D11+D15+D19+D23</f>
        <v>292111340.53649998</v>
      </c>
      <c r="E24"/>
      <c r="F24"/>
      <c r="G24"/>
      <c r="H24"/>
      <c r="I24"/>
      <c r="J24"/>
      <c r="K24"/>
    </row>
    <row r="25" spans="1:11" x14ac:dyDescent="0.25">
      <c r="A25" s="207" t="s">
        <v>50</v>
      </c>
      <c r="B25" s="299">
        <f>B11/D11</f>
        <v>0.80999999999772365</v>
      </c>
      <c r="C25" s="299">
        <f>C11/D11</f>
        <v>0.19000000000227654</v>
      </c>
      <c r="D25" s="208"/>
      <c r="E25"/>
      <c r="F25"/>
      <c r="G25"/>
      <c r="H25"/>
      <c r="I25"/>
      <c r="J25"/>
      <c r="K25"/>
    </row>
    <row r="26" spans="1:11" x14ac:dyDescent="0.25">
      <c r="A26" s="203" t="s">
        <v>261</v>
      </c>
      <c r="B26" s="189"/>
      <c r="C26"/>
      <c r="D26"/>
      <c r="E26"/>
      <c r="F26"/>
      <c r="G26"/>
      <c r="H26"/>
      <c r="I26"/>
      <c r="J26"/>
      <c r="K26"/>
    </row>
    <row r="27" spans="1:11" x14ac:dyDescent="0.25">
      <c r="A27" s="203"/>
      <c r="B27"/>
      <c r="C27"/>
      <c r="D27"/>
      <c r="E27"/>
      <c r="F27"/>
      <c r="G27"/>
      <c r="H27"/>
      <c r="I27"/>
      <c r="J27"/>
      <c r="K27"/>
    </row>
    <row r="28" spans="1:11" x14ac:dyDescent="0.25">
      <c r="A28"/>
      <c r="B28"/>
      <c r="C28"/>
      <c r="D28"/>
      <c r="E28"/>
      <c r="F28"/>
      <c r="G28"/>
      <c r="H28"/>
      <c r="I28"/>
      <c r="J28"/>
      <c r="K28"/>
    </row>
    <row r="29" spans="1:11" x14ac:dyDescent="0.25">
      <c r="A29"/>
      <c r="B29"/>
      <c r="C29"/>
      <c r="D29"/>
      <c r="E29"/>
      <c r="F29"/>
      <c r="G29"/>
      <c r="H29"/>
      <c r="I29"/>
      <c r="J29"/>
      <c r="K29"/>
    </row>
    <row r="30" spans="1:11" x14ac:dyDescent="0.25">
      <c r="A30"/>
      <c r="B30"/>
      <c r="C30"/>
      <c r="D30"/>
      <c r="E30"/>
      <c r="F30"/>
      <c r="G30"/>
      <c r="H30"/>
      <c r="I30"/>
      <c r="J30"/>
      <c r="K30"/>
    </row>
    <row r="31" spans="1:11" x14ac:dyDescent="0.25">
      <c r="A31"/>
      <c r="B31"/>
      <c r="C31"/>
      <c r="D31"/>
      <c r="E31"/>
      <c r="F31"/>
      <c r="G31"/>
      <c r="H31"/>
      <c r="I31"/>
      <c r="J31"/>
      <c r="K31"/>
    </row>
    <row r="32" spans="1:11" x14ac:dyDescent="0.25">
      <c r="A32"/>
      <c r="B32"/>
      <c r="C32"/>
      <c r="D32"/>
      <c r="E32"/>
      <c r="F32"/>
      <c r="G32"/>
      <c r="H32"/>
      <c r="I32"/>
      <c r="J32"/>
      <c r="K32"/>
    </row>
    <row r="33" spans="1:11" x14ac:dyDescent="0.25">
      <c r="A33"/>
      <c r="B33"/>
      <c r="C33"/>
      <c r="D33"/>
      <c r="E33"/>
      <c r="F33"/>
      <c r="G33" s="136"/>
      <c r="H33" s="136"/>
      <c r="I33" s="136"/>
      <c r="J33" s="136"/>
      <c r="K33" s="127"/>
    </row>
    <row r="34" spans="1:11" x14ac:dyDescent="0.25">
      <c r="A34"/>
      <c r="B34"/>
      <c r="C34"/>
      <c r="D34"/>
      <c r="E34"/>
      <c r="F34"/>
      <c r="G34"/>
      <c r="H34"/>
      <c r="I34"/>
      <c r="J34"/>
      <c r="K34"/>
    </row>
    <row r="35" spans="1:11" x14ac:dyDescent="0.25">
      <c r="A35"/>
      <c r="B35"/>
      <c r="C35"/>
      <c r="D35"/>
      <c r="E35"/>
      <c r="F35"/>
      <c r="G35"/>
      <c r="H35"/>
      <c r="I35"/>
      <c r="J35"/>
      <c r="K35"/>
    </row>
    <row r="36" spans="1:11" x14ac:dyDescent="0.25">
      <c r="A36"/>
      <c r="B36"/>
      <c r="C36"/>
      <c r="D36"/>
      <c r="E36"/>
      <c r="F36"/>
      <c r="G36"/>
      <c r="H36"/>
      <c r="I36"/>
      <c r="J36"/>
      <c r="K36"/>
    </row>
    <row r="37" spans="1:11" x14ac:dyDescent="0.25">
      <c r="A37"/>
      <c r="B37"/>
      <c r="C37"/>
      <c r="D37"/>
      <c r="E37"/>
      <c r="F37"/>
      <c r="G37"/>
      <c r="H37"/>
      <c r="I37"/>
      <c r="J37"/>
      <c r="K37"/>
    </row>
    <row r="38" spans="1:11" x14ac:dyDescent="0.25">
      <c r="A38"/>
      <c r="B38"/>
      <c r="C38"/>
      <c r="D38"/>
      <c r="E38"/>
      <c r="F38"/>
      <c r="G38"/>
      <c r="H38"/>
      <c r="I38"/>
      <c r="J38"/>
      <c r="K38"/>
    </row>
    <row r="39" spans="1:11" x14ac:dyDescent="0.25">
      <c r="A39"/>
      <c r="B39"/>
      <c r="C39"/>
      <c r="D39"/>
      <c r="E39"/>
      <c r="F39"/>
      <c r="G39"/>
      <c r="H39"/>
      <c r="I39"/>
      <c r="J39"/>
      <c r="K39"/>
    </row>
    <row r="40" spans="1:11" x14ac:dyDescent="0.25">
      <c r="A40" s="53"/>
      <c r="B40" s="133"/>
      <c r="C40" s="133"/>
      <c r="D40" s="26"/>
    </row>
    <row r="41" spans="1:11" x14ac:dyDescent="0.25">
      <c r="A41" s="53"/>
      <c r="B41" s="133"/>
      <c r="C41" s="133"/>
      <c r="D41" s="26"/>
    </row>
  </sheetData>
  <mergeCells count="6">
    <mergeCell ref="A6:D6"/>
    <mergeCell ref="A1:D1"/>
    <mergeCell ref="A2:D2"/>
    <mergeCell ref="A3:D3"/>
    <mergeCell ref="A5:D5"/>
    <mergeCell ref="A4:D4"/>
  </mergeCells>
  <pageMargins left="0.7" right="0.7" top="0.75" bottom="0.75" header="0.3" footer="0.3"/>
  <pageSetup paperSize="9" scale="62" orientation="portrait" r:id="rId1"/>
  <colBreaks count="1" manualBreakCount="1">
    <brk id="12"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J45"/>
  <sheetViews>
    <sheetView showGridLines="0" tabSelected="1" zoomScale="130" zoomScaleNormal="130" zoomScaleSheetLayoutView="115" workbookViewId="0">
      <selection activeCell="D33" sqref="D33"/>
    </sheetView>
  </sheetViews>
  <sheetFormatPr baseColWidth="10" defaultColWidth="11.42578125" defaultRowHeight="15" x14ac:dyDescent="0.25"/>
  <cols>
    <col min="1" max="1" width="21.42578125" style="1" customWidth="1"/>
    <col min="2" max="2" width="15.7109375" style="1" customWidth="1"/>
    <col min="3" max="3" width="21.140625" style="1" customWidth="1"/>
    <col min="4" max="4" width="16.7109375" style="1" customWidth="1"/>
    <col min="5" max="16384" width="11.42578125" style="1"/>
  </cols>
  <sheetData>
    <row r="1" spans="1:7" x14ac:dyDescent="0.25">
      <c r="A1" s="336" t="s">
        <v>0</v>
      </c>
      <c r="B1" s="336"/>
      <c r="C1" s="336"/>
      <c r="D1" s="336"/>
    </row>
    <row r="2" spans="1:7" x14ac:dyDescent="0.25">
      <c r="A2" s="336" t="s">
        <v>25</v>
      </c>
      <c r="B2" s="336"/>
      <c r="C2" s="336"/>
      <c r="D2" s="336"/>
    </row>
    <row r="3" spans="1:7" x14ac:dyDescent="0.25">
      <c r="A3" s="336" t="s">
        <v>51</v>
      </c>
      <c r="B3" s="336"/>
      <c r="C3" s="336"/>
      <c r="D3" s="336"/>
    </row>
    <row r="4" spans="1:7" x14ac:dyDescent="0.25">
      <c r="A4" s="336" t="s">
        <v>246</v>
      </c>
      <c r="B4" s="336"/>
      <c r="C4" s="336"/>
      <c r="D4" s="336"/>
    </row>
    <row r="5" spans="1:7" x14ac:dyDescent="0.25">
      <c r="A5" s="336" t="s">
        <v>262</v>
      </c>
      <c r="B5" s="336"/>
      <c r="C5" s="336"/>
      <c r="D5" s="336"/>
    </row>
    <row r="6" spans="1:7" x14ac:dyDescent="0.25">
      <c r="A6" s="337" t="s">
        <v>51</v>
      </c>
      <c r="B6" s="337"/>
      <c r="C6" s="337"/>
      <c r="D6" s="337"/>
      <c r="E6"/>
      <c r="F6"/>
      <c r="G6"/>
    </row>
    <row r="7" spans="1:7" x14ac:dyDescent="0.25">
      <c r="A7" s="131"/>
      <c r="B7" s="132" t="s">
        <v>52</v>
      </c>
      <c r="C7" s="132" t="s">
        <v>53</v>
      </c>
      <c r="D7" s="132" t="s">
        <v>54</v>
      </c>
      <c r="E7"/>
      <c r="F7"/>
      <c r="G7"/>
    </row>
    <row r="8" spans="1:7" x14ac:dyDescent="0.25">
      <c r="A8" s="197" t="s">
        <v>243</v>
      </c>
      <c r="B8" s="122">
        <v>26349</v>
      </c>
      <c r="C8" s="128">
        <f>+B8-B9</f>
        <v>142</v>
      </c>
      <c r="D8" s="137">
        <f>C8/B9</f>
        <v>5.4183996642118521E-3</v>
      </c>
      <c r="E8"/>
      <c r="F8"/>
      <c r="G8"/>
    </row>
    <row r="9" spans="1:7" x14ac:dyDescent="0.25">
      <c r="A9" s="197" t="s">
        <v>239</v>
      </c>
      <c r="B9" s="122">
        <v>26207</v>
      </c>
      <c r="C9" s="128">
        <f>+B9-B10</f>
        <v>-142</v>
      </c>
      <c r="D9" s="137">
        <f>C9/B10</f>
        <v>-5.3891988310751831E-3</v>
      </c>
      <c r="E9"/>
      <c r="F9"/>
      <c r="G9"/>
    </row>
    <row r="10" spans="1:7" x14ac:dyDescent="0.25">
      <c r="A10" s="197" t="s">
        <v>241</v>
      </c>
      <c r="B10" s="122">
        <v>26349</v>
      </c>
      <c r="C10" s="128">
        <f>+B10-28333</f>
        <v>-1984</v>
      </c>
      <c r="D10" s="137">
        <f>C10/28333</f>
        <v>-7.0024353227685035E-2</v>
      </c>
      <c r="E10"/>
      <c r="F10"/>
      <c r="G10"/>
    </row>
    <row r="11" spans="1:7" x14ac:dyDescent="0.25">
      <c r="A11" s="27" t="s">
        <v>242</v>
      </c>
      <c r="B11" s="80">
        <f>SUM(B8:B10)</f>
        <v>78905</v>
      </c>
      <c r="C11" s="80">
        <f>+B11-83055</f>
        <v>-4150</v>
      </c>
      <c r="D11" s="302">
        <f>C11/83055</f>
        <v>-4.9966889410631508E-2</v>
      </c>
      <c r="E11"/>
      <c r="F11" s="74"/>
      <c r="G11" s="134"/>
    </row>
    <row r="12" spans="1:7" hidden="1" x14ac:dyDescent="0.25">
      <c r="A12" s="53" t="s">
        <v>15</v>
      </c>
      <c r="B12" s="122"/>
      <c r="C12" s="138">
        <f>+B12-B10</f>
        <v>-26349</v>
      </c>
      <c r="D12"/>
      <c r="E12"/>
      <c r="F12"/>
      <c r="G12"/>
    </row>
    <row r="13" spans="1:7" hidden="1" x14ac:dyDescent="0.25">
      <c r="A13" s="53" t="s">
        <v>16</v>
      </c>
      <c r="B13" s="122"/>
      <c r="C13" s="138">
        <f>+B13-B12</f>
        <v>0</v>
      </c>
      <c r="D13"/>
      <c r="E13"/>
      <c r="F13"/>
      <c r="G13"/>
    </row>
    <row r="14" spans="1:7" hidden="1" x14ac:dyDescent="0.25">
      <c r="A14" s="53" t="s">
        <v>17</v>
      </c>
      <c r="B14" s="122"/>
      <c r="C14" s="138">
        <f>+B14-B13</f>
        <v>0</v>
      </c>
      <c r="D14"/>
      <c r="E14"/>
      <c r="F14"/>
      <c r="G14"/>
    </row>
    <row r="15" spans="1:7" hidden="1" x14ac:dyDescent="0.25">
      <c r="A15" s="27" t="s">
        <v>18</v>
      </c>
      <c r="B15" s="8">
        <f>SUM(B12:B14)</f>
        <v>0</v>
      </c>
      <c r="C15" s="73">
        <f>+B15-B11</f>
        <v>-78905</v>
      </c>
      <c r="D15" s="16">
        <f>+(B15-B11)/B11</f>
        <v>-1</v>
      </c>
      <c r="E15"/>
      <c r="F15" s="74"/>
      <c r="G15"/>
    </row>
    <row r="16" spans="1:7" hidden="1" x14ac:dyDescent="0.25">
      <c r="A16" s="53" t="s">
        <v>34</v>
      </c>
      <c r="B16" s="122"/>
      <c r="C16" s="138">
        <f>+B16-B14</f>
        <v>0</v>
      </c>
      <c r="D16"/>
      <c r="E16"/>
      <c r="F16"/>
      <c r="G16"/>
    </row>
    <row r="17" spans="1:10" hidden="1" x14ac:dyDescent="0.25">
      <c r="A17" s="53" t="s">
        <v>20</v>
      </c>
      <c r="B17" s="122"/>
      <c r="C17" s="138">
        <f>+B17-B16</f>
        <v>0</v>
      </c>
      <c r="D17"/>
      <c r="E17"/>
      <c r="F17"/>
      <c r="G17"/>
    </row>
    <row r="18" spans="1:10" hidden="1" x14ac:dyDescent="0.25">
      <c r="A18" s="53" t="s">
        <v>21</v>
      </c>
      <c r="B18" s="122"/>
      <c r="C18" s="138">
        <f>+B18-B17</f>
        <v>0</v>
      </c>
      <c r="D18"/>
      <c r="E18"/>
      <c r="F18"/>
      <c r="G18"/>
    </row>
    <row r="19" spans="1:10" hidden="1" x14ac:dyDescent="0.25">
      <c r="A19" s="27" t="s">
        <v>22</v>
      </c>
      <c r="B19" s="8">
        <f>SUM(B16:B18)</f>
        <v>0</v>
      </c>
      <c r="C19" s="73">
        <f>+B19-B15</f>
        <v>0</v>
      </c>
      <c r="D19" s="73" t="e">
        <f>+(B19-B15)/B15</f>
        <v>#DIV/0!</v>
      </c>
      <c r="E19"/>
      <c r="F19" s="74"/>
      <c r="G19"/>
    </row>
    <row r="20" spans="1:10" hidden="1" x14ac:dyDescent="0.25">
      <c r="A20" s="53" t="s">
        <v>13</v>
      </c>
      <c r="B20" s="122"/>
      <c r="C20" s="138">
        <f>+B20-B18</f>
        <v>0</v>
      </c>
      <c r="D20"/>
      <c r="E20"/>
      <c r="F20"/>
      <c r="G20"/>
    </row>
    <row r="21" spans="1:10" hidden="1" x14ac:dyDescent="0.25">
      <c r="A21" s="53" t="s">
        <v>12</v>
      </c>
      <c r="B21" s="122"/>
      <c r="C21" s="138">
        <f>+B21-B20</f>
        <v>0</v>
      </c>
      <c r="D21"/>
      <c r="E21"/>
      <c r="F21"/>
      <c r="G21"/>
    </row>
    <row r="22" spans="1:10" hidden="1" x14ac:dyDescent="0.25">
      <c r="A22" s="53" t="s">
        <v>11</v>
      </c>
      <c r="B22" s="122"/>
      <c r="C22" s="138">
        <f>+B22-B21</f>
        <v>0</v>
      </c>
      <c r="D22"/>
      <c r="E22"/>
      <c r="F22"/>
      <c r="G22"/>
    </row>
    <row r="23" spans="1:10" hidden="1" x14ac:dyDescent="0.25">
      <c r="A23" s="27" t="s">
        <v>14</v>
      </c>
      <c r="B23" s="8">
        <f>SUM(B20:B22)</f>
        <v>0</v>
      </c>
      <c r="C23" s="73">
        <f>+B23-B19</f>
        <v>0</v>
      </c>
      <c r="D23" s="73" t="e">
        <f>+(B23-B19)/B19</f>
        <v>#DIV/0!</v>
      </c>
      <c r="E23"/>
      <c r="F23" s="74"/>
      <c r="G23"/>
    </row>
    <row r="24" spans="1:10" hidden="1" x14ac:dyDescent="0.25">
      <c r="A24" s="28" t="s">
        <v>23</v>
      </c>
      <c r="B24" s="29">
        <f>+B11+B15+B19+B23</f>
        <v>78905</v>
      </c>
      <c r="C24" s="29"/>
      <c r="D24" s="29"/>
      <c r="E24"/>
      <c r="F24"/>
      <c r="G24"/>
    </row>
    <row r="25" spans="1:10" ht="5.25" customHeight="1" x14ac:dyDescent="0.25">
      <c r="A25" s="338"/>
      <c r="B25" s="338"/>
      <c r="C25" s="338"/>
      <c r="D25" s="338"/>
      <c r="E25"/>
      <c r="F25"/>
      <c r="G25"/>
    </row>
    <row r="26" spans="1:10" ht="13.5" customHeight="1" x14ac:dyDescent="0.25">
      <c r="A26" s="203" t="s">
        <v>259</v>
      </c>
      <c r="B26" s="127"/>
      <c r="C26" s="127"/>
      <c r="D26" s="127"/>
      <c r="E26" s="127"/>
      <c r="F26" s="127"/>
      <c r="G26"/>
    </row>
    <row r="27" spans="1:10" ht="13.5" customHeight="1" x14ac:dyDescent="0.25">
      <c r="A27" s="203"/>
      <c r="B27" s="127"/>
      <c r="C27" s="127"/>
      <c r="D27" s="127"/>
      <c r="E27" s="127"/>
      <c r="F27" s="127"/>
      <c r="G27"/>
    </row>
    <row r="28" spans="1:10" ht="13.5" customHeight="1" x14ac:dyDescent="0.25">
      <c r="A28" s="203"/>
      <c r="B28" s="127"/>
      <c r="C28" s="127"/>
      <c r="D28" s="127"/>
      <c r="E28" s="127"/>
      <c r="F28" s="127"/>
      <c r="G28"/>
    </row>
    <row r="29" spans="1:10" ht="12.75" customHeight="1" x14ac:dyDescent="0.25">
      <c r="A29" s="191"/>
      <c r="B29"/>
      <c r="C29"/>
      <c r="D29"/>
      <c r="E29"/>
      <c r="F29"/>
      <c r="G29"/>
    </row>
    <row r="30" spans="1:10" x14ac:dyDescent="0.25">
      <c r="A30"/>
      <c r="B30"/>
      <c r="C30"/>
      <c r="D30"/>
      <c r="E30"/>
      <c r="F30"/>
      <c r="G30"/>
    </row>
    <row r="31" spans="1:10" x14ac:dyDescent="0.25">
      <c r="A31"/>
      <c r="B31"/>
      <c r="C31"/>
      <c r="D31"/>
      <c r="E31"/>
      <c r="F31"/>
      <c r="G31"/>
    </row>
    <row r="32" spans="1:10" x14ac:dyDescent="0.25">
      <c r="A32"/>
      <c r="B32"/>
      <c r="C32"/>
      <c r="D32"/>
      <c r="E32"/>
      <c r="F32"/>
      <c r="G32"/>
      <c r="J32" s="33"/>
    </row>
    <row r="33" spans="1:7" x14ac:dyDescent="0.25">
      <c r="A33"/>
      <c r="B33"/>
      <c r="C33"/>
      <c r="D33"/>
      <c r="E33"/>
      <c r="F33"/>
      <c r="G33"/>
    </row>
    <row r="34" spans="1:7" x14ac:dyDescent="0.25">
      <c r="A34"/>
      <c r="B34"/>
      <c r="C34"/>
      <c r="D34"/>
      <c r="E34"/>
      <c r="F34"/>
      <c r="G34"/>
    </row>
    <row r="35" spans="1:7" x14ac:dyDescent="0.25">
      <c r="A35"/>
      <c r="B35"/>
      <c r="C35"/>
      <c r="D35"/>
      <c r="E35"/>
      <c r="F35"/>
      <c r="G35"/>
    </row>
    <row r="36" spans="1:7" x14ac:dyDescent="0.25">
      <c r="A36"/>
      <c r="B36"/>
      <c r="C36"/>
      <c r="D36"/>
      <c r="E36"/>
      <c r="F36"/>
      <c r="G36"/>
    </row>
    <row r="37" spans="1:7" x14ac:dyDescent="0.25">
      <c r="A37"/>
      <c r="B37"/>
      <c r="C37"/>
      <c r="D37"/>
      <c r="E37"/>
      <c r="F37"/>
      <c r="G37"/>
    </row>
    <row r="38" spans="1:7" x14ac:dyDescent="0.25">
      <c r="A38"/>
      <c r="B38"/>
      <c r="C38"/>
      <c r="D38"/>
      <c r="E38"/>
      <c r="F38"/>
      <c r="G38"/>
    </row>
    <row r="39" spans="1:7" x14ac:dyDescent="0.25">
      <c r="A39"/>
      <c r="B39"/>
      <c r="C39"/>
      <c r="D39"/>
      <c r="E39"/>
      <c r="F39"/>
      <c r="G39"/>
    </row>
    <row r="40" spans="1:7" x14ac:dyDescent="0.25">
      <c r="A40"/>
      <c r="B40"/>
      <c r="C40"/>
      <c r="D40"/>
      <c r="E40"/>
      <c r="F40"/>
      <c r="G40"/>
    </row>
    <row r="41" spans="1:7" x14ac:dyDescent="0.25">
      <c r="A41"/>
      <c r="B41"/>
      <c r="C41"/>
      <c r="D41"/>
      <c r="E41"/>
      <c r="F41"/>
      <c r="G41"/>
    </row>
    <row r="42" spans="1:7" x14ac:dyDescent="0.25">
      <c r="A42"/>
      <c r="B42"/>
      <c r="C42"/>
      <c r="D42"/>
      <c r="E42"/>
      <c r="F42"/>
      <c r="G42"/>
    </row>
    <row r="44" spans="1:7" x14ac:dyDescent="0.25">
      <c r="A44" s="53"/>
      <c r="B44" s="122"/>
      <c r="C44" s="128"/>
      <c r="D44" s="137"/>
    </row>
    <row r="45" spans="1:7" x14ac:dyDescent="0.25">
      <c r="A45" s="53"/>
      <c r="B45" s="122"/>
      <c r="C45" s="128"/>
      <c r="D45" s="20"/>
    </row>
  </sheetData>
  <mergeCells count="7">
    <mergeCell ref="A25:D25"/>
    <mergeCell ref="A6:D6"/>
    <mergeCell ref="A1:D1"/>
    <mergeCell ref="A2:D2"/>
    <mergeCell ref="A3:D3"/>
    <mergeCell ref="A4:D4"/>
    <mergeCell ref="A5:D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G45"/>
  <sheetViews>
    <sheetView showGridLines="0" zoomScale="91" zoomScaleNormal="91" zoomScaleSheetLayoutView="130" workbookViewId="0">
      <selection activeCell="G8" sqref="G8"/>
    </sheetView>
  </sheetViews>
  <sheetFormatPr baseColWidth="10" defaultColWidth="11.42578125" defaultRowHeight="15" x14ac:dyDescent="0.25"/>
  <cols>
    <col min="1" max="1" width="15" style="1" customWidth="1"/>
    <col min="2" max="2" width="22" style="1" customWidth="1"/>
    <col min="3" max="4" width="20.42578125" style="1" customWidth="1"/>
    <col min="5" max="16384" width="11.42578125" style="1"/>
  </cols>
  <sheetData>
    <row r="1" spans="1:7" x14ac:dyDescent="0.25">
      <c r="A1" s="339" t="s">
        <v>0</v>
      </c>
      <c r="B1" s="339"/>
      <c r="C1" s="339"/>
      <c r="D1" s="339"/>
      <c r="E1" s="22"/>
      <c r="F1" s="22"/>
      <c r="G1" s="22"/>
    </row>
    <row r="2" spans="1:7" x14ac:dyDescent="0.25">
      <c r="A2" s="336" t="s">
        <v>25</v>
      </c>
      <c r="B2" s="336"/>
      <c r="C2" s="336"/>
      <c r="D2" s="336"/>
      <c r="E2" s="22"/>
      <c r="F2" s="22"/>
      <c r="G2" s="22"/>
    </row>
    <row r="3" spans="1:7" x14ac:dyDescent="0.25">
      <c r="A3" s="336" t="s">
        <v>55</v>
      </c>
      <c r="B3" s="336"/>
      <c r="C3" s="336"/>
      <c r="D3" s="336"/>
      <c r="E3" s="22"/>
      <c r="F3" s="22"/>
      <c r="G3" s="22"/>
    </row>
    <row r="4" spans="1:7" x14ac:dyDescent="0.25">
      <c r="A4" s="339" t="s">
        <v>246</v>
      </c>
      <c r="B4" s="339"/>
      <c r="C4" s="339"/>
      <c r="D4" s="339"/>
      <c r="E4" s="21"/>
      <c r="F4" s="22"/>
      <c r="G4" s="22"/>
    </row>
    <row r="5" spans="1:7" x14ac:dyDescent="0.25">
      <c r="A5" s="336" t="s">
        <v>262</v>
      </c>
      <c r="B5" s="336"/>
      <c r="C5" s="336"/>
      <c r="D5" s="336"/>
      <c r="E5" s="22"/>
      <c r="F5" s="22"/>
      <c r="G5" s="22"/>
    </row>
    <row r="6" spans="1:7" ht="15" customHeight="1" x14ac:dyDescent="0.25">
      <c r="A6" s="337" t="s">
        <v>55</v>
      </c>
      <c r="B6" s="337"/>
      <c r="C6" s="337"/>
      <c r="D6" s="337"/>
      <c r="E6"/>
      <c r="F6"/>
    </row>
    <row r="7" spans="1:7" x14ac:dyDescent="0.25">
      <c r="A7" s="131" t="s">
        <v>3</v>
      </c>
      <c r="B7" s="118" t="s">
        <v>56</v>
      </c>
      <c r="C7" s="118" t="s">
        <v>57</v>
      </c>
      <c r="D7" s="118" t="s">
        <v>58</v>
      </c>
      <c r="E7"/>
      <c r="F7"/>
    </row>
    <row r="8" spans="1:7" ht="15.75" x14ac:dyDescent="0.25">
      <c r="A8" s="197" t="s">
        <v>243</v>
      </c>
      <c r="B8" s="295">
        <v>20</v>
      </c>
      <c r="C8" s="295">
        <v>3</v>
      </c>
      <c r="D8" s="303">
        <v>13584639.800000001</v>
      </c>
      <c r="E8"/>
      <c r="F8"/>
    </row>
    <row r="9" spans="1:7" ht="15.75" x14ac:dyDescent="0.25">
      <c r="A9" s="197" t="s">
        <v>239</v>
      </c>
      <c r="B9" s="295">
        <v>0</v>
      </c>
      <c r="C9" s="295">
        <v>0</v>
      </c>
      <c r="D9" s="303">
        <v>1249294.08</v>
      </c>
      <c r="E9"/>
      <c r="F9"/>
      <c r="G9" s="53"/>
    </row>
    <row r="10" spans="1:7" ht="15.75" x14ac:dyDescent="0.25">
      <c r="A10" s="197" t="s">
        <v>241</v>
      </c>
      <c r="B10" s="295">
        <v>3</v>
      </c>
      <c r="C10" s="295">
        <v>2</v>
      </c>
      <c r="D10" s="303">
        <v>1358463.98</v>
      </c>
      <c r="E10"/>
      <c r="F10"/>
      <c r="G10" s="53"/>
    </row>
    <row r="11" spans="1:7" x14ac:dyDescent="0.25">
      <c r="A11" s="27" t="s">
        <v>242</v>
      </c>
      <c r="B11" s="8">
        <f>SUM(B8:B10)</f>
        <v>23</v>
      </c>
      <c r="C11" s="80">
        <f>SUM(C8:C10)</f>
        <v>5</v>
      </c>
      <c r="D11" s="258">
        <f>SUM(D8:D10)</f>
        <v>16192397.860000001</v>
      </c>
      <c r="E11"/>
      <c r="F11"/>
      <c r="G11" s="53"/>
    </row>
    <row r="12" spans="1:7" hidden="1" x14ac:dyDescent="0.25">
      <c r="A12" s="53" t="s">
        <v>15</v>
      </c>
      <c r="B12" s="139"/>
      <c r="C12" s="139"/>
      <c r="D12" s="139"/>
      <c r="E12"/>
      <c r="F12"/>
    </row>
    <row r="13" spans="1:7" hidden="1" x14ac:dyDescent="0.25">
      <c r="A13" s="53" t="s">
        <v>16</v>
      </c>
      <c r="B13" s="139"/>
      <c r="C13" s="139"/>
      <c r="D13" s="139"/>
      <c r="E13"/>
      <c r="F13"/>
    </row>
    <row r="14" spans="1:7" hidden="1" x14ac:dyDescent="0.25">
      <c r="A14" s="53" t="s">
        <v>17</v>
      </c>
      <c r="B14" s="139"/>
      <c r="C14" s="139"/>
      <c r="D14" s="139"/>
      <c r="E14"/>
      <c r="F14"/>
    </row>
    <row r="15" spans="1:7" hidden="1" x14ac:dyDescent="0.25">
      <c r="A15" s="27" t="s">
        <v>59</v>
      </c>
      <c r="B15" s="8">
        <f>SUM(B12:B14)</f>
        <v>0</v>
      </c>
      <c r="C15" s="8">
        <f>SUM(C12:C14)</f>
        <v>0</v>
      </c>
      <c r="D15" s="8"/>
      <c r="E15"/>
      <c r="F15"/>
    </row>
    <row r="16" spans="1:7" hidden="1" x14ac:dyDescent="0.25">
      <c r="A16" s="53" t="s">
        <v>34</v>
      </c>
      <c r="B16" s="139"/>
      <c r="C16" s="139"/>
      <c r="D16" s="139"/>
      <c r="E16"/>
      <c r="F16"/>
    </row>
    <row r="17" spans="1:6" hidden="1" x14ac:dyDescent="0.25">
      <c r="A17" s="53" t="s">
        <v>20</v>
      </c>
      <c r="B17" s="139"/>
      <c r="C17" s="139"/>
      <c r="D17" s="139"/>
      <c r="E17"/>
      <c r="F17"/>
    </row>
    <row r="18" spans="1:6" hidden="1" x14ac:dyDescent="0.25">
      <c r="A18" s="53" t="s">
        <v>21</v>
      </c>
      <c r="B18" s="139"/>
      <c r="C18" s="139"/>
      <c r="D18" s="139"/>
      <c r="E18"/>
      <c r="F18"/>
    </row>
    <row r="19" spans="1:6" hidden="1" x14ac:dyDescent="0.25">
      <c r="A19" s="27" t="s">
        <v>60</v>
      </c>
      <c r="B19" s="8">
        <f>SUM(B16:B18)</f>
        <v>0</v>
      </c>
      <c r="C19" s="8">
        <f>SUM(C16:C18)</f>
        <v>0</v>
      </c>
      <c r="D19" s="8"/>
      <c r="E19"/>
      <c r="F19"/>
    </row>
    <row r="20" spans="1:6" hidden="1" x14ac:dyDescent="0.25">
      <c r="A20" s="53" t="s">
        <v>13</v>
      </c>
      <c r="B20" s="139"/>
      <c r="C20" s="139"/>
      <c r="D20" s="139"/>
      <c r="E20"/>
      <c r="F20"/>
    </row>
    <row r="21" spans="1:6" hidden="1" x14ac:dyDescent="0.25">
      <c r="A21" s="53" t="s">
        <v>12</v>
      </c>
      <c r="B21" s="139"/>
      <c r="C21" s="139"/>
      <c r="D21" s="139"/>
      <c r="E21"/>
      <c r="F21"/>
    </row>
    <row r="22" spans="1:6" hidden="1" x14ac:dyDescent="0.25">
      <c r="A22" s="53" t="s">
        <v>11</v>
      </c>
      <c r="B22" s="139"/>
      <c r="C22" s="139"/>
      <c r="D22" s="139"/>
      <c r="E22"/>
      <c r="F22"/>
    </row>
    <row r="23" spans="1:6" hidden="1" x14ac:dyDescent="0.25">
      <c r="A23" s="27" t="s">
        <v>61</v>
      </c>
      <c r="B23" s="8">
        <f>SUM(B20:B22)</f>
        <v>0</v>
      </c>
      <c r="C23" s="8">
        <f>SUM(C20:C22)</f>
        <v>0</v>
      </c>
      <c r="D23" s="8"/>
      <c r="E23"/>
      <c r="F23"/>
    </row>
    <row r="24" spans="1:6" hidden="1" x14ac:dyDescent="0.25">
      <c r="A24" s="28" t="s">
        <v>23</v>
      </c>
      <c r="B24" s="30"/>
      <c r="C24" s="30"/>
      <c r="D24" s="30"/>
      <c r="E24"/>
      <c r="F24"/>
    </row>
    <row r="25" spans="1:6" ht="3.75" customHeight="1" x14ac:dyDescent="0.25">
      <c r="A25" s="203"/>
      <c r="B25" s="203"/>
      <c r="C25" s="203"/>
      <c r="D25" s="203"/>
      <c r="E25"/>
      <c r="F25"/>
    </row>
    <row r="26" spans="1:6" ht="12" customHeight="1" x14ac:dyDescent="0.25">
      <c r="A26" s="203" t="s">
        <v>260</v>
      </c>
      <c r="B26"/>
      <c r="C26"/>
      <c r="D26"/>
      <c r="E26"/>
      <c r="F26"/>
    </row>
    <row r="27" spans="1:6" ht="12" customHeight="1" x14ac:dyDescent="0.25">
      <c r="A27" s="203"/>
      <c r="B27"/>
      <c r="C27"/>
      <c r="D27"/>
      <c r="E27"/>
      <c r="F27"/>
    </row>
    <row r="28" spans="1:6" x14ac:dyDescent="0.25">
      <c r="A28"/>
      <c r="B28"/>
      <c r="C28"/>
      <c r="D28"/>
      <c r="E28"/>
      <c r="F28"/>
    </row>
    <row r="29" spans="1:6" x14ac:dyDescent="0.25">
      <c r="A29"/>
      <c r="B29"/>
      <c r="C29"/>
      <c r="D29"/>
      <c r="E29"/>
      <c r="F29"/>
    </row>
    <row r="30" spans="1:6" x14ac:dyDescent="0.25">
      <c r="A30"/>
      <c r="B30"/>
      <c r="C30"/>
      <c r="D30"/>
      <c r="E30"/>
      <c r="F30"/>
    </row>
    <row r="31" spans="1:6" x14ac:dyDescent="0.25">
      <c r="A31"/>
      <c r="B31"/>
      <c r="C31"/>
      <c r="D31"/>
      <c r="E31"/>
      <c r="F31"/>
    </row>
    <row r="32" spans="1:6" x14ac:dyDescent="0.25">
      <c r="A32"/>
      <c r="B32"/>
      <c r="C32"/>
      <c r="D32"/>
      <c r="E32"/>
      <c r="F32"/>
    </row>
    <row r="33" spans="1:6" x14ac:dyDescent="0.25">
      <c r="A33"/>
      <c r="B33"/>
      <c r="C33"/>
      <c r="D33"/>
      <c r="E33"/>
      <c r="F33"/>
    </row>
    <row r="34" spans="1:6" x14ac:dyDescent="0.25">
      <c r="A34"/>
      <c r="B34"/>
      <c r="C34"/>
      <c r="D34"/>
      <c r="E34" s="53"/>
      <c r="F34" s="118"/>
    </row>
    <row r="35" spans="1:6" x14ac:dyDescent="0.25">
      <c r="A35"/>
      <c r="B35"/>
      <c r="C35"/>
      <c r="D35"/>
      <c r="E35" s="53"/>
      <c r="F35" s="133"/>
    </row>
    <row r="36" spans="1:6" x14ac:dyDescent="0.25">
      <c r="A36"/>
      <c r="B36"/>
      <c r="C36"/>
      <c r="D36"/>
      <c r="E36" s="53"/>
      <c r="F36" s="133"/>
    </row>
    <row r="37" spans="1:6" x14ac:dyDescent="0.25">
      <c r="A37"/>
      <c r="B37"/>
      <c r="C37"/>
      <c r="D37"/>
      <c r="E37"/>
      <c r="F37" s="133"/>
    </row>
    <row r="38" spans="1:6" x14ac:dyDescent="0.25">
      <c r="A38"/>
      <c r="B38"/>
      <c r="C38"/>
      <c r="D38"/>
      <c r="E38"/>
      <c r="F38"/>
    </row>
    <row r="39" spans="1:6" x14ac:dyDescent="0.25">
      <c r="A39"/>
      <c r="B39"/>
      <c r="C39"/>
      <c r="D39"/>
      <c r="E39"/>
      <c r="F39"/>
    </row>
    <row r="40" spans="1:6" x14ac:dyDescent="0.25">
      <c r="A40"/>
      <c r="B40"/>
      <c r="C40"/>
      <c r="D40"/>
      <c r="E40"/>
      <c r="F40"/>
    </row>
    <row r="41" spans="1:6" x14ac:dyDescent="0.25">
      <c r="A41"/>
      <c r="B41"/>
      <c r="C41"/>
      <c r="D41"/>
      <c r="E41"/>
      <c r="F41"/>
    </row>
    <row r="44" spans="1:6" x14ac:dyDescent="0.25">
      <c r="A44" s="53"/>
      <c r="B44" s="139"/>
      <c r="C44" s="139"/>
      <c r="D44" s="139"/>
    </row>
    <row r="45" spans="1:6" x14ac:dyDescent="0.25">
      <c r="A45" s="53"/>
      <c r="B45" s="139"/>
      <c r="C45" s="139"/>
      <c r="D45" s="139"/>
    </row>
  </sheetData>
  <mergeCells count="6">
    <mergeCell ref="A6:D6"/>
    <mergeCell ref="A1:D1"/>
    <mergeCell ref="A2:D2"/>
    <mergeCell ref="A3:D3"/>
    <mergeCell ref="A4:D4"/>
    <mergeCell ref="A5:D5"/>
  </mergeCells>
  <pageMargins left="0.7" right="0.7" top="0.75" bottom="0.75" header="0.3" footer="0.3"/>
  <pageSetup paperSize="9" scale="6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M57"/>
  <sheetViews>
    <sheetView showGridLines="0" zoomScale="145" zoomScaleNormal="145" workbookViewId="0">
      <selection activeCell="A32" sqref="A32:H32"/>
    </sheetView>
  </sheetViews>
  <sheetFormatPr baseColWidth="10" defaultColWidth="11.42578125" defaultRowHeight="15" x14ac:dyDescent="0.25"/>
  <cols>
    <col min="1" max="1" width="12" style="1" customWidth="1"/>
    <col min="2" max="4" width="18.140625" style="1" customWidth="1"/>
    <col min="5" max="5" width="17.140625" style="1" customWidth="1"/>
    <col min="6" max="6" width="11.42578125" style="1"/>
    <col min="7" max="7" width="15.140625" style="1" bestFit="1" customWidth="1"/>
    <col min="8" max="8" width="15.5703125" style="1" customWidth="1"/>
    <col min="9" max="9" width="18.140625" style="1" customWidth="1"/>
    <col min="10" max="10" width="19.85546875" style="1" customWidth="1"/>
    <col min="11" max="12" width="11.42578125" style="1"/>
    <col min="13" max="13" width="16.85546875" style="1" bestFit="1" customWidth="1"/>
    <col min="14" max="16384" width="11.42578125" style="1"/>
  </cols>
  <sheetData>
    <row r="1" spans="1:13" x14ac:dyDescent="0.25">
      <c r="A1" s="332" t="s">
        <v>0</v>
      </c>
      <c r="B1" s="332"/>
      <c r="C1" s="332"/>
      <c r="D1" s="332"/>
      <c r="E1" s="332"/>
      <c r="F1" s="332"/>
      <c r="G1" s="332"/>
      <c r="H1" s="332"/>
    </row>
    <row r="2" spans="1:13" x14ac:dyDescent="0.25">
      <c r="A2" s="332" t="s">
        <v>62</v>
      </c>
      <c r="B2" s="332"/>
      <c r="C2" s="332"/>
      <c r="D2" s="332"/>
      <c r="E2" s="332"/>
      <c r="F2" s="332"/>
      <c r="G2" s="332"/>
      <c r="H2" s="332"/>
    </row>
    <row r="3" spans="1:13" x14ac:dyDescent="0.25">
      <c r="A3" s="332" t="s">
        <v>63</v>
      </c>
      <c r="B3" s="332"/>
      <c r="C3" s="332"/>
      <c r="D3" s="332"/>
      <c r="E3" s="332"/>
      <c r="F3" s="332"/>
      <c r="G3" s="332"/>
      <c r="H3" s="332"/>
    </row>
    <row r="4" spans="1:13" x14ac:dyDescent="0.25">
      <c r="A4" s="332" t="s">
        <v>240</v>
      </c>
      <c r="B4" s="332"/>
      <c r="C4" s="332"/>
      <c r="D4" s="332"/>
      <c r="E4" s="332"/>
      <c r="F4" s="332"/>
      <c r="G4" s="332"/>
      <c r="H4" s="332"/>
    </row>
    <row r="5" spans="1:13" x14ac:dyDescent="0.25">
      <c r="A5" s="332" t="s">
        <v>262</v>
      </c>
      <c r="B5" s="332"/>
      <c r="C5" s="332"/>
      <c r="D5" s="332"/>
      <c r="E5" s="332"/>
      <c r="F5" s="332"/>
      <c r="G5" s="332"/>
      <c r="H5" s="332"/>
    </row>
    <row r="6" spans="1:13" x14ac:dyDescent="0.25">
      <c r="A6" s="140"/>
      <c r="B6" s="341" t="s">
        <v>64</v>
      </c>
      <c r="C6" s="341"/>
      <c r="D6" s="341"/>
      <c r="E6" s="341" t="s">
        <v>65</v>
      </c>
      <c r="F6" s="341"/>
      <c r="G6" s="341"/>
      <c r="H6" s="341"/>
    </row>
    <row r="7" spans="1:13" ht="15" customHeight="1" x14ac:dyDescent="0.25">
      <c r="A7" s="344" t="s">
        <v>3</v>
      </c>
      <c r="B7" s="337" t="s">
        <v>66</v>
      </c>
      <c r="C7" s="337" t="s">
        <v>67</v>
      </c>
      <c r="D7" s="337" t="s">
        <v>68</v>
      </c>
      <c r="E7" s="337" t="s">
        <v>69</v>
      </c>
      <c r="F7" s="337"/>
      <c r="G7" s="337" t="s">
        <v>6</v>
      </c>
      <c r="H7" s="337"/>
      <c r="I7" s="14"/>
    </row>
    <row r="8" spans="1:13" x14ac:dyDescent="0.25">
      <c r="A8" s="344"/>
      <c r="B8" s="337"/>
      <c r="C8" s="337"/>
      <c r="D8" s="337"/>
      <c r="E8" s="337"/>
      <c r="F8" s="337"/>
      <c r="G8" s="337"/>
      <c r="H8" s="337"/>
      <c r="I8" s="14"/>
    </row>
    <row r="9" spans="1:13" ht="14.25" customHeight="1" x14ac:dyDescent="0.25">
      <c r="A9" s="141"/>
      <c r="B9" s="118" t="s">
        <v>7</v>
      </c>
      <c r="C9" s="118" t="s">
        <v>7</v>
      </c>
      <c r="D9" s="118" t="s">
        <v>7</v>
      </c>
      <c r="E9" s="118" t="s">
        <v>8</v>
      </c>
      <c r="F9" s="118" t="s">
        <v>9</v>
      </c>
      <c r="G9" s="118" t="s">
        <v>8</v>
      </c>
      <c r="H9" s="118" t="s">
        <v>9</v>
      </c>
    </row>
    <row r="10" spans="1:13" hidden="1" x14ac:dyDescent="0.25">
      <c r="A10" s="172" t="s">
        <v>10</v>
      </c>
      <c r="B10" s="211"/>
      <c r="C10" s="211"/>
      <c r="D10" s="212"/>
      <c r="E10" s="213"/>
      <c r="F10" s="217"/>
      <c r="G10" s="214"/>
      <c r="H10" s="221"/>
    </row>
    <row r="11" spans="1:13" x14ac:dyDescent="0.25">
      <c r="A11" s="85" t="s">
        <v>238</v>
      </c>
      <c r="B11" s="282">
        <v>3899615116.6500001</v>
      </c>
      <c r="C11" s="282">
        <v>1070105.19</v>
      </c>
      <c r="D11" s="282">
        <v>4020548949.6700001</v>
      </c>
      <c r="E11" s="283">
        <v>3850644304.1099997</v>
      </c>
      <c r="F11" s="218">
        <f t="shared" ref="F11" si="0">(E11/D11)</f>
        <v>0.95774093346781763</v>
      </c>
      <c r="G11" s="214">
        <f>+D11-E11</f>
        <v>169904645.56000042</v>
      </c>
      <c r="H11" s="222">
        <f>(G11/D11)</f>
        <v>4.2259066532182352E-2</v>
      </c>
      <c r="I11" s="14"/>
    </row>
    <row r="12" spans="1:13" x14ac:dyDescent="0.25">
      <c r="A12" s="85" t="s">
        <v>239</v>
      </c>
      <c r="B12" s="282">
        <v>3899615116.6500001</v>
      </c>
      <c r="C12" s="282">
        <v>1774939.48</v>
      </c>
      <c r="D12" s="282">
        <v>3991000828.0100002</v>
      </c>
      <c r="E12" s="283">
        <v>3871137100.1800003</v>
      </c>
      <c r="F12" s="218">
        <f t="shared" ref="F12" si="1">(E12/D12)</f>
        <v>0.96996649888199438</v>
      </c>
      <c r="G12" s="214">
        <f>+D12-E12</f>
        <v>119863727.82999992</v>
      </c>
      <c r="H12" s="222">
        <f t="shared" ref="H12" si="2">(G12/D12)</f>
        <v>3.0033501118005675E-2</v>
      </c>
      <c r="K12" s="14"/>
      <c r="M12" s="112"/>
    </row>
    <row r="13" spans="1:13" x14ac:dyDescent="0.25">
      <c r="A13" s="85" t="s">
        <v>241</v>
      </c>
      <c r="B13" s="282">
        <v>3899615116.6500001</v>
      </c>
      <c r="C13" s="304">
        <v>0</v>
      </c>
      <c r="D13" s="282">
        <v>3899615116.6500001</v>
      </c>
      <c r="E13" s="283">
        <v>3810004344.77</v>
      </c>
      <c r="F13" s="218">
        <f>(E13/D13)</f>
        <v>0.97702061121432382</v>
      </c>
      <c r="G13" s="216">
        <f>+D13-E13</f>
        <v>89610771.880000114</v>
      </c>
      <c r="H13" s="222">
        <f>(G13/D13)</f>
        <v>2.2979388785676128E-2</v>
      </c>
    </row>
    <row r="14" spans="1:13" x14ac:dyDescent="0.25">
      <c r="A14" s="27" t="s">
        <v>248</v>
      </c>
      <c r="B14" s="219">
        <f>SUM(B10:B13)</f>
        <v>11698845349.950001</v>
      </c>
      <c r="C14" s="220">
        <f>SUM(C10:C13)</f>
        <v>2845044.67</v>
      </c>
      <c r="D14" s="220">
        <f>SUM(D10:D13)</f>
        <v>11911164894.33</v>
      </c>
      <c r="E14" s="220">
        <f>SUM(E10:E13)</f>
        <v>11531785749.059999</v>
      </c>
      <c r="F14" s="224">
        <f>+E14/(B14+C14)</f>
        <v>0.98548033319714923</v>
      </c>
      <c r="G14" s="219">
        <f>(B14+C14)-E14</f>
        <v>169904645.56000137</v>
      </c>
      <c r="H14" s="223">
        <f>G14/(B14+C14)</f>
        <v>1.4519666802850738E-2</v>
      </c>
      <c r="I14" s="18"/>
      <c r="J14" s="36"/>
    </row>
    <row r="15" spans="1:13" hidden="1" x14ac:dyDescent="0.25">
      <c r="A15" s="85" t="s">
        <v>15</v>
      </c>
      <c r="B15" s="122">
        <v>1913412632.9166667</v>
      </c>
      <c r="C15" s="122"/>
      <c r="D15" s="122"/>
      <c r="E15" s="123"/>
      <c r="F15" s="2">
        <f t="shared" ref="F15:F28" si="3">(E15/B15)</f>
        <v>0</v>
      </c>
      <c r="G15" s="72">
        <f>+B15-E15</f>
        <v>1913412632.9166667</v>
      </c>
      <c r="H15" s="4">
        <f t="shared" ref="H15:H27" si="4">(G15/B15)</f>
        <v>1</v>
      </c>
    </row>
    <row r="16" spans="1:13" hidden="1" x14ac:dyDescent="0.25">
      <c r="A16" s="85" t="s">
        <v>16</v>
      </c>
      <c r="B16" s="122">
        <v>1913412632.9166667</v>
      </c>
      <c r="C16" s="122"/>
      <c r="D16" s="122"/>
      <c r="E16" s="123"/>
      <c r="F16" s="2">
        <f t="shared" si="3"/>
        <v>0</v>
      </c>
      <c r="G16" s="72">
        <f>+B16-E16</f>
        <v>1913412632.9166667</v>
      </c>
      <c r="H16" s="4">
        <f t="shared" si="4"/>
        <v>1</v>
      </c>
    </row>
    <row r="17" spans="1:12" hidden="1" x14ac:dyDescent="0.25">
      <c r="A17" s="85" t="s">
        <v>17</v>
      </c>
      <c r="B17" s="122">
        <v>1913412632.9166667</v>
      </c>
      <c r="C17" s="122"/>
      <c r="D17" s="122"/>
      <c r="E17" s="123"/>
      <c r="F17" s="2">
        <f t="shared" si="3"/>
        <v>0</v>
      </c>
      <c r="G17" s="72">
        <f>+B17-E17</f>
        <v>1913412632.9166667</v>
      </c>
      <c r="H17" s="4">
        <f t="shared" si="4"/>
        <v>1</v>
      </c>
    </row>
    <row r="18" spans="1:12" hidden="1" x14ac:dyDescent="0.25">
      <c r="A18" s="27" t="s">
        <v>18</v>
      </c>
      <c r="B18" s="8">
        <f>SUM(B15:B17)</f>
        <v>5740237898.75</v>
      </c>
      <c r="C18" s="8"/>
      <c r="D18" s="8"/>
      <c r="E18" s="8">
        <f>SUM(E15:E17)</f>
        <v>0</v>
      </c>
      <c r="F18" s="3">
        <f t="shared" si="3"/>
        <v>0</v>
      </c>
      <c r="G18" s="13">
        <f>SUM(G10:G13)</f>
        <v>379379145.27000046</v>
      </c>
      <c r="H18" s="5">
        <f t="shared" si="4"/>
        <v>6.6091188546839569E-2</v>
      </c>
    </row>
    <row r="19" spans="1:12" hidden="1" x14ac:dyDescent="0.25">
      <c r="A19" s="85" t="s">
        <v>19</v>
      </c>
      <c r="B19" s="122">
        <v>1913412632.9166667</v>
      </c>
      <c r="C19" s="122"/>
      <c r="D19" s="122"/>
      <c r="E19" s="123"/>
      <c r="F19" s="2">
        <f t="shared" si="3"/>
        <v>0</v>
      </c>
      <c r="G19" s="72">
        <f>+B19-E19</f>
        <v>1913412632.9166667</v>
      </c>
      <c r="H19" s="4">
        <f t="shared" si="4"/>
        <v>1</v>
      </c>
    </row>
    <row r="20" spans="1:12" hidden="1" x14ac:dyDescent="0.25">
      <c r="A20" s="85" t="s">
        <v>20</v>
      </c>
      <c r="B20" s="122">
        <v>1913412632.9166667</v>
      </c>
      <c r="C20" s="122"/>
      <c r="D20" s="122"/>
      <c r="E20" s="123"/>
      <c r="F20" s="2">
        <f t="shared" si="3"/>
        <v>0</v>
      </c>
      <c r="G20" s="72">
        <f>+B20-E20</f>
        <v>1913412632.9166667</v>
      </c>
      <c r="H20" s="4">
        <f t="shared" si="4"/>
        <v>1</v>
      </c>
    </row>
    <row r="21" spans="1:12" hidden="1" x14ac:dyDescent="0.25">
      <c r="A21" s="85" t="s">
        <v>21</v>
      </c>
      <c r="B21" s="122">
        <v>1913412632.9166667</v>
      </c>
      <c r="C21" s="122"/>
      <c r="D21" s="122"/>
      <c r="E21" s="123"/>
      <c r="F21" s="2">
        <f t="shared" si="3"/>
        <v>0</v>
      </c>
      <c r="G21" s="72">
        <f>+B21-E21</f>
        <v>1913412632.9166667</v>
      </c>
      <c r="H21" s="4">
        <f t="shared" si="4"/>
        <v>1</v>
      </c>
    </row>
    <row r="22" spans="1:12" hidden="1" x14ac:dyDescent="0.25">
      <c r="A22" s="27" t="s">
        <v>22</v>
      </c>
      <c r="B22" s="8">
        <f>SUM(B19:B21)</f>
        <v>5740237898.75</v>
      </c>
      <c r="C22" s="8"/>
      <c r="D22" s="8"/>
      <c r="E22" s="8">
        <f>SUM(E19:E21)</f>
        <v>0</v>
      </c>
      <c r="F22" s="3">
        <f t="shared" si="3"/>
        <v>0</v>
      </c>
      <c r="G22" s="13">
        <f>SUM(G19:G21)</f>
        <v>5740237898.75</v>
      </c>
      <c r="H22" s="5">
        <f t="shared" si="4"/>
        <v>1</v>
      </c>
    </row>
    <row r="23" spans="1:12" hidden="1" x14ac:dyDescent="0.25">
      <c r="A23" s="85" t="s">
        <v>13</v>
      </c>
      <c r="B23" s="122">
        <v>1913412632.9166667</v>
      </c>
      <c r="C23" s="122"/>
      <c r="D23" s="122"/>
      <c r="E23" s="123"/>
      <c r="F23" s="2">
        <f t="shared" si="3"/>
        <v>0</v>
      </c>
      <c r="G23" s="72">
        <f>+B23-E23</f>
        <v>1913412632.9166667</v>
      </c>
      <c r="H23" s="4">
        <f t="shared" si="4"/>
        <v>1</v>
      </c>
    </row>
    <row r="24" spans="1:12" hidden="1" x14ac:dyDescent="0.25">
      <c r="A24" s="85" t="s">
        <v>12</v>
      </c>
      <c r="B24" s="122">
        <v>1913412632.9166667</v>
      </c>
      <c r="C24" s="122"/>
      <c r="D24" s="122"/>
      <c r="E24" s="123"/>
      <c r="F24" s="2">
        <f t="shared" si="3"/>
        <v>0</v>
      </c>
      <c r="G24" s="72">
        <f>+B24-E24</f>
        <v>1913412632.9166667</v>
      </c>
      <c r="H24" s="4">
        <f t="shared" si="4"/>
        <v>1</v>
      </c>
    </row>
    <row r="25" spans="1:12" hidden="1" x14ac:dyDescent="0.25">
      <c r="A25" s="85" t="s">
        <v>11</v>
      </c>
      <c r="B25" s="122">
        <v>1843710155</v>
      </c>
      <c r="C25" s="122"/>
      <c r="D25" s="122"/>
      <c r="E25" s="123"/>
      <c r="F25" s="2">
        <f t="shared" si="3"/>
        <v>0</v>
      </c>
      <c r="G25" s="72">
        <f>+B25-E25</f>
        <v>1843710155</v>
      </c>
      <c r="H25" s="4">
        <f t="shared" si="4"/>
        <v>1</v>
      </c>
    </row>
    <row r="26" spans="1:12" hidden="1" x14ac:dyDescent="0.25">
      <c r="A26" s="85" t="s">
        <v>10</v>
      </c>
      <c r="B26" s="122">
        <v>1913412632.9166667</v>
      </c>
      <c r="C26" s="122"/>
      <c r="D26" s="122"/>
      <c r="E26" s="123"/>
      <c r="F26" s="2">
        <f t="shared" si="3"/>
        <v>0</v>
      </c>
      <c r="G26" s="72">
        <f>+B26-E26</f>
        <v>1913412632.9166667</v>
      </c>
      <c r="H26" s="4">
        <f t="shared" si="4"/>
        <v>1</v>
      </c>
    </row>
    <row r="27" spans="1:12" hidden="1" x14ac:dyDescent="0.25">
      <c r="A27" s="27" t="s">
        <v>14</v>
      </c>
      <c r="B27" s="8">
        <f>SUM(B23:B26)</f>
        <v>7583948053.750001</v>
      </c>
      <c r="C27" s="8"/>
      <c r="D27" s="8"/>
      <c r="E27" s="8">
        <f>SUM(E23:E26)</f>
        <v>0</v>
      </c>
      <c r="F27" s="3">
        <f t="shared" si="3"/>
        <v>0</v>
      </c>
      <c r="G27" s="13">
        <f>SUM(G23:G26)</f>
        <v>7583948053.750001</v>
      </c>
      <c r="H27" s="5">
        <f t="shared" si="4"/>
        <v>1</v>
      </c>
    </row>
    <row r="28" spans="1:12" hidden="1" x14ac:dyDescent="0.25">
      <c r="A28" s="125" t="s">
        <v>23</v>
      </c>
      <c r="B28" s="10">
        <f>+B14+B18+B22+B27</f>
        <v>30763269201.200001</v>
      </c>
      <c r="C28" s="10"/>
      <c r="D28" s="10"/>
      <c r="E28" s="10">
        <f>+E14+E18+E22+E27</f>
        <v>11531785749.059999</v>
      </c>
      <c r="F28" s="17">
        <f t="shared" si="3"/>
        <v>0.37485566548987492</v>
      </c>
      <c r="G28" s="11">
        <f>+G14+G18+G22+G27</f>
        <v>13873469743.330002</v>
      </c>
      <c r="H28" s="17">
        <v>1</v>
      </c>
    </row>
    <row r="29" spans="1:12" x14ac:dyDescent="0.25">
      <c r="A29" s="343" t="s">
        <v>266</v>
      </c>
      <c r="B29" s="343"/>
      <c r="C29" s="343"/>
      <c r="D29" s="343"/>
      <c r="E29" s="343"/>
      <c r="F29" s="343"/>
      <c r="G29" s="343"/>
      <c r="H29" s="343"/>
    </row>
    <row r="30" spans="1:12" ht="12.75" customHeight="1" x14ac:dyDescent="0.25">
      <c r="A30" s="340" t="s">
        <v>265</v>
      </c>
      <c r="B30" s="340"/>
      <c r="C30" s="340"/>
      <c r="D30" s="340"/>
      <c r="E30" s="340"/>
      <c r="F30" s="340"/>
      <c r="G30" s="340"/>
      <c r="H30" s="340"/>
    </row>
    <row r="31" spans="1:12" ht="13.5" customHeight="1" x14ac:dyDescent="0.25">
      <c r="A31" s="340" t="s">
        <v>264</v>
      </c>
      <c r="B31" s="340"/>
      <c r="C31" s="340"/>
      <c r="D31" s="340"/>
      <c r="E31" s="340"/>
      <c r="F31" s="340"/>
      <c r="G31" s="340"/>
      <c r="H31" s="340"/>
      <c r="I31" s="14"/>
      <c r="J31" s="112"/>
    </row>
    <row r="32" spans="1:12" ht="12.75" customHeight="1" x14ac:dyDescent="0.25">
      <c r="A32" s="342" t="s">
        <v>254</v>
      </c>
      <c r="B32" s="342"/>
      <c r="C32" s="342"/>
      <c r="D32" s="342"/>
      <c r="E32" s="342"/>
      <c r="F32" s="342"/>
      <c r="G32" s="342"/>
      <c r="H32" s="342"/>
      <c r="J32" s="33"/>
      <c r="L32" s="14"/>
    </row>
    <row r="33" spans="1:9" x14ac:dyDescent="0.25">
      <c r="A33" s="190"/>
      <c r="B33" s="189"/>
      <c r="C33"/>
      <c r="D33"/>
      <c r="E33"/>
      <c r="F33"/>
      <c r="G33"/>
      <c r="H33"/>
      <c r="I33" s="14"/>
    </row>
    <row r="34" spans="1:9" x14ac:dyDescent="0.25">
      <c r="A34"/>
      <c r="B34"/>
      <c r="C34"/>
      <c r="D34"/>
      <c r="E34"/>
      <c r="F34"/>
      <c r="G34"/>
      <c r="H34"/>
    </row>
    <row r="35" spans="1:9" x14ac:dyDescent="0.25">
      <c r="A35"/>
      <c r="B35"/>
      <c r="C35"/>
      <c r="D35"/>
      <c r="E35"/>
      <c r="F35"/>
      <c r="G35"/>
      <c r="H35"/>
    </row>
    <row r="36" spans="1:9" x14ac:dyDescent="0.25">
      <c r="A36"/>
      <c r="B36"/>
      <c r="C36"/>
      <c r="D36"/>
      <c r="E36"/>
      <c r="F36"/>
      <c r="G36"/>
      <c r="H36"/>
    </row>
    <row r="37" spans="1:9" x14ac:dyDescent="0.25">
      <c r="A37"/>
      <c r="B37"/>
      <c r="C37"/>
      <c r="D37"/>
      <c r="E37"/>
      <c r="F37"/>
      <c r="G37"/>
      <c r="H37"/>
    </row>
    <row r="38" spans="1:9" x14ac:dyDescent="0.25">
      <c r="A38"/>
      <c r="B38"/>
      <c r="C38"/>
      <c r="D38"/>
      <c r="E38"/>
      <c r="F38"/>
      <c r="G38"/>
      <c r="H38"/>
    </row>
    <row r="39" spans="1:9" x14ac:dyDescent="0.25">
      <c r="A39"/>
      <c r="B39"/>
      <c r="C39"/>
      <c r="D39"/>
      <c r="E39"/>
      <c r="F39"/>
      <c r="G39"/>
      <c r="H39"/>
    </row>
    <row r="40" spans="1:9" x14ac:dyDescent="0.25">
      <c r="A40"/>
      <c r="B40"/>
      <c r="C40"/>
      <c r="D40"/>
      <c r="E40"/>
      <c r="F40"/>
      <c r="G40"/>
      <c r="H40"/>
    </row>
    <row r="41" spans="1:9" x14ac:dyDescent="0.25">
      <c r="A41"/>
      <c r="B41"/>
      <c r="C41"/>
      <c r="D41"/>
      <c r="E41"/>
      <c r="F41"/>
      <c r="G41"/>
      <c r="H41"/>
    </row>
    <row r="42" spans="1:9" x14ac:dyDescent="0.25">
      <c r="A42"/>
      <c r="B42"/>
      <c r="C42"/>
      <c r="D42"/>
      <c r="E42"/>
      <c r="F42"/>
      <c r="G42"/>
      <c r="H42"/>
    </row>
    <row r="43" spans="1:9" x14ac:dyDescent="0.25">
      <c r="A43"/>
      <c r="B43"/>
      <c r="C43"/>
      <c r="D43"/>
      <c r="E43"/>
      <c r="F43"/>
      <c r="G43"/>
      <c r="H43"/>
    </row>
    <row r="44" spans="1:9" x14ac:dyDescent="0.25">
      <c r="A44"/>
      <c r="B44"/>
      <c r="C44"/>
      <c r="D44"/>
      <c r="E44"/>
      <c r="F44"/>
      <c r="G44"/>
      <c r="H44"/>
    </row>
    <row r="45" spans="1:9" x14ac:dyDescent="0.25">
      <c r="A45"/>
      <c r="B45"/>
      <c r="C45"/>
      <c r="D45"/>
      <c r="E45"/>
      <c r="F45"/>
      <c r="G45"/>
      <c r="H45"/>
    </row>
    <row r="46" spans="1:9" x14ac:dyDescent="0.25">
      <c r="A46"/>
      <c r="B46"/>
      <c r="C46"/>
      <c r="D46"/>
      <c r="E46"/>
      <c r="F46"/>
      <c r="G46"/>
      <c r="H46"/>
    </row>
    <row r="47" spans="1:9" x14ac:dyDescent="0.25">
      <c r="A47"/>
      <c r="B47"/>
      <c r="C47"/>
      <c r="D47"/>
      <c r="E47"/>
      <c r="F47"/>
      <c r="G47"/>
      <c r="H47"/>
    </row>
    <row r="48" spans="1:9" x14ac:dyDescent="0.25">
      <c r="A48"/>
      <c r="B48"/>
      <c r="C48"/>
      <c r="D48"/>
      <c r="E48"/>
      <c r="F48"/>
      <c r="G48"/>
      <c r="H48"/>
    </row>
    <row r="49" spans="1:9" x14ac:dyDescent="0.25">
      <c r="A49"/>
      <c r="B49"/>
      <c r="C49"/>
      <c r="D49"/>
      <c r="E49"/>
      <c r="F49"/>
      <c r="G49"/>
      <c r="H49"/>
    </row>
    <row r="50" spans="1:9" x14ac:dyDescent="0.25">
      <c r="A50"/>
      <c r="B50"/>
      <c r="C50"/>
      <c r="D50"/>
      <c r="E50"/>
      <c r="F50"/>
      <c r="G50"/>
      <c r="H50"/>
    </row>
    <row r="51" spans="1:9" x14ac:dyDescent="0.25">
      <c r="A51"/>
      <c r="B51"/>
      <c r="C51"/>
      <c r="D51"/>
      <c r="E51"/>
      <c r="F51"/>
      <c r="G51"/>
      <c r="H51"/>
    </row>
    <row r="52" spans="1:9" x14ac:dyDescent="0.25">
      <c r="A52"/>
      <c r="B52"/>
      <c r="C52"/>
      <c r="D52"/>
      <c r="E52"/>
      <c r="F52"/>
      <c r="G52"/>
      <c r="H52"/>
    </row>
    <row r="53" spans="1:9" x14ac:dyDescent="0.25">
      <c r="A53"/>
      <c r="B53"/>
      <c r="C53"/>
      <c r="D53"/>
      <c r="E53"/>
      <c r="F53"/>
      <c r="G53"/>
      <c r="H53"/>
    </row>
    <row r="54" spans="1:9" x14ac:dyDescent="0.25">
      <c r="A54"/>
      <c r="B54"/>
      <c r="C54"/>
      <c r="D54"/>
      <c r="E54"/>
      <c r="F54"/>
      <c r="G54"/>
      <c r="H54"/>
    </row>
    <row r="55" spans="1:9" x14ac:dyDescent="0.25">
      <c r="B55" s="85"/>
      <c r="C55" s="122"/>
      <c r="D55" s="142"/>
      <c r="E55" s="122"/>
      <c r="F55" s="123"/>
      <c r="G55" s="2"/>
      <c r="H55" s="72"/>
      <c r="I55" s="4"/>
    </row>
    <row r="57" spans="1:9" x14ac:dyDescent="0.25">
      <c r="B57" s="85"/>
      <c r="C57" s="142"/>
      <c r="D57" s="122"/>
      <c r="E57" s="122"/>
      <c r="F57" s="123"/>
      <c r="G57" s="2"/>
      <c r="H57" s="115"/>
      <c r="I57" s="4"/>
    </row>
  </sheetData>
  <mergeCells count="17">
    <mergeCell ref="A1:H1"/>
    <mergeCell ref="A2:H2"/>
    <mergeCell ref="A3:H3"/>
    <mergeCell ref="A5:H5"/>
    <mergeCell ref="E7:F8"/>
    <mergeCell ref="G7:H8"/>
    <mergeCell ref="B7:B8"/>
    <mergeCell ref="A7:A8"/>
    <mergeCell ref="A4:H4"/>
    <mergeCell ref="C7:C8"/>
    <mergeCell ref="D7:D8"/>
    <mergeCell ref="B6:D6"/>
    <mergeCell ref="A30:H30"/>
    <mergeCell ref="E6:H6"/>
    <mergeCell ref="A32:H32"/>
    <mergeCell ref="A29:H29"/>
    <mergeCell ref="A31:H31"/>
  </mergeCells>
  <pageMargins left="0.7" right="0.7" top="0.75" bottom="0.75" header="0.3" footer="0.3"/>
  <pageSetup paperSize="9" scale="7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Y65"/>
  <sheetViews>
    <sheetView showGridLines="0" zoomScaleNormal="100" zoomScaleSheetLayoutView="130" workbookViewId="0">
      <selection activeCell="M29" sqref="M29"/>
    </sheetView>
  </sheetViews>
  <sheetFormatPr baseColWidth="10" defaultColWidth="11.42578125" defaultRowHeight="15" x14ac:dyDescent="0.25"/>
  <cols>
    <col min="1" max="1" width="12.28515625" style="1" customWidth="1"/>
    <col min="2" max="2" width="11" style="1" customWidth="1"/>
    <col min="3" max="3" width="11.42578125" style="1" customWidth="1"/>
    <col min="4" max="4" width="17.5703125" style="1" customWidth="1"/>
    <col min="5" max="5" width="11" style="1" customWidth="1"/>
    <col min="6" max="6" width="10.140625" style="1" customWidth="1"/>
    <col min="7" max="7" width="15.5703125" style="1" customWidth="1"/>
    <col min="8" max="8" width="11.28515625" style="1" customWidth="1"/>
    <col min="9" max="9" width="11.7109375" style="1" customWidth="1"/>
    <col min="10" max="10" width="17.140625" style="1" customWidth="1"/>
    <col min="11" max="11" width="10.7109375" style="1" customWidth="1"/>
    <col min="12" max="12" width="10.28515625" style="1" customWidth="1"/>
    <col min="13" max="13" width="17.7109375" style="1" bestFit="1" customWidth="1"/>
    <col min="14" max="14" width="11" style="1" customWidth="1"/>
    <col min="15" max="15" width="15.42578125" style="1" hidden="1" customWidth="1"/>
    <col min="16" max="16" width="16.42578125" style="1" hidden="1" customWidth="1"/>
    <col min="17" max="17" width="14.7109375" style="1" hidden="1" customWidth="1"/>
    <col min="18" max="18" width="17.7109375" style="1" hidden="1" customWidth="1"/>
    <col min="19" max="19" width="16.7109375" style="1" hidden="1" customWidth="1"/>
    <col min="20" max="20" width="12.28515625" style="1" hidden="1" customWidth="1"/>
    <col min="21" max="21" width="17.7109375" style="1" hidden="1" customWidth="1"/>
    <col min="22" max="22" width="0" style="1" hidden="1" customWidth="1"/>
    <col min="23" max="16384" width="11.42578125" style="1"/>
  </cols>
  <sheetData>
    <row r="1" spans="1:25" x14ac:dyDescent="0.25">
      <c r="A1" s="332" t="s">
        <v>0</v>
      </c>
      <c r="B1" s="332"/>
      <c r="C1" s="332"/>
      <c r="D1" s="332"/>
      <c r="E1" s="332"/>
      <c r="F1" s="332"/>
      <c r="G1" s="332"/>
      <c r="H1" s="332"/>
      <c r="I1" s="332"/>
      <c r="J1" s="332"/>
      <c r="K1" s="332"/>
      <c r="L1" s="332"/>
      <c r="M1" s="332"/>
      <c r="N1" s="22"/>
    </row>
    <row r="2" spans="1:25" x14ac:dyDescent="0.25">
      <c r="A2" s="332" t="s">
        <v>62</v>
      </c>
      <c r="B2" s="332"/>
      <c r="C2" s="332"/>
      <c r="D2" s="332"/>
      <c r="E2" s="332"/>
      <c r="F2" s="332"/>
      <c r="G2" s="332"/>
      <c r="H2" s="332"/>
      <c r="I2" s="332"/>
      <c r="J2" s="332"/>
      <c r="K2" s="332"/>
      <c r="L2" s="332"/>
      <c r="M2" s="332"/>
    </row>
    <row r="3" spans="1:25" x14ac:dyDescent="0.25">
      <c r="A3" s="332" t="s">
        <v>70</v>
      </c>
      <c r="B3" s="332"/>
      <c r="C3" s="332"/>
      <c r="D3" s="332"/>
      <c r="E3" s="332"/>
      <c r="F3" s="332"/>
      <c r="G3" s="332"/>
      <c r="H3" s="332"/>
      <c r="I3" s="332"/>
      <c r="J3" s="332"/>
      <c r="K3" s="332"/>
      <c r="L3" s="332"/>
      <c r="M3" s="332"/>
    </row>
    <row r="4" spans="1:25" x14ac:dyDescent="0.25">
      <c r="A4" s="332" t="s">
        <v>240</v>
      </c>
      <c r="B4" s="332"/>
      <c r="C4" s="332"/>
      <c r="D4" s="332"/>
      <c r="E4" s="332"/>
      <c r="F4" s="332"/>
      <c r="G4" s="332"/>
      <c r="H4" s="332"/>
      <c r="I4" s="332"/>
      <c r="J4" s="332"/>
      <c r="K4" s="332"/>
      <c r="L4" s="332"/>
      <c r="M4" s="332"/>
    </row>
    <row r="5" spans="1:25" x14ac:dyDescent="0.25">
      <c r="A5" s="332" t="s">
        <v>262</v>
      </c>
      <c r="B5" s="332"/>
      <c r="C5" s="332"/>
      <c r="D5" s="332"/>
      <c r="E5" s="332"/>
      <c r="F5" s="332"/>
      <c r="G5" s="332"/>
      <c r="H5" s="332"/>
      <c r="I5" s="332"/>
      <c r="J5" s="332"/>
      <c r="K5" s="332"/>
      <c r="L5" s="332"/>
      <c r="M5" s="332"/>
    </row>
    <row r="6" spans="1:25" x14ac:dyDescent="0.25">
      <c r="A6"/>
      <c r="B6" s="346" t="s">
        <v>268</v>
      </c>
      <c r="C6" s="346"/>
      <c r="D6" s="346"/>
      <c r="E6" s="349" t="s">
        <v>269</v>
      </c>
      <c r="F6" s="349"/>
      <c r="G6" s="349"/>
      <c r="H6" s="347" t="s">
        <v>73</v>
      </c>
      <c r="I6" s="347"/>
      <c r="J6" s="347"/>
      <c r="K6" s="348" t="s">
        <v>74</v>
      </c>
      <c r="L6" s="348"/>
      <c r="M6" s="348"/>
    </row>
    <row r="7" spans="1:25" ht="25.5" x14ac:dyDescent="0.25">
      <c r="A7" s="43" t="s">
        <v>3</v>
      </c>
      <c r="B7" s="45" t="s">
        <v>75</v>
      </c>
      <c r="C7" s="45" t="s">
        <v>76</v>
      </c>
      <c r="D7" s="45" t="s">
        <v>7</v>
      </c>
      <c r="E7" s="45" t="s">
        <v>75</v>
      </c>
      <c r="F7" s="45" t="s">
        <v>76</v>
      </c>
      <c r="G7" s="45" t="s">
        <v>7</v>
      </c>
      <c r="H7" s="45" t="s">
        <v>75</v>
      </c>
      <c r="I7" s="45" t="s">
        <v>76</v>
      </c>
      <c r="J7" s="45" t="s">
        <v>7</v>
      </c>
      <c r="K7" s="45" t="s">
        <v>75</v>
      </c>
      <c r="L7" s="45" t="s">
        <v>76</v>
      </c>
      <c r="M7" s="45" t="s">
        <v>7</v>
      </c>
    </row>
    <row r="8" spans="1:25" s="176" customFormat="1" ht="15.75" hidden="1" customHeight="1" x14ac:dyDescent="0.25">
      <c r="A8" s="177" t="s">
        <v>10</v>
      </c>
      <c r="B8" s="178"/>
      <c r="C8" s="175"/>
      <c r="D8" s="225"/>
      <c r="E8" s="174"/>
      <c r="F8" s="174"/>
      <c r="G8" s="226"/>
      <c r="H8" s="173"/>
      <c r="I8" s="174"/>
      <c r="J8" s="226"/>
      <c r="K8" s="179">
        <f>+H8+E8+B8</f>
        <v>0</v>
      </c>
      <c r="L8" s="179">
        <f>+C8+F8+I8</f>
        <v>0</v>
      </c>
      <c r="M8" s="227">
        <f>+D8+G8+J8</f>
        <v>0</v>
      </c>
    </row>
    <row r="9" spans="1:25" x14ac:dyDescent="0.25">
      <c r="A9" s="44" t="s">
        <v>243</v>
      </c>
      <c r="B9" s="305">
        <v>154605</v>
      </c>
      <c r="C9" s="305">
        <v>167358</v>
      </c>
      <c r="D9" s="306">
        <v>2740935266.9699998</v>
      </c>
      <c r="E9" s="305">
        <v>51921</v>
      </c>
      <c r="F9" s="305">
        <v>51921</v>
      </c>
      <c r="G9" s="306">
        <v>311526000</v>
      </c>
      <c r="H9" s="305">
        <v>25676</v>
      </c>
      <c r="I9" s="305">
        <v>25769</v>
      </c>
      <c r="J9" s="306">
        <v>774621811.48000002</v>
      </c>
      <c r="K9" s="308">
        <v>232202</v>
      </c>
      <c r="L9" s="309">
        <v>245048</v>
      </c>
      <c r="M9" s="311">
        <v>3827083078.4499998</v>
      </c>
      <c r="U9" s="105">
        <f>+U29/1000000</f>
        <v>5352.0257452000005</v>
      </c>
    </row>
    <row r="10" spans="1:25" x14ac:dyDescent="0.25">
      <c r="A10" s="44" t="s">
        <v>239</v>
      </c>
      <c r="B10" s="305">
        <v>154080</v>
      </c>
      <c r="C10" s="307">
        <v>166856</v>
      </c>
      <c r="D10" s="306">
        <v>2727407777.1700001</v>
      </c>
      <c r="E10" s="305">
        <v>52014</v>
      </c>
      <c r="F10" s="305">
        <v>52014</v>
      </c>
      <c r="G10" s="306">
        <v>312084000</v>
      </c>
      <c r="H10" s="305">
        <v>25651</v>
      </c>
      <c r="I10" s="305">
        <v>25744</v>
      </c>
      <c r="J10" s="306">
        <v>772227644.54999995</v>
      </c>
      <c r="K10" s="308">
        <v>231745</v>
      </c>
      <c r="L10" s="309">
        <v>244614</v>
      </c>
      <c r="M10" s="310">
        <v>3811719421.7200003</v>
      </c>
      <c r="Q10" s="35">
        <f>+L9-L10</f>
        <v>434</v>
      </c>
    </row>
    <row r="11" spans="1:25" x14ac:dyDescent="0.25">
      <c r="A11" s="44" t="s">
        <v>241</v>
      </c>
      <c r="B11" s="305">
        <v>153429</v>
      </c>
      <c r="C11" s="305">
        <v>166208</v>
      </c>
      <c r="D11" s="306">
        <v>2713401144.29</v>
      </c>
      <c r="E11" s="305">
        <v>52012</v>
      </c>
      <c r="F11" s="305">
        <v>52012</v>
      </c>
      <c r="G11" s="306">
        <v>312072000</v>
      </c>
      <c r="H11" s="305">
        <v>25420</v>
      </c>
      <c r="I11" s="305">
        <v>25516</v>
      </c>
      <c r="J11" s="306">
        <v>757879239.37</v>
      </c>
      <c r="K11" s="308">
        <v>230861</v>
      </c>
      <c r="L11" s="309">
        <v>243736</v>
      </c>
      <c r="M11" s="310">
        <v>3783352383.6599998</v>
      </c>
      <c r="S11" s="33"/>
      <c r="V11" s="1">
        <f>+U29/1000000</f>
        <v>5352.0257452000005</v>
      </c>
      <c r="X11" s="331"/>
      <c r="Y11" s="35"/>
    </row>
    <row r="12" spans="1:25" x14ac:dyDescent="0.25">
      <c r="A12" s="27" t="s">
        <v>248</v>
      </c>
      <c r="B12" s="39" cm="1">
        <f t="array" ref="B12:B14">+B9:B11</f>
        <v>154605</v>
      </c>
      <c r="C12" s="39" cm="1">
        <f t="array" ref="C12:C14">+C9:C11</f>
        <v>167358</v>
      </c>
      <c r="D12" s="229">
        <f>SUM(D8:D11)</f>
        <v>8181744188.4299994</v>
      </c>
      <c r="E12" s="39" cm="1">
        <f t="array" ref="E12:E14">+E9:E11</f>
        <v>51921</v>
      </c>
      <c r="F12" s="39" cm="1">
        <f t="array" ref="F12:F14">+F9:F11</f>
        <v>51921</v>
      </c>
      <c r="G12" s="229">
        <f>SUM(G8:G11)</f>
        <v>935682000</v>
      </c>
      <c r="H12" s="39">
        <f>H9</f>
        <v>25676</v>
      </c>
      <c r="I12" s="39">
        <f>I9</f>
        <v>25769</v>
      </c>
      <c r="J12" s="230">
        <f>SUM(J8:J11)</f>
        <v>2304728695.4000001</v>
      </c>
      <c r="K12" s="39">
        <f>K9</f>
        <v>232202</v>
      </c>
      <c r="L12" s="39">
        <f>L9</f>
        <v>245048</v>
      </c>
      <c r="M12" s="230">
        <f>SUM(M8:M11)</f>
        <v>11422154883.83</v>
      </c>
      <c r="S12" s="345" t="s">
        <v>44</v>
      </c>
      <c r="T12" s="345"/>
      <c r="U12" s="345"/>
      <c r="X12" s="331"/>
      <c r="Y12" s="35"/>
    </row>
    <row r="13" spans="1:25" hidden="1" x14ac:dyDescent="0.25">
      <c r="A13" s="44" t="s">
        <v>15</v>
      </c>
      <c r="B13" s="143">
        <v>154080</v>
      </c>
      <c r="C13" s="114">
        <v>166856</v>
      </c>
      <c r="D13" s="114">
        <f>SUM(D8:D10)</f>
        <v>5468343044.1399994</v>
      </c>
      <c r="E13" s="114">
        <v>52014</v>
      </c>
      <c r="F13" s="114">
        <v>52014</v>
      </c>
      <c r="G13" s="114">
        <f>SUM(G8:G10)</f>
        <v>623610000</v>
      </c>
      <c r="H13" s="114"/>
      <c r="I13" s="114"/>
      <c r="J13" s="114">
        <f>SUM(J8:J10)</f>
        <v>1546849456.03</v>
      </c>
      <c r="K13" s="39">
        <f t="shared" ref="K13:K26" si="0">+K12</f>
        <v>232202</v>
      </c>
      <c r="L13" s="38">
        <f t="shared" ref="L13:M15" si="1">+C13+I13+F13</f>
        <v>218870</v>
      </c>
      <c r="M13" s="37">
        <f t="shared" si="1"/>
        <v>7638802500.1699991</v>
      </c>
    </row>
    <row r="14" spans="1:25" hidden="1" x14ac:dyDescent="0.25">
      <c r="A14" s="44" t="s">
        <v>16</v>
      </c>
      <c r="B14" s="143">
        <v>153429</v>
      </c>
      <c r="C14" s="144">
        <v>166208</v>
      </c>
      <c r="D14" s="114"/>
      <c r="E14" s="114">
        <v>52012</v>
      </c>
      <c r="F14" s="114">
        <v>52012</v>
      </c>
      <c r="G14" s="114"/>
      <c r="H14" s="114"/>
      <c r="I14" s="114"/>
      <c r="J14" s="114"/>
      <c r="K14" s="39">
        <f t="shared" si="0"/>
        <v>232202</v>
      </c>
      <c r="L14" s="38">
        <f t="shared" si="1"/>
        <v>218220</v>
      </c>
      <c r="M14" s="37">
        <f t="shared" si="1"/>
        <v>0</v>
      </c>
    </row>
    <row r="15" spans="1:25" hidden="1" x14ac:dyDescent="0.25">
      <c r="A15" s="44" t="s">
        <v>17</v>
      </c>
      <c r="B15" s="143"/>
      <c r="C15" s="114"/>
      <c r="D15" s="114"/>
      <c r="E15" s="114"/>
      <c r="F15" s="114"/>
      <c r="G15" s="114"/>
      <c r="H15" s="114"/>
      <c r="I15" s="114"/>
      <c r="J15" s="114"/>
      <c r="K15" s="39">
        <f t="shared" si="0"/>
        <v>232202</v>
      </c>
      <c r="L15" s="38">
        <f t="shared" si="1"/>
        <v>0</v>
      </c>
      <c r="M15" s="37">
        <f t="shared" si="1"/>
        <v>0</v>
      </c>
      <c r="Q15" s="35">
        <f>+M9-M10</f>
        <v>15363656.729999542</v>
      </c>
      <c r="S15" s="33"/>
    </row>
    <row r="16" spans="1:25" hidden="1" x14ac:dyDescent="0.25">
      <c r="A16" s="27" t="s">
        <v>18</v>
      </c>
      <c r="B16" s="39">
        <f>+B15</f>
        <v>0</v>
      </c>
      <c r="C16" s="39">
        <f>+C15</f>
        <v>0</v>
      </c>
      <c r="D16" s="39">
        <f>+SUM(D13:D15)</f>
        <v>5468343044.1399994</v>
      </c>
      <c r="E16" s="39">
        <f>+E15</f>
        <v>0</v>
      </c>
      <c r="F16" s="39">
        <f>+F15</f>
        <v>0</v>
      </c>
      <c r="G16" s="39">
        <f>+SUM(G13:G15)</f>
        <v>623610000</v>
      </c>
      <c r="H16" s="39">
        <f>+H15</f>
        <v>0</v>
      </c>
      <c r="I16" s="39">
        <f>+I15</f>
        <v>0</v>
      </c>
      <c r="J16" s="39">
        <f>+SUM(J13:J15)</f>
        <v>1546849456.03</v>
      </c>
      <c r="K16" s="39">
        <f t="shared" si="0"/>
        <v>232202</v>
      </c>
      <c r="L16" s="40">
        <f>+L15</f>
        <v>0</v>
      </c>
      <c r="M16" s="39">
        <f>+SUM(M13:M15)</f>
        <v>7638802500.1699991</v>
      </c>
    </row>
    <row r="17" spans="1:25" hidden="1" x14ac:dyDescent="0.25">
      <c r="A17" s="44" t="s">
        <v>34</v>
      </c>
      <c r="B17" s="143"/>
      <c r="C17" s="114"/>
      <c r="D17" s="114"/>
      <c r="E17" s="114"/>
      <c r="F17" s="114"/>
      <c r="G17" s="114"/>
      <c r="H17" s="114"/>
      <c r="I17" s="114"/>
      <c r="J17" s="114"/>
      <c r="K17" s="39">
        <f t="shared" si="0"/>
        <v>232202</v>
      </c>
      <c r="L17" s="38">
        <f t="shared" ref="L17:M19" si="2">+C17+I17+F17</f>
        <v>0</v>
      </c>
      <c r="M17" s="37">
        <f t="shared" si="2"/>
        <v>0</v>
      </c>
    </row>
    <row r="18" spans="1:25" hidden="1" x14ac:dyDescent="0.25">
      <c r="A18" s="44" t="s">
        <v>20</v>
      </c>
      <c r="B18" s="143"/>
      <c r="C18" s="144"/>
      <c r="D18" s="114"/>
      <c r="E18" s="114"/>
      <c r="F18" s="114"/>
      <c r="G18" s="114"/>
      <c r="H18" s="114"/>
      <c r="I18" s="114"/>
      <c r="J18" s="114"/>
      <c r="K18" s="39">
        <f t="shared" si="0"/>
        <v>232202</v>
      </c>
      <c r="L18" s="38">
        <f t="shared" si="2"/>
        <v>0</v>
      </c>
      <c r="M18" s="37">
        <f t="shared" si="2"/>
        <v>0</v>
      </c>
    </row>
    <row r="19" spans="1:25" hidden="1" x14ac:dyDescent="0.25">
      <c r="A19" s="44" t="s">
        <v>21</v>
      </c>
      <c r="B19" s="143"/>
      <c r="C19" s="114"/>
      <c r="D19" s="114"/>
      <c r="E19" s="114"/>
      <c r="F19" s="114"/>
      <c r="G19" s="114"/>
      <c r="H19" s="114"/>
      <c r="I19" s="114"/>
      <c r="J19" s="114"/>
      <c r="K19" s="39">
        <f t="shared" si="0"/>
        <v>232202</v>
      </c>
      <c r="L19" s="38">
        <f t="shared" si="2"/>
        <v>0</v>
      </c>
      <c r="M19" s="37">
        <f t="shared" si="2"/>
        <v>0</v>
      </c>
      <c r="S19" s="33"/>
    </row>
    <row r="20" spans="1:25" hidden="1" x14ac:dyDescent="0.25">
      <c r="A20" s="27" t="s">
        <v>22</v>
      </c>
      <c r="B20" s="39">
        <f>+B19</f>
        <v>0</v>
      </c>
      <c r="C20" s="39">
        <f>+C19</f>
        <v>0</v>
      </c>
      <c r="D20" s="39">
        <f>+SUM(D17:D19)</f>
        <v>0</v>
      </c>
      <c r="E20" s="39">
        <f>+E19</f>
        <v>0</v>
      </c>
      <c r="F20" s="39">
        <f>+F19</f>
        <v>0</v>
      </c>
      <c r="G20" s="39">
        <f>+SUM(G17:G19)</f>
        <v>0</v>
      </c>
      <c r="H20" s="39">
        <f>+H19</f>
        <v>0</v>
      </c>
      <c r="I20" s="39">
        <f>+I19</f>
        <v>0</v>
      </c>
      <c r="J20" s="39">
        <f>+SUM(J17:J19)</f>
        <v>0</v>
      </c>
      <c r="K20" s="39">
        <f t="shared" si="0"/>
        <v>232202</v>
      </c>
      <c r="L20" s="40">
        <f>+L19</f>
        <v>0</v>
      </c>
      <c r="M20" s="39">
        <f>+SUM(M17:M19)</f>
        <v>0</v>
      </c>
    </row>
    <row r="21" spans="1:25" hidden="1" x14ac:dyDescent="0.25">
      <c r="A21" s="44" t="s">
        <v>13</v>
      </c>
      <c r="B21" s="143"/>
      <c r="C21" s="114"/>
      <c r="D21" s="114"/>
      <c r="E21" s="114"/>
      <c r="F21" s="114"/>
      <c r="G21" s="114"/>
      <c r="H21" s="114"/>
      <c r="I21" s="114"/>
      <c r="J21" s="114"/>
      <c r="K21" s="39">
        <f t="shared" si="0"/>
        <v>232202</v>
      </c>
      <c r="L21" s="38">
        <f t="shared" ref="L21:M24" si="3">+C21+I21+F21</f>
        <v>0</v>
      </c>
      <c r="M21" s="37">
        <f t="shared" si="3"/>
        <v>0</v>
      </c>
    </row>
    <row r="22" spans="1:25" hidden="1" x14ac:dyDescent="0.25">
      <c r="A22" s="44" t="s">
        <v>12</v>
      </c>
      <c r="B22" s="143"/>
      <c r="C22" s="144"/>
      <c r="D22" s="114"/>
      <c r="E22" s="114"/>
      <c r="F22" s="114"/>
      <c r="G22" s="114"/>
      <c r="H22" s="114"/>
      <c r="I22" s="114"/>
      <c r="J22" s="114"/>
      <c r="K22" s="39">
        <f t="shared" si="0"/>
        <v>232202</v>
      </c>
      <c r="L22" s="38">
        <f t="shared" si="3"/>
        <v>0</v>
      </c>
      <c r="M22" s="37">
        <f t="shared" si="3"/>
        <v>0</v>
      </c>
    </row>
    <row r="23" spans="1:25" hidden="1" x14ac:dyDescent="0.25">
      <c r="A23" s="44" t="s">
        <v>11</v>
      </c>
      <c r="B23" s="143"/>
      <c r="C23" s="114"/>
      <c r="D23" s="114"/>
      <c r="E23" s="114"/>
      <c r="F23" s="114"/>
      <c r="G23" s="114"/>
      <c r="H23" s="114"/>
      <c r="I23" s="114"/>
      <c r="J23" s="114"/>
      <c r="K23" s="39">
        <f t="shared" si="0"/>
        <v>232202</v>
      </c>
      <c r="L23" s="38">
        <f t="shared" si="3"/>
        <v>0</v>
      </c>
      <c r="M23" s="37">
        <f t="shared" si="3"/>
        <v>0</v>
      </c>
      <c r="S23" s="33"/>
    </row>
    <row r="24" spans="1:25" hidden="1" x14ac:dyDescent="0.25">
      <c r="A24" s="44" t="s">
        <v>10</v>
      </c>
      <c r="B24" s="143"/>
      <c r="C24" s="114"/>
      <c r="D24" s="114"/>
      <c r="E24" s="114"/>
      <c r="F24" s="114"/>
      <c r="G24" s="114"/>
      <c r="H24" s="114"/>
      <c r="I24" s="114"/>
      <c r="J24" s="114"/>
      <c r="K24" s="39">
        <f t="shared" si="0"/>
        <v>232202</v>
      </c>
      <c r="L24" s="38">
        <f t="shared" si="3"/>
        <v>0</v>
      </c>
      <c r="M24" s="37">
        <f t="shared" si="3"/>
        <v>0</v>
      </c>
    </row>
    <row r="25" spans="1:25" hidden="1" x14ac:dyDescent="0.25">
      <c r="A25" s="27" t="s">
        <v>14</v>
      </c>
      <c r="B25" s="39">
        <f>+B24</f>
        <v>0</v>
      </c>
      <c r="C25" s="39">
        <f>+C24</f>
        <v>0</v>
      </c>
      <c r="D25" s="39">
        <f>+SUM(D21:D24)</f>
        <v>0</v>
      </c>
      <c r="E25" s="39">
        <f>+E24</f>
        <v>0</v>
      </c>
      <c r="F25" s="39">
        <f>+F24</f>
        <v>0</v>
      </c>
      <c r="G25" s="39">
        <f>+SUM(G21:G24)</f>
        <v>0</v>
      </c>
      <c r="H25" s="39">
        <f>+H24</f>
        <v>0</v>
      </c>
      <c r="I25" s="39">
        <f>+I24</f>
        <v>0</v>
      </c>
      <c r="J25" s="39">
        <f>+SUM(J21:J24)</f>
        <v>0</v>
      </c>
      <c r="K25" s="39">
        <f t="shared" si="0"/>
        <v>232202</v>
      </c>
      <c r="L25" s="40">
        <f>+L24</f>
        <v>0</v>
      </c>
      <c r="M25" s="39">
        <f>+SUM(M21:M24)</f>
        <v>0</v>
      </c>
    </row>
    <row r="26" spans="1:25" hidden="1" x14ac:dyDescent="0.25">
      <c r="A26" s="28" t="s">
        <v>23</v>
      </c>
      <c r="B26" s="41">
        <f>+B25</f>
        <v>0</v>
      </c>
      <c r="C26" s="41">
        <f>+C25</f>
        <v>0</v>
      </c>
      <c r="D26" s="41">
        <f>+D12+D16+D20+D25</f>
        <v>13650087232.57</v>
      </c>
      <c r="E26" s="41">
        <f>+E25</f>
        <v>0</v>
      </c>
      <c r="F26" s="41">
        <f>+F25</f>
        <v>0</v>
      </c>
      <c r="G26" s="41">
        <f>+G12+G16+G20+G25</f>
        <v>1559292000</v>
      </c>
      <c r="H26" s="41">
        <f>+H25</f>
        <v>0</v>
      </c>
      <c r="I26" s="41">
        <f>+I25</f>
        <v>0</v>
      </c>
      <c r="J26" s="41">
        <f>+J12+J16+J20+J25</f>
        <v>3851578151.4300003</v>
      </c>
      <c r="K26" s="39">
        <f t="shared" si="0"/>
        <v>232202</v>
      </c>
      <c r="L26" s="42">
        <f>+L25</f>
        <v>0</v>
      </c>
      <c r="M26" s="41">
        <f>+M12+M16+M20+M25</f>
        <v>19060957384</v>
      </c>
    </row>
    <row r="27" spans="1:25" x14ac:dyDescent="0.25">
      <c r="A27" s="127" t="s">
        <v>267</v>
      </c>
      <c r="B27" s="189"/>
      <c r="C27"/>
      <c r="D27" s="330">
        <f>D12/M12</f>
        <v>0.71630478413601695</v>
      </c>
      <c r="E27"/>
      <c r="F27"/>
      <c r="G27" s="330">
        <f>G12/M12</f>
        <v>8.1918167764001931E-2</v>
      </c>
      <c r="H27"/>
      <c r="I27"/>
      <c r="J27" s="134">
        <f>J12/M12</f>
        <v>0.20177704809998112</v>
      </c>
      <c r="K27"/>
      <c r="L27"/>
      <c r="M27"/>
      <c r="P27" s="1" t="s">
        <v>77</v>
      </c>
      <c r="Q27" s="34" t="s">
        <v>78</v>
      </c>
      <c r="R27" s="76" t="s">
        <v>7</v>
      </c>
      <c r="S27" s="34" t="s">
        <v>79</v>
      </c>
      <c r="T27" s="76" t="s">
        <v>78</v>
      </c>
      <c r="U27" s="1" t="s">
        <v>7</v>
      </c>
      <c r="Y27" s="35"/>
    </row>
    <row r="28" spans="1:25" x14ac:dyDescent="0.25">
      <c r="A28"/>
      <c r="B28"/>
      <c r="C28"/>
      <c r="D28"/>
      <c r="E28"/>
      <c r="F28"/>
      <c r="G28"/>
      <c r="H28"/>
      <c r="I28"/>
      <c r="J28"/>
      <c r="K28"/>
      <c r="L28"/>
      <c r="M28"/>
      <c r="Q28" s="74"/>
      <c r="R28" s="36"/>
      <c r="S28" s="75">
        <v>145883</v>
      </c>
      <c r="T28" s="14">
        <v>158341</v>
      </c>
      <c r="U28" s="14">
        <v>6070129138.6299992</v>
      </c>
      <c r="Y28" s="83"/>
    </row>
    <row r="29" spans="1:25" x14ac:dyDescent="0.25">
      <c r="A29"/>
      <c r="B29"/>
      <c r="C29"/>
      <c r="D29"/>
      <c r="E29"/>
      <c r="F29"/>
      <c r="G29"/>
      <c r="H29"/>
      <c r="I29"/>
      <c r="J29"/>
      <c r="K29"/>
      <c r="L29"/>
      <c r="M29"/>
      <c r="Q29" s="81"/>
      <c r="R29" s="81"/>
      <c r="S29" s="35">
        <f>+K12-S28</f>
        <v>86319</v>
      </c>
      <c r="T29" s="35">
        <f>+L12-T28</f>
        <v>86707</v>
      </c>
      <c r="U29" s="35">
        <f>+M12-U28</f>
        <v>5352025745.2000008</v>
      </c>
    </row>
    <row r="30" spans="1:25" x14ac:dyDescent="0.25">
      <c r="A30"/>
      <c r="B30"/>
      <c r="C30"/>
      <c r="D30"/>
      <c r="E30"/>
      <c r="F30"/>
      <c r="G30"/>
      <c r="H30"/>
      <c r="I30"/>
      <c r="J30"/>
      <c r="K30"/>
      <c r="L30"/>
      <c r="M30"/>
      <c r="R30" s="36"/>
    </row>
    <row r="31" spans="1:25" x14ac:dyDescent="0.25">
      <c r="A31"/>
      <c r="B31"/>
      <c r="C31"/>
      <c r="D31"/>
      <c r="E31"/>
      <c r="F31"/>
      <c r="G31"/>
      <c r="H31"/>
      <c r="I31"/>
      <c r="J31"/>
      <c r="K31"/>
      <c r="L31"/>
      <c r="M31"/>
      <c r="X31" s="331"/>
      <c r="Y31" s="35"/>
    </row>
    <row r="32" spans="1:25" x14ac:dyDescent="0.25">
      <c r="A32"/>
      <c r="B32"/>
      <c r="C32"/>
      <c r="D32"/>
      <c r="E32"/>
      <c r="F32"/>
      <c r="G32"/>
      <c r="H32"/>
      <c r="I32"/>
      <c r="J32"/>
      <c r="K32"/>
      <c r="L32"/>
      <c r="M32"/>
      <c r="S32" s="83">
        <f>+(K12-S28)/S28</f>
        <v>0.59170019810396002</v>
      </c>
      <c r="T32" s="83">
        <f>+(L12-T28)/T28</f>
        <v>0.54759664268888031</v>
      </c>
      <c r="U32" s="83">
        <f>+(M12-U28)/U28</f>
        <v>0.88169882764766494</v>
      </c>
      <c r="X32" s="331"/>
      <c r="Y32" s="35"/>
    </row>
    <row r="33" spans="1:25" x14ac:dyDescent="0.25">
      <c r="A33"/>
      <c r="B33"/>
      <c r="C33"/>
      <c r="D33"/>
      <c r="E33"/>
      <c r="F33"/>
      <c r="G33"/>
      <c r="H33"/>
      <c r="I33"/>
      <c r="J33"/>
      <c r="K33"/>
      <c r="L33"/>
      <c r="M33"/>
      <c r="Y33" s="35"/>
    </row>
    <row r="34" spans="1:25" x14ac:dyDescent="0.25">
      <c r="A34"/>
      <c r="B34"/>
      <c r="C34"/>
      <c r="D34"/>
      <c r="E34"/>
      <c r="F34"/>
      <c r="G34"/>
      <c r="H34"/>
      <c r="I34"/>
      <c r="J34"/>
      <c r="K34"/>
      <c r="L34"/>
      <c r="M34"/>
      <c r="Y34" s="83"/>
    </row>
    <row r="35" spans="1:25" x14ac:dyDescent="0.25">
      <c r="A35"/>
      <c r="B35"/>
      <c r="C35"/>
      <c r="D35"/>
      <c r="E35"/>
      <c r="F35"/>
      <c r="G35"/>
      <c r="H35"/>
      <c r="I35"/>
      <c r="J35"/>
      <c r="K35"/>
      <c r="L35"/>
      <c r="M35"/>
      <c r="S35" s="1" t="s">
        <v>80</v>
      </c>
    </row>
    <row r="36" spans="1:25" x14ac:dyDescent="0.25">
      <c r="A36"/>
      <c r="B36"/>
      <c r="C36"/>
      <c r="D36"/>
      <c r="E36"/>
      <c r="F36"/>
      <c r="G36"/>
      <c r="H36"/>
      <c r="I36"/>
      <c r="J36"/>
      <c r="K36"/>
      <c r="L36"/>
      <c r="M36"/>
      <c r="S36" s="112" t="s">
        <v>79</v>
      </c>
      <c r="T36" s="112" t="s">
        <v>78</v>
      </c>
      <c r="U36" s="112" t="s">
        <v>7</v>
      </c>
    </row>
    <row r="37" spans="1:25" x14ac:dyDescent="0.25">
      <c r="A37"/>
      <c r="B37"/>
      <c r="C37"/>
      <c r="D37"/>
      <c r="E37"/>
      <c r="F37"/>
      <c r="G37"/>
      <c r="H37"/>
      <c r="I37"/>
      <c r="J37"/>
      <c r="K37"/>
      <c r="L37"/>
      <c r="M37"/>
      <c r="S37" s="112">
        <v>139458</v>
      </c>
      <c r="T37" s="112">
        <v>151810</v>
      </c>
      <c r="U37" s="112">
        <v>5844095640.5</v>
      </c>
    </row>
    <row r="38" spans="1:25" x14ac:dyDescent="0.25">
      <c r="A38"/>
      <c r="B38"/>
      <c r="C38"/>
      <c r="D38"/>
      <c r="E38"/>
      <c r="F38"/>
      <c r="G38"/>
      <c r="H38"/>
      <c r="I38"/>
      <c r="J38"/>
      <c r="K38"/>
      <c r="L38"/>
      <c r="M38"/>
      <c r="S38" s="112">
        <f>K12-S37</f>
        <v>92744</v>
      </c>
      <c r="T38" s="112">
        <f>L12-T37</f>
        <v>93238</v>
      </c>
      <c r="U38" s="112">
        <f>M12-U37</f>
        <v>5578059243.3299999</v>
      </c>
    </row>
    <row r="39" spans="1:25" x14ac:dyDescent="0.25">
      <c r="A39"/>
      <c r="B39"/>
      <c r="C39"/>
      <c r="D39"/>
      <c r="E39"/>
      <c r="F39"/>
      <c r="G39"/>
      <c r="H39"/>
      <c r="I39"/>
      <c r="J39"/>
      <c r="K39"/>
      <c r="L39"/>
      <c r="M39"/>
      <c r="S39" s="112"/>
      <c r="T39" s="112"/>
      <c r="U39" s="112"/>
    </row>
    <row r="40" spans="1:25" x14ac:dyDescent="0.25">
      <c r="A40"/>
      <c r="B40"/>
      <c r="C40"/>
      <c r="D40"/>
      <c r="E40"/>
      <c r="F40"/>
      <c r="G40"/>
      <c r="H40"/>
      <c r="I40"/>
      <c r="J40"/>
      <c r="K40"/>
      <c r="L40"/>
      <c r="M40"/>
      <c r="S40" s="112"/>
      <c r="T40" s="112"/>
      <c r="U40" s="112"/>
    </row>
    <row r="41" spans="1:25" x14ac:dyDescent="0.25">
      <c r="A41"/>
      <c r="B41"/>
      <c r="C41"/>
      <c r="D41"/>
      <c r="E41"/>
      <c r="F41"/>
      <c r="G41"/>
      <c r="H41"/>
      <c r="I41"/>
      <c r="J41"/>
      <c r="K41"/>
      <c r="L41"/>
      <c r="M41"/>
      <c r="S41" s="83">
        <f>+(K12-S37)/S37</f>
        <v>0.66503176583630919</v>
      </c>
      <c r="T41" s="83">
        <f>+(L12-T37)/T37</f>
        <v>0.61417561425466038</v>
      </c>
      <c r="U41" s="83">
        <f>+(M12-U37)/U37</f>
        <v>0.95447774753610315</v>
      </c>
    </row>
    <row r="42" spans="1:25" x14ac:dyDescent="0.25">
      <c r="A42"/>
      <c r="B42"/>
      <c r="C42"/>
      <c r="D42"/>
      <c r="E42"/>
      <c r="F42"/>
      <c r="G42"/>
      <c r="H42"/>
      <c r="I42"/>
      <c r="J42"/>
      <c r="K42"/>
      <c r="L42"/>
      <c r="M42"/>
    </row>
    <row r="43" spans="1:25" x14ac:dyDescent="0.25">
      <c r="A43"/>
      <c r="B43"/>
      <c r="C43"/>
      <c r="D43"/>
      <c r="E43"/>
      <c r="F43"/>
      <c r="G43"/>
      <c r="H43"/>
      <c r="I43"/>
      <c r="J43"/>
      <c r="K43"/>
      <c r="L43"/>
      <c r="M43"/>
    </row>
    <row r="44" spans="1:25" x14ac:dyDescent="0.25">
      <c r="A44"/>
      <c r="B44"/>
      <c r="C44"/>
      <c r="D44"/>
      <c r="E44"/>
      <c r="F44"/>
      <c r="G44"/>
      <c r="H44"/>
      <c r="I44"/>
      <c r="J44"/>
      <c r="K44"/>
      <c r="L44"/>
      <c r="M44"/>
    </row>
    <row r="45" spans="1:25" x14ac:dyDescent="0.25">
      <c r="A45"/>
      <c r="B45"/>
      <c r="C45"/>
      <c r="D45"/>
      <c r="E45"/>
      <c r="F45"/>
      <c r="G45"/>
      <c r="H45"/>
      <c r="I45"/>
      <c r="J45"/>
      <c r="K45"/>
      <c r="L45"/>
      <c r="M45"/>
    </row>
    <row r="46" spans="1:25" x14ac:dyDescent="0.25">
      <c r="A46"/>
      <c r="B46"/>
      <c r="C46"/>
      <c r="D46"/>
      <c r="E46"/>
      <c r="F46"/>
      <c r="G46"/>
      <c r="H46"/>
      <c r="I46"/>
      <c r="J46"/>
      <c r="K46"/>
      <c r="L46"/>
      <c r="M46"/>
    </row>
    <row r="47" spans="1:25" x14ac:dyDescent="0.25">
      <c r="A47"/>
      <c r="B47"/>
      <c r="C47"/>
      <c r="D47"/>
      <c r="E47"/>
      <c r="F47"/>
      <c r="G47"/>
      <c r="H47"/>
      <c r="I47"/>
      <c r="J47"/>
      <c r="K47"/>
      <c r="L47"/>
      <c r="M47"/>
    </row>
    <row r="48" spans="1:25" x14ac:dyDescent="0.25">
      <c r="A48"/>
      <c r="B48"/>
      <c r="C48"/>
      <c r="D48"/>
      <c r="E48"/>
      <c r="F48"/>
      <c r="G48"/>
      <c r="H48"/>
      <c r="I48"/>
      <c r="J48"/>
      <c r="K48"/>
      <c r="L48"/>
      <c r="M48"/>
    </row>
    <row r="49" spans="1:14" x14ac:dyDescent="0.25">
      <c r="A49"/>
      <c r="B49"/>
      <c r="C49"/>
      <c r="D49"/>
      <c r="E49"/>
      <c r="F49"/>
      <c r="G49"/>
      <c r="H49"/>
      <c r="I49"/>
      <c r="J49"/>
      <c r="K49"/>
      <c r="L49"/>
      <c r="M49"/>
    </row>
    <row r="50" spans="1:14" x14ac:dyDescent="0.25">
      <c r="A50"/>
      <c r="B50"/>
      <c r="C50"/>
      <c r="D50"/>
      <c r="E50"/>
      <c r="F50"/>
      <c r="G50"/>
      <c r="H50"/>
      <c r="I50"/>
      <c r="J50"/>
      <c r="K50"/>
      <c r="L50"/>
      <c r="M50"/>
    </row>
    <row r="51" spans="1:14" x14ac:dyDescent="0.25">
      <c r="A51"/>
      <c r="B51"/>
      <c r="C51"/>
      <c r="D51"/>
      <c r="E51"/>
      <c r="F51"/>
      <c r="G51"/>
      <c r="H51"/>
      <c r="I51"/>
      <c r="J51"/>
      <c r="K51"/>
      <c r="L51"/>
      <c r="M51"/>
    </row>
    <row r="52" spans="1:14" x14ac:dyDescent="0.25">
      <c r="A52"/>
      <c r="B52"/>
      <c r="C52"/>
      <c r="D52"/>
      <c r="E52"/>
      <c r="F52"/>
      <c r="G52"/>
      <c r="H52"/>
      <c r="I52"/>
      <c r="J52"/>
      <c r="K52"/>
      <c r="L52"/>
      <c r="M52"/>
    </row>
    <row r="53" spans="1:14" x14ac:dyDescent="0.25">
      <c r="A53"/>
      <c r="B53"/>
      <c r="C53"/>
      <c r="D53"/>
      <c r="E53"/>
      <c r="F53"/>
      <c r="G53"/>
      <c r="H53"/>
      <c r="I53"/>
      <c r="J53"/>
      <c r="K53"/>
      <c r="L53"/>
      <c r="M53"/>
    </row>
    <row r="54" spans="1:14" x14ac:dyDescent="0.25">
      <c r="A54"/>
      <c r="B54"/>
      <c r="C54"/>
      <c r="D54"/>
      <c r="E54"/>
      <c r="F54"/>
      <c r="G54"/>
      <c r="H54"/>
      <c r="I54"/>
      <c r="J54"/>
      <c r="K54"/>
      <c r="L54"/>
      <c r="M54"/>
    </row>
    <row r="55" spans="1:14" x14ac:dyDescent="0.25">
      <c r="A55"/>
      <c r="B55"/>
      <c r="C55"/>
      <c r="D55"/>
      <c r="E55"/>
      <c r="F55"/>
      <c r="G55"/>
      <c r="H55"/>
      <c r="I55"/>
      <c r="J55"/>
      <c r="K55"/>
      <c r="L55"/>
      <c r="M55"/>
    </row>
    <row r="56" spans="1:14" x14ac:dyDescent="0.25">
      <c r="A56"/>
      <c r="B56"/>
      <c r="C56"/>
      <c r="D56"/>
      <c r="E56"/>
      <c r="F56"/>
      <c r="G56"/>
      <c r="H56"/>
      <c r="I56"/>
      <c r="J56"/>
      <c r="K56"/>
      <c r="L56"/>
      <c r="M56"/>
    </row>
    <row r="57" spans="1:14" x14ac:dyDescent="0.25">
      <c r="A57"/>
      <c r="B57"/>
      <c r="C57"/>
      <c r="D57"/>
      <c r="E57"/>
      <c r="F57"/>
      <c r="G57"/>
      <c r="H57"/>
      <c r="I57"/>
      <c r="J57"/>
      <c r="K57"/>
      <c r="L57"/>
      <c r="M57"/>
    </row>
    <row r="63" spans="1:14" x14ac:dyDescent="0.25">
      <c r="B63" s="44"/>
      <c r="C63" s="143"/>
      <c r="D63" s="114"/>
      <c r="E63" s="114"/>
      <c r="F63" s="114"/>
      <c r="G63" s="114"/>
      <c r="H63" s="114"/>
      <c r="I63" s="114"/>
      <c r="J63" s="114"/>
      <c r="K63" s="114"/>
      <c r="L63" s="37"/>
      <c r="M63" s="38"/>
      <c r="N63" s="37"/>
    </row>
    <row r="65" spans="2:14" x14ac:dyDescent="0.25">
      <c r="B65" s="44"/>
      <c r="C65" s="143"/>
      <c r="D65" s="114"/>
      <c r="E65" s="114"/>
      <c r="F65" s="114"/>
      <c r="G65" s="114"/>
      <c r="H65" s="114"/>
      <c r="I65" s="114"/>
      <c r="J65" s="114"/>
      <c r="K65" s="114"/>
      <c r="L65" s="37"/>
      <c r="M65" s="38"/>
      <c r="N65" s="116"/>
    </row>
  </sheetData>
  <mergeCells count="10">
    <mergeCell ref="S12:U12"/>
    <mergeCell ref="A1:M1"/>
    <mergeCell ref="A2:M2"/>
    <mergeCell ref="A3:M3"/>
    <mergeCell ref="A5:M5"/>
    <mergeCell ref="B6:D6"/>
    <mergeCell ref="H6:J6"/>
    <mergeCell ref="K6:M6"/>
    <mergeCell ref="A4:M4"/>
    <mergeCell ref="E6:G6"/>
  </mergeCells>
  <pageMargins left="0.7" right="0.7" top="0.75" bottom="0.75" header="0.3" footer="0.3"/>
  <pageSetup paperSize="9" scale="53"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R42"/>
  <sheetViews>
    <sheetView showGridLines="0" zoomScaleNormal="100" workbookViewId="0">
      <selection activeCell="M16" sqref="M16"/>
    </sheetView>
  </sheetViews>
  <sheetFormatPr baseColWidth="10" defaultColWidth="11.42578125" defaultRowHeight="15" x14ac:dyDescent="0.25"/>
  <cols>
    <col min="1" max="1" width="12.28515625" style="1" customWidth="1"/>
    <col min="2" max="2" width="10.7109375" style="1" customWidth="1"/>
    <col min="3" max="3" width="13.5703125" style="1" customWidth="1"/>
    <col min="4" max="4" width="12" style="1" bestFit="1" customWidth="1"/>
    <col min="5" max="5" width="15.140625" style="1" customWidth="1"/>
    <col min="6" max="6" width="13.5703125" style="1" hidden="1" customWidth="1"/>
    <col min="7" max="9" width="10.5703125" style="1" hidden="1" customWidth="1"/>
    <col min="10" max="11" width="10.5703125" style="1" customWidth="1"/>
    <col min="12" max="12" width="17.7109375" style="1" customWidth="1"/>
    <col min="13" max="13" width="14.85546875" style="1" customWidth="1"/>
    <col min="14" max="14" width="14.7109375" style="1" customWidth="1"/>
    <col min="15" max="15" width="14.5703125" style="1" bestFit="1" customWidth="1"/>
    <col min="16" max="16" width="13.5703125" style="1" customWidth="1"/>
    <col min="17" max="17" width="15.28515625" style="1" customWidth="1"/>
    <col min="18" max="18" width="17" style="1" customWidth="1"/>
    <col min="19" max="16384" width="11.42578125" style="1"/>
  </cols>
  <sheetData>
    <row r="1" spans="1:18" x14ac:dyDescent="0.25">
      <c r="A1" s="332" t="s">
        <v>0</v>
      </c>
      <c r="B1" s="332"/>
      <c r="C1" s="332"/>
      <c r="D1" s="332"/>
      <c r="E1" s="332"/>
      <c r="F1" s="332"/>
      <c r="G1" s="332"/>
      <c r="H1" s="332"/>
      <c r="I1" s="332"/>
      <c r="J1" s="332"/>
      <c r="K1" s="332"/>
      <c r="L1" s="332"/>
      <c r="M1" s="332"/>
      <c r="N1" s="332"/>
      <c r="O1" s="332"/>
      <c r="P1" s="332"/>
      <c r="Q1" s="332"/>
      <c r="R1" s="332"/>
    </row>
    <row r="2" spans="1:18" x14ac:dyDescent="0.25">
      <c r="A2" s="332" t="s">
        <v>62</v>
      </c>
      <c r="B2" s="332"/>
      <c r="C2" s="332"/>
      <c r="D2" s="332"/>
      <c r="E2" s="332"/>
      <c r="F2" s="332"/>
      <c r="G2" s="332"/>
      <c r="H2" s="332"/>
      <c r="I2" s="332"/>
      <c r="J2" s="332"/>
      <c r="K2" s="332"/>
      <c r="L2" s="332"/>
      <c r="M2" s="332"/>
      <c r="N2" s="332"/>
      <c r="O2" s="332"/>
      <c r="P2" s="332"/>
      <c r="Q2" s="332"/>
      <c r="R2" s="332"/>
    </row>
    <row r="3" spans="1:18" x14ac:dyDescent="0.25">
      <c r="A3" s="332" t="s">
        <v>81</v>
      </c>
      <c r="B3" s="332"/>
      <c r="C3" s="332"/>
      <c r="D3" s="332"/>
      <c r="E3" s="332"/>
      <c r="F3" s="332"/>
      <c r="G3" s="332"/>
      <c r="H3" s="332"/>
      <c r="I3" s="332"/>
      <c r="J3" s="332"/>
      <c r="K3" s="332"/>
      <c r="L3" s="332"/>
      <c r="M3" s="332"/>
      <c r="N3" s="332"/>
      <c r="O3" s="332"/>
      <c r="P3" s="332"/>
      <c r="Q3" s="332"/>
      <c r="R3" s="332"/>
    </row>
    <row r="4" spans="1:18" x14ac:dyDescent="0.25">
      <c r="A4" s="332" t="s">
        <v>240</v>
      </c>
      <c r="B4" s="332"/>
      <c r="C4" s="332"/>
      <c r="D4" s="332"/>
      <c r="E4" s="332"/>
      <c r="F4" s="332"/>
      <c r="G4" s="332"/>
      <c r="H4" s="332"/>
      <c r="I4" s="332"/>
      <c r="J4" s="332"/>
      <c r="K4" s="332"/>
      <c r="L4" s="332"/>
      <c r="M4" s="332"/>
      <c r="N4" s="332"/>
      <c r="O4" s="332"/>
      <c r="P4" s="332"/>
      <c r="Q4" s="332"/>
      <c r="R4" s="332"/>
    </row>
    <row r="5" spans="1:18" x14ac:dyDescent="0.25">
      <c r="A5" s="332" t="s">
        <v>262</v>
      </c>
      <c r="B5" s="332"/>
      <c r="C5" s="332"/>
      <c r="D5" s="332"/>
      <c r="E5" s="332"/>
      <c r="F5" s="332"/>
      <c r="G5" s="332"/>
      <c r="H5" s="332"/>
      <c r="I5" s="332"/>
      <c r="J5" s="332"/>
      <c r="K5" s="332"/>
      <c r="L5" s="332"/>
      <c r="M5" s="332"/>
      <c r="N5" s="332"/>
      <c r="O5" s="332"/>
      <c r="P5" s="332"/>
      <c r="Q5" s="332"/>
      <c r="R5" s="332"/>
    </row>
    <row r="6" spans="1:18" ht="30" customHeight="1" x14ac:dyDescent="0.25">
      <c r="A6" s="22"/>
      <c r="B6" s="355" t="s">
        <v>82</v>
      </c>
      <c r="C6" s="355"/>
      <c r="D6" s="355"/>
      <c r="E6" s="355"/>
      <c r="F6" s="355"/>
      <c r="G6" s="360" t="s">
        <v>83</v>
      </c>
      <c r="H6" s="360"/>
      <c r="I6" s="360"/>
      <c r="J6" s="360"/>
      <c r="K6" s="360"/>
      <c r="L6" s="358" t="s">
        <v>84</v>
      </c>
      <c r="M6" s="358"/>
      <c r="N6" s="359" t="s">
        <v>85</v>
      </c>
      <c r="O6" s="359"/>
      <c r="P6" s="357" t="s">
        <v>74</v>
      </c>
      <c r="Q6" s="357"/>
      <c r="R6" s="22"/>
    </row>
    <row r="7" spans="1:18" ht="24" customHeight="1" x14ac:dyDescent="0.25">
      <c r="A7" s="45" t="s">
        <v>3</v>
      </c>
      <c r="B7" s="45" t="s">
        <v>86</v>
      </c>
      <c r="C7" s="45" t="s">
        <v>87</v>
      </c>
      <c r="D7" s="45" t="s">
        <v>88</v>
      </c>
      <c r="E7" s="45" t="s">
        <v>89</v>
      </c>
      <c r="F7" s="45" t="s">
        <v>90</v>
      </c>
      <c r="G7" s="45" t="s">
        <v>86</v>
      </c>
      <c r="H7" s="45" t="s">
        <v>87</v>
      </c>
      <c r="I7" s="45" t="s">
        <v>88</v>
      </c>
      <c r="J7" s="45" t="s">
        <v>89</v>
      </c>
      <c r="K7" s="45" t="s">
        <v>90</v>
      </c>
      <c r="L7" s="45" t="s">
        <v>86</v>
      </c>
      <c r="M7" s="45" t="s">
        <v>87</v>
      </c>
      <c r="N7" s="45" t="s">
        <v>86</v>
      </c>
      <c r="O7" s="45" t="s">
        <v>91</v>
      </c>
      <c r="P7" s="45" t="s">
        <v>86</v>
      </c>
      <c r="Q7" s="45" t="s">
        <v>87</v>
      </c>
    </row>
    <row r="8" spans="1:18" ht="1.5" hidden="1" customHeight="1" x14ac:dyDescent="0.25">
      <c r="A8" s="44" t="s">
        <v>10</v>
      </c>
      <c r="B8" s="201"/>
      <c r="C8" s="231"/>
      <c r="D8" s="231"/>
      <c r="E8" s="231"/>
      <c r="F8" s="231"/>
      <c r="G8" s="201"/>
      <c r="H8" s="231"/>
      <c r="I8" s="231"/>
      <c r="J8" s="231"/>
      <c r="K8" s="231"/>
      <c r="L8" s="201"/>
      <c r="M8" s="231"/>
      <c r="N8" s="231"/>
      <c r="O8" s="231"/>
      <c r="P8" s="201">
        <f>B8+G8+L8+N8</f>
        <v>0</v>
      </c>
      <c r="Q8" s="231">
        <f>C8+H8+M8+O8</f>
        <v>0</v>
      </c>
    </row>
    <row r="9" spans="1:18" ht="13.5" customHeight="1" x14ac:dyDescent="0.25">
      <c r="A9" s="44" t="s">
        <v>243</v>
      </c>
      <c r="B9" s="315">
        <v>212</v>
      </c>
      <c r="C9" s="287">
        <v>2428846.35</v>
      </c>
      <c r="D9" s="287">
        <v>242155.96</v>
      </c>
      <c r="E9" s="287">
        <v>72865.38</v>
      </c>
      <c r="F9" s="287">
        <v>2113825.0099999998</v>
      </c>
      <c r="G9" s="315">
        <v>2</v>
      </c>
      <c r="H9" s="287">
        <v>25000</v>
      </c>
      <c r="I9" s="287">
        <v>2452.5</v>
      </c>
      <c r="J9" s="287">
        <v>750</v>
      </c>
      <c r="K9" s="287">
        <v>21757.5</v>
      </c>
      <c r="L9" s="315">
        <v>624</v>
      </c>
      <c r="M9" s="287">
        <v>11235376.220000001</v>
      </c>
      <c r="N9" s="315">
        <v>908</v>
      </c>
      <c r="O9" s="287">
        <v>11158256.08</v>
      </c>
      <c r="P9" s="187">
        <v>1746</v>
      </c>
      <c r="Q9" s="233">
        <v>24847478.649999999</v>
      </c>
    </row>
    <row r="10" spans="1:18" x14ac:dyDescent="0.25">
      <c r="A10" s="44" t="s">
        <v>245</v>
      </c>
      <c r="B10" s="315">
        <v>207</v>
      </c>
      <c r="C10" s="287">
        <v>2310119.23</v>
      </c>
      <c r="D10" s="287">
        <v>230318.87</v>
      </c>
      <c r="E10" s="287">
        <v>69303.570000000007</v>
      </c>
      <c r="F10" s="287">
        <v>2010496.78</v>
      </c>
      <c r="G10" s="315">
        <v>2</v>
      </c>
      <c r="H10" s="287">
        <v>25000</v>
      </c>
      <c r="I10" s="287">
        <v>2452.5</v>
      </c>
      <c r="J10" s="287">
        <v>750</v>
      </c>
      <c r="K10" s="287">
        <v>21757.5</v>
      </c>
      <c r="L10" s="315">
        <v>612</v>
      </c>
      <c r="M10" s="287">
        <v>10925743.439999999</v>
      </c>
      <c r="N10" s="315">
        <v>902</v>
      </c>
      <c r="O10" s="287">
        <v>11086334.109999999</v>
      </c>
      <c r="P10" s="187">
        <v>1723</v>
      </c>
      <c r="Q10" s="233">
        <v>24347196.780000001</v>
      </c>
    </row>
    <row r="11" spans="1:18" x14ac:dyDescent="0.25">
      <c r="A11" s="44" t="s">
        <v>241</v>
      </c>
      <c r="B11" s="315">
        <v>210</v>
      </c>
      <c r="C11" s="287">
        <v>2315861.58</v>
      </c>
      <c r="D11" s="287">
        <v>230891.39</v>
      </c>
      <c r="E11" s="287">
        <v>69475.839999999997</v>
      </c>
      <c r="F11" s="287">
        <v>2015494.35</v>
      </c>
      <c r="G11" s="315">
        <v>2</v>
      </c>
      <c r="H11" s="287">
        <v>25000</v>
      </c>
      <c r="I11" s="287">
        <v>2452.5</v>
      </c>
      <c r="J11" s="287">
        <v>750</v>
      </c>
      <c r="K11" s="287">
        <v>21757.5</v>
      </c>
      <c r="L11" s="315">
        <v>611</v>
      </c>
      <c r="M11" s="287">
        <v>10866100.529999999</v>
      </c>
      <c r="N11" s="315">
        <v>900</v>
      </c>
      <c r="O11" s="287">
        <v>11058074.66</v>
      </c>
      <c r="P11" s="187">
        <v>1723</v>
      </c>
      <c r="Q11" s="233">
        <v>24265036.77</v>
      </c>
    </row>
    <row r="12" spans="1:18" x14ac:dyDescent="0.25">
      <c r="A12" s="27" t="s">
        <v>249</v>
      </c>
      <c r="B12" s="314">
        <f>+B11+B10+B9</f>
        <v>629</v>
      </c>
      <c r="C12" s="312">
        <f>+SUM(C8:C11)</f>
        <v>7054827.1600000001</v>
      </c>
      <c r="D12" s="313">
        <f>+SUM(D9:D11)</f>
        <v>703366.22</v>
      </c>
      <c r="E12" s="313">
        <f>+SUM(E9:E11)</f>
        <v>211644.79</v>
      </c>
      <c r="F12" s="313">
        <f>+SUM(F8:F11)</f>
        <v>6139816.1400000006</v>
      </c>
      <c r="G12" s="314">
        <f>+G9</f>
        <v>2</v>
      </c>
      <c r="H12" s="313">
        <f>SUM(H8:H11)</f>
        <v>75000</v>
      </c>
      <c r="I12" s="313">
        <f>SUM(I9:I11)</f>
        <v>7357.5</v>
      </c>
      <c r="J12" s="313">
        <f>SUM(J9:J11)</f>
        <v>2250</v>
      </c>
      <c r="K12" s="313">
        <f>SUM(K8:K11)</f>
        <v>65272.5</v>
      </c>
      <c r="L12" s="314">
        <f>+L9</f>
        <v>624</v>
      </c>
      <c r="M12" s="313">
        <f>+SUM(M8:M11)</f>
        <v>33027220.189999998</v>
      </c>
      <c r="N12" s="313">
        <f>+N11+N10+N9</f>
        <v>2710</v>
      </c>
      <c r="O12" s="313">
        <f>+SUM(O8:O11)</f>
        <v>33302664.849999998</v>
      </c>
      <c r="P12" s="186">
        <f>+P9</f>
        <v>1746</v>
      </c>
      <c r="Q12" s="232">
        <f>SUM(Q8:Q11)</f>
        <v>73459712.200000003</v>
      </c>
    </row>
    <row r="13" spans="1:18" x14ac:dyDescent="0.25">
      <c r="A13" s="192" t="s">
        <v>97</v>
      </c>
      <c r="C13" s="322">
        <f>+C12/Q12</f>
        <v>9.6036683900866143E-2</v>
      </c>
      <c r="D13" s="279"/>
      <c r="E13" s="279"/>
      <c r="F13" s="279"/>
      <c r="G13" s="279"/>
      <c r="H13" s="322">
        <f>+H12/Q12</f>
        <v>1.020967789743124E-3</v>
      </c>
      <c r="I13" s="279"/>
      <c r="J13" s="279"/>
      <c r="K13" s="279"/>
      <c r="L13" s="279"/>
      <c r="M13" s="322">
        <f>+M12/Q12</f>
        <v>0.4495963733165837</v>
      </c>
      <c r="N13" s="279"/>
      <c r="O13" s="322">
        <f>+O12/Q12</f>
        <v>0.45334597499280699</v>
      </c>
    </row>
    <row r="14" spans="1:18" x14ac:dyDescent="0.25">
      <c r="A14" s="192"/>
      <c r="C14" s="294"/>
      <c r="H14" s="294"/>
      <c r="M14" s="294"/>
      <c r="O14" s="294"/>
    </row>
    <row r="15" spans="1:18" x14ac:dyDescent="0.25">
      <c r="A15" s="192"/>
      <c r="C15" s="294"/>
      <c r="H15" s="294"/>
      <c r="M15" s="294"/>
      <c r="O15" s="294"/>
    </row>
    <row r="16" spans="1:18" x14ac:dyDescent="0.25">
      <c r="P16" s="36"/>
    </row>
    <row r="17" spans="2:17" x14ac:dyDescent="0.25">
      <c r="C17" s="35"/>
      <c r="D17"/>
      <c r="E17"/>
      <c r="F17"/>
      <c r="G17"/>
      <c r="H17"/>
      <c r="I17"/>
      <c r="J17"/>
      <c r="K17"/>
      <c r="L17"/>
      <c r="M17"/>
      <c r="N17"/>
      <c r="O17"/>
      <c r="Q17" s="35"/>
    </row>
    <row r="19" spans="2:17" x14ac:dyDescent="0.25">
      <c r="B19" s="14"/>
    </row>
    <row r="20" spans="2:17" x14ac:dyDescent="0.25">
      <c r="M20" s="1" t="s">
        <v>92</v>
      </c>
    </row>
    <row r="29" spans="2:17" x14ac:dyDescent="0.25">
      <c r="E29" s="188"/>
    </row>
    <row r="32" spans="2:17" ht="4.5" customHeight="1" x14ac:dyDescent="0.25"/>
    <row r="33" spans="1:14" ht="41.25" customHeight="1" x14ac:dyDescent="0.25">
      <c r="A33"/>
      <c r="B33" s="355" t="s">
        <v>93</v>
      </c>
      <c r="C33" s="355"/>
      <c r="D33" s="356" t="s">
        <v>94</v>
      </c>
      <c r="E33" s="356"/>
      <c r="F33" s="360" t="s">
        <v>83</v>
      </c>
      <c r="G33" s="360"/>
      <c r="H33" s="360"/>
      <c r="I33" s="360"/>
      <c r="J33" s="361" t="s">
        <v>95</v>
      </c>
      <c r="K33" s="361"/>
      <c r="L33" s="361"/>
      <c r="M33" s="357" t="s">
        <v>74</v>
      </c>
      <c r="N33" s="357"/>
    </row>
    <row r="34" spans="1:14" ht="38.25" customHeight="1" x14ac:dyDescent="0.25">
      <c r="A34" s="198" t="s">
        <v>3</v>
      </c>
      <c r="B34" s="198" t="s">
        <v>86</v>
      </c>
      <c r="C34" s="198" t="s">
        <v>87</v>
      </c>
      <c r="D34" s="198" t="s">
        <v>86</v>
      </c>
      <c r="E34" s="198" t="s">
        <v>87</v>
      </c>
      <c r="F34" s="353" t="s">
        <v>86</v>
      </c>
      <c r="G34" s="353"/>
      <c r="H34" s="337" t="s">
        <v>87</v>
      </c>
      <c r="I34" s="337"/>
      <c r="J34" s="351" t="s">
        <v>86</v>
      </c>
      <c r="K34" s="351"/>
      <c r="L34" s="198" t="s">
        <v>7</v>
      </c>
      <c r="M34" s="198" t="s">
        <v>86</v>
      </c>
      <c r="N34" s="198" t="s">
        <v>87</v>
      </c>
    </row>
    <row r="35" spans="1:14" ht="0.75" customHeight="1" x14ac:dyDescent="0.25">
      <c r="A35" s="44" t="s">
        <v>10</v>
      </c>
      <c r="B35" s="185" t="s">
        <v>96</v>
      </c>
      <c r="C35" s="32" t="s">
        <v>96</v>
      </c>
      <c r="D35" s="185" t="s">
        <v>96</v>
      </c>
      <c r="E35" s="32" t="s">
        <v>96</v>
      </c>
      <c r="F35" s="350" t="s">
        <v>96</v>
      </c>
      <c r="G35" s="350"/>
      <c r="H35" s="350" t="s">
        <v>96</v>
      </c>
      <c r="I35" s="350"/>
      <c r="J35" s="350" t="s">
        <v>96</v>
      </c>
      <c r="K35" s="350"/>
      <c r="L35" s="201" t="s">
        <v>96</v>
      </c>
      <c r="M35" s="185" t="s">
        <v>96</v>
      </c>
      <c r="N35" s="185" t="s">
        <v>96</v>
      </c>
    </row>
    <row r="36" spans="1:14" x14ac:dyDescent="0.25">
      <c r="A36" s="44" t="s">
        <v>238</v>
      </c>
      <c r="B36" s="284">
        <v>5</v>
      </c>
      <c r="C36" s="249">
        <v>1718461.2</v>
      </c>
      <c r="D36" s="284">
        <v>15</v>
      </c>
      <c r="E36" s="249">
        <v>5856961.0999999996</v>
      </c>
      <c r="F36" s="354">
        <v>0</v>
      </c>
      <c r="G36" s="354"/>
      <c r="H36" s="354">
        <v>0</v>
      </c>
      <c r="I36" s="354"/>
      <c r="J36" s="350">
        <v>7</v>
      </c>
      <c r="K36" s="350"/>
      <c r="L36" s="249">
        <v>975563.2</v>
      </c>
      <c r="M36" s="187">
        <f>B36+D36+J36</f>
        <v>27</v>
      </c>
      <c r="N36" s="233">
        <f>C36+E36+L36</f>
        <v>8550985.5</v>
      </c>
    </row>
    <row r="37" spans="1:14" x14ac:dyDescent="0.25">
      <c r="A37" s="44" t="s">
        <v>239</v>
      </c>
      <c r="B37" s="284">
        <v>0</v>
      </c>
      <c r="C37" s="249">
        <v>0</v>
      </c>
      <c r="D37" s="284">
        <v>5</v>
      </c>
      <c r="E37" s="249">
        <v>825149.6</v>
      </c>
      <c r="F37" s="354">
        <v>0</v>
      </c>
      <c r="G37" s="354"/>
      <c r="H37" s="354">
        <v>0</v>
      </c>
      <c r="I37" s="354"/>
      <c r="J37" s="350">
        <v>4</v>
      </c>
      <c r="K37" s="350"/>
      <c r="L37" s="249">
        <v>783904.2</v>
      </c>
      <c r="M37" s="187">
        <f t="shared" ref="M37:M38" si="0">B37+D37+J37</f>
        <v>9</v>
      </c>
      <c r="N37" s="233">
        <f t="shared" ref="N37:N38" si="1">C37+E37+L37</f>
        <v>1609053.7999999998</v>
      </c>
    </row>
    <row r="38" spans="1:14" x14ac:dyDescent="0.25">
      <c r="A38" s="44" t="s">
        <v>241</v>
      </c>
      <c r="B38" s="284">
        <v>1</v>
      </c>
      <c r="C38" s="249">
        <v>129289</v>
      </c>
      <c r="D38" s="284">
        <v>10</v>
      </c>
      <c r="E38" s="249">
        <v>2540321.9</v>
      </c>
      <c r="F38" s="354">
        <v>0</v>
      </c>
      <c r="G38" s="354"/>
      <c r="H38" s="354">
        <v>0</v>
      </c>
      <c r="I38" s="354"/>
      <c r="J38" s="350">
        <v>10</v>
      </c>
      <c r="K38" s="350"/>
      <c r="L38" s="249">
        <v>3468869.2</v>
      </c>
      <c r="M38" s="187">
        <f t="shared" si="0"/>
        <v>21</v>
      </c>
      <c r="N38" s="233">
        <f t="shared" si="1"/>
        <v>6138480.0999999996</v>
      </c>
    </row>
    <row r="39" spans="1:14" x14ac:dyDescent="0.25">
      <c r="A39" s="27" t="s">
        <v>242</v>
      </c>
      <c r="B39" s="186">
        <f>SUM(B36:B38)</f>
        <v>6</v>
      </c>
      <c r="C39" s="234">
        <f>+SUM(C36:C38)</f>
        <v>1847750.2</v>
      </c>
      <c r="D39" s="186">
        <f>SUM(D36:D38)</f>
        <v>30</v>
      </c>
      <c r="E39" s="234">
        <f>+SUM(E36:E38)</f>
        <v>9222432.5999999996</v>
      </c>
      <c r="F39" s="352">
        <f>SUM(F36:F38)</f>
        <v>0</v>
      </c>
      <c r="G39" s="352"/>
      <c r="H39" s="352">
        <f>SUM(H36:H38)</f>
        <v>0</v>
      </c>
      <c r="I39" s="352"/>
      <c r="J39" s="352">
        <f>SUM(J36:J38)</f>
        <v>21</v>
      </c>
      <c r="K39" s="352"/>
      <c r="L39" s="232">
        <f>+SUM(L36:L38)</f>
        <v>5228336.5999999996</v>
      </c>
      <c r="M39" s="186">
        <f>SUM(M36:M38)</f>
        <v>57</v>
      </c>
      <c r="N39" s="232">
        <f>SUM(N36:N38)</f>
        <v>16298519.4</v>
      </c>
    </row>
    <row r="40" spans="1:14" x14ac:dyDescent="0.25">
      <c r="A40" s="192" t="s">
        <v>97</v>
      </c>
    </row>
    <row r="42" spans="1:14" ht="15" customHeight="1" x14ac:dyDescent="0.25"/>
  </sheetData>
  <mergeCells count="33">
    <mergeCell ref="B33:C33"/>
    <mergeCell ref="D33:E33"/>
    <mergeCell ref="M33:N33"/>
    <mergeCell ref="A1:R1"/>
    <mergeCell ref="A2:R2"/>
    <mergeCell ref="A3:R3"/>
    <mergeCell ref="A4:R4"/>
    <mergeCell ref="A5:R5"/>
    <mergeCell ref="B6:F6"/>
    <mergeCell ref="L6:M6"/>
    <mergeCell ref="N6:O6"/>
    <mergeCell ref="P6:Q6"/>
    <mergeCell ref="G6:K6"/>
    <mergeCell ref="J33:L33"/>
    <mergeCell ref="F33:I33"/>
    <mergeCell ref="F34:G34"/>
    <mergeCell ref="H34:I34"/>
    <mergeCell ref="F36:G36"/>
    <mergeCell ref="F39:G39"/>
    <mergeCell ref="H39:I39"/>
    <mergeCell ref="F37:G37"/>
    <mergeCell ref="F38:G38"/>
    <mergeCell ref="H36:I36"/>
    <mergeCell ref="H37:I37"/>
    <mergeCell ref="H38:I38"/>
    <mergeCell ref="F35:G35"/>
    <mergeCell ref="H35:I35"/>
    <mergeCell ref="J36:K36"/>
    <mergeCell ref="J34:K34"/>
    <mergeCell ref="J37:K37"/>
    <mergeCell ref="J38:K38"/>
    <mergeCell ref="J39:K39"/>
    <mergeCell ref="J35:K35"/>
  </mergeCells>
  <pageMargins left="0.7" right="0.7" top="0.75" bottom="0.75" header="0.3" footer="0.3"/>
  <pageSetup paperSize="9" scale="50" orientation="landscape" r:id="rId1"/>
  <ignoredErrors>
    <ignoredError sqref="N39 P8 Q8 N36:N38 M36:M39 L39 J39 H39 F39 B39 C13 H13 M13 O13 A12:M12 O12:Q12" unlockedFormula="1"/>
    <ignoredError sqref="N12" formula="1"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13</vt:i4>
      </vt:variant>
    </vt:vector>
  </HeadingPairs>
  <TitlesOfParts>
    <vt:vector size="32" baseType="lpstr">
      <vt:lpstr>Presupuesto Adm.</vt:lpstr>
      <vt:lpstr>Afiliados y Cotizantes</vt:lpstr>
      <vt:lpstr>Cotizantes</vt:lpstr>
      <vt:lpstr>Empleador</vt:lpstr>
      <vt:lpstr>Aportes</vt:lpstr>
      <vt:lpstr>Traspaso</vt:lpstr>
      <vt:lpstr>Presupuesto de Pensiones</vt:lpstr>
      <vt:lpstr>Nómina</vt:lpstr>
      <vt:lpstr>Autoseguro</vt:lpstr>
      <vt:lpstr>Movimientos</vt:lpstr>
      <vt:lpstr>Hoja1</vt:lpstr>
      <vt:lpstr>Tipo de Pension</vt:lpstr>
      <vt:lpstr>Modalidad</vt:lpstr>
      <vt:lpstr>Retroactivos</vt:lpstr>
      <vt:lpstr>Reintegros</vt:lpstr>
      <vt:lpstr>Créditos Rechazados</vt:lpstr>
      <vt:lpstr>PUC</vt:lpstr>
      <vt:lpstr>Recuperación Fondos</vt:lpstr>
      <vt:lpstr>Servicios</vt:lpstr>
      <vt:lpstr>'Afiliados y Cotizantes'!Área_de_impresión</vt:lpstr>
      <vt:lpstr>Aportes!Área_de_impresión</vt:lpstr>
      <vt:lpstr>Autoseguro!Área_de_impresión</vt:lpstr>
      <vt:lpstr>Cotizantes!Área_de_impresión</vt:lpstr>
      <vt:lpstr>Modalidad!Área_de_impresión</vt:lpstr>
      <vt:lpstr>Movimientos!Área_de_impresión</vt:lpstr>
      <vt:lpstr>Nómina!Área_de_impresión</vt:lpstr>
      <vt:lpstr>'Presupuesto de Pensiones'!Área_de_impresión</vt:lpstr>
      <vt:lpstr>'Recuperación Fondos'!Área_de_impresión</vt:lpstr>
      <vt:lpstr>Retroactivos!Área_de_impresión</vt:lpstr>
      <vt:lpstr>Servicios!Área_de_impresión</vt:lpstr>
      <vt:lpstr>'Tipo de Pension'!Área_de_impresión</vt:lpstr>
      <vt:lpstr>Traspaso!Área_de_impresión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Cesar Roa</dc:creator>
  <cp:keywords/>
  <dc:description/>
  <cp:lastModifiedBy>Jose Odalis Gil Vasquez</cp:lastModifiedBy>
  <cp:revision/>
  <cp:lastPrinted>2025-04-03T14:24:06Z</cp:lastPrinted>
  <dcterms:created xsi:type="dcterms:W3CDTF">2019-06-03T16:17:46Z</dcterms:created>
  <dcterms:modified xsi:type="dcterms:W3CDTF">2025-04-10T16:10:11Z</dcterms:modified>
  <cp:category/>
  <cp:contentStatus/>
</cp:coreProperties>
</file>