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elpena_dgjp_gob_do/Documents/T4/"/>
    </mc:Choice>
  </mc:AlternateContent>
  <xr:revisionPtr revIDLastSave="1" documentId="8_{1CB345A7-69EC-4095-B299-2656219B94A7}" xr6:coauthVersionLast="47" xr6:coauthVersionMax="47" xr10:uidLastSave="{FF96B229-CEFB-43A7-8552-72026F2AA1AD}"/>
  <bookViews>
    <workbookView xWindow="-120" yWindow="-120" windowWidth="29040" windowHeight="15720" tabRatio="990" xr2:uid="{00000000-000D-0000-FFFF-FFFF00000000}"/>
  </bookViews>
  <sheets>
    <sheet name="Presupuesto Adm." sheetId="1" r:id="rId1"/>
    <sheet name="Afiliados y Cotizantes" sheetId="21" r:id="rId2"/>
    <sheet name="Cotizantes" sheetId="4" r:id="rId3"/>
    <sheet name="Empleador" sheetId="7" r:id="rId4"/>
    <sheet name="Aportes" sheetId="5" r:id="rId5"/>
    <sheet name="Traspaso" sheetId="6" r:id="rId6"/>
    <sheet name="Presupuesto de Pensiones" sheetId="2" r:id="rId7"/>
    <sheet name="Nómina" sheetId="8" r:id="rId8"/>
    <sheet name="Autoseguro" sheetId="22" r:id="rId9"/>
    <sheet name="Movimientos" sheetId="25" r:id="rId10"/>
    <sheet name="Hoja1" sheetId="18" state="hidden" r:id="rId11"/>
    <sheet name="Modalidad" sheetId="10" r:id="rId12"/>
    <sheet name="Retroactivos" sheetId="11" r:id="rId13"/>
    <sheet name="Reintegros" sheetId="16" state="hidden" r:id="rId14"/>
    <sheet name="Créditos Rechazados" sheetId="17" state="hidden" r:id="rId15"/>
    <sheet name="PUC" sheetId="24" r:id="rId16"/>
    <sheet name="Recuperación Fondos" sheetId="15" r:id="rId17"/>
    <sheet name="Servicios" sheetId="13" r:id="rId18"/>
  </sheets>
  <definedNames>
    <definedName name="_xlnm.Print_Area" localSheetId="1">'Afiliados y Cotizantes'!$A$1:$N$56</definedName>
    <definedName name="_xlnm.Print_Area" localSheetId="4">Aportes!$A$1:$D$37</definedName>
    <definedName name="_xlnm.Print_Area" localSheetId="8">Autoseguro!$A$1:$R$64</definedName>
    <definedName name="_xlnm.Print_Area" localSheetId="2">Cotizantes!$A$1:$K$38</definedName>
    <definedName name="_xlnm.Print_Area" localSheetId="11">Modalidad!$A$1:$Q$44</definedName>
    <definedName name="_xlnm.Print_Area" localSheetId="9">Movimientos!$A$1:$Q$40</definedName>
    <definedName name="_xlnm.Print_Area" localSheetId="7">Nómina!$A$1:$O$57</definedName>
    <definedName name="_xlnm.Print_Area" localSheetId="6">'Presupuesto de Pensiones'!$A$1:$H$52</definedName>
    <definedName name="_xlnm.Print_Area" localSheetId="16">'Recuperación Fondos'!$A$1:$G$56</definedName>
    <definedName name="_xlnm.Print_Area" localSheetId="12">Retroactivos!$B$1:$N$44</definedName>
    <definedName name="_xlnm.Print_Area" localSheetId="17">Servicios!$A$1:$W$57</definedName>
    <definedName name="_xlnm.Print_Area" localSheetId="5">Traspaso!$A$1:$I$41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2" l="1"/>
  <c r="E14" i="2"/>
  <c r="F7" i="15" l="1"/>
  <c r="B10" i="1" l="1"/>
  <c r="B13" i="1" s="1"/>
  <c r="C12" i="8" l="1"/>
  <c r="M67" i="13" l="1"/>
  <c r="M68" i="13"/>
  <c r="M69" i="13"/>
  <c r="M66" i="13"/>
  <c r="L67" i="13"/>
  <c r="L68" i="13"/>
  <c r="L69" i="13"/>
  <c r="L66" i="13"/>
  <c r="K33" i="13"/>
  <c r="D8" i="4"/>
  <c r="G10" i="21"/>
  <c r="C10" i="21"/>
  <c r="B10" i="21"/>
  <c r="D7" i="21"/>
  <c r="E10" i="1" l="1"/>
  <c r="F10" i="1" s="1"/>
  <c r="E9" i="1"/>
  <c r="F9" i="1" s="1"/>
  <c r="D9" i="1"/>
  <c r="D10" i="1" l="1"/>
  <c r="F12" i="11" l="1"/>
  <c r="G12" i="11"/>
  <c r="F16" i="11"/>
  <c r="G16" i="11"/>
  <c r="F20" i="11"/>
  <c r="G20" i="11"/>
  <c r="F24" i="11"/>
  <c r="G24" i="11"/>
  <c r="H12" i="11"/>
  <c r="H16" i="11"/>
  <c r="H20" i="11"/>
  <c r="H24" i="11"/>
  <c r="G25" i="11" l="1"/>
  <c r="F25" i="11"/>
  <c r="H25" i="11"/>
  <c r="D13" i="10" l="1"/>
  <c r="H12" i="22" l="1"/>
  <c r="C10" i="5" l="1"/>
  <c r="M24" i="25" l="1"/>
  <c r="L24" i="25"/>
  <c r="K24" i="25"/>
  <c r="J24" i="25"/>
  <c r="I24" i="25"/>
  <c r="H24" i="25"/>
  <c r="C24" i="25"/>
  <c r="B24" i="25"/>
  <c r="O23" i="25"/>
  <c r="N23" i="25"/>
  <c r="O22" i="25"/>
  <c r="N22" i="25"/>
  <c r="O21" i="25"/>
  <c r="N21" i="25"/>
  <c r="M20" i="25"/>
  <c r="L20" i="25"/>
  <c r="K20" i="25"/>
  <c r="J20" i="25"/>
  <c r="I20" i="25"/>
  <c r="H20" i="25"/>
  <c r="C20" i="25"/>
  <c r="B20" i="25"/>
  <c r="O19" i="25"/>
  <c r="N19" i="25"/>
  <c r="O18" i="25"/>
  <c r="N18" i="25"/>
  <c r="O17" i="25"/>
  <c r="N17" i="25"/>
  <c r="M16" i="25"/>
  <c r="L16" i="25"/>
  <c r="K16" i="25"/>
  <c r="J16" i="25"/>
  <c r="I16" i="25"/>
  <c r="H16" i="25"/>
  <c r="C16" i="25"/>
  <c r="B16" i="25"/>
  <c r="O15" i="25"/>
  <c r="N15" i="25"/>
  <c r="O14" i="25"/>
  <c r="N14" i="25"/>
  <c r="O13" i="25"/>
  <c r="N13" i="25"/>
  <c r="M12" i="25"/>
  <c r="L12" i="25"/>
  <c r="K12" i="25"/>
  <c r="J12" i="25"/>
  <c r="I12" i="25"/>
  <c r="H12" i="25"/>
  <c r="H25" i="25" s="1"/>
  <c r="G12" i="25"/>
  <c r="F12" i="25"/>
  <c r="E12" i="25"/>
  <c r="D12" i="25"/>
  <c r="C12" i="25"/>
  <c r="B12" i="25"/>
  <c r="O11" i="25"/>
  <c r="N11" i="25"/>
  <c r="O10" i="25"/>
  <c r="N10" i="25"/>
  <c r="O9" i="25"/>
  <c r="N9" i="25"/>
  <c r="K25" i="25" l="1"/>
  <c r="O24" i="25"/>
  <c r="L25" i="25"/>
  <c r="M25" i="25"/>
  <c r="C25" i="25"/>
  <c r="N20" i="25"/>
  <c r="J25" i="25"/>
  <c r="I25" i="25"/>
  <c r="O12" i="25"/>
  <c r="N12" i="25"/>
  <c r="B25" i="25"/>
  <c r="O16" i="25"/>
  <c r="N24" i="25"/>
  <c r="N16" i="25"/>
  <c r="O20" i="25"/>
  <c r="M70" i="13"/>
  <c r="L70" i="13"/>
  <c r="N25" i="25" l="1"/>
  <c r="O25" i="25"/>
  <c r="J70" i="13"/>
  <c r="I70" i="13"/>
  <c r="G70" i="13"/>
  <c r="F70" i="13"/>
  <c r="D70" i="13"/>
  <c r="C70" i="13"/>
  <c r="K69" i="13"/>
  <c r="H69" i="13"/>
  <c r="E69" i="13"/>
  <c r="K68" i="13"/>
  <c r="H68" i="13"/>
  <c r="E68" i="13"/>
  <c r="K67" i="13"/>
  <c r="H67" i="13"/>
  <c r="E67" i="13"/>
  <c r="K66" i="13"/>
  <c r="H66" i="13"/>
  <c r="E66" i="13"/>
  <c r="H70" i="13" l="1"/>
  <c r="K70" i="13"/>
  <c r="E70" i="13"/>
  <c r="N22" i="13"/>
  <c r="C12" i="24"/>
  <c r="D12" i="24"/>
  <c r="G12" i="24"/>
  <c r="F12" i="24"/>
  <c r="E12" i="24"/>
  <c r="B12" i="24"/>
  <c r="J8" i="24"/>
  <c r="J9" i="24"/>
  <c r="J10" i="24"/>
  <c r="J11" i="24"/>
  <c r="I8" i="24"/>
  <c r="I9" i="24"/>
  <c r="I10" i="24"/>
  <c r="I11" i="24"/>
  <c r="H9" i="24"/>
  <c r="H10" i="24"/>
  <c r="H11" i="24"/>
  <c r="H8" i="24"/>
  <c r="H12" i="24" l="1"/>
  <c r="I12" i="24"/>
  <c r="J12" i="24"/>
  <c r="L8" i="11" l="1"/>
  <c r="M8" i="11"/>
  <c r="N8" i="11"/>
  <c r="N35" i="22" l="1"/>
  <c r="N36" i="22"/>
  <c r="N34" i="22"/>
  <c r="M35" i="22"/>
  <c r="M36" i="22"/>
  <c r="M34" i="22"/>
  <c r="J12" i="22"/>
  <c r="J37" i="22"/>
  <c r="G12" i="22"/>
  <c r="I12" i="22"/>
  <c r="D10" i="5" l="1"/>
  <c r="L13" i="10" l="1"/>
  <c r="H13" i="10"/>
  <c r="C13" i="1" l="1"/>
  <c r="D13" i="1" s="1"/>
  <c r="M13" i="10" l="1"/>
  <c r="K13" i="10"/>
  <c r="I13" i="10"/>
  <c r="G13" i="10"/>
  <c r="E13" i="10"/>
  <c r="C13" i="10"/>
  <c r="Q8" i="22"/>
  <c r="P8" i="22"/>
  <c r="O12" i="22"/>
  <c r="M12" i="22"/>
  <c r="K12" i="22"/>
  <c r="F12" i="22"/>
  <c r="C12" i="22"/>
  <c r="J12" i="8"/>
  <c r="G12" i="8"/>
  <c r="D12" i="8"/>
  <c r="D14" i="2"/>
  <c r="C14" i="2"/>
  <c r="B14" i="2"/>
  <c r="G14" i="2" l="1"/>
  <c r="H14" i="2" s="1"/>
  <c r="F14" i="2"/>
  <c r="F37" i="22" l="1"/>
  <c r="D37" i="22"/>
  <c r="B37" i="22"/>
  <c r="M37" i="22" l="1"/>
  <c r="H37" i="22"/>
  <c r="Q10" i="22" l="1"/>
  <c r="Q9" i="22"/>
  <c r="P9" i="22"/>
  <c r="P10" i="22"/>
  <c r="P11" i="22"/>
  <c r="Q11" i="22"/>
  <c r="Q12" i="22" l="1"/>
  <c r="H13" i="22" s="1"/>
  <c r="K40" i="13" l="1"/>
  <c r="H40" i="13"/>
  <c r="E40" i="13"/>
  <c r="K19" i="13"/>
  <c r="K15" i="13"/>
  <c r="H19" i="13"/>
  <c r="H15" i="13"/>
  <c r="E19" i="13"/>
  <c r="E15" i="13" l="1"/>
  <c r="E11" i="13"/>
  <c r="H11" i="13"/>
  <c r="E12" i="13"/>
  <c r="H12" i="13"/>
  <c r="E13" i="13"/>
  <c r="H13" i="13"/>
  <c r="E14" i="13"/>
  <c r="H14" i="13"/>
  <c r="E16" i="13"/>
  <c r="H16" i="13"/>
  <c r="E17" i="13"/>
  <c r="H17" i="13"/>
  <c r="E18" i="13"/>
  <c r="H18" i="13"/>
  <c r="E20" i="13"/>
  <c r="H20" i="13"/>
  <c r="E21" i="13"/>
  <c r="H21" i="13"/>
  <c r="E23" i="13"/>
  <c r="H23" i="13"/>
  <c r="L37" i="22" l="1"/>
  <c r="E37" i="22"/>
  <c r="C37" i="22"/>
  <c r="N12" i="22"/>
  <c r="L12" i="22"/>
  <c r="E12" i="22"/>
  <c r="D12" i="22"/>
  <c r="B12" i="22"/>
  <c r="N37" i="22" l="1"/>
  <c r="C13" i="22" l="1"/>
  <c r="M13" i="22"/>
  <c r="O13" i="22"/>
  <c r="D11" i="6"/>
  <c r="F7" i="21"/>
  <c r="D8" i="21"/>
  <c r="F8" i="21"/>
  <c r="D9" i="21"/>
  <c r="F9" i="21"/>
  <c r="E10" i="21"/>
  <c r="D11" i="21"/>
  <c r="F11" i="21"/>
  <c r="D12" i="21"/>
  <c r="F12" i="21"/>
  <c r="D13" i="21"/>
  <c r="F13" i="21"/>
  <c r="B14" i="21"/>
  <c r="B23" i="21" s="1"/>
  <c r="C14" i="21"/>
  <c r="E14" i="21"/>
  <c r="D15" i="21"/>
  <c r="F15" i="21"/>
  <c r="D16" i="21"/>
  <c r="F16" i="21"/>
  <c r="D17" i="21"/>
  <c r="F17" i="21"/>
  <c r="B18" i="21"/>
  <c r="C18" i="21"/>
  <c r="E18" i="21"/>
  <c r="D19" i="21"/>
  <c r="F19" i="21"/>
  <c r="D20" i="21"/>
  <c r="F20" i="21"/>
  <c r="D21" i="21"/>
  <c r="F21" i="21"/>
  <c r="B22" i="21"/>
  <c r="C22" i="21"/>
  <c r="E22" i="21"/>
  <c r="D18" i="21" l="1"/>
  <c r="D14" i="21"/>
  <c r="F14" i="21"/>
  <c r="C23" i="21"/>
  <c r="D23" i="21" s="1"/>
  <c r="F22" i="21"/>
  <c r="D22" i="21"/>
  <c r="F18" i="21"/>
  <c r="E23" i="21"/>
  <c r="F23" i="21" s="1"/>
  <c r="F10" i="21"/>
  <c r="D10" i="21"/>
  <c r="M24" i="13"/>
  <c r="G7" i="15"/>
  <c r="K12" i="11" l="1"/>
  <c r="J12" i="11"/>
  <c r="I12" i="11"/>
  <c r="E12" i="11"/>
  <c r="D12" i="11"/>
  <c r="C12" i="11"/>
  <c r="K8" i="8"/>
  <c r="L8" i="8"/>
  <c r="M8" i="8"/>
  <c r="F15" i="2"/>
  <c r="G15" i="2"/>
  <c r="H15" i="2" s="1"/>
  <c r="F16" i="2"/>
  <c r="G16" i="2"/>
  <c r="H16" i="2" s="1"/>
  <c r="Q12" i="10" l="1"/>
  <c r="Q9" i="10" l="1"/>
  <c r="P9" i="10"/>
  <c r="O9" i="10"/>
  <c r="N9" i="10"/>
  <c r="I12" i="8" l="1"/>
  <c r="H12" i="8"/>
  <c r="E12" i="8"/>
  <c r="D13" i="8"/>
  <c r="G13" i="8"/>
  <c r="J13" i="8"/>
  <c r="H14" i="10" l="1"/>
  <c r="F9" i="15"/>
  <c r="G9" i="15" s="1"/>
  <c r="N11" i="11"/>
  <c r="M11" i="11"/>
  <c r="L11" i="11"/>
  <c r="N9" i="11"/>
  <c r="M9" i="11"/>
  <c r="L9" i="11"/>
  <c r="J13" i="10"/>
  <c r="F13" i="10"/>
  <c r="B13" i="10"/>
  <c r="P12" i="10"/>
  <c r="O12" i="10"/>
  <c r="N12" i="10"/>
  <c r="Q10" i="10"/>
  <c r="P10" i="10"/>
  <c r="P13" i="10" s="1"/>
  <c r="O10" i="10"/>
  <c r="N10" i="10"/>
  <c r="F12" i="8"/>
  <c r="B12" i="8"/>
  <c r="M9" i="8"/>
  <c r="L9" i="8"/>
  <c r="L12" i="8" s="1"/>
  <c r="K9" i="8"/>
  <c r="K12" i="8" s="1"/>
  <c r="M11" i="8"/>
  <c r="L11" i="8"/>
  <c r="K11" i="8"/>
  <c r="C8" i="5"/>
  <c r="D8" i="5" s="1"/>
  <c r="N13" i="10" l="1"/>
  <c r="R13" i="10"/>
  <c r="C9" i="5" l="1"/>
  <c r="D9" i="5" s="1"/>
  <c r="D10" i="7"/>
  <c r="D8" i="7"/>
  <c r="D10" i="4"/>
  <c r="F10" i="4" s="1"/>
  <c r="F8" i="4"/>
  <c r="F17" i="2"/>
  <c r="G17" i="2"/>
  <c r="H17" i="2" s="1"/>
  <c r="B18" i="2"/>
  <c r="E18" i="2"/>
  <c r="F19" i="2"/>
  <c r="G19" i="2"/>
  <c r="H19" i="2" s="1"/>
  <c r="F20" i="2"/>
  <c r="G20" i="2"/>
  <c r="F21" i="2"/>
  <c r="G21" i="2"/>
  <c r="H21" i="2" s="1"/>
  <c r="B22" i="2"/>
  <c r="E22" i="2"/>
  <c r="F23" i="2"/>
  <c r="G23" i="2"/>
  <c r="H23" i="2" s="1"/>
  <c r="F24" i="2"/>
  <c r="G24" i="2"/>
  <c r="H24" i="2" s="1"/>
  <c r="F25" i="2"/>
  <c r="G25" i="2"/>
  <c r="H25" i="2" s="1"/>
  <c r="F26" i="2"/>
  <c r="G26" i="2"/>
  <c r="H26" i="2" s="1"/>
  <c r="B27" i="2"/>
  <c r="E27" i="2"/>
  <c r="F18" i="2" l="1"/>
  <c r="G22" i="2"/>
  <c r="H22" i="2" s="1"/>
  <c r="F27" i="2"/>
  <c r="F22" i="2"/>
  <c r="B28" i="2"/>
  <c r="H20" i="2"/>
  <c r="E10" i="4"/>
  <c r="E8" i="4"/>
  <c r="G27" i="2"/>
  <c r="H27" i="2" s="1"/>
  <c r="E28" i="2"/>
  <c r="G18" i="2" l="1"/>
  <c r="H18" i="2" s="1"/>
  <c r="F28" i="2"/>
  <c r="G28" i="2" l="1"/>
  <c r="C72" i="18" l="1"/>
  <c r="D69" i="18" s="1"/>
  <c r="A72" i="18"/>
  <c r="B71" i="18"/>
  <c r="B70" i="18"/>
  <c r="B69" i="18"/>
  <c r="B68" i="18"/>
  <c r="B67" i="18"/>
  <c r="B66" i="18"/>
  <c r="B65" i="18"/>
  <c r="B64" i="18"/>
  <c r="B63" i="18"/>
  <c r="D71" i="18" l="1"/>
  <c r="D65" i="18"/>
  <c r="D68" i="18"/>
  <c r="D66" i="18"/>
  <c r="B72" i="18"/>
  <c r="D63" i="18"/>
  <c r="D70" i="18"/>
  <c r="D64" i="18"/>
  <c r="D67" i="18"/>
  <c r="D72" i="18" l="1"/>
  <c r="G9" i="16" l="1"/>
  <c r="F9" i="16"/>
  <c r="C9" i="16"/>
  <c r="B9" i="16"/>
  <c r="N19" i="13" l="1"/>
  <c r="N15" i="13"/>
  <c r="P39" i="17" l="1"/>
  <c r="N39" i="17"/>
  <c r="P38" i="17"/>
  <c r="N38" i="17"/>
  <c r="P37" i="17"/>
  <c r="N37" i="17"/>
  <c r="P36" i="17"/>
  <c r="N36" i="17"/>
  <c r="P35" i="17"/>
  <c r="N35" i="17"/>
  <c r="P34" i="17"/>
  <c r="N34" i="17"/>
  <c r="P33" i="17"/>
  <c r="N33" i="17"/>
  <c r="P32" i="17"/>
  <c r="N32" i="17"/>
  <c r="G23" i="17"/>
  <c r="F23" i="17"/>
  <c r="E23" i="17"/>
  <c r="D23" i="17"/>
  <c r="C23" i="17"/>
  <c r="B23" i="17"/>
  <c r="I22" i="17"/>
  <c r="H22" i="17"/>
  <c r="I21" i="17"/>
  <c r="H21" i="17"/>
  <c r="I20" i="17"/>
  <c r="H20" i="17"/>
  <c r="G19" i="17"/>
  <c r="F19" i="17"/>
  <c r="E19" i="17"/>
  <c r="D19" i="17"/>
  <c r="C19" i="17"/>
  <c r="B19" i="17"/>
  <c r="I18" i="17"/>
  <c r="H18" i="17"/>
  <c r="I17" i="17"/>
  <c r="H17" i="17"/>
  <c r="I16" i="17"/>
  <c r="H16" i="17"/>
  <c r="G15" i="17"/>
  <c r="F15" i="17"/>
  <c r="E15" i="17"/>
  <c r="D15" i="17"/>
  <c r="C15" i="17"/>
  <c r="B15" i="17"/>
  <c r="I14" i="17"/>
  <c r="H14" i="17"/>
  <c r="I13" i="17"/>
  <c r="H13" i="17"/>
  <c r="I12" i="17"/>
  <c r="H12" i="17"/>
  <c r="G11" i="17"/>
  <c r="G24" i="17" s="1"/>
  <c r="F11" i="17"/>
  <c r="E11" i="17"/>
  <c r="E24" i="17" s="1"/>
  <c r="D11" i="17"/>
  <c r="C11" i="17"/>
  <c r="B11" i="17"/>
  <c r="I10" i="17"/>
  <c r="H10" i="17"/>
  <c r="I9" i="17"/>
  <c r="H9" i="17"/>
  <c r="I8" i="17"/>
  <c r="H8" i="17"/>
  <c r="P39" i="16"/>
  <c r="N39" i="16"/>
  <c r="P38" i="16"/>
  <c r="N38" i="16"/>
  <c r="P37" i="16"/>
  <c r="N37" i="16"/>
  <c r="P36" i="16"/>
  <c r="N36" i="16"/>
  <c r="P35" i="16"/>
  <c r="N35" i="16"/>
  <c r="P34" i="16"/>
  <c r="N34" i="16"/>
  <c r="P33" i="16"/>
  <c r="N33" i="16"/>
  <c r="P32" i="16"/>
  <c r="N32" i="16"/>
  <c r="G23" i="16"/>
  <c r="F23" i="16"/>
  <c r="E23" i="16"/>
  <c r="D23" i="16"/>
  <c r="C23" i="16"/>
  <c r="B23" i="16"/>
  <c r="I22" i="16"/>
  <c r="H22" i="16"/>
  <c r="I21" i="16"/>
  <c r="H21" i="16"/>
  <c r="I20" i="16"/>
  <c r="H20" i="16"/>
  <c r="G19" i="16"/>
  <c r="F19" i="16"/>
  <c r="E19" i="16"/>
  <c r="D19" i="16"/>
  <c r="C19" i="16"/>
  <c r="B19" i="16"/>
  <c r="I18" i="16"/>
  <c r="H18" i="16"/>
  <c r="I17" i="16"/>
  <c r="H17" i="16"/>
  <c r="I16" i="16"/>
  <c r="H16" i="16"/>
  <c r="G15" i="16"/>
  <c r="F15" i="16"/>
  <c r="E15" i="16"/>
  <c r="D15" i="16"/>
  <c r="C15" i="16"/>
  <c r="B15" i="16"/>
  <c r="I14" i="16"/>
  <c r="H14" i="16"/>
  <c r="I13" i="16"/>
  <c r="H13" i="16"/>
  <c r="I12" i="16"/>
  <c r="H12" i="16"/>
  <c r="G11" i="16"/>
  <c r="G24" i="16" s="1"/>
  <c r="F11" i="16"/>
  <c r="E11" i="16"/>
  <c r="E24" i="16" s="1"/>
  <c r="D11" i="16"/>
  <c r="C11" i="16"/>
  <c r="B11" i="16"/>
  <c r="I10" i="16"/>
  <c r="H10" i="16"/>
  <c r="I9" i="16"/>
  <c r="H9" i="16"/>
  <c r="I8" i="16"/>
  <c r="H8" i="16"/>
  <c r="F24" i="16" l="1"/>
  <c r="B24" i="16"/>
  <c r="F24" i="17"/>
  <c r="D24" i="17"/>
  <c r="H15" i="16"/>
  <c r="H11" i="17"/>
  <c r="H15" i="17"/>
  <c r="H19" i="17"/>
  <c r="D24" i="16"/>
  <c r="I11" i="16"/>
  <c r="B24" i="17"/>
  <c r="H23" i="17"/>
  <c r="I11" i="17"/>
  <c r="C24" i="17"/>
  <c r="H11" i="16"/>
  <c r="H19" i="16"/>
  <c r="H23" i="16"/>
  <c r="C24" i="16"/>
  <c r="I19" i="17"/>
  <c r="I15" i="17"/>
  <c r="I23" i="17"/>
  <c r="I15" i="16"/>
  <c r="I23" i="16"/>
  <c r="I19" i="16"/>
  <c r="H24" i="17" l="1"/>
  <c r="I24" i="16"/>
  <c r="I24" i="17"/>
  <c r="H24" i="16"/>
  <c r="B11" i="4"/>
  <c r="E13" i="1" l="1"/>
  <c r="C11" i="4" l="1"/>
  <c r="C10" i="15" l="1"/>
  <c r="E10" i="15" l="1"/>
  <c r="D10" i="15"/>
  <c r="B10" i="15"/>
  <c r="C11" i="6"/>
  <c r="B11" i="6"/>
  <c r="B11" i="5"/>
  <c r="C11" i="5" s="1"/>
  <c r="C11" i="7"/>
  <c r="B11" i="7"/>
  <c r="D11" i="5" l="1"/>
  <c r="L48" i="13" l="1"/>
  <c r="J48" i="13"/>
  <c r="I48" i="13"/>
  <c r="G48" i="13"/>
  <c r="F48" i="13"/>
  <c r="D48" i="13"/>
  <c r="C48" i="13"/>
  <c r="K46" i="13"/>
  <c r="H46" i="13"/>
  <c r="E46" i="13"/>
  <c r="K45" i="13"/>
  <c r="H45" i="13"/>
  <c r="E45" i="13"/>
  <c r="K44" i="13"/>
  <c r="H44" i="13"/>
  <c r="E44" i="13"/>
  <c r="K43" i="13"/>
  <c r="H43" i="13"/>
  <c r="E43" i="13"/>
  <c r="K42" i="13"/>
  <c r="H42" i="13"/>
  <c r="E42" i="13"/>
  <c r="K41" i="13"/>
  <c r="H41" i="13"/>
  <c r="E41" i="13"/>
  <c r="K35" i="13"/>
  <c r="H35" i="13"/>
  <c r="E35" i="13"/>
  <c r="K34" i="13"/>
  <c r="H34" i="13"/>
  <c r="E34" i="13"/>
  <c r="H33" i="13"/>
  <c r="E33" i="13"/>
  <c r="J24" i="13"/>
  <c r="I24" i="13"/>
  <c r="G24" i="13"/>
  <c r="F24" i="13"/>
  <c r="D24" i="13"/>
  <c r="C24" i="13"/>
  <c r="N23" i="13"/>
  <c r="K23" i="13"/>
  <c r="N21" i="13"/>
  <c r="K21" i="13"/>
  <c r="N20" i="13"/>
  <c r="K20" i="13"/>
  <c r="N18" i="13"/>
  <c r="K18" i="13"/>
  <c r="N17" i="13"/>
  <c r="K17" i="13"/>
  <c r="N16" i="13"/>
  <c r="K16" i="13"/>
  <c r="K14" i="13"/>
  <c r="K13" i="13"/>
  <c r="N12" i="13"/>
  <c r="K12" i="13"/>
  <c r="N11" i="13"/>
  <c r="K11" i="13"/>
  <c r="E22" i="15"/>
  <c r="D22" i="15"/>
  <c r="C22" i="15"/>
  <c r="B22" i="15"/>
  <c r="F21" i="15"/>
  <c r="G21" i="15" s="1"/>
  <c r="F20" i="15"/>
  <c r="G20" i="15" s="1"/>
  <c r="F19" i="15"/>
  <c r="G19" i="15" s="1"/>
  <c r="E18" i="15"/>
  <c r="D18" i="15"/>
  <c r="C18" i="15"/>
  <c r="B18" i="15"/>
  <c r="F17" i="15"/>
  <c r="G17" i="15" s="1"/>
  <c r="F16" i="15"/>
  <c r="G16" i="15" s="1"/>
  <c r="F15" i="15"/>
  <c r="G15" i="15" s="1"/>
  <c r="E14" i="15"/>
  <c r="D14" i="15"/>
  <c r="C14" i="15"/>
  <c r="B14" i="15"/>
  <c r="F13" i="15"/>
  <c r="G13" i="15" s="1"/>
  <c r="F12" i="15"/>
  <c r="G12" i="15" s="1"/>
  <c r="F11" i="15"/>
  <c r="G11" i="15" s="1"/>
  <c r="F8" i="15"/>
  <c r="G8" i="15" s="1"/>
  <c r="K24" i="11"/>
  <c r="J24" i="11"/>
  <c r="I24" i="11"/>
  <c r="E24" i="11"/>
  <c r="D24" i="11"/>
  <c r="C24" i="11"/>
  <c r="N23" i="11"/>
  <c r="M23" i="11"/>
  <c r="L23" i="11"/>
  <c r="N22" i="11"/>
  <c r="M22" i="11"/>
  <c r="L22" i="11"/>
  <c r="N21" i="11"/>
  <c r="M21" i="11"/>
  <c r="L21" i="11"/>
  <c r="K20" i="11"/>
  <c r="J20" i="11"/>
  <c r="I20" i="11"/>
  <c r="E20" i="11"/>
  <c r="D20" i="11"/>
  <c r="C20" i="11"/>
  <c r="N19" i="11"/>
  <c r="M19" i="11"/>
  <c r="L19" i="11"/>
  <c r="N18" i="11"/>
  <c r="M18" i="11"/>
  <c r="L18" i="11"/>
  <c r="N17" i="11"/>
  <c r="M17" i="11"/>
  <c r="L17" i="11"/>
  <c r="K16" i="11"/>
  <c r="J16" i="11"/>
  <c r="I16" i="11"/>
  <c r="E16" i="11"/>
  <c r="D16" i="11"/>
  <c r="C16" i="11"/>
  <c r="N15" i="11"/>
  <c r="M15" i="11"/>
  <c r="L15" i="11"/>
  <c r="N14" i="11"/>
  <c r="M14" i="11"/>
  <c r="L14" i="11"/>
  <c r="N13" i="11"/>
  <c r="M13" i="11"/>
  <c r="L13" i="11"/>
  <c r="N10" i="11"/>
  <c r="N12" i="11" s="1"/>
  <c r="M10" i="11"/>
  <c r="M12" i="11" s="1"/>
  <c r="L10" i="11"/>
  <c r="L12" i="11" s="1"/>
  <c r="I26" i="10"/>
  <c r="H26" i="10"/>
  <c r="H27" i="10" s="1"/>
  <c r="G26" i="10"/>
  <c r="F26" i="10"/>
  <c r="F27" i="10" s="1"/>
  <c r="M26" i="10"/>
  <c r="L26" i="10"/>
  <c r="L27" i="10" s="1"/>
  <c r="K26" i="10"/>
  <c r="J26" i="10"/>
  <c r="J27" i="10" s="1"/>
  <c r="E26" i="10"/>
  <c r="D26" i="10"/>
  <c r="D27" i="10" s="1"/>
  <c r="C26" i="10"/>
  <c r="B26" i="10"/>
  <c r="B27" i="10" s="1"/>
  <c r="Q25" i="10"/>
  <c r="P25" i="10"/>
  <c r="O25" i="10"/>
  <c r="N25" i="10"/>
  <c r="Q24" i="10"/>
  <c r="P24" i="10"/>
  <c r="P26" i="10" s="1"/>
  <c r="P27" i="10" s="1"/>
  <c r="O24" i="10"/>
  <c r="N24" i="10"/>
  <c r="N26" i="10" s="1"/>
  <c r="N27" i="10" s="1"/>
  <c r="Q23" i="10"/>
  <c r="P23" i="10"/>
  <c r="O23" i="10"/>
  <c r="N23" i="10"/>
  <c r="Q22" i="10"/>
  <c r="P22" i="10"/>
  <c r="O22" i="10"/>
  <c r="N22" i="10"/>
  <c r="I21" i="10"/>
  <c r="H21" i="10"/>
  <c r="G21" i="10"/>
  <c r="F21" i="10"/>
  <c r="M21" i="10"/>
  <c r="L21" i="10"/>
  <c r="K21" i="10"/>
  <c r="J21" i="10"/>
  <c r="E21" i="10"/>
  <c r="D21" i="10"/>
  <c r="C21" i="10"/>
  <c r="B21" i="10"/>
  <c r="Q20" i="10"/>
  <c r="P20" i="10"/>
  <c r="P21" i="10" s="1"/>
  <c r="O20" i="10"/>
  <c r="N20" i="10"/>
  <c r="N21" i="10" s="1"/>
  <c r="Q19" i="10"/>
  <c r="P19" i="10"/>
  <c r="O19" i="10"/>
  <c r="N19" i="10"/>
  <c r="Q18" i="10"/>
  <c r="P18" i="10"/>
  <c r="O18" i="10"/>
  <c r="N18" i="10"/>
  <c r="I17" i="10"/>
  <c r="H17" i="10"/>
  <c r="G17" i="10"/>
  <c r="F17" i="10"/>
  <c r="M17" i="10"/>
  <c r="L17" i="10"/>
  <c r="K17" i="10"/>
  <c r="J17" i="10"/>
  <c r="E17" i="10"/>
  <c r="D17" i="10"/>
  <c r="C17" i="10"/>
  <c r="B17" i="10"/>
  <c r="Q16" i="10"/>
  <c r="P16" i="10"/>
  <c r="P17" i="10" s="1"/>
  <c r="O16" i="10"/>
  <c r="N16" i="10"/>
  <c r="N17" i="10" s="1"/>
  <c r="Q15" i="10"/>
  <c r="P15" i="10"/>
  <c r="O15" i="10"/>
  <c r="N15" i="10"/>
  <c r="Q14" i="10"/>
  <c r="P14" i="10"/>
  <c r="O14" i="10"/>
  <c r="N14" i="10"/>
  <c r="Q11" i="10"/>
  <c r="Q13" i="10" s="1"/>
  <c r="P11" i="10"/>
  <c r="O11" i="10"/>
  <c r="O13" i="10" s="1"/>
  <c r="N11" i="10"/>
  <c r="G25" i="8"/>
  <c r="F25" i="8"/>
  <c r="F26" i="8" s="1"/>
  <c r="E25" i="8"/>
  <c r="E26" i="8" s="1"/>
  <c r="J25" i="8"/>
  <c r="I25" i="8"/>
  <c r="I26" i="8" s="1"/>
  <c r="H25" i="8"/>
  <c r="H26" i="8" s="1"/>
  <c r="D25" i="8"/>
  <c r="C25" i="8"/>
  <c r="C26" i="8" s="1"/>
  <c r="B25" i="8"/>
  <c r="B26" i="8" s="1"/>
  <c r="M24" i="8"/>
  <c r="L24" i="8"/>
  <c r="L25" i="8" s="1"/>
  <c r="L26" i="8" s="1"/>
  <c r="K24" i="8"/>
  <c r="K25" i="8" s="1"/>
  <c r="K26" i="8" s="1"/>
  <c r="M23" i="8"/>
  <c r="L23" i="8"/>
  <c r="K23" i="8"/>
  <c r="M22" i="8"/>
  <c r="L22" i="8"/>
  <c r="K22" i="8"/>
  <c r="M21" i="8"/>
  <c r="L21" i="8"/>
  <c r="K21" i="8"/>
  <c r="G20" i="8"/>
  <c r="F20" i="8"/>
  <c r="E20" i="8"/>
  <c r="J20" i="8"/>
  <c r="I20" i="8"/>
  <c r="H20" i="8"/>
  <c r="D20" i="8"/>
  <c r="C20" i="8"/>
  <c r="B20" i="8"/>
  <c r="M19" i="8"/>
  <c r="L19" i="8"/>
  <c r="L20" i="8" s="1"/>
  <c r="K19" i="8"/>
  <c r="K20" i="8" s="1"/>
  <c r="M18" i="8"/>
  <c r="L18" i="8"/>
  <c r="K18" i="8"/>
  <c r="M17" i="8"/>
  <c r="L17" i="8"/>
  <c r="K17" i="8"/>
  <c r="G16" i="8"/>
  <c r="F16" i="8"/>
  <c r="E16" i="8"/>
  <c r="J16" i="8"/>
  <c r="I16" i="8"/>
  <c r="H16" i="8"/>
  <c r="D16" i="8"/>
  <c r="C16" i="8"/>
  <c r="B16" i="8"/>
  <c r="M15" i="8"/>
  <c r="L15" i="8"/>
  <c r="L16" i="8" s="1"/>
  <c r="K15" i="8"/>
  <c r="K16" i="8" s="1"/>
  <c r="M14" i="8"/>
  <c r="L14" i="8"/>
  <c r="K14" i="8"/>
  <c r="M13" i="8"/>
  <c r="L13" i="8"/>
  <c r="K13" i="8"/>
  <c r="M10" i="8"/>
  <c r="M12" i="8" s="1"/>
  <c r="L10" i="8"/>
  <c r="K10" i="8"/>
  <c r="C23" i="6"/>
  <c r="B23" i="6"/>
  <c r="C19" i="6"/>
  <c r="B19" i="6"/>
  <c r="C15" i="6"/>
  <c r="B15" i="6"/>
  <c r="B23" i="5"/>
  <c r="C22" i="5"/>
  <c r="C21" i="5"/>
  <c r="C20" i="5"/>
  <c r="B19" i="5"/>
  <c r="C18" i="5"/>
  <c r="C17" i="5"/>
  <c r="C16" i="5"/>
  <c r="B15" i="5"/>
  <c r="D15" i="5" s="1"/>
  <c r="C14" i="5"/>
  <c r="C13" i="5"/>
  <c r="C12" i="5"/>
  <c r="C23" i="7"/>
  <c r="B23" i="7"/>
  <c r="D22" i="7"/>
  <c r="D21" i="7"/>
  <c r="D20" i="7"/>
  <c r="C19" i="7"/>
  <c r="B19" i="7"/>
  <c r="D18" i="7"/>
  <c r="D17" i="7"/>
  <c r="D16" i="7"/>
  <c r="C15" i="7"/>
  <c r="B15" i="7"/>
  <c r="D14" i="7"/>
  <c r="D13" i="7"/>
  <c r="D12" i="7"/>
  <c r="D9" i="7"/>
  <c r="C23" i="4"/>
  <c r="C24" i="4" s="1"/>
  <c r="B23" i="4"/>
  <c r="B24" i="4" s="1"/>
  <c r="D22" i="4"/>
  <c r="F22" i="4" s="1"/>
  <c r="D21" i="4"/>
  <c r="D20" i="4"/>
  <c r="F20" i="4" s="1"/>
  <c r="F23" i="4" s="1"/>
  <c r="C19" i="4"/>
  <c r="B19" i="4"/>
  <c r="D18" i="4"/>
  <c r="F18" i="4" s="1"/>
  <c r="D17" i="4"/>
  <c r="F17" i="4" s="1"/>
  <c r="D16" i="4"/>
  <c r="F16" i="4" s="1"/>
  <c r="F19" i="4" s="1"/>
  <c r="C15" i="4"/>
  <c r="B15" i="4"/>
  <c r="D14" i="4"/>
  <c r="E14" i="4" s="1"/>
  <c r="D13" i="4"/>
  <c r="E13" i="4" s="1"/>
  <c r="D12" i="4"/>
  <c r="F12" i="4" s="1"/>
  <c r="F15" i="4" s="1"/>
  <c r="D9" i="4"/>
  <c r="O10" i="4" s="1"/>
  <c r="E26" i="1"/>
  <c r="C26" i="1"/>
  <c r="B26" i="1"/>
  <c r="F25" i="1"/>
  <c r="D25" i="1"/>
  <c r="F24" i="1"/>
  <c r="D24" i="1"/>
  <c r="F23" i="1"/>
  <c r="D23" i="1"/>
  <c r="F22" i="1"/>
  <c r="D22" i="1"/>
  <c r="E21" i="1"/>
  <c r="C21" i="1"/>
  <c r="B21" i="1"/>
  <c r="F20" i="1"/>
  <c r="D20" i="1"/>
  <c r="F19" i="1"/>
  <c r="D19" i="1"/>
  <c r="F18" i="1"/>
  <c r="D18" i="1"/>
  <c r="E17" i="1"/>
  <c r="C17" i="1"/>
  <c r="B17" i="1"/>
  <c r="F16" i="1"/>
  <c r="D16" i="1"/>
  <c r="F15" i="1"/>
  <c r="D15" i="1"/>
  <c r="F14" i="1"/>
  <c r="D14" i="1"/>
  <c r="G28" i="8" l="1"/>
  <c r="D28" i="8"/>
  <c r="J28" i="8"/>
  <c r="S13" i="10"/>
  <c r="H24" i="13"/>
  <c r="D23" i="5"/>
  <c r="C27" i="1"/>
  <c r="B23" i="15"/>
  <c r="D23" i="15"/>
  <c r="K24" i="13"/>
  <c r="E48" i="13"/>
  <c r="K48" i="13"/>
  <c r="F13" i="4"/>
  <c r="D26" i="1"/>
  <c r="H48" i="13"/>
  <c r="C24" i="7"/>
  <c r="M16" i="11"/>
  <c r="B24" i="7"/>
  <c r="C23" i="15"/>
  <c r="D21" i="1"/>
  <c r="C23" i="5"/>
  <c r="K25" i="11"/>
  <c r="N20" i="11"/>
  <c r="E24" i="13"/>
  <c r="F21" i="1"/>
  <c r="F26" i="1"/>
  <c r="D23" i="7"/>
  <c r="E12" i="4"/>
  <c r="E15" i="4" s="1"/>
  <c r="E20" i="4"/>
  <c r="E23" i="4" s="1"/>
  <c r="D19" i="7"/>
  <c r="F14" i="4"/>
  <c r="D11" i="4"/>
  <c r="D15" i="4"/>
  <c r="T43" i="8"/>
  <c r="T40" i="8"/>
  <c r="K27" i="10"/>
  <c r="B27" i="1"/>
  <c r="D23" i="4"/>
  <c r="D24" i="4" s="1"/>
  <c r="E22" i="4"/>
  <c r="E23" i="15"/>
  <c r="D15" i="7"/>
  <c r="S31" i="8"/>
  <c r="S43" i="8"/>
  <c r="S40" i="8"/>
  <c r="L20" i="11"/>
  <c r="D11" i="7"/>
  <c r="E17" i="4"/>
  <c r="F14" i="15"/>
  <c r="G14" i="15" s="1"/>
  <c r="F18" i="15"/>
  <c r="G18" i="15" s="1"/>
  <c r="F22" i="15"/>
  <c r="G22" i="15" s="1"/>
  <c r="D17" i="1"/>
  <c r="D19" i="4"/>
  <c r="C19" i="5"/>
  <c r="O17" i="10"/>
  <c r="O9" i="4"/>
  <c r="F17" i="1"/>
  <c r="E21" i="4"/>
  <c r="E24" i="4" s="1"/>
  <c r="D19" i="5"/>
  <c r="I27" i="10"/>
  <c r="E16" i="4"/>
  <c r="E19" i="4" s="1"/>
  <c r="E18" i="4"/>
  <c r="F21" i="4"/>
  <c r="F24" i="4" s="1"/>
  <c r="J25" i="11"/>
  <c r="L16" i="11"/>
  <c r="M20" i="11"/>
  <c r="L24" i="11"/>
  <c r="N24" i="11"/>
  <c r="M27" i="10"/>
  <c r="O26" i="10"/>
  <c r="M24" i="11"/>
  <c r="E25" i="11"/>
  <c r="N16" i="11"/>
  <c r="I25" i="11"/>
  <c r="C25" i="11"/>
  <c r="D25" i="11"/>
  <c r="S34" i="8"/>
  <c r="E9" i="4"/>
  <c r="E11" i="4" s="1"/>
  <c r="F9" i="4"/>
  <c r="Q21" i="10"/>
  <c r="G27" i="10"/>
  <c r="Q26" i="10"/>
  <c r="Q17" i="10"/>
  <c r="O21" i="10"/>
  <c r="E27" i="10"/>
  <c r="F10" i="15"/>
  <c r="Q15" i="8"/>
  <c r="M16" i="8"/>
  <c r="J26" i="8"/>
  <c r="M20" i="8"/>
  <c r="M25" i="8"/>
  <c r="Q10" i="8"/>
  <c r="F13" i="1"/>
  <c r="T34" i="8"/>
  <c r="T31" i="8"/>
  <c r="D26" i="8"/>
  <c r="G26" i="8"/>
  <c r="B24" i="5"/>
  <c r="C15" i="5"/>
  <c r="D27" i="1" l="1"/>
  <c r="M25" i="11"/>
  <c r="Q28" i="10"/>
  <c r="U43" i="8"/>
  <c r="U40" i="8"/>
  <c r="M11" i="4"/>
  <c r="O11" i="4"/>
  <c r="U34" i="8"/>
  <c r="U31" i="8"/>
  <c r="G27" i="8"/>
  <c r="M26" i="8"/>
  <c r="L25" i="11"/>
  <c r="O27" i="10"/>
  <c r="J27" i="8"/>
  <c r="N25" i="11"/>
  <c r="Q27" i="10"/>
  <c r="B25" i="7"/>
  <c r="C25" i="7"/>
  <c r="D24" i="7"/>
  <c r="F11" i="4"/>
  <c r="D27" i="8"/>
  <c r="E27" i="1"/>
  <c r="F27" i="1" s="1"/>
  <c r="G10" i="15"/>
  <c r="F23" i="15"/>
  <c r="G23" i="15" s="1"/>
  <c r="N14" i="13"/>
  <c r="N13" i="13"/>
  <c r="L24" i="13"/>
  <c r="O28" i="10" l="1"/>
  <c r="U9" i="8"/>
  <c r="V11" i="8"/>
  <c r="N24" i="13"/>
  <c r="C2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 Jaquez Adames</author>
  </authors>
  <commentList>
    <comment ref="F6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Isabel Jaquez Adames:</t>
        </r>
        <r>
          <rPr>
            <sz val="9"/>
            <color indexed="81"/>
            <rFont val="Tahoma"/>
            <family val="2"/>
          </rPr>
          <t xml:space="preserve">
Estas columnas se pueden eliminar</t>
        </r>
      </text>
    </comment>
  </commentList>
</comments>
</file>

<file path=xl/sharedStrings.xml><?xml version="1.0" encoding="utf-8"?>
<sst xmlns="http://schemas.openxmlformats.org/spreadsheetml/2006/main" count="782" uniqueCount="258">
  <si>
    <t>Dirección General de Jubilaciones y Pensiones a Cargo del Estado</t>
  </si>
  <si>
    <t>Departamento Administrativo y Financiero</t>
  </si>
  <si>
    <t>Ejecución Presupuesto Administrativo</t>
  </si>
  <si>
    <t>Mes</t>
  </si>
  <si>
    <t>Presupuesto Programado</t>
  </si>
  <si>
    <t>Presupuesto Ejecutado</t>
  </si>
  <si>
    <t>Restante</t>
  </si>
  <si>
    <t>Monto</t>
  </si>
  <si>
    <t>Absoluto (RD$)</t>
  </si>
  <si>
    <t>Relativo</t>
  </si>
  <si>
    <t>Regalía</t>
  </si>
  <si>
    <t>Diciembre</t>
  </si>
  <si>
    <t>Noviembre</t>
  </si>
  <si>
    <t>Octubre</t>
  </si>
  <si>
    <t>4to Trimestre</t>
  </si>
  <si>
    <t>Abril</t>
  </si>
  <si>
    <t>Mayo</t>
  </si>
  <si>
    <t>Junio</t>
  </si>
  <si>
    <t>2do Trimestre</t>
  </si>
  <si>
    <t xml:space="preserve">Julio </t>
  </si>
  <si>
    <t>Agosto</t>
  </si>
  <si>
    <t>Septiembre</t>
  </si>
  <si>
    <t>3er Trimestre</t>
  </si>
  <si>
    <t>Total</t>
  </si>
  <si>
    <t>Nota:</t>
  </si>
  <si>
    <t>División de Seguimiento al Sistema de Reparto</t>
  </si>
  <si>
    <t>Afiliados y Cotizantes</t>
  </si>
  <si>
    <t>Afiliados al Sistema de Reparto</t>
  </si>
  <si>
    <t>Cotizantes</t>
  </si>
  <si>
    <t>% Cotizantes</t>
  </si>
  <si>
    <t>No Cotizantes</t>
  </si>
  <si>
    <t>% No Cotizantes</t>
  </si>
  <si>
    <t>Afiliados Policia Nacional</t>
  </si>
  <si>
    <t>Promedio
2do Trimestre</t>
  </si>
  <si>
    <t>Julio</t>
  </si>
  <si>
    <t>Promedio
3er Trimestre</t>
  </si>
  <si>
    <t>Promedio
4to Trimestre</t>
  </si>
  <si>
    <r>
      <rPr>
        <b/>
        <sz val="8"/>
        <color indexed="8"/>
        <rFont val="Calibri"/>
        <family val="2"/>
      </rPr>
      <t>Fuente:</t>
    </r>
    <r>
      <rPr>
        <sz val="8"/>
        <color indexed="8"/>
        <rFont val="Calibri"/>
        <family val="2"/>
      </rPr>
      <t xml:space="preserve"> Datos recolectados en la DGJP, analizados por la División de Seguimiento al Sistema de Reparto</t>
    </r>
  </si>
  <si>
    <t xml:space="preserve"> </t>
  </si>
  <si>
    <t>Distribución de Cotizantes por Tipo de Empleador</t>
  </si>
  <si>
    <t>Cantidad de Cotizantes por Tipo de Empleador</t>
  </si>
  <si>
    <t xml:space="preserve">Público 
</t>
  </si>
  <si>
    <t>Privado</t>
  </si>
  <si>
    <t>% Público</t>
  </si>
  <si>
    <t>% Privado</t>
  </si>
  <si>
    <t>Enero-Abril 2021</t>
  </si>
  <si>
    <r>
      <rPr>
        <b/>
        <sz val="8"/>
        <color rgb="FF000000"/>
        <rFont val="Calibri"/>
        <family val="2"/>
      </rPr>
      <t>Fuente:</t>
    </r>
    <r>
      <rPr>
        <sz val="8"/>
        <color indexed="8"/>
        <rFont val="Calibri"/>
        <family val="2"/>
      </rPr>
      <t xml:space="preserve"> Data extraída de UNIPAGO, analizada por la División de Seguimiento al Sistema de Reparto</t>
    </r>
  </si>
  <si>
    <t>Individualización por tipo de Empleador</t>
  </si>
  <si>
    <t>Individualización de aportes por tipo de Empleador</t>
  </si>
  <si>
    <t>Público (RD$)</t>
  </si>
  <si>
    <t>Privado (RD$)</t>
  </si>
  <si>
    <t>Total (RD$)</t>
  </si>
  <si>
    <t>Porcentaje</t>
  </si>
  <si>
    <t>Distribución de Aportes</t>
  </si>
  <si>
    <t>Cantidad de Aportes</t>
  </si>
  <si>
    <t>Δ Absoluta</t>
  </si>
  <si>
    <t>Δ Relativa</t>
  </si>
  <si>
    <r>
      <rPr>
        <b/>
        <sz val="8"/>
        <color indexed="8"/>
        <rFont val="Calibri"/>
        <family val="2"/>
      </rPr>
      <t>Fuente:</t>
    </r>
    <r>
      <rPr>
        <sz val="8"/>
        <color indexed="8"/>
        <rFont val="Calibri"/>
        <family val="2"/>
      </rPr>
      <t xml:space="preserve"> Data extraída de UNIPAGO, analizada por la División de Seguimiento al Sistema de Reparto</t>
    </r>
  </si>
  <si>
    <t>Cantidad de Traspasos</t>
  </si>
  <si>
    <t>Recibidos (SCI a Reparto)</t>
  </si>
  <si>
    <t>Cedidos (Reparto a SCI)</t>
  </si>
  <si>
    <t>Monto Traspasado (RD$)</t>
  </si>
  <si>
    <t>T2</t>
  </si>
  <si>
    <t>T3</t>
  </si>
  <si>
    <t>T4</t>
  </si>
  <si>
    <t>Departamento de Gestión Financiera de Pensiones</t>
  </si>
  <si>
    <t>Ejecución Presupuesto Pensionados</t>
  </si>
  <si>
    <t>Programación Presupuestaria</t>
  </si>
  <si>
    <t>Ejecución Presupuestaria</t>
  </si>
  <si>
    <t>Programación Ordinaria (RD$)</t>
  </si>
  <si>
    <t>Ajuste de Partidas Devengadas</t>
  </si>
  <si>
    <t>Programación Total</t>
  </si>
  <si>
    <t xml:space="preserve"> Ejecutado</t>
  </si>
  <si>
    <r>
      <t xml:space="preserve">Nota 1: </t>
    </r>
    <r>
      <rPr>
        <sz val="8"/>
        <rFont val="Calibri"/>
        <family val="2"/>
        <scheme val="minor"/>
      </rPr>
      <t>El monto de ajuste de partidas devengadas, corresponde a los rechazos en transferencia, reintegro de cheques, recuperaciones y devoluciones de pensiones de las diferentes nominas (civil, policia, solidaria y adicionales)</t>
    </r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</si>
  <si>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SIGEF, División de Presupuesto de Pensiones</t>
    </r>
  </si>
  <si>
    <t>Nómina de Pensionados</t>
  </si>
  <si>
    <t>Pensiones Civiles</t>
  </si>
  <si>
    <t>Pensiones Solidarias</t>
  </si>
  <si>
    <t>PN</t>
  </si>
  <si>
    <t>TOTAL</t>
  </si>
  <si>
    <t>Cantidad Pensionados</t>
  </si>
  <si>
    <t>Cantidad Pensiones</t>
  </si>
  <si>
    <t>Abril-Junio 2019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</si>
  <si>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SIJUPEN</t>
    </r>
  </si>
  <si>
    <t>Variaciones</t>
  </si>
  <si>
    <t>Pensiones</t>
  </si>
  <si>
    <t>Pensionados</t>
  </si>
  <si>
    <t>Abril-Junio 2020</t>
  </si>
  <si>
    <t>Nóminas Autoseguro</t>
  </si>
  <si>
    <t>Nómina Mensual Discapacidad Civil</t>
  </si>
  <si>
    <t>Nómina Mensual Discapacidad Policía Nacional</t>
  </si>
  <si>
    <t>Nómina Mensual Sobrevivencia Civil</t>
  </si>
  <si>
    <t>Nómina Mensual Sobrevivencia Policía</t>
  </si>
  <si>
    <t>Cantidad Beneficiarios</t>
  </si>
  <si>
    <t>Monto Bruto
(RD$)</t>
  </si>
  <si>
    <t>AFP
(RD$)</t>
  </si>
  <si>
    <t>SFS
(RD$)</t>
  </si>
  <si>
    <t>Monto Neto
(RD$)</t>
  </si>
  <si>
    <t>Monto
(RD$)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</si>
  <si>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</si>
  <si>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Nómina Deuda Retroactiva 
Discapacidad Civil</t>
  </si>
  <si>
    <t>Nómina Deuda Retroactiva
Sobrevivencia Civil</t>
  </si>
  <si>
    <t>Nómina Deuda Retroactiva
Sobrevivencia Policía Nacional</t>
  </si>
  <si>
    <t>-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</si>
  <si>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División de Nómina</t>
    </r>
  </si>
  <si>
    <t>Movimientos en Nómina</t>
  </si>
  <si>
    <t>TOTAL GENERAL</t>
  </si>
  <si>
    <t>Inclusiones</t>
  </si>
  <si>
    <t>Pensiones por Sobrevivencia</t>
  </si>
  <si>
    <t>Reactivaciones &amp; Reinclusiones</t>
  </si>
  <si>
    <t>Ajustes Monto Pensiones</t>
  </si>
  <si>
    <t>Exclusiones</t>
  </si>
  <si>
    <t>Suspensiones</t>
  </si>
  <si>
    <t>Cantidad</t>
  </si>
  <si>
    <t>Tipo Cantidad Porcentaje Monto Porcentaje</t>
  </si>
  <si>
    <t>PENSIÓN</t>
  </si>
  <si>
    <t>CIVIL</t>
  </si>
  <si>
    <t>IDSS</t>
  </si>
  <si>
    <t>GLORIAS</t>
  </si>
  <si>
    <t>DEL</t>
  </si>
  <si>
    <t>DEPORTE</t>
  </si>
  <si>
    <t>PABELLÓN</t>
  </si>
  <si>
    <t>DE</t>
  </si>
  <si>
    <t>LA</t>
  </si>
  <si>
    <t>FAMA</t>
  </si>
  <si>
    <t>PODER</t>
  </si>
  <si>
    <t>LEGISLATIVO</t>
  </si>
  <si>
    <t>EJECUTIVO</t>
  </si>
  <si>
    <t>POLICÍA</t>
  </si>
  <si>
    <t>NACIONAL</t>
  </si>
  <si>
    <t>SOLIDARIA</t>
  </si>
  <si>
    <t>PENSION</t>
  </si>
  <si>
    <t>POR</t>
  </si>
  <si>
    <t>SOBREVIVENCIA</t>
  </si>
  <si>
    <t>Rango</t>
  </si>
  <si>
    <t>Cantidad*</t>
  </si>
  <si>
    <t>Monto*</t>
  </si>
  <si>
    <t>Menos</t>
  </si>
  <si>
    <t>de</t>
  </si>
  <si>
    <t>RD$5117.50</t>
  </si>
  <si>
    <t>Igual</t>
  </si>
  <si>
    <t>a</t>
  </si>
  <si>
    <t>RD$5117.51</t>
  </si>
  <si>
    <t>&gt;=100,000.00</t>
  </si>
  <si>
    <t>18-30</t>
  </si>
  <si>
    <t>30-40</t>
  </si>
  <si>
    <t>40-50</t>
  </si>
  <si>
    <t>50-60</t>
  </si>
  <si>
    <t>60-70</t>
  </si>
  <si>
    <t>70-80</t>
  </si>
  <si>
    <t>80-90</t>
  </si>
  <si>
    <t>90-100</t>
  </si>
  <si>
    <t>con</t>
  </si>
  <si>
    <t>Nacimiento</t>
  </si>
  <si>
    <t>Trimestre Abril-Junio
Al 30 de Junio 2021</t>
  </si>
  <si>
    <t xml:space="preserve">Cantidad </t>
  </si>
  <si>
    <t>Modalidad de Pago</t>
  </si>
  <si>
    <t>Electrónico</t>
  </si>
  <si>
    <t>Cheque</t>
  </si>
  <si>
    <t xml:space="preserve">Electrónico </t>
  </si>
  <si>
    <t>Cantidad de Pensiones</t>
  </si>
  <si>
    <t>Cantidad  Pensiones</t>
  </si>
  <si>
    <t>Cantidad Electrónico</t>
  </si>
  <si>
    <t>Cantidad Cheque</t>
  </si>
  <si>
    <r>
      <rPr>
        <b/>
        <sz val="8"/>
        <color theme="1"/>
        <rFont val="Calibri"/>
        <family val="2"/>
        <scheme val="minor"/>
      </rPr>
      <t xml:space="preserve">Fuente: </t>
    </r>
    <r>
      <rPr>
        <sz val="8"/>
        <color theme="1"/>
        <rFont val="Calibri"/>
        <family val="2"/>
        <scheme val="minor"/>
      </rPr>
      <t>SIJUPEN</t>
    </r>
  </si>
  <si>
    <t>Pago de Retroactivos</t>
  </si>
  <si>
    <t>Cantidad 
Pensionados</t>
  </si>
  <si>
    <t>Cantidad 
Pensiones</t>
  </si>
  <si>
    <t>Regalia</t>
  </si>
  <si>
    <t>Diciembre**</t>
  </si>
  <si>
    <t xml:space="preserve"> **Estos totales incluyen las nóminas adicionales de regalía de pensionados inactivos.</t>
  </si>
  <si>
    <r>
      <rPr>
        <b/>
        <sz val="8"/>
        <color theme="1"/>
        <rFont val="Calibri"/>
        <family val="2"/>
        <scheme val="minor"/>
      </rPr>
      <t xml:space="preserve">Fuente: </t>
    </r>
    <r>
      <rPr>
        <sz val="8"/>
        <color theme="1"/>
        <rFont val="Calibri"/>
        <family val="2"/>
        <scheme val="minor"/>
      </rPr>
      <t>Departamento de Gestión Financiera de Pensiones.</t>
    </r>
  </si>
  <si>
    <t>Direccion General de Jubilaciones y Pensiones a Cargo del Estado</t>
  </si>
  <si>
    <t>Reintegro de Cheques</t>
  </si>
  <si>
    <t>Estadíticas Trimestre Abril-Junio</t>
  </si>
  <si>
    <t>Año 2021</t>
  </si>
  <si>
    <t>DGJP</t>
  </si>
  <si>
    <t>Cantidad 
de Cheques</t>
  </si>
  <si>
    <t xml:space="preserve"> *Estos totales incluyen las nóminas adicionales de regalía de pensionados inactivos.</t>
  </si>
  <si>
    <t>Fuente: SIJUPEN</t>
  </si>
  <si>
    <t>Créditos Rechazados</t>
  </si>
  <si>
    <t>Estadíticas Trimestre Enero-Marzo</t>
  </si>
  <si>
    <t xml:space="preserve">Cantidad 
</t>
  </si>
  <si>
    <t>Pagos Únicos Compensatorios</t>
  </si>
  <si>
    <t>Recuperación de Fondos</t>
  </si>
  <si>
    <t>Cantidad 
Solicitudes</t>
  </si>
  <si>
    <t>Monto 
Solicitado</t>
  </si>
  <si>
    <t>Monto Recuperado 
Años Anteriores</t>
  </si>
  <si>
    <t>Monto Recuperado 
Año en Curso</t>
  </si>
  <si>
    <t>Total 
Recuperado</t>
  </si>
  <si>
    <t>% Recuperado</t>
  </si>
  <si>
    <t>Dirección de Servicios y Trámite de Pensiones</t>
  </si>
  <si>
    <t>Gestión de Servicios a Pensionados</t>
  </si>
  <si>
    <t>Solicitudes Recibidas</t>
  </si>
  <si>
    <t xml:space="preserve">Descripción </t>
  </si>
  <si>
    <t>Recibidas</t>
  </si>
  <si>
    <t>Procesadas</t>
  </si>
  <si>
    <t>% Eficiencia</t>
  </si>
  <si>
    <t>Modificación Datos Críticos</t>
  </si>
  <si>
    <t>Pensión por sobrevivencia</t>
  </si>
  <si>
    <t>Registro de Poderes</t>
  </si>
  <si>
    <t>Solicitud Aplicación/Suspensión de Descuento 2%</t>
  </si>
  <si>
    <t>Solicitud de actualización de datos  Pensionados</t>
  </si>
  <si>
    <t>Solicitud de Exclusión</t>
  </si>
  <si>
    <t>Solicitud de Inclusión a Nómina</t>
  </si>
  <si>
    <t>Solicitud de Reajuste de Pensión</t>
  </si>
  <si>
    <t>Solicitud de Reclamación de Deuda</t>
  </si>
  <si>
    <t>Solicitud Pago Único Compensatorio</t>
  </si>
  <si>
    <t>Solicitud Pensión</t>
  </si>
  <si>
    <t>Solicitud Re-activación/Re-inclusión Pensión</t>
  </si>
  <si>
    <t>Solicitud Traspaso</t>
  </si>
  <si>
    <t>Total:</t>
  </si>
  <si>
    <t>Aprobadas</t>
  </si>
  <si>
    <t>Pensión por Sobrevivencia Concubina</t>
  </si>
  <si>
    <t>Pensión por Sobrevivencia Conyugue</t>
  </si>
  <si>
    <t>Pension por Sobrevivencia Estudiante PN</t>
  </si>
  <si>
    <t>Pensión por Sobrevivencia Menor</t>
  </si>
  <si>
    <t>Pensión por Sobrevivencia Padres</t>
  </si>
  <si>
    <t>Reactivacion</t>
  </si>
  <si>
    <t>Reembolso - RE</t>
  </si>
  <si>
    <t>Reinclusion</t>
  </si>
  <si>
    <t>Retroactivo – RT</t>
  </si>
  <si>
    <t>Retroactivo – RTI</t>
  </si>
  <si>
    <t>Solicitud de aplicacion de Descuento ADL</t>
  </si>
  <si>
    <t>Solicitud de Suspension de Descuento SDL</t>
  </si>
  <si>
    <t>Solicitud Modificación Monto Pensión</t>
  </si>
  <si>
    <t>Solicitudes Recibidas y otorgadas</t>
  </si>
  <si>
    <t>Otorgadas</t>
  </si>
  <si>
    <t>Sobrevivencia Civil</t>
  </si>
  <si>
    <t>Sobrevivencia Policía Nacional</t>
  </si>
  <si>
    <t>Discapacidad Civil</t>
  </si>
  <si>
    <t>Discapacidad Policía Nacional</t>
  </si>
  <si>
    <r>
      <rPr>
        <b/>
        <sz val="8"/>
        <rFont val="Calibri"/>
        <family val="2"/>
        <scheme val="minor"/>
      </rPr>
      <t xml:space="preserve">Fuente: </t>
    </r>
    <r>
      <rPr>
        <sz val="8"/>
        <rFont val="Calibri"/>
        <family val="2"/>
        <scheme val="minor"/>
      </rPr>
      <t>Departamento de Autoseguro</t>
    </r>
  </si>
  <si>
    <t>Año 2024</t>
  </si>
  <si>
    <t>Nómina Deuda Retroactiva 
Discapacidad Policía Nacional</t>
  </si>
  <si>
    <r>
      <t xml:space="preserve">Fuente: </t>
    </r>
    <r>
      <rPr>
        <sz val="7"/>
        <rFont val="Calibri"/>
        <family val="2"/>
        <scheme val="minor"/>
      </rPr>
      <t>SIGEF</t>
    </r>
    <r>
      <rPr>
        <b/>
        <sz val="7"/>
        <rFont val="Calibri"/>
        <family val="2"/>
        <scheme val="minor"/>
      </rPr>
      <t xml:space="preserve">, </t>
    </r>
    <r>
      <rPr>
        <sz val="7"/>
        <rFont val="Calibri"/>
        <family val="2"/>
        <scheme val="minor"/>
      </rPr>
      <t>Departamento Financiero</t>
    </r>
  </si>
  <si>
    <t>Descripción</t>
  </si>
  <si>
    <r>
      <rPr>
        <b/>
        <sz val="8"/>
        <color indexed="8"/>
        <rFont val="Calibri"/>
        <family val="2"/>
      </rPr>
      <t>Fuente:</t>
    </r>
    <r>
      <rPr>
        <sz val="8"/>
        <color indexed="8"/>
        <rFont val="Calibri"/>
        <family val="2"/>
      </rPr>
      <t xml:space="preserve"> Data extraída de UNIPAGO, analizada por la División de Seguimiento al Sistema de Reparto.</t>
    </r>
  </si>
  <si>
    <t>Estadísticas Trimestre Octubre-Diciembre</t>
  </si>
  <si>
    <t xml:space="preserve">Noviembre </t>
  </si>
  <si>
    <t>Promedio 4to Trimestre</t>
  </si>
  <si>
    <r>
      <rPr>
        <b/>
        <sz val="8"/>
        <color indexed="8"/>
        <rFont val="Calibri"/>
        <family val="2"/>
      </rPr>
      <t>Nota:</t>
    </r>
    <r>
      <rPr>
        <sz val="8"/>
        <color indexed="8"/>
        <rFont val="Calibri"/>
        <family val="2"/>
      </rPr>
      <t xml:space="preserve"> Mes de diciembre proyectado.</t>
    </r>
  </si>
  <si>
    <r>
      <rPr>
        <b/>
        <sz val="8"/>
        <rFont val="Calibri"/>
        <family val="2"/>
        <scheme val="minor"/>
      </rPr>
      <t xml:space="preserve">Fuente: </t>
    </r>
    <r>
      <rPr>
        <sz val="8"/>
        <rFont val="Calibri"/>
        <family val="2"/>
        <scheme val="minor"/>
      </rPr>
      <t>Reporte SJP</t>
    </r>
    <r>
      <rPr>
        <b/>
        <sz val="8"/>
        <rFont val="Calibri"/>
        <family val="2"/>
        <scheme val="minor"/>
      </rPr>
      <t>-</t>
    </r>
    <r>
      <rPr>
        <sz val="8"/>
        <rFont val="Calibri"/>
        <family val="2"/>
        <scheme val="minor"/>
      </rPr>
      <t>DAP</t>
    </r>
  </si>
  <si>
    <r>
      <rPr>
        <b/>
        <sz val="8"/>
        <rFont val="Calibri"/>
        <family val="2"/>
        <scheme val="minor"/>
      </rPr>
      <t>Fuente</t>
    </r>
    <r>
      <rPr>
        <sz val="8"/>
        <rFont val="Calibri"/>
        <family val="2"/>
        <scheme val="minor"/>
      </rPr>
      <t>: Reporte SJP-DAP</t>
    </r>
  </si>
  <si>
    <t>Cantidad de solicitudes aprobadas por tipo T4-2024</t>
  </si>
  <si>
    <t>Pensión por Sobrevivencia Hijo Discapacitado PN</t>
  </si>
  <si>
    <t xml:space="preserve">Diciembre </t>
  </si>
  <si>
    <r>
      <rPr>
        <b/>
        <sz val="8"/>
        <rFont val="Calibri"/>
        <family val="2"/>
        <scheme val="minor"/>
      </rPr>
      <t>Nota 2</t>
    </r>
    <r>
      <rPr>
        <sz val="8"/>
        <rFont val="Calibri"/>
        <family val="2"/>
        <scheme val="minor"/>
      </rPr>
      <t>: Se presenta la información en base a los trámites gestionados dentro del trimestre por las distintas Divisiones del Departamento de Gestión Financiera</t>
    </r>
  </si>
  <si>
    <t>4toTrimestre</t>
  </si>
  <si>
    <t>4to. Trimestre</t>
  </si>
  <si>
    <r>
      <rPr>
        <b/>
        <sz val="8"/>
        <color theme="1"/>
        <rFont val="Calibri"/>
        <family val="2"/>
        <scheme val="minor"/>
      </rPr>
      <t xml:space="preserve">Nota: </t>
    </r>
    <r>
      <rPr>
        <sz val="8"/>
        <color theme="1"/>
        <rFont val="Calibri"/>
        <family val="2"/>
        <scheme val="minor"/>
      </rPr>
      <t xml:space="preserve">No se registraron pagos retroactivos en los meses de octubre, noviembre y diciembre para las pensiones de la  Policia Nacional y en noviembre para las pensiones civiles </t>
    </r>
  </si>
  <si>
    <r>
      <rPr>
        <b/>
        <sz val="8"/>
        <color theme="1"/>
        <rFont val="Calibri"/>
        <family val="2"/>
        <scheme val="minor"/>
      </rPr>
      <t xml:space="preserve">Nota: </t>
    </r>
    <r>
      <rPr>
        <sz val="8"/>
        <color theme="1"/>
        <rFont val="Calibri"/>
        <family val="2"/>
        <scheme val="minor"/>
      </rPr>
      <t>No se registraron PUC en el meses Octubre-Noviembre 2024</t>
    </r>
  </si>
  <si>
    <t>4TO Trimestre</t>
  </si>
  <si>
    <t>.</t>
  </si>
  <si>
    <t>Fuente: División de Nómina</t>
  </si>
  <si>
    <r>
      <t xml:space="preserve">Nota: </t>
    </r>
    <r>
      <rPr>
        <sz val="7"/>
        <rFont val="Calibri"/>
        <family val="2"/>
        <scheme val="minor"/>
      </rPr>
      <t>Libramientos ejecutados al 31 de diciembre 2024</t>
    </r>
  </si>
  <si>
    <r>
      <t>Nota 3:</t>
    </r>
    <r>
      <rPr>
        <sz val="8"/>
        <rFont val="Calibri"/>
        <family val="2"/>
        <scheme val="minor"/>
      </rPr>
      <t xml:space="preserve"> El restante absoluto de la ejecución presupuestaria del periodo T4 es de RD$241,788,465.94; este se suma al total de la programación ordinaria y los ajustes de partidas devengadas para poder calcular los valores relativos presentados en el cuadro.</t>
    </r>
  </si>
  <si>
    <t>% 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</si>
</sst>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7" formatCode="&quot;$&quot;#,##0.00"/>
    <numFmt numFmtId="168" formatCode="_(* #,##0.0_);_(* \(#,##0.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>
      <alignment vertical="top"/>
    </xf>
  </cellStyleXfs>
  <cellXfs count="356">
    <xf numFmtId="0" fontId="0" fillId="0" borderId="0" xfId="0"/>
    <xf numFmtId="0" fontId="0" fillId="0" borderId="0" xfId="0" applyProtection="1">
      <protection locked="0"/>
    </xf>
    <xf numFmtId="9" fontId="5" fillId="0" borderId="0" xfId="0" applyNumberFormat="1" applyFont="1" applyAlignment="1">
      <alignment horizontal="center" vertical="center"/>
    </xf>
    <xf numFmtId="9" fontId="7" fillId="7" borderId="0" xfId="0" applyNumberFormat="1" applyFont="1" applyFill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3" fillId="7" borderId="0" xfId="0" applyNumberFormat="1" applyFont="1" applyFill="1" applyAlignment="1">
      <alignment horizontal="center" vertical="center"/>
    </xf>
    <xf numFmtId="9" fontId="3" fillId="9" borderId="0" xfId="0" applyNumberFormat="1" applyFont="1" applyFill="1" applyAlignment="1">
      <alignment horizontal="center" vertical="center"/>
    </xf>
    <xf numFmtId="9" fontId="7" fillId="9" borderId="0" xfId="0" applyNumberFormat="1" applyFont="1" applyFill="1" applyAlignment="1">
      <alignment horizontal="center" vertical="center"/>
    </xf>
    <xf numFmtId="3" fontId="6" fillId="7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horizontal="center" vertical="center"/>
    </xf>
    <xf numFmtId="3" fontId="6" fillId="9" borderId="0" xfId="0" applyNumberFormat="1" applyFont="1" applyFill="1" applyAlignment="1">
      <alignment horizontal="center" vertical="center"/>
    </xf>
    <xf numFmtId="165" fontId="6" fillId="9" borderId="0" xfId="2" applyNumberFormat="1" applyFont="1" applyFill="1" applyBorder="1" applyAlignment="1" applyProtection="1">
      <alignment horizontal="center" vertical="center"/>
    </xf>
    <xf numFmtId="0" fontId="6" fillId="7" borderId="0" xfId="0" applyFont="1" applyFill="1" applyAlignment="1" applyProtection="1">
      <alignment horizontal="left" vertical="center"/>
      <protection locked="0"/>
    </xf>
    <xf numFmtId="165" fontId="6" fillId="7" borderId="0" xfId="0" applyNumberFormat="1" applyFont="1" applyFill="1" applyAlignment="1">
      <alignment horizontal="center" vertical="center"/>
    </xf>
    <xf numFmtId="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9" fontId="6" fillId="7" borderId="0" xfId="1" applyFont="1" applyFill="1" applyBorder="1" applyAlignment="1" applyProtection="1">
      <alignment horizontal="center" vertical="center"/>
    </xf>
    <xf numFmtId="9" fontId="6" fillId="9" borderId="0" xfId="1" applyFont="1" applyFill="1" applyBorder="1" applyAlignment="1" applyProtection="1">
      <alignment horizontal="center" vertical="center"/>
    </xf>
    <xf numFmtId="9" fontId="0" fillId="0" borderId="0" xfId="1" applyFont="1" applyProtection="1">
      <protection locked="0"/>
    </xf>
    <xf numFmtId="3" fontId="2" fillId="0" borderId="0" xfId="0" applyNumberFormat="1" applyFont="1" applyAlignment="1">
      <alignment horizontal="center" vertical="center"/>
    </xf>
    <xf numFmtId="9" fontId="0" fillId="0" borderId="0" xfId="1" applyFont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3" fontId="6" fillId="9" borderId="0" xfId="0" applyNumberFormat="1" applyFont="1" applyFill="1" applyAlignment="1">
      <alignment horizontal="left" vertical="center" wrapText="1"/>
    </xf>
    <xf numFmtId="9" fontId="2" fillId="8" borderId="0" xfId="1" applyFont="1" applyFill="1" applyAlignment="1" applyProtection="1">
      <alignment horizontal="center"/>
    </xf>
    <xf numFmtId="0" fontId="2" fillId="8" borderId="0" xfId="0" applyFont="1" applyFill="1"/>
    <xf numFmtId="3" fontId="3" fillId="0" borderId="0" xfId="0" applyNumberFormat="1" applyFont="1" applyAlignment="1">
      <alignment horizontal="center"/>
    </xf>
    <xf numFmtId="0" fontId="6" fillId="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horizontal="center" vertical="center" wrapText="1"/>
    </xf>
    <xf numFmtId="0" fontId="0" fillId="9" borderId="0" xfId="0" applyFill="1"/>
    <xf numFmtId="0" fontId="4" fillId="0" borderId="0" xfId="0" applyFont="1" applyAlignment="1" applyProtection="1">
      <alignment horizontal="left" vertical="center"/>
      <protection locked="0"/>
    </xf>
    <xf numFmtId="165" fontId="4" fillId="0" borderId="0" xfId="2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165" fontId="3" fillId="0" borderId="0" xfId="2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 applyProtection="1">
      <alignment horizontal="center" vertical="center"/>
    </xf>
    <xf numFmtId="165" fontId="11" fillId="7" borderId="0" xfId="2" applyNumberFormat="1" applyFont="1" applyFill="1" applyBorder="1" applyAlignment="1" applyProtection="1">
      <alignment horizontal="center"/>
    </xf>
    <xf numFmtId="165" fontId="11" fillId="7" borderId="0" xfId="2" applyNumberFormat="1" applyFont="1" applyFill="1" applyBorder="1" applyAlignment="1" applyProtection="1">
      <alignment horizontal="center" vertical="center"/>
    </xf>
    <xf numFmtId="165" fontId="11" fillId="9" borderId="0" xfId="2" applyNumberFormat="1" applyFont="1" applyFill="1" applyBorder="1" applyAlignment="1" applyProtection="1">
      <alignment horizontal="center"/>
    </xf>
    <xf numFmtId="165" fontId="11" fillId="9" borderId="0" xfId="2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5" fontId="6" fillId="9" borderId="0" xfId="2" applyNumberFormat="1" applyFont="1" applyFill="1" applyBorder="1" applyAlignment="1" applyProtection="1">
      <alignment horizontal="center"/>
    </xf>
    <xf numFmtId="0" fontId="6" fillId="9" borderId="0" xfId="0" applyFont="1" applyFill="1" applyAlignment="1">
      <alignment horizontal="center" vertical="center"/>
    </xf>
    <xf numFmtId="165" fontId="6" fillId="9" borderId="0" xfId="2" applyNumberFormat="1" applyFont="1" applyFill="1" applyBorder="1" applyAlignment="1" applyProtection="1">
      <alignment horizontal="left" vertical="center"/>
    </xf>
    <xf numFmtId="3" fontId="8" fillId="0" borderId="0" xfId="0" applyNumberFormat="1" applyFont="1" applyAlignment="1" applyProtection="1">
      <alignment horizontal="center" vertical="top"/>
      <protection locked="0"/>
    </xf>
    <xf numFmtId="4" fontId="8" fillId="0" borderId="0" xfId="0" applyNumberFormat="1" applyFont="1" applyAlignment="1" applyProtection="1">
      <alignment horizontal="center" vertical="top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11" fillId="7" borderId="0" xfId="2" applyNumberFormat="1" applyFont="1" applyFill="1" applyBorder="1" applyAlignment="1" applyProtection="1">
      <alignment vertical="center"/>
    </xf>
    <xf numFmtId="37" fontId="11" fillId="7" borderId="0" xfId="2" applyNumberFormat="1" applyFont="1" applyFill="1" applyBorder="1" applyAlignment="1" applyProtection="1">
      <alignment horizontal="right" vertical="center"/>
    </xf>
    <xf numFmtId="43" fontId="3" fillId="0" borderId="0" xfId="2" applyFont="1" applyFill="1" applyBorder="1" applyAlignment="1" applyProtection="1">
      <alignment horizontal="center" vertical="center"/>
    </xf>
    <xf numFmtId="165" fontId="11" fillId="9" borderId="0" xfId="2" applyNumberFormat="1" applyFont="1" applyFill="1" applyBorder="1" applyAlignment="1" applyProtection="1">
      <alignment vertical="center"/>
    </xf>
    <xf numFmtId="37" fontId="11" fillId="9" borderId="0" xfId="2" applyNumberFormat="1" applyFont="1" applyFill="1" applyBorder="1" applyAlignment="1" applyProtection="1">
      <alignment horizontal="right" vertical="center"/>
    </xf>
    <xf numFmtId="43" fontId="4" fillId="0" borderId="0" xfId="2" applyFont="1" applyBorder="1" applyAlignment="1" applyProtection="1">
      <alignment horizontal="center"/>
      <protection locked="0"/>
    </xf>
    <xf numFmtId="0" fontId="6" fillId="9" borderId="0" xfId="0" applyFont="1" applyFill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2" fontId="8" fillId="0" borderId="0" xfId="0" applyNumberFormat="1" applyFont="1" applyAlignment="1" applyProtection="1">
      <alignment horizontal="center" vertical="top"/>
      <protection locked="0"/>
    </xf>
    <xf numFmtId="2" fontId="0" fillId="0" borderId="0" xfId="0" applyNumberFormat="1" applyAlignment="1" applyProtection="1">
      <alignment horizontal="center"/>
      <protection locked="0"/>
    </xf>
    <xf numFmtId="43" fontId="3" fillId="0" borderId="0" xfId="2" applyFont="1" applyFill="1" applyBorder="1" applyAlignment="1" applyProtection="1">
      <alignment horizontal="center"/>
    </xf>
    <xf numFmtId="3" fontId="3" fillId="0" borderId="0" xfId="0" applyNumberFormat="1" applyFont="1"/>
    <xf numFmtId="9" fontId="4" fillId="0" borderId="0" xfId="1" applyFont="1" applyBorder="1" applyAlignment="1" applyProtection="1">
      <alignment horizontal="center"/>
    </xf>
    <xf numFmtId="165" fontId="3" fillId="0" borderId="0" xfId="2" applyNumberFormat="1" applyFont="1" applyBorder="1" applyAlignment="1" applyProtection="1"/>
    <xf numFmtId="3" fontId="6" fillId="7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/>
    </xf>
    <xf numFmtId="0" fontId="6" fillId="9" borderId="0" xfId="0" applyFont="1" applyFill="1" applyAlignment="1">
      <alignment horizontal="left" vertical="center"/>
    </xf>
    <xf numFmtId="165" fontId="5" fillId="0" borderId="0" xfId="2" applyNumberFormat="1" applyFont="1" applyFill="1" applyBorder="1" applyAlignment="1" applyProtection="1">
      <alignment horizontal="center" vertical="center"/>
    </xf>
    <xf numFmtId="43" fontId="6" fillId="7" borderId="0" xfId="2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 applyProtection="1">
      <protection locked="0"/>
    </xf>
    <xf numFmtId="165" fontId="0" fillId="0" borderId="0" xfId="0" applyNumberFormat="1" applyAlignment="1" applyProtection="1">
      <alignment horizontal="center"/>
      <protection locked="0"/>
    </xf>
    <xf numFmtId="9" fontId="8" fillId="0" borderId="0" xfId="1" applyFont="1" applyBorder="1" applyAlignment="1" applyProtection="1">
      <alignment horizontal="center" vertical="top"/>
    </xf>
    <xf numFmtId="164" fontId="8" fillId="0" borderId="0" xfId="1" applyNumberFormat="1" applyFont="1" applyBorder="1" applyAlignment="1" applyProtection="1">
      <alignment horizontal="center" vertical="top"/>
    </xf>
    <xf numFmtId="3" fontId="15" fillId="0" borderId="0" xfId="0" applyNumberFormat="1" applyFont="1" applyAlignment="1">
      <alignment horizontal="center" vertical="center"/>
    </xf>
    <xf numFmtId="165" fontId="0" fillId="11" borderId="0" xfId="0" applyNumberFormat="1" applyFill="1" applyProtection="1">
      <protection locked="0"/>
    </xf>
    <xf numFmtId="0" fontId="0" fillId="12" borderId="0" xfId="0" applyFill="1" applyProtection="1">
      <protection locked="0"/>
    </xf>
    <xf numFmtId="10" fontId="0" fillId="0" borderId="0" xfId="1" applyNumberFormat="1" applyFont="1" applyProtection="1"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3" fillId="5" borderId="0" xfId="0" applyFont="1" applyFill="1" applyAlignment="1">
      <alignment horizontal="left" vertical="center"/>
    </xf>
    <xf numFmtId="10" fontId="6" fillId="7" borderId="0" xfId="1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top"/>
      <protection locked="0"/>
    </xf>
    <xf numFmtId="9" fontId="0" fillId="0" borderId="5" xfId="1" applyFont="1" applyBorder="1" applyAlignment="1" applyProtection="1">
      <alignment horizontal="center"/>
    </xf>
    <xf numFmtId="164" fontId="0" fillId="0" borderId="5" xfId="1" applyNumberFormat="1" applyFont="1" applyBorder="1" applyAlignment="1" applyProtection="1">
      <alignment horizontal="center"/>
    </xf>
    <xf numFmtId="3" fontId="6" fillId="7" borderId="6" xfId="0" applyNumberFormat="1" applyFont="1" applyFill="1" applyBorder="1" applyAlignment="1">
      <alignment horizontal="center" vertical="center"/>
    </xf>
    <xf numFmtId="9" fontId="6" fillId="7" borderId="7" xfId="1" applyFont="1" applyFill="1" applyBorder="1" applyAlignment="1" applyProtection="1">
      <alignment horizontal="center" vertical="center"/>
    </xf>
    <xf numFmtId="3" fontId="6" fillId="7" borderId="7" xfId="0" applyNumberFormat="1" applyFont="1" applyFill="1" applyBorder="1" applyAlignment="1">
      <alignment horizontal="center" vertical="center"/>
    </xf>
    <xf numFmtId="9" fontId="6" fillId="7" borderId="8" xfId="1" applyFont="1" applyFill="1" applyBorder="1" applyAlignment="1" applyProtection="1">
      <alignment horizontal="center" vertical="center"/>
    </xf>
    <xf numFmtId="9" fontId="0" fillId="0" borderId="0" xfId="0" applyNumberFormat="1"/>
    <xf numFmtId="10" fontId="0" fillId="0" borderId="0" xfId="0" applyNumberFormat="1"/>
    <xf numFmtId="4" fontId="0" fillId="0" borderId="0" xfId="0" applyNumberFormat="1"/>
    <xf numFmtId="14" fontId="0" fillId="0" borderId="0" xfId="0" applyNumberFormat="1"/>
    <xf numFmtId="167" fontId="0" fillId="0" borderId="0" xfId="0" applyNumberFormat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43" fontId="0" fillId="0" borderId="0" xfId="2" applyFont="1" applyProtection="1">
      <protection locked="0"/>
    </xf>
    <xf numFmtId="164" fontId="0" fillId="0" borderId="0" xfId="1" applyNumberFormat="1" applyFont="1" applyBorder="1" applyAlignment="1" applyProtection="1">
      <alignment horizontal="center"/>
    </xf>
    <xf numFmtId="165" fontId="4" fillId="0" borderId="0" xfId="2" applyNumberFormat="1" applyFont="1" applyBorder="1" applyAlignment="1" applyProtection="1">
      <alignment horizontal="center"/>
    </xf>
    <xf numFmtId="165" fontId="22" fillId="0" borderId="0" xfId="2" applyNumberFormat="1" applyFont="1" applyFill="1" applyBorder="1" applyAlignment="1" applyProtection="1">
      <alignment horizontal="center" vertical="center"/>
    </xf>
    <xf numFmtId="165" fontId="15" fillId="0" borderId="0" xfId="2" applyNumberFormat="1" applyFont="1" applyFill="1" applyBorder="1" applyAlignment="1" applyProtection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/>
    </xf>
    <xf numFmtId="168" fontId="5" fillId="0" borderId="0" xfId="2" applyNumberFormat="1" applyFont="1" applyFill="1" applyBorder="1" applyAlignment="1" applyProtection="1">
      <alignment vertical="center"/>
    </xf>
    <xf numFmtId="0" fontId="6" fillId="7" borderId="0" xfId="0" applyFont="1" applyFill="1" applyAlignment="1">
      <alignment vertic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43" fontId="5" fillId="0" borderId="0" xfId="2" applyFont="1" applyFill="1" applyBorder="1" applyAlignment="1" applyProtection="1">
      <alignment horizontal="center" vertical="center"/>
    </xf>
    <xf numFmtId="0" fontId="6" fillId="9" borderId="0" xfId="0" applyFont="1" applyFill="1" applyAlignment="1">
      <alignment vertical="center"/>
    </xf>
    <xf numFmtId="0" fontId="25" fillId="0" borderId="0" xfId="0" applyFont="1"/>
    <xf numFmtId="0" fontId="13" fillId="0" borderId="0" xfId="0" applyFont="1"/>
    <xf numFmtId="3" fontId="0" fillId="0" borderId="0" xfId="0" applyNumberFormat="1" applyAlignment="1">
      <alignment horizontal="center" vertical="center"/>
    </xf>
    <xf numFmtId="0" fontId="6" fillId="7" borderId="0" xfId="0" applyFont="1" applyFill="1" applyAlignment="1">
      <alignment horizontal="left" vertical="center" wrapText="1"/>
    </xf>
    <xf numFmtId="0" fontId="2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9" fontId="0" fillId="0" borderId="0" xfId="1" applyFont="1" applyProtection="1"/>
    <xf numFmtId="0" fontId="2" fillId="8" borderId="0" xfId="0" applyFont="1" applyFill="1" applyAlignment="1">
      <alignment horizontal="left"/>
    </xf>
    <xf numFmtId="0" fontId="18" fillId="0" borderId="0" xfId="0" applyFont="1"/>
    <xf numFmtId="10" fontId="0" fillId="0" borderId="0" xfId="1" applyNumberFormat="1" applyFont="1" applyAlignment="1" applyProtection="1">
      <alignment horizontal="center" vertical="center"/>
    </xf>
    <xf numFmtId="43" fontId="0" fillId="0" borderId="0" xfId="2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3" fontId="24" fillId="0" borderId="0" xfId="0" applyNumberFormat="1" applyFont="1" applyAlignment="1">
      <alignment horizontal="center"/>
    </xf>
    <xf numFmtId="165" fontId="4" fillId="0" borderId="0" xfId="2" applyNumberFormat="1" applyFont="1" applyBorder="1" applyAlignment="1" applyProtection="1"/>
    <xf numFmtId="165" fontId="4" fillId="0" borderId="0" xfId="2" applyNumberFormat="1" applyFont="1" applyBorder="1" applyAlignment="1" applyProtection="1">
      <alignment horizontal="center" vertical="center"/>
    </xf>
    <xf numFmtId="9" fontId="2" fillId="0" borderId="0" xfId="1" applyFont="1" applyAlignment="1" applyProtection="1">
      <alignment horizontal="center"/>
    </xf>
    <xf numFmtId="0" fontId="4" fillId="5" borderId="0" xfId="0" applyFont="1" applyFill="1"/>
    <xf numFmtId="3" fontId="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9" fontId="4" fillId="0" borderId="0" xfId="2" applyNumberFormat="1" applyFont="1" applyBorder="1" applyAlignment="1" applyProtection="1">
      <alignment horizontal="center" vertical="center"/>
    </xf>
    <xf numFmtId="43" fontId="4" fillId="0" borderId="0" xfId="2" applyFont="1" applyBorder="1" applyAlignment="1" applyProtection="1">
      <alignment horizontal="center" vertical="center"/>
    </xf>
    <xf numFmtId="10" fontId="2" fillId="8" borderId="0" xfId="1" applyNumberFormat="1" applyFont="1" applyFill="1" applyBorder="1" applyAlignment="1" applyProtection="1">
      <alignment horizontal="center"/>
    </xf>
    <xf numFmtId="165" fontId="0" fillId="0" borderId="0" xfId="0" applyNumberFormat="1"/>
    <xf numFmtId="43" fontId="4" fillId="0" borderId="0" xfId="2" applyFont="1" applyBorder="1" applyAlignment="1" applyProtection="1">
      <alignment horizontal="center"/>
    </xf>
    <xf numFmtId="0" fontId="4" fillId="0" borderId="0" xfId="2" applyNumberFormat="1" applyFont="1" applyBorder="1" applyAlignment="1" applyProtection="1">
      <alignment horizontal="center" vertical="center"/>
    </xf>
    <xf numFmtId="0" fontId="4" fillId="0" borderId="0" xfId="2" applyNumberFormat="1" applyFont="1" applyBorder="1" applyAlignment="1" applyProtection="1">
      <alignment horizontal="center"/>
    </xf>
    <xf numFmtId="0" fontId="13" fillId="0" borderId="0" xfId="0" applyFont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3" fontId="22" fillId="0" borderId="0" xfId="2" applyNumberFormat="1" applyFont="1" applyBorder="1" applyAlignment="1" applyProtection="1"/>
    <xf numFmtId="3" fontId="4" fillId="0" borderId="0" xfId="2" applyNumberFormat="1" applyFont="1" applyBorder="1" applyAlignment="1" applyProtection="1"/>
    <xf numFmtId="0" fontId="22" fillId="0" borderId="0" xfId="0" applyFont="1" applyAlignment="1">
      <alignment horizontal="center"/>
    </xf>
    <xf numFmtId="0" fontId="9" fillId="5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5" fontId="27" fillId="0" borderId="0" xfId="2" applyNumberFormat="1" applyFont="1" applyBorder="1" applyAlignment="1" applyProtection="1">
      <protection locked="0"/>
    </xf>
    <xf numFmtId="165" fontId="27" fillId="0" borderId="0" xfId="2" applyNumberFormat="1" applyFont="1" applyBorder="1" applyAlignment="1" applyProtection="1">
      <alignment horizontal="center"/>
      <protection locked="0"/>
    </xf>
    <xf numFmtId="165" fontId="22" fillId="0" borderId="0" xfId="2" applyNumberFormat="1" applyFont="1" applyBorder="1" applyAlignment="1" applyProtection="1">
      <alignment horizontal="center"/>
      <protection locked="0"/>
    </xf>
    <xf numFmtId="0" fontId="26" fillId="13" borderId="0" xfId="0" applyFont="1" applyFill="1" applyProtection="1">
      <protection locked="0"/>
    </xf>
    <xf numFmtId="0" fontId="22" fillId="13" borderId="0" xfId="0" applyFont="1" applyFill="1" applyAlignment="1">
      <alignment horizontal="left" vertical="center" wrapText="1"/>
    </xf>
    <xf numFmtId="165" fontId="22" fillId="0" borderId="0" xfId="2" applyNumberFormat="1" applyFont="1" applyBorder="1" applyAlignment="1" applyProtection="1">
      <protection locked="0"/>
    </xf>
    <xf numFmtId="165" fontId="15" fillId="13" borderId="0" xfId="0" applyNumberFormat="1" applyFont="1" applyFill="1" applyAlignment="1">
      <alignment horizontal="center" vertical="center" wrapText="1"/>
    </xf>
    <xf numFmtId="165" fontId="4" fillId="0" borderId="0" xfId="2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>
      <alignment horizontal="center" vertical="center" wrapText="1"/>
    </xf>
    <xf numFmtId="165" fontId="4" fillId="0" borderId="0" xfId="2" applyNumberFormat="1" applyFont="1" applyBorder="1" applyAlignment="1" applyProtection="1">
      <alignment horizontal="right"/>
      <protection locked="0"/>
    </xf>
    <xf numFmtId="0" fontId="3" fillId="13" borderId="0" xfId="0" applyFont="1" applyFill="1" applyAlignment="1">
      <alignment horizontal="center" vertical="center" wrapText="1"/>
    </xf>
    <xf numFmtId="165" fontId="11" fillId="7" borderId="0" xfId="2" applyNumberFormat="1" applyFont="1" applyFill="1" applyBorder="1" applyAlignment="1" applyProtection="1">
      <alignment horizontal="right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11" fillId="7" borderId="0" xfId="0" applyNumberFormat="1" applyFont="1" applyFill="1" applyAlignment="1" applyProtection="1">
      <alignment horizontal="center" vertical="center"/>
      <protection locked="0"/>
    </xf>
    <xf numFmtId="3" fontId="11" fillId="13" borderId="0" xfId="0" applyNumberFormat="1" applyFont="1" applyFill="1" applyAlignment="1" applyProtection="1">
      <alignment horizontal="center" vertical="center"/>
      <protection locked="0"/>
    </xf>
    <xf numFmtId="9" fontId="0" fillId="0" borderId="0" xfId="0" applyNumberFormat="1" applyProtection="1">
      <protection locked="0"/>
    </xf>
    <xf numFmtId="0" fontId="0" fillId="13" borderId="0" xfId="0" applyFill="1"/>
    <xf numFmtId="0" fontId="4" fillId="13" borderId="0" xfId="0" applyFont="1" applyFill="1"/>
    <xf numFmtId="0" fontId="13" fillId="13" borderId="0" xfId="0" applyFont="1" applyFill="1"/>
    <xf numFmtId="0" fontId="13" fillId="13" borderId="0" xfId="0" applyFont="1" applyFill="1" applyProtection="1">
      <protection locked="0"/>
    </xf>
    <xf numFmtId="0" fontId="21" fillId="13" borderId="0" xfId="0" applyFont="1" applyFill="1"/>
    <xf numFmtId="9" fontId="0" fillId="0" borderId="0" xfId="1" applyFont="1" applyFill="1" applyBorder="1" applyAlignment="1" applyProtection="1">
      <alignment horizontal="center" vertical="center"/>
    </xf>
    <xf numFmtId="3" fontId="0" fillId="0" borderId="0" xfId="0" applyNumberFormat="1" applyAlignment="1">
      <alignment horizontal="left" vertical="center"/>
    </xf>
    <xf numFmtId="164" fontId="0" fillId="0" borderId="0" xfId="0" applyNumberFormat="1"/>
    <xf numFmtId="0" fontId="0" fillId="0" borderId="0" xfId="0" applyAlignment="1">
      <alignment horizontal="left"/>
    </xf>
    <xf numFmtId="0" fontId="12" fillId="5" borderId="0" xfId="0" applyFont="1" applyFill="1" applyAlignment="1">
      <alignment horizontal="center" vertical="center" wrapText="1"/>
    </xf>
    <xf numFmtId="1" fontId="0" fillId="0" borderId="0" xfId="0" applyNumberFormat="1" applyProtection="1">
      <protection locked="0"/>
    </xf>
    <xf numFmtId="0" fontId="28" fillId="7" borderId="0" xfId="0" applyFont="1" applyFill="1" applyAlignment="1">
      <alignment horizontal="left" vertical="center" wrapText="1"/>
    </xf>
    <xf numFmtId="165" fontId="4" fillId="0" borderId="0" xfId="2" applyNumberFormat="1" applyFont="1" applyBorder="1" applyAlignment="1" applyProtection="1">
      <protection locked="0"/>
    </xf>
    <xf numFmtId="3" fontId="4" fillId="0" borderId="0" xfId="2" applyNumberFormat="1" applyFont="1" applyBorder="1" applyAlignment="1" applyProtection="1">
      <alignment horizontal="center"/>
      <protection locked="0"/>
    </xf>
    <xf numFmtId="0" fontId="30" fillId="0" borderId="0" xfId="0" applyFont="1"/>
    <xf numFmtId="3" fontId="15" fillId="7" borderId="0" xfId="0" applyNumberFormat="1" applyFont="1" applyFill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8" borderId="0" xfId="0" applyFont="1" applyFill="1" applyAlignment="1">
      <alignment horizontal="left"/>
    </xf>
    <xf numFmtId="9" fontId="3" fillId="8" borderId="0" xfId="1" applyFont="1" applyFill="1" applyAlignment="1" applyProtection="1">
      <alignment horizontal="center"/>
    </xf>
    <xf numFmtId="0" fontId="3" fillId="8" borderId="0" xfId="0" applyFont="1" applyFill="1"/>
    <xf numFmtId="164" fontId="0" fillId="0" borderId="0" xfId="1" applyNumberFormat="1" applyFont="1" applyFill="1" applyBorder="1" applyAlignment="1" applyProtection="1">
      <alignment horizontal="center"/>
    </xf>
    <xf numFmtId="4" fontId="4" fillId="0" borderId="0" xfId="0" applyNumberFormat="1" applyFon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5" fillId="0" borderId="0" xfId="2" applyNumberFormat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4" fontId="22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4" fillId="13" borderId="0" xfId="0" applyNumberFormat="1" applyFont="1" applyFill="1" applyAlignment="1">
      <alignment horizontal="center"/>
    </xf>
    <xf numFmtId="4" fontId="5" fillId="0" borderId="0" xfId="0" applyNumberFormat="1" applyFont="1" applyAlignment="1" applyProtection="1">
      <alignment horizontal="center" vertical="center"/>
      <protection locked="0"/>
    </xf>
    <xf numFmtId="4" fontId="22" fillId="0" borderId="0" xfId="2" applyNumberFormat="1" applyFont="1" applyFill="1" applyBorder="1" applyAlignment="1" applyProtection="1">
      <alignment horizontal="center" vertical="center"/>
    </xf>
    <xf numFmtId="10" fontId="22" fillId="0" borderId="0" xfId="1" applyNumberFormat="1" applyFont="1" applyFill="1" applyBorder="1" applyAlignment="1" applyProtection="1">
      <alignment horizontal="center" vertical="center" wrapText="1"/>
    </xf>
    <xf numFmtId="10" fontId="5" fillId="0" borderId="0" xfId="1" applyNumberFormat="1" applyFont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6" fillId="7" borderId="0" xfId="0" applyNumberFormat="1" applyFont="1" applyFill="1" applyAlignment="1">
      <alignment horizontal="center" vertical="center"/>
    </xf>
    <xf numFmtId="10" fontId="4" fillId="0" borderId="0" xfId="1" applyNumberFormat="1" applyFont="1" applyFill="1" applyBorder="1" applyAlignment="1" applyProtection="1">
      <alignment horizontal="center" vertical="center" wrapText="1"/>
    </xf>
    <xf numFmtId="10" fontId="4" fillId="0" borderId="0" xfId="1" applyNumberFormat="1" applyFont="1" applyAlignment="1">
      <alignment horizontal="center" vertical="center"/>
    </xf>
    <xf numFmtId="10" fontId="3" fillId="7" borderId="0" xfId="1" applyNumberFormat="1" applyFont="1" applyFill="1" applyAlignment="1">
      <alignment horizontal="center" vertical="center"/>
    </xf>
    <xf numFmtId="10" fontId="15" fillId="7" borderId="0" xfId="1" applyNumberFormat="1" applyFont="1" applyFill="1" applyAlignment="1">
      <alignment horizontal="center" vertical="center"/>
    </xf>
    <xf numFmtId="43" fontId="22" fillId="0" borderId="0" xfId="2" applyFont="1" applyBorder="1" applyAlignment="1" applyProtection="1">
      <alignment horizontal="center"/>
      <protection locked="0"/>
    </xf>
    <xf numFmtId="43" fontId="27" fillId="0" borderId="0" xfId="2" applyFont="1" applyBorder="1" applyAlignment="1" applyProtection="1">
      <alignment horizontal="center"/>
      <protection locked="0"/>
    </xf>
    <xf numFmtId="43" fontId="15" fillId="13" borderId="0" xfId="0" applyNumberFormat="1" applyFont="1" applyFill="1" applyAlignment="1">
      <alignment horizontal="center" vertical="center" wrapText="1"/>
    </xf>
    <xf numFmtId="43" fontId="4" fillId="0" borderId="0" xfId="2" applyFont="1" applyBorder="1" applyAlignment="1" applyProtection="1">
      <alignment horizontal="center" vertical="center"/>
      <protection locked="0"/>
    </xf>
    <xf numFmtId="43" fontId="15" fillId="0" borderId="0" xfId="2" applyFont="1" applyFill="1" applyBorder="1" applyAlignment="1" applyProtection="1">
      <alignment horizontal="center"/>
    </xf>
    <xf numFmtId="43" fontId="11" fillId="7" borderId="0" xfId="2" applyFont="1" applyFill="1" applyBorder="1" applyAlignment="1" applyProtection="1">
      <alignment horizontal="center"/>
    </xf>
    <xf numFmtId="43" fontId="16" fillId="7" borderId="0" xfId="2" applyFont="1" applyFill="1" applyBorder="1" applyAlignment="1" applyProtection="1">
      <alignment horizontal="center"/>
    </xf>
    <xf numFmtId="4" fontId="4" fillId="0" borderId="0" xfId="2" applyNumberFormat="1" applyFont="1" applyBorder="1" applyAlignment="1" applyProtection="1">
      <alignment horizontal="center"/>
      <protection locked="0"/>
    </xf>
    <xf numFmtId="4" fontId="11" fillId="7" borderId="0" xfId="0" applyNumberFormat="1" applyFont="1" applyFill="1" applyAlignment="1">
      <alignment horizontal="center" vertical="center"/>
    </xf>
    <xf numFmtId="4" fontId="11" fillId="7" borderId="0" xfId="0" applyNumberFormat="1" applyFont="1" applyFill="1" applyAlignment="1" applyProtection="1">
      <alignment horizontal="center" vertical="center"/>
      <protection locked="0"/>
    </xf>
    <xf numFmtId="4" fontId="11" fillId="13" borderId="0" xfId="0" applyNumberFormat="1" applyFont="1" applyFill="1" applyAlignment="1" applyProtection="1">
      <alignment horizontal="center" vertical="center"/>
      <protection locked="0"/>
    </xf>
    <xf numFmtId="4" fontId="15" fillId="0" borderId="0" xfId="0" applyNumberFormat="1" applyFont="1" applyAlignment="1">
      <alignment horizontal="center" vertical="center"/>
    </xf>
    <xf numFmtId="43" fontId="4" fillId="0" borderId="0" xfId="2" applyFont="1" applyBorder="1" applyAlignment="1" applyProtection="1">
      <alignment horizontal="right" vertical="center"/>
      <protection locked="0"/>
    </xf>
    <xf numFmtId="43" fontId="11" fillId="7" borderId="0" xfId="2" applyFont="1" applyFill="1" applyBorder="1" applyAlignment="1" applyProtection="1">
      <alignment vertical="center"/>
    </xf>
    <xf numFmtId="43" fontId="22" fillId="0" borderId="0" xfId="2" applyFont="1" applyBorder="1" applyAlignment="1" applyProtection="1">
      <alignment horizontal="center" vertical="center"/>
      <protection locked="0"/>
    </xf>
    <xf numFmtId="39" fontId="11" fillId="7" borderId="0" xfId="2" applyNumberFormat="1" applyFont="1" applyFill="1" applyBorder="1" applyAlignment="1" applyProtection="1">
      <alignment horizontal="right" vertical="center"/>
    </xf>
    <xf numFmtId="39" fontId="4" fillId="0" borderId="0" xfId="2" applyNumberFormat="1" applyFont="1" applyBorder="1" applyAlignment="1" applyProtection="1">
      <alignment horizontal="right" vertical="center"/>
      <protection locked="0"/>
    </xf>
    <xf numFmtId="39" fontId="11" fillId="7" borderId="0" xfId="2" applyNumberFormat="1" applyFont="1" applyFill="1" applyBorder="1" applyAlignment="1" applyProtection="1">
      <alignment vertical="center"/>
    </xf>
    <xf numFmtId="43" fontId="3" fillId="0" borderId="0" xfId="0" applyNumberFormat="1" applyFont="1" applyAlignment="1">
      <alignment horizontal="center" vertical="center"/>
    </xf>
    <xf numFmtId="43" fontId="11" fillId="7" borderId="0" xfId="2" applyFont="1" applyFill="1" applyBorder="1" applyAlignment="1" applyProtection="1">
      <alignment horizontal="center" vertical="center"/>
    </xf>
    <xf numFmtId="4" fontId="4" fillId="0" borderId="0" xfId="2" applyNumberFormat="1" applyFont="1" applyBorder="1" applyAlignment="1" applyProtection="1">
      <alignment horizontal="right"/>
    </xf>
    <xf numFmtId="4" fontId="16" fillId="7" borderId="0" xfId="0" applyNumberFormat="1" applyFont="1" applyFill="1" applyAlignment="1">
      <alignment horizontal="right"/>
    </xf>
    <xf numFmtId="4" fontId="6" fillId="7" borderId="0" xfId="0" applyNumberFormat="1" applyFont="1" applyFill="1" applyAlignment="1">
      <alignment horizontal="right" vertical="center"/>
    </xf>
    <xf numFmtId="4" fontId="4" fillId="0" borderId="0" xfId="2" applyNumberFormat="1" applyFont="1" applyBorder="1" applyAlignment="1" applyProtection="1">
      <alignment horizontal="right"/>
      <protection locked="0"/>
    </xf>
    <xf numFmtId="43" fontId="3" fillId="0" borderId="0" xfId="2" applyFont="1" applyBorder="1" applyAlignment="1" applyProtection="1">
      <alignment vertical="center"/>
    </xf>
    <xf numFmtId="43" fontId="6" fillId="7" borderId="0" xfId="0" applyNumberFormat="1" applyFont="1" applyFill="1" applyAlignment="1">
      <alignment vertical="center"/>
    </xf>
    <xf numFmtId="10" fontId="4" fillId="0" borderId="0" xfId="1" applyNumberFormat="1" applyFont="1" applyBorder="1" applyAlignment="1" applyProtection="1">
      <alignment horizontal="center"/>
    </xf>
    <xf numFmtId="4" fontId="0" fillId="0" borderId="0" xfId="0" applyNumberForma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43" fontId="1" fillId="0" borderId="0" xfId="2" applyFont="1" applyAlignment="1" applyProtection="1">
      <alignment horizontal="center" vertical="center"/>
      <protection locked="0"/>
    </xf>
    <xf numFmtId="10" fontId="7" fillId="7" borderId="0" xfId="0" applyNumberFormat="1" applyFont="1" applyFill="1" applyAlignment="1">
      <alignment horizontal="center" vertical="center"/>
    </xf>
    <xf numFmtId="10" fontId="3" fillId="7" borderId="0" xfId="0" applyNumberFormat="1" applyFont="1" applyFill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3" fontId="4" fillId="0" borderId="0" xfId="2" applyFont="1" applyBorder="1" applyAlignment="1" applyProtection="1">
      <alignment vertical="center"/>
      <protection locked="0"/>
    </xf>
    <xf numFmtId="43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37" fontId="2" fillId="9" borderId="0" xfId="2" applyNumberFormat="1" applyFont="1" applyFill="1" applyBorder="1" applyAlignment="1" applyProtection="1">
      <alignment horizontal="right" vertical="center"/>
      <protection locked="0"/>
    </xf>
    <xf numFmtId="39" fontId="2" fillId="9" borderId="0" xfId="2" applyNumberFormat="1" applyFont="1" applyFill="1" applyBorder="1" applyAlignment="1" applyProtection="1">
      <alignment horizontal="right" vertical="center"/>
      <protection locked="0"/>
    </xf>
    <xf numFmtId="43" fontId="2" fillId="9" borderId="0" xfId="2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wrapText="1"/>
    </xf>
    <xf numFmtId="10" fontId="0" fillId="0" borderId="0" xfId="1" applyNumberFormat="1" applyFont="1" applyFill="1" applyBorder="1" applyAlignment="1" applyProtection="1">
      <alignment horizontal="center" vertical="center"/>
    </xf>
    <xf numFmtId="10" fontId="15" fillId="7" borderId="0" xfId="1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10" fillId="0" borderId="0" xfId="0" applyFont="1"/>
    <xf numFmtId="165" fontId="34" fillId="0" borderId="0" xfId="0" applyNumberFormat="1" applyFont="1" applyAlignment="1" applyProtection="1">
      <alignment horizontal="center"/>
      <protection locked="0"/>
    </xf>
    <xf numFmtId="43" fontId="34" fillId="0" borderId="0" xfId="0" applyNumberFormat="1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43" fontId="26" fillId="0" borderId="0" xfId="0" applyNumberFormat="1" applyFont="1" applyProtection="1">
      <protection locked="0"/>
    </xf>
    <xf numFmtId="43" fontId="16" fillId="7" borderId="0" xfId="2" applyFont="1" applyFill="1" applyBorder="1" applyAlignment="1" applyProtection="1">
      <alignment horizontal="center" vertical="center"/>
    </xf>
    <xf numFmtId="43" fontId="35" fillId="0" borderId="0" xfId="2" applyFont="1" applyFill="1" applyBorder="1" applyAlignment="1" applyProtection="1">
      <protection locked="0"/>
    </xf>
    <xf numFmtId="43" fontId="11" fillId="7" borderId="0" xfId="0" applyNumberFormat="1" applyFont="1" applyFill="1" applyAlignment="1" applyProtection="1">
      <alignment horizontal="right" vertical="center"/>
      <protection locked="0"/>
    </xf>
    <xf numFmtId="4" fontId="11" fillId="7" borderId="0" xfId="0" applyNumberFormat="1" applyFont="1" applyFill="1" applyAlignment="1" applyProtection="1">
      <alignment horizontal="right" vertical="center"/>
      <protection locked="0"/>
    </xf>
    <xf numFmtId="165" fontId="35" fillId="0" borderId="0" xfId="2" applyNumberFormat="1" applyFont="1" applyFill="1" applyBorder="1" applyAlignment="1" applyProtection="1">
      <alignment horizontal="right"/>
      <protection locked="0"/>
    </xf>
    <xf numFmtId="165" fontId="4" fillId="0" borderId="0" xfId="2" applyNumberFormat="1" applyFont="1" applyBorder="1" applyAlignment="1" applyProtection="1">
      <alignment horizontal="right" vertical="center"/>
      <protection locked="0"/>
    </xf>
    <xf numFmtId="10" fontId="34" fillId="0" borderId="0" xfId="1" applyNumberFormat="1" applyFont="1" applyFill="1" applyAlignment="1" applyProtection="1">
      <alignment horizontal="center"/>
    </xf>
    <xf numFmtId="0" fontId="26" fillId="0" borderId="0" xfId="0" applyFont="1"/>
    <xf numFmtId="10" fontId="26" fillId="0" borderId="0" xfId="1" applyNumberFormat="1" applyFont="1" applyFill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165" fontId="5" fillId="0" borderId="0" xfId="2" applyNumberFormat="1" applyFont="1" applyFill="1" applyBorder="1" applyAlignment="1" applyProtection="1">
      <alignment horizontal="center"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9" fontId="7" fillId="7" borderId="0" xfId="1" applyFont="1" applyFill="1" applyBorder="1" applyAlignment="1" applyProtection="1">
      <alignment horizontal="center" vertical="center"/>
    </xf>
    <xf numFmtId="9" fontId="4" fillId="0" borderId="0" xfId="1" applyFont="1" applyAlignment="1" applyProtection="1">
      <alignment horizontal="center" vertical="center"/>
    </xf>
    <xf numFmtId="3" fontId="4" fillId="0" borderId="0" xfId="0" applyNumberFormat="1" applyFont="1" applyAlignment="1" applyProtection="1">
      <alignment horizontal="center"/>
      <protection locked="0"/>
    </xf>
    <xf numFmtId="164" fontId="4" fillId="0" borderId="0" xfId="1" applyNumberFormat="1" applyFont="1" applyAlignment="1" applyProtection="1">
      <alignment horizontal="center" vertical="center"/>
    </xf>
    <xf numFmtId="43" fontId="36" fillId="7" borderId="0" xfId="2" applyFont="1" applyFill="1" applyAlignment="1">
      <alignment horizontal="right" vertical="center"/>
    </xf>
    <xf numFmtId="3" fontId="36" fillId="7" borderId="0" xfId="0" applyNumberFormat="1" applyFont="1" applyFill="1" applyAlignment="1">
      <alignment horizontal="center" vertical="center"/>
    </xf>
    <xf numFmtId="3" fontId="37" fillId="7" borderId="0" xfId="0" applyNumberFormat="1" applyFont="1" applyFill="1" applyAlignment="1">
      <alignment horizontal="center" vertical="center"/>
    </xf>
    <xf numFmtId="9" fontId="15" fillId="7" borderId="0" xfId="1" applyFont="1" applyFill="1" applyBorder="1" applyAlignment="1" applyProtection="1">
      <alignment horizontal="center" vertical="center"/>
    </xf>
    <xf numFmtId="4" fontId="15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32" fillId="13" borderId="0" xfId="0" applyFont="1" applyFill="1" applyAlignment="1">
      <alignment horizontal="left" vertical="center" wrapText="1"/>
    </xf>
    <xf numFmtId="0" fontId="31" fillId="13" borderId="0" xfId="0" applyFont="1" applyFill="1" applyAlignment="1">
      <alignment horizontal="left" vertical="center" wrapText="1"/>
    </xf>
    <xf numFmtId="3" fontId="7" fillId="7" borderId="0" xfId="0" applyNumberFormat="1" applyFont="1" applyFill="1" applyAlignment="1">
      <alignment horizontal="center" vertical="center"/>
    </xf>
    <xf numFmtId="10" fontId="7" fillId="7" borderId="0" xfId="1" applyNumberFormat="1" applyFont="1" applyFill="1" applyBorder="1" applyAlignment="1" applyProtection="1">
      <alignment horizontal="center" vertical="center"/>
    </xf>
    <xf numFmtId="43" fontId="35" fillId="0" borderId="0" xfId="2" applyFont="1" applyFill="1" applyBorder="1" applyAlignment="1" applyProtection="1">
      <alignment horizontal="left" vertical="top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 vertical="center"/>
      <protection locked="0"/>
    </xf>
    <xf numFmtId="3" fontId="4" fillId="0" borderId="0" xfId="2" applyNumberFormat="1" applyFont="1" applyBorder="1" applyAlignment="1" applyProtection="1">
      <alignment horizontal="right"/>
      <protection locked="0"/>
    </xf>
    <xf numFmtId="43" fontId="4" fillId="0" borderId="0" xfId="2" applyFont="1" applyBorder="1" applyAlignment="1" applyProtection="1"/>
    <xf numFmtId="165" fontId="4" fillId="0" borderId="0" xfId="2" applyNumberFormat="1" applyFont="1" applyBorder="1" applyAlignment="1" applyProtection="1">
      <alignment horizontal="left"/>
    </xf>
    <xf numFmtId="43" fontId="4" fillId="0" borderId="0" xfId="2" applyFont="1" applyBorder="1" applyAlignment="1" applyProtection="1">
      <alignment horizontal="left"/>
    </xf>
    <xf numFmtId="165" fontId="3" fillId="0" borderId="0" xfId="2" applyNumberFormat="1" applyFont="1" applyFill="1" applyBorder="1" applyAlignment="1" applyProtection="1">
      <alignment horizontal="right" vertical="center"/>
    </xf>
    <xf numFmtId="43" fontId="3" fillId="0" borderId="0" xfId="2" applyFont="1" applyFill="1" applyBorder="1" applyAlignment="1" applyProtection="1">
      <alignment horizontal="right" vertical="center"/>
    </xf>
    <xf numFmtId="3" fontId="3" fillId="7" borderId="0" xfId="0" applyNumberFormat="1" applyFont="1" applyFill="1" applyAlignment="1" applyProtection="1">
      <alignment horizontal="left" vertical="center" indent="5"/>
      <protection locked="0"/>
    </xf>
    <xf numFmtId="3" fontId="3" fillId="7" borderId="0" xfId="0" applyNumberFormat="1" applyFont="1" applyFill="1" applyAlignment="1" applyProtection="1">
      <alignment horizontal="right" vertical="center" indent="1"/>
      <protection locked="0"/>
    </xf>
    <xf numFmtId="0" fontId="0" fillId="0" borderId="0" xfId="0" applyAlignment="1" applyProtection="1">
      <alignment horizontal="right"/>
      <protection locked="0"/>
    </xf>
    <xf numFmtId="165" fontId="35" fillId="0" borderId="0" xfId="2" applyNumberFormat="1" applyFont="1" applyFill="1" applyBorder="1" applyAlignment="1" applyProtection="1">
      <alignment horizontal="right" inden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2" fillId="13" borderId="0" xfId="0" applyFont="1" applyFill="1" applyAlignment="1">
      <alignment horizontal="left" vertical="center" wrapText="1"/>
    </xf>
    <xf numFmtId="0" fontId="31" fillId="13" borderId="0" xfId="0" applyFont="1" applyFill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5" borderId="0" xfId="0" applyFont="1" applyFill="1" applyAlignment="1">
      <alignment horizontal="center" vertical="center" wrapText="1"/>
    </xf>
    <xf numFmtId="0" fontId="12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3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165" fontId="35" fillId="0" borderId="0" xfId="2" applyNumberFormat="1" applyFont="1" applyFill="1" applyBorder="1" applyAlignment="1" applyProtection="1">
      <alignment horizontal="center"/>
      <protection locked="0"/>
    </xf>
    <xf numFmtId="0" fontId="12" fillId="5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1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top" wrapText="1"/>
    </xf>
    <xf numFmtId="0" fontId="2" fillId="15" borderId="0" xfId="0" applyFont="1" applyFill="1" applyAlignment="1">
      <alignment horizontal="center" vertical="top" wrapText="1"/>
    </xf>
    <xf numFmtId="3" fontId="4" fillId="0" borderId="0" xfId="0" applyNumberFormat="1" applyFont="1" applyAlignment="1" applyProtection="1">
      <alignment horizontal="right" vertical="top" indent="2"/>
      <protection locked="0"/>
    </xf>
    <xf numFmtId="0" fontId="2" fillId="1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15" borderId="0" xfId="0" applyFont="1" applyFill="1" applyAlignment="1">
      <alignment horizontal="center" vertical="center" wrapText="1"/>
    </xf>
    <xf numFmtId="3" fontId="11" fillId="7" borderId="0" xfId="0" applyNumberFormat="1" applyFont="1" applyFill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right" vertical="center"/>
      <protection locked="0"/>
    </xf>
    <xf numFmtId="3" fontId="3" fillId="5" borderId="0" xfId="0" applyNumberFormat="1" applyFont="1" applyFill="1" applyAlignment="1">
      <alignment horizontal="center" vertical="center" wrapText="1"/>
    </xf>
    <xf numFmtId="43" fontId="35" fillId="0" borderId="0" xfId="2" applyFont="1" applyFill="1" applyBorder="1" applyAlignment="1" applyProtection="1">
      <alignment vertical="top"/>
      <protection locked="0"/>
    </xf>
    <xf numFmtId="3" fontId="11" fillId="7" borderId="0" xfId="0" applyNumberFormat="1" applyFont="1" applyFill="1" applyAlignment="1" applyProtection="1">
      <alignment horizontal="left" vertical="center" indent="14"/>
      <protection locked="0"/>
    </xf>
    <xf numFmtId="3" fontId="11" fillId="7" borderId="0" xfId="0" applyNumberFormat="1" applyFont="1" applyFill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top"/>
      <protection locked="0"/>
    </xf>
    <xf numFmtId="0" fontId="3" fillId="5" borderId="0" xfId="0" applyFont="1" applyFill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3" fillId="18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1" defaultTableStyle="TableStyleMedium2" defaultPivotStyle="PivotStyleLight16">
    <tableStyle name="Invisible" pivot="0" table="0" count="0" xr9:uid="{EB55D738-EBA8-42B6-A2D2-EFAB11F34F90}"/>
  </tableStyles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15130463804834"/>
          <c:y val="5.1400554097404488E-2"/>
          <c:w val="0.74836611939844222"/>
          <c:h val="0.72112459900845727"/>
        </c:manualLayout>
      </c:layout>
      <c:barChart>
        <c:barDir val="col"/>
        <c:grouping val="clustered"/>
        <c:varyColors val="0"/>
        <c:ser>
          <c:idx val="0"/>
          <c:order val="0"/>
          <c:tx>
            <c:v>Programado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5AB-4FB1-BB30-4F983F3C4E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/>
                </a:pPr>
                <a:endParaRPr lang="es-D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'Presupuesto Adm.'!$A$9:$A$12</c:f>
              <c:strCache>
                <c:ptCount val="4"/>
                <c:pt idx="0">
                  <c:v>Regalía</c:v>
                </c:pt>
                <c:pt idx="1">
                  <c:v>Diciembre</c:v>
                </c:pt>
                <c:pt idx="2">
                  <c:v>Noviembre</c:v>
                </c:pt>
                <c:pt idx="3">
                  <c:v>Octubre</c:v>
                </c:pt>
              </c:strCache>
            </c:strRef>
          </c:cat>
          <c:val>
            <c:numRef>
              <c:f>'Presupuesto Adm.'!$B$9:$B$12</c:f>
              <c:numCache>
                <c:formatCode>#,##0.00</c:formatCode>
                <c:ptCount val="4"/>
                <c:pt idx="0">
                  <c:v>26433755.640000001</c:v>
                </c:pt>
                <c:pt idx="1">
                  <c:v>105510936.86</c:v>
                </c:pt>
                <c:pt idx="2">
                  <c:v>45441034.140000001</c:v>
                </c:pt>
                <c:pt idx="3">
                  <c:v>74438136.439999998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6F-49E2-B71B-8A084CE8A512}"/>
            </c:ext>
          </c:extLst>
        </c:ser>
        <c:ser>
          <c:idx val="1"/>
          <c:order val="1"/>
          <c:tx>
            <c:v>Ejecutado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0"/>
                </a:pPr>
                <a:endParaRPr lang="es-D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'Presupuesto Adm.'!$A$9:$A$12</c:f>
              <c:strCache>
                <c:ptCount val="4"/>
                <c:pt idx="0">
                  <c:v>Regalía</c:v>
                </c:pt>
                <c:pt idx="1">
                  <c:v>Diciembre</c:v>
                </c:pt>
                <c:pt idx="2">
                  <c:v>Noviembre</c:v>
                </c:pt>
                <c:pt idx="3">
                  <c:v>Octubre</c:v>
                </c:pt>
              </c:strCache>
            </c:strRef>
          </c:cat>
          <c:val>
            <c:numRef>
              <c:f>'Presupuesto Adm.'!$C$9:$C$12</c:f>
              <c:numCache>
                <c:formatCode>#,##0.00</c:formatCode>
                <c:ptCount val="4"/>
                <c:pt idx="0">
                  <c:v>25642744.379999999</c:v>
                </c:pt>
                <c:pt idx="1">
                  <c:v>113147057.56</c:v>
                </c:pt>
                <c:pt idx="2">
                  <c:v>40376016.450000003</c:v>
                </c:pt>
                <c:pt idx="3">
                  <c:v>70883579.109999999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6F-49E2-B71B-8A084CE8A5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78264528"/>
        <c:axId val="1578266160"/>
      </c:barChart>
      <c:lineChart>
        <c:grouping val="standard"/>
        <c:varyColors val="0"/>
        <c:ser>
          <c:idx val="2"/>
          <c:order val="2"/>
          <c:tx>
            <c:strRef>
              <c:f>'Presupuesto Adm.'!$D$8</c:f>
              <c:strCache>
                <c:ptCount val="1"/>
                <c:pt idx="0">
                  <c:v>Relativo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6.0223611668739414E-2"/>
                  <c:y val="-0.251047120081786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00-4D87-A66F-BAA60128D8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'Presupuesto Adm.'!$A$9:$A$12</c:f>
              <c:strCache>
                <c:ptCount val="4"/>
                <c:pt idx="0">
                  <c:v>Regalía</c:v>
                </c:pt>
                <c:pt idx="1">
                  <c:v>Diciembre</c:v>
                </c:pt>
                <c:pt idx="2">
                  <c:v>Noviembre</c:v>
                </c:pt>
                <c:pt idx="3">
                  <c:v>Octubre</c:v>
                </c:pt>
              </c:strCache>
            </c:strRef>
          </c:cat>
          <c:val>
            <c:numRef>
              <c:f>'Presupuesto Adm.'!$D$9:$D$12</c:f>
              <c:numCache>
                <c:formatCode>0%</c:formatCode>
                <c:ptCount val="4"/>
                <c:pt idx="0">
                  <c:v>0.97007571414471916</c:v>
                </c:pt>
                <c:pt idx="1">
                  <c:v>1.0723727883312437</c:v>
                </c:pt>
                <c:pt idx="2" formatCode="0.00%">
                  <c:v>0.88853647840858763</c:v>
                </c:pt>
                <c:pt idx="3" formatCode="0.00%">
                  <c:v>0.95224816874794938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6F-49E2-B71B-8A084CE8A5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8270512"/>
        <c:axId val="1578269424"/>
      </c:lineChart>
      <c:catAx>
        <c:axId val="157826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8266160"/>
        <c:crosses val="autoZero"/>
        <c:auto val="1"/>
        <c:lblAlgn val="ctr"/>
        <c:lblOffset val="100"/>
        <c:noMultiLvlLbl val="0"/>
      </c:catAx>
      <c:valAx>
        <c:axId val="1578266160"/>
        <c:scaling>
          <c:orientation val="minMax"/>
          <c:max val="120000000"/>
          <c:min val="20000000"/>
        </c:scaling>
        <c:delete val="0"/>
        <c:axPos val="l"/>
        <c:numFmt formatCode="#,##0.00" sourceLinked="1"/>
        <c:majorTickMark val="none"/>
        <c:minorTickMark val="none"/>
        <c:tickLblPos val="nextTo"/>
        <c:crossAx val="1578264528"/>
        <c:crosses val="autoZero"/>
        <c:crossBetween val="between"/>
      </c:valAx>
      <c:valAx>
        <c:axId val="1578269424"/>
        <c:scaling>
          <c:orientation val="minMax"/>
          <c:max val="1.1000000000000001"/>
          <c:min val="0.85000000000000009"/>
        </c:scaling>
        <c:delete val="0"/>
        <c:axPos val="r"/>
        <c:numFmt formatCode="0%" sourceLinked="1"/>
        <c:majorTickMark val="out"/>
        <c:minorTickMark val="none"/>
        <c:tickLblPos val="nextTo"/>
        <c:crossAx val="1578270512"/>
        <c:crosses val="max"/>
        <c:crossBetween val="between"/>
      </c:valAx>
      <c:catAx>
        <c:axId val="157827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826942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800"/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>
                <a:solidFill>
                  <a:schemeClr val="accent1">
                    <a:lumMod val="75000"/>
                  </a:schemeClr>
                </a:solidFill>
              </a:rPr>
              <a:t>Distribución de</a:t>
            </a:r>
            <a:r>
              <a:rPr lang="es-ES" sz="800" baseline="0">
                <a:solidFill>
                  <a:schemeClr val="accent1">
                    <a:lumMod val="75000"/>
                  </a:schemeClr>
                </a:solidFill>
              </a:rPr>
              <a:t> Aportes</a:t>
            </a:r>
            <a:endParaRPr lang="es-ES" sz="800">
              <a:solidFill>
                <a:schemeClr val="accent1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36509152799625716"/>
          <c:y val="1.441774449713291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6C4-4E72-86CD-26E8823546D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6C4-4E72-86CD-26E8823546DB}"/>
              </c:ext>
            </c:extLst>
          </c:dPt>
          <c:dLbls>
            <c:dLbl>
              <c:idx val="0"/>
              <c:layout>
                <c:manualLayout>
                  <c:x val="-2.7579408140791677E-3"/>
                  <c:y val="0.183322134321646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C4-4E72-86CD-26E8823546DB}"/>
                </c:ext>
              </c:extLst>
            </c:dLbl>
            <c:dLbl>
              <c:idx val="1"/>
              <c:layout>
                <c:manualLayout>
                  <c:x val="3.645867423629125E-3"/>
                  <c:y val="0.21666027448900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C4-4E72-86CD-26E8823546DB}"/>
                </c:ext>
              </c:extLst>
            </c:dLbl>
            <c:dLbl>
              <c:idx val="2"/>
              <c:layout>
                <c:manualLayout>
                  <c:x val="6.423616493789394E-3"/>
                  <c:y val="0.209249867382357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C4-4E72-86CD-26E882354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Aportes!$A$8:$A$10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Aportes!$B$8:$B$10</c:f>
              <c:numCache>
                <c:formatCode>#,##0</c:formatCode>
                <c:ptCount val="3"/>
                <c:pt idx="0">
                  <c:v>27683</c:v>
                </c:pt>
                <c:pt idx="1">
                  <c:v>26711</c:v>
                </c:pt>
                <c:pt idx="2">
                  <c:v>28011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C4-4E72-86CD-26E8823546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67765120"/>
        <c:axId val="1667765664"/>
      </c:barChart>
      <c:catAx>
        <c:axId val="1667765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7765664"/>
        <c:crosses val="autoZero"/>
        <c:auto val="1"/>
        <c:lblAlgn val="ctr"/>
        <c:lblOffset val="100"/>
        <c:noMultiLvlLbl val="0"/>
      </c:catAx>
      <c:valAx>
        <c:axId val="16677656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667765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>
                <a:solidFill>
                  <a:schemeClr val="accent1">
                    <a:lumMod val="75000"/>
                  </a:schemeClr>
                </a:solidFill>
              </a:rPr>
              <a:t>Cantidad de Traspasos</a:t>
            </a:r>
          </a:p>
        </c:rich>
      </c:tx>
      <c:layout>
        <c:manualLayout>
          <c:xMode val="edge"/>
          <c:yMode val="edge"/>
          <c:x val="0.318843741935754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16285132106767"/>
          <c:y val="0.18401209406649208"/>
          <c:w val="0.83717921431840892"/>
          <c:h val="0.6161002451489623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Traspaso!$C$7</c:f>
              <c:strCache>
                <c:ptCount val="1"/>
                <c:pt idx="0">
                  <c:v>Cedidos (Reparto a SCI)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6214893089648237E-3"/>
                  <c:y val="4.0189364691586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A7-4275-A789-0D686E766E43}"/>
                </c:ext>
              </c:extLst>
            </c:dLbl>
            <c:dLbl>
              <c:idx val="1"/>
              <c:layout>
                <c:manualLayout>
                  <c:x val="-7.4260741912076985E-3"/>
                  <c:y val="4.4755367020670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1B-4846-AF71-C6243F490D5B}"/>
                </c:ext>
              </c:extLst>
            </c:dLbl>
            <c:dLbl>
              <c:idx val="2"/>
              <c:layout>
                <c:manualLayout>
                  <c:x val="3.2968808210551998E-6"/>
                  <c:y val="5.0236705864482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A7-4275-A789-0D686E766E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Traspaso!$A$8:$A$10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Traspaso!$C$8:$C$10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1B-4846-AF71-C6243F490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65019632"/>
        <c:axId val="1665020176"/>
      </c:barChart>
      <c:lineChart>
        <c:grouping val="standard"/>
        <c:varyColors val="0"/>
        <c:ser>
          <c:idx val="0"/>
          <c:order val="0"/>
          <c:tx>
            <c:strRef>
              <c:f>Traspaso!$B$7</c:f>
              <c:strCache>
                <c:ptCount val="1"/>
                <c:pt idx="0">
                  <c:v>Recibidos (SCI a Reparto)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-6.4523254548871312E-2"/>
                  <c:y val="-7.088517866862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B-4846-AF71-C6243F490D5B}"/>
                </c:ext>
              </c:extLst>
            </c:dLbl>
            <c:dLbl>
              <c:idx val="1"/>
              <c:layout>
                <c:manualLayout>
                  <c:x val="-4.9395666759678665E-2"/>
                  <c:y val="7.5355058796724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A7-4275-A789-0D686E766E43}"/>
                </c:ext>
              </c:extLst>
            </c:dLbl>
            <c:dLbl>
              <c:idx val="2"/>
              <c:layout>
                <c:manualLayout>
                  <c:x val="-5.8019707554682658E-2"/>
                  <c:y val="5.0890969734560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B-4846-AF71-C6243F490D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Traspaso!$A$8:$A$10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Traspaso!$B$8:$B$10</c:f>
              <c:numCache>
                <c:formatCode>General</c:formatCode>
                <c:ptCount val="3"/>
                <c:pt idx="0">
                  <c:v>125</c:v>
                </c:pt>
                <c:pt idx="1">
                  <c:v>195</c:v>
                </c:pt>
                <c:pt idx="2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B-4846-AF71-C6243F490D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62418912"/>
        <c:axId val="1862406848"/>
      </c:lineChart>
      <c:catAx>
        <c:axId val="166501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5020176"/>
        <c:crosses val="autoZero"/>
        <c:auto val="1"/>
        <c:lblAlgn val="ctr"/>
        <c:lblOffset val="100"/>
        <c:noMultiLvlLbl val="0"/>
      </c:catAx>
      <c:valAx>
        <c:axId val="1665020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5019632"/>
        <c:crosses val="autoZero"/>
        <c:crossBetween val="between"/>
      </c:valAx>
      <c:valAx>
        <c:axId val="1862406848"/>
        <c:scaling>
          <c:orientation val="minMax"/>
          <c:max val="250"/>
        </c:scaling>
        <c:delete val="0"/>
        <c:axPos val="r"/>
        <c:numFmt formatCode="General" sourceLinked="1"/>
        <c:majorTickMark val="out"/>
        <c:minorTickMark val="none"/>
        <c:tickLblPos val="nextTo"/>
        <c:crossAx val="1862418912"/>
        <c:crosses val="max"/>
        <c:crossBetween val="between"/>
      </c:valAx>
      <c:catAx>
        <c:axId val="186241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2406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4975526654232419E-3"/>
          <c:y val="0.89408638814698549"/>
          <c:w val="0.97827692204584993"/>
          <c:h val="8.4775034493234272E-2"/>
        </c:manualLayout>
      </c:layout>
      <c:overlay val="0"/>
      <c:txPr>
        <a:bodyPr/>
        <a:lstStyle/>
        <a:p>
          <a:pPr>
            <a:defRPr sz="900"/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DO" sz="11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Monto Traspasado</a:t>
            </a:r>
          </a:p>
        </c:rich>
      </c:tx>
      <c:layout>
        <c:manualLayout>
          <c:xMode val="edge"/>
          <c:yMode val="edge"/>
          <c:x val="0.40124417233232712"/>
          <c:y val="5.00312596886322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DO" sz="1100" b="1" i="0" u="none" strike="noStrike" kern="1200" spc="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Traspaso!$A$8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Traspaso!$D$7</c:f>
              <c:strCache>
                <c:ptCount val="1"/>
                <c:pt idx="0">
                  <c:v>Monto Traspasado (RD$)</c:v>
                </c:pt>
              </c:strCache>
            </c:strRef>
          </c:cat>
          <c:val>
            <c:numRef>
              <c:f>Traspaso!$D$8</c:f>
              <c:numCache>
                <c:formatCode>_(* #,##0.00_);_(* \(#,##0.00\);_(* "-"??_);_(@_)</c:formatCode>
                <c:ptCount val="1"/>
                <c:pt idx="0">
                  <c:v>143963850.53999999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6-45AA-AADE-47CA6C4D53AA}"/>
            </c:ext>
          </c:extLst>
        </c:ser>
        <c:ser>
          <c:idx val="1"/>
          <c:order val="1"/>
          <c:tx>
            <c:strRef>
              <c:f>Traspaso!$A$9</c:f>
              <c:strCache>
                <c:ptCount val="1"/>
                <c:pt idx="0">
                  <c:v>Noviembre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Traspaso!$D$7</c:f>
              <c:strCache>
                <c:ptCount val="1"/>
                <c:pt idx="0">
                  <c:v>Monto Traspasado (RD$)</c:v>
                </c:pt>
              </c:strCache>
            </c:strRef>
          </c:cat>
          <c:val>
            <c:numRef>
              <c:f>Traspaso!$D$9</c:f>
              <c:numCache>
                <c:formatCode>_(* #,##0.00_);_(* \(#,##0.00\);_(* "-"??_);_(@_)</c:formatCode>
                <c:ptCount val="1"/>
                <c:pt idx="0">
                  <c:v>240147725.66999999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6-45AA-AADE-47CA6C4D53AA}"/>
            </c:ext>
          </c:extLst>
        </c:ser>
        <c:ser>
          <c:idx val="2"/>
          <c:order val="2"/>
          <c:tx>
            <c:strRef>
              <c:f>Traspaso!$A$10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Traspaso!$D$7</c:f>
              <c:strCache>
                <c:ptCount val="1"/>
                <c:pt idx="0">
                  <c:v>Monto Traspasado (RD$)</c:v>
                </c:pt>
              </c:strCache>
            </c:strRef>
          </c:cat>
          <c:val>
            <c:numRef>
              <c:f>Traspaso!$D$10</c:f>
              <c:numCache>
                <c:formatCode>_(* #,##0.00_);_(* \(#,##0.00\);_(* "-"??_);_(@_)</c:formatCode>
                <c:ptCount val="1"/>
                <c:pt idx="0">
                  <c:v>256046064.52000001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6-45AA-AADE-47CA6C4D53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719503"/>
        <c:axId val="204723247"/>
      </c:barChart>
      <c:catAx>
        <c:axId val="20471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4723247"/>
        <c:crosses val="autoZero"/>
        <c:auto val="1"/>
        <c:lblAlgn val="ctr"/>
        <c:lblOffset val="100"/>
        <c:noMultiLvlLbl val="0"/>
      </c:catAx>
      <c:valAx>
        <c:axId val="204723247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4719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52822872449589"/>
          <c:y val="0.88555290254186381"/>
          <c:w val="0.60496527440242809"/>
          <c:h val="8.4428341644956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Programación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7.3450187226680689E-4"/>
                  <c:y val="0.558790051805209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E2-44FA-BC64-68EFF4312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/>
                </a:pPr>
                <a:endParaRPr lang="es-D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'Presupuesto de Pensiones'!$A$10:$A$13</c:f>
              <c:strCache>
                <c:ptCount val="4"/>
                <c:pt idx="0">
                  <c:v>Regalía</c:v>
                </c:pt>
                <c:pt idx="1">
                  <c:v>Diciembre</c:v>
                </c:pt>
                <c:pt idx="2">
                  <c:v>Noviembre </c:v>
                </c:pt>
                <c:pt idx="3">
                  <c:v>Octubre</c:v>
                </c:pt>
              </c:strCache>
            </c:strRef>
          </c:cat>
          <c:val>
            <c:numRef>
              <c:f>'Presupuesto de Pensiones'!$D$10:$D$13</c:f>
              <c:numCache>
                <c:formatCode>#,##0.00</c:formatCode>
                <c:ptCount val="4"/>
                <c:pt idx="0">
                  <c:v>4065022821.4800014</c:v>
                </c:pt>
                <c:pt idx="1">
                  <c:v>4364987852.2800016</c:v>
                </c:pt>
                <c:pt idx="2">
                  <c:v>4099281069.5100017</c:v>
                </c:pt>
                <c:pt idx="3">
                  <c:v>4000422693.9600015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1-44D8-A584-F0F60B69051B}"/>
            </c:ext>
          </c:extLst>
        </c:ser>
        <c:ser>
          <c:idx val="1"/>
          <c:order val="1"/>
          <c:tx>
            <c:v>Ejecutado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1.6631054675137952E-2"/>
                  <c:y val="0.461832914327208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E2-44FA-BC64-68EFF4312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D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'Presupuesto de Pensiones'!$A$10:$A$13</c:f>
              <c:strCache>
                <c:ptCount val="4"/>
                <c:pt idx="0">
                  <c:v>Regalía</c:v>
                </c:pt>
                <c:pt idx="1">
                  <c:v>Diciembre</c:v>
                </c:pt>
                <c:pt idx="2">
                  <c:v>Noviembre </c:v>
                </c:pt>
                <c:pt idx="3">
                  <c:v>Octubre</c:v>
                </c:pt>
              </c:strCache>
            </c:strRef>
          </c:cat>
          <c:val>
            <c:numRef>
              <c:f>'Presupuesto de Pensiones'!$E$10:$E$13</c:f>
              <c:numCache>
                <c:formatCode>#,##0.00</c:formatCode>
                <c:ptCount val="4"/>
                <c:pt idx="0">
                  <c:v>3575892933.0099998</c:v>
                </c:pt>
                <c:pt idx="1">
                  <c:v>3820870804.9400001</c:v>
                </c:pt>
                <c:pt idx="2">
                  <c:v>3747254383.8600001</c:v>
                </c:pt>
                <c:pt idx="3">
                  <c:v>3713731722.8699999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1-44D8-A584-F0F60B6905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65021264"/>
        <c:axId val="1665032144"/>
      </c:barChart>
      <c:lineChart>
        <c:grouping val="standard"/>
        <c:varyColors val="0"/>
        <c:ser>
          <c:idx val="2"/>
          <c:order val="2"/>
          <c:tx>
            <c:v>% Ejecutado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1C01-44D8-A584-F0F60B6905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63E2-44FA-BC64-68EFF43126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'Presupuesto de Pensiones'!$A$10:$A$13</c:f>
              <c:strCache>
                <c:ptCount val="4"/>
                <c:pt idx="0">
                  <c:v>Regalía</c:v>
                </c:pt>
                <c:pt idx="1">
                  <c:v>Diciembre</c:v>
                </c:pt>
                <c:pt idx="2">
                  <c:v>Noviembre </c:v>
                </c:pt>
                <c:pt idx="3">
                  <c:v>Octubre</c:v>
                </c:pt>
              </c:strCache>
            </c:strRef>
          </c:cat>
          <c:val>
            <c:numRef>
              <c:f>'Presupuesto de Pensiones'!$F$10:$F$13</c:f>
              <c:numCache>
                <c:formatCode>0.00%</c:formatCode>
                <c:ptCount val="4"/>
                <c:pt idx="0">
                  <c:v>0.8796735196945541</c:v>
                </c:pt>
                <c:pt idx="1">
                  <c:v>0.87518304283785908</c:v>
                </c:pt>
                <c:pt idx="2">
                  <c:v>0.91410003361178827</c:v>
                </c:pt>
                <c:pt idx="3">
                  <c:v>0.92829652915447136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01-44D8-A584-F0F60B6905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65032688"/>
        <c:axId val="1665026160"/>
      </c:lineChart>
      <c:catAx>
        <c:axId val="166502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5032144"/>
        <c:crosses val="autoZero"/>
        <c:auto val="1"/>
        <c:lblAlgn val="ctr"/>
        <c:lblOffset val="100"/>
        <c:noMultiLvlLbl val="0"/>
      </c:catAx>
      <c:valAx>
        <c:axId val="1665032144"/>
        <c:scaling>
          <c:orientation val="minMax"/>
          <c:max val="4400000000"/>
          <c:min val="3000000000"/>
        </c:scaling>
        <c:delete val="0"/>
        <c:axPos val="l"/>
        <c:numFmt formatCode="#,##0.00" sourceLinked="1"/>
        <c:majorTickMark val="none"/>
        <c:minorTickMark val="none"/>
        <c:tickLblPos val="nextTo"/>
        <c:crossAx val="1665021264"/>
        <c:crosses val="autoZero"/>
        <c:crossBetween val="between"/>
        <c:majorUnit val="200000000"/>
      </c:valAx>
      <c:valAx>
        <c:axId val="1665026160"/>
        <c:scaling>
          <c:orientation val="minMax"/>
          <c:max val="1"/>
          <c:min val="0.88000000000000012"/>
        </c:scaling>
        <c:delete val="0"/>
        <c:axPos val="r"/>
        <c:numFmt formatCode="0.00%" sourceLinked="1"/>
        <c:majorTickMark val="out"/>
        <c:minorTickMark val="none"/>
        <c:tickLblPos val="nextTo"/>
        <c:crossAx val="1665032688"/>
        <c:crosses val="max"/>
        <c:crossBetween val="between"/>
        <c:majorUnit val="2.0000000000000004E-2"/>
        <c:minorUnit val="5.000000000000001E-3"/>
      </c:valAx>
      <c:catAx>
        <c:axId val="166503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50261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1471526098266"/>
          <c:y val="0.13154844993940878"/>
          <c:w val="0.82866557875303415"/>
          <c:h val="0.69190263993496037"/>
        </c:manualLayout>
      </c:layout>
      <c:barChart>
        <c:barDir val="col"/>
        <c:grouping val="clustered"/>
        <c:varyColors val="0"/>
        <c:ser>
          <c:idx val="0"/>
          <c:order val="0"/>
          <c:tx>
            <c:v>PC</c:v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6166165550448378E-3"/>
                  <c:y val="0.28028695984068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D9-494F-9FD7-D7A98F07ECC5}"/>
                </c:ext>
              </c:extLst>
            </c:dLbl>
            <c:dLbl>
              <c:idx val="1"/>
              <c:layout>
                <c:manualLayout>
                  <c:x val="-1.9338092923303063E-4"/>
                  <c:y val="0.281153309220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D9-494F-9FD7-D7A98F07ECC5}"/>
                </c:ext>
              </c:extLst>
            </c:dLbl>
            <c:dLbl>
              <c:idx val="2"/>
              <c:layout>
                <c:manualLayout>
                  <c:x val="8.2366115236005497E-3"/>
                  <c:y val="0.27942061046041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D9-494F-9FD7-D7A98F07E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Nómina!$A$9:$A$11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Nómina!$B$9:$B$11</c:f>
              <c:numCache>
                <c:formatCode>_(* #,##0_);_(* \(#,##0\);_(* "-"??_);_(@_)</c:formatCode>
                <c:ptCount val="3"/>
                <c:pt idx="0">
                  <c:v>152482</c:v>
                </c:pt>
                <c:pt idx="1">
                  <c:v>151928</c:v>
                </c:pt>
                <c:pt idx="2">
                  <c:v>151005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D9-494F-9FD7-D7A98F07ECC5}"/>
            </c:ext>
          </c:extLst>
        </c:ser>
        <c:ser>
          <c:idx val="1"/>
          <c:order val="1"/>
          <c:tx>
            <c:v>PS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D9-494F-9FD7-D7A98F07ECC5}"/>
                </c:ext>
              </c:extLst>
            </c:dLbl>
            <c:dLbl>
              <c:idx val="1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D9-494F-9FD7-D7A98F07ECC5}"/>
                </c:ext>
              </c:extLst>
            </c:dLbl>
            <c:dLbl>
              <c:idx val="2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D9-494F-9FD7-D7A98F07E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Nómina!$A$9:$A$11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Nómina!$E$9:$E$11</c:f>
              <c:numCache>
                <c:formatCode>_(* #,##0_);_(* \(#,##0\);_(* "-"??_);_(@_)</c:formatCode>
                <c:ptCount val="3"/>
                <c:pt idx="0">
                  <c:v>51921</c:v>
                </c:pt>
                <c:pt idx="1">
                  <c:v>51658</c:v>
                </c:pt>
                <c:pt idx="2">
                  <c:v>49723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D9-494F-9FD7-D7A98F07ECC5}"/>
            </c:ext>
          </c:extLst>
        </c:ser>
        <c:ser>
          <c:idx val="2"/>
          <c:order val="2"/>
          <c:tx>
            <c:v>PN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Nómina!$H$9:$H$11</c:f>
              <c:numCache>
                <c:formatCode>_(* #,##0_);_(* \(#,##0\);_(* "-"??_);_(@_)</c:formatCode>
                <c:ptCount val="3"/>
                <c:pt idx="0">
                  <c:v>25431</c:v>
                </c:pt>
                <c:pt idx="1">
                  <c:v>25390</c:v>
                </c:pt>
                <c:pt idx="2">
                  <c:v>25391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F-40C1-B7CC-955B6C3781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65033232"/>
        <c:axId val="1665027248"/>
      </c:barChart>
      <c:catAx>
        <c:axId val="166503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5027248"/>
        <c:crosses val="autoZero"/>
        <c:auto val="1"/>
        <c:lblAlgn val="ctr"/>
        <c:lblOffset val="100"/>
        <c:noMultiLvlLbl val="0"/>
      </c:catAx>
      <c:valAx>
        <c:axId val="166502724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166503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335770283434614"/>
          <c:y val="0.93137511312911292"/>
          <c:w val="0.22633816425502665"/>
          <c:h val="6.5109557839156396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PC</c:v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1.8258793274707537E-3"/>
                  <c:y val="0.182871159511427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BD-4A0D-BE09-D21C77B6043E}"/>
                </c:ext>
              </c:extLst>
            </c:dLbl>
            <c:dLbl>
              <c:idx val="1"/>
              <c:layout>
                <c:manualLayout>
                  <c:x val="1.8258793274707537E-3"/>
                  <c:y val="0.18862088526761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BD-4A0D-BE09-D21C77B6043E}"/>
                </c:ext>
              </c:extLst>
            </c:dLbl>
            <c:dLbl>
              <c:idx val="2"/>
              <c:layout>
                <c:manualLayout>
                  <c:x val="-9.5208122101056675E-4"/>
                  <c:y val="0.178241498441914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BD-4A0D-BE09-D21C77B60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Nómina!$A$9:$A$11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Nómina!$C$9:$C$11</c:f>
              <c:numCache>
                <c:formatCode>_(* #,##0_);_(* \(#,##0\);_(* "-"??_);_(@_)</c:formatCode>
                <c:ptCount val="3"/>
                <c:pt idx="0">
                  <c:v>165233</c:v>
                </c:pt>
                <c:pt idx="1">
                  <c:v>164669</c:v>
                </c:pt>
                <c:pt idx="2">
                  <c:v>163747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BD-4A0D-BE09-D21C77B6043E}"/>
            </c:ext>
          </c:extLst>
        </c:ser>
        <c:ser>
          <c:idx val="1"/>
          <c:order val="1"/>
          <c:tx>
            <c:v>PS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BD-4A0D-BE09-D21C77B6043E}"/>
                </c:ext>
              </c:extLst>
            </c:dLbl>
            <c:dLbl>
              <c:idx val="1"/>
              <c:layout>
                <c:manualLayout>
                  <c:x val="1.30405795883616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BD-4A0D-BE09-D21C77B6043E}"/>
                </c:ext>
              </c:extLst>
            </c:dLbl>
            <c:dLbl>
              <c:idx val="2"/>
              <c:layout>
                <c:manualLayout>
                  <c:x val="-9.5208122101056675E-4"/>
                  <c:y val="1.7249177268572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BD-4A0D-BE09-D21C77B60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Nómina!$A$9:$A$11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Nómina!$F$9:$F$11</c:f>
              <c:numCache>
                <c:formatCode>_(* #,##0_);_(* \(#,##0\);_(* "-"??_);_(@_)</c:formatCode>
                <c:ptCount val="3"/>
                <c:pt idx="0">
                  <c:v>51921</c:v>
                </c:pt>
                <c:pt idx="1">
                  <c:v>51658</c:v>
                </c:pt>
                <c:pt idx="2">
                  <c:v>49723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BD-4A0D-BE09-D21C77B6043E}"/>
            </c:ext>
          </c:extLst>
        </c:ser>
        <c:ser>
          <c:idx val="2"/>
          <c:order val="2"/>
          <c:tx>
            <c:v>PN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6143564425193773E-17"/>
                  <c:y val="5.7497257561908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A7-42AB-9E5A-58FEC411AE86}"/>
                </c:ext>
              </c:extLst>
            </c:dLbl>
            <c:dLbl>
              <c:idx val="1"/>
              <c:layout>
                <c:manualLayout>
                  <c:x val="0"/>
                  <c:y val="5.7497257561907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A7-42AB-9E5A-58FEC411AE86}"/>
                </c:ext>
              </c:extLst>
            </c:dLbl>
            <c:dLbl>
              <c:idx val="2"/>
              <c:layout>
                <c:manualLayout>
                  <c:x val="2.5169507716138687E-3"/>
                  <c:y val="1.724917726857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A7-42AB-9E5A-58FEC411AE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Nómina!$I$9:$I$11</c:f>
              <c:numCache>
                <c:formatCode>_(* #,##0_);_(* \(#,##0\);_(* "-"??_);_(@_)</c:formatCode>
                <c:ptCount val="3"/>
                <c:pt idx="0">
                  <c:v>25526</c:v>
                </c:pt>
                <c:pt idx="1">
                  <c:v>25484</c:v>
                </c:pt>
                <c:pt idx="2">
                  <c:v>25582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7-4C8F-829E-12F6B5EA66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65028880"/>
        <c:axId val="1665018544"/>
      </c:barChart>
      <c:catAx>
        <c:axId val="166502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5018544"/>
        <c:crosses val="autoZero"/>
        <c:auto val="1"/>
        <c:lblAlgn val="ctr"/>
        <c:lblOffset val="100"/>
        <c:noMultiLvlLbl val="0"/>
      </c:catAx>
      <c:valAx>
        <c:axId val="166501854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1665028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PC</c:v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4.9402791952599815E-3"/>
                  <c:y val="0.192856496451481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AB-4ACC-9DB2-E039C3656B7D}"/>
                </c:ext>
              </c:extLst>
            </c:dLbl>
            <c:dLbl>
              <c:idx val="1"/>
              <c:layout>
                <c:manualLayout>
                  <c:x val="-5.5544341463445307E-3"/>
                  <c:y val="0.215137415898894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AB-4ACC-9DB2-E039C3656B7D}"/>
                </c:ext>
              </c:extLst>
            </c:dLbl>
            <c:dLbl>
              <c:idx val="2"/>
              <c:layout>
                <c:manualLayout>
                  <c:x val="-2.8154707518661961E-3"/>
                  <c:y val="0.23723951716480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AB-4ACC-9DB2-E039C365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Nómina!$A$9:$A$11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Nómina!$D$9:$D$11</c:f>
              <c:numCache>
                <c:formatCode>_(* #,##0.00_);_(* \(#,##0.00\);_(* "-"??_);_(@_)</c:formatCode>
                <c:ptCount val="3"/>
                <c:pt idx="0">
                  <c:v>2689659337.73</c:v>
                </c:pt>
                <c:pt idx="1">
                  <c:v>2681199807.5300002</c:v>
                </c:pt>
                <c:pt idx="2">
                  <c:v>2658092586.5799999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3-4019-BFDC-2A350F855EE7}"/>
            </c:ext>
          </c:extLst>
        </c:ser>
        <c:ser>
          <c:idx val="1"/>
          <c:order val="1"/>
          <c:tx>
            <c:v>PS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7888958688751932E-3"/>
                  <c:y val="1.788181815017594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5C-498E-B306-189846393CDE}"/>
                </c:ext>
              </c:extLst>
            </c:dLbl>
            <c:dLbl>
              <c:idx val="1"/>
              <c:layout>
                <c:manualLayout>
                  <c:x val="9.1129695062634377E-3"/>
                  <c:y val="1.6576575949433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5C-498E-B306-189846393CDE}"/>
                </c:ext>
              </c:extLst>
            </c:dLbl>
            <c:dLbl>
              <c:idx val="2"/>
              <c:layout>
                <c:manualLayout>
                  <c:x val="6.2974987543972412E-3"/>
                  <c:y val="5.5255253164776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5C-498E-B306-189846393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Nómina!$A$9:$A$11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Nómina!$G$9:$G$11</c:f>
              <c:numCache>
                <c:formatCode>_(* #,##0.00_);_(* \(#,##0.00\);_(* "-"??_);_(@_)</c:formatCode>
                <c:ptCount val="3"/>
                <c:pt idx="0">
                  <c:v>311526000</c:v>
                </c:pt>
                <c:pt idx="1">
                  <c:v>309948000</c:v>
                </c:pt>
                <c:pt idx="2">
                  <c:v>298338000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3-4019-BFDC-2A350F855EE7}"/>
            </c:ext>
          </c:extLst>
        </c:ser>
        <c:ser>
          <c:idx val="2"/>
          <c:order val="2"/>
          <c:tx>
            <c:v>PN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2952385384117803E-3"/>
                  <c:y val="-2.53250318102610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5C-498E-B306-189846393CDE}"/>
                </c:ext>
              </c:extLst>
            </c:dLbl>
            <c:dLbl>
              <c:idx val="1"/>
              <c:layout>
                <c:manualLayout>
                  <c:x val="4.6332017197177064E-3"/>
                  <c:y val="5.5255253164777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5C-498E-B306-189846393CDE}"/>
                </c:ext>
              </c:extLst>
            </c:dLbl>
            <c:dLbl>
              <c:idx val="2"/>
              <c:layout>
                <c:manualLayout>
                  <c:x val="7.4488820807821271E-3"/>
                  <c:y val="5.5255253164777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5C-498E-B306-189846393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Nómina!$J$9:$J$11</c:f>
              <c:numCache>
                <c:formatCode>_(* #,##0.00_);_(* \(#,##0.00\);_(* "-"??_);_(@_)</c:formatCode>
                <c:ptCount val="3"/>
                <c:pt idx="0">
                  <c:v>757721861.35000002</c:v>
                </c:pt>
                <c:pt idx="1">
                  <c:v>756106576.33000004</c:v>
                </c:pt>
                <c:pt idx="2">
                  <c:v>755752388.52999997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D-447F-87D6-9DFFE7E60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65023984"/>
        <c:axId val="1665028336"/>
      </c:barChart>
      <c:catAx>
        <c:axId val="1665023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5028336"/>
        <c:crosses val="autoZero"/>
        <c:auto val="1"/>
        <c:lblAlgn val="ctr"/>
        <c:lblOffset val="100"/>
        <c:noMultiLvlLbl val="0"/>
      </c:catAx>
      <c:valAx>
        <c:axId val="166502833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1665023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solidFill>
                  <a:schemeClr val="accent1"/>
                </a:solidFill>
              </a:rPr>
              <a:t>%</a:t>
            </a:r>
            <a:r>
              <a:rPr lang="es-DO" sz="1100" b="1" baseline="0">
                <a:solidFill>
                  <a:schemeClr val="accent1"/>
                </a:solidFill>
              </a:rPr>
              <a:t> Pagado</a:t>
            </a:r>
            <a:endParaRPr lang="es-DO" sz="1100" b="1">
              <a:solidFill>
                <a:schemeClr val="accent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658-4F4E-82BB-972C8E917EE2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658-4F4E-82BB-972C8E917E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58-4F4E-82BB-972C8E917EE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Civiles </a:t>
                    </a:r>
                    <a:fld id="{0DE1874E-31FB-46E3-8446-6F5D20BDC9B8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658-4F4E-82BB-972C8E917E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Solidarias </a:t>
                    </a:r>
                    <a:fld id="{90257C1E-480E-4FB7-972A-E16E1347AC87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658-4F4E-82BB-972C8E917E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P.N. </a:t>
                    </a:r>
                    <a:fld id="{903306AE-8C9B-491D-BABF-831CD724B3FC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658-4F4E-82BB-972C8E917E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(Nómina!$D$28,Nómina!$G$28,Nómina!$J$28)</c:f>
              <c:numCache>
                <c:formatCode>0.00%</c:formatCode>
                <c:ptCount val="3"/>
                <c:pt idx="0">
                  <c:v>0.71519941116018193</c:v>
                </c:pt>
                <c:pt idx="1">
                  <c:v>8.1276916145669259E-2</c:v>
                </c:pt>
                <c:pt idx="2">
                  <c:v>0.20352367269414876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8-4F4E-82BB-972C8E917EE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accent1"/>
                </a:solidFill>
              </a:rPr>
              <a:t>Nóminas Autoseguro</a:t>
            </a:r>
          </a:p>
          <a:p>
            <a:pPr>
              <a:defRPr/>
            </a:pPr>
            <a:endParaRPr lang="es-DO"/>
          </a:p>
        </c:rich>
      </c:tx>
      <c:layout>
        <c:manualLayout>
          <c:xMode val="edge"/>
          <c:yMode val="edge"/>
          <c:x val="0.37009135504037877"/>
          <c:y val="1.3082895352795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832881884700847E-2"/>
          <c:y val="0.19432888597258677"/>
          <c:w val="0.93897689989547006"/>
          <c:h val="0.64884186351706041"/>
        </c:manualLayout>
      </c:layout>
      <c:pie3DChart>
        <c:varyColors val="1"/>
        <c:ser>
          <c:idx val="0"/>
          <c:order val="0"/>
          <c:explosion val="19"/>
          <c:dPt>
            <c:idx val="0"/>
            <c:bubble3D val="0"/>
            <c:explosion val="24"/>
            <c:spPr>
              <a:gradFill rotWithShape="1">
                <a:gsLst>
                  <a:gs pos="0">
                    <a:schemeClr val="accent3">
                      <a:tint val="58000"/>
                      <a:shade val="51000"/>
                      <a:satMod val="130000"/>
                    </a:schemeClr>
                  </a:gs>
                  <a:gs pos="80000">
                    <a:schemeClr val="accent3">
                      <a:tint val="58000"/>
                      <a:shade val="93000"/>
                      <a:satMod val="130000"/>
                    </a:schemeClr>
                  </a:gs>
                  <a:gs pos="100000">
                    <a:schemeClr val="accent3">
                      <a:tint val="58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D226-4742-8E7F-C6FD6D3E0DFF}"/>
              </c:ext>
            </c:extLst>
          </c:dPt>
          <c:dPt>
            <c:idx val="1"/>
            <c:bubble3D val="0"/>
            <c:explosion val="43"/>
            <c:spPr>
              <a:gradFill rotWithShape="1">
                <a:gsLst>
                  <a:gs pos="0">
                    <a:schemeClr val="accent3">
                      <a:tint val="86000"/>
                      <a:shade val="51000"/>
                      <a:satMod val="130000"/>
                    </a:schemeClr>
                  </a:gs>
                  <a:gs pos="80000">
                    <a:schemeClr val="accent3">
                      <a:tint val="86000"/>
                      <a:shade val="93000"/>
                      <a:satMod val="130000"/>
                    </a:schemeClr>
                  </a:gs>
                  <a:gs pos="100000">
                    <a:schemeClr val="accent3">
                      <a:tint val="8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226-4742-8E7F-C6FD6D3E0DFF}"/>
              </c:ext>
            </c:extLst>
          </c:dPt>
          <c:dPt>
            <c:idx val="2"/>
            <c:bubble3D val="0"/>
            <c:explosion val="25"/>
            <c:spPr>
              <a:gradFill rotWithShape="1">
                <a:gsLst>
                  <a:gs pos="0">
                    <a:schemeClr val="accent3">
                      <a:shade val="86000"/>
                      <a:shade val="51000"/>
                      <a:satMod val="130000"/>
                    </a:schemeClr>
                  </a:gs>
                  <a:gs pos="80000">
                    <a:schemeClr val="accent3">
                      <a:shade val="86000"/>
                      <a:shade val="93000"/>
                      <a:satMod val="130000"/>
                    </a:schemeClr>
                  </a:gs>
                  <a:gs pos="100000">
                    <a:schemeClr val="accent3">
                      <a:shade val="8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226-4742-8E7F-C6FD6D3E0DFF}"/>
              </c:ext>
            </c:extLst>
          </c:dPt>
          <c:dPt>
            <c:idx val="3"/>
            <c:bubble3D val="0"/>
            <c:explosion val="0"/>
            <c:spPr>
              <a:gradFill rotWithShape="1">
                <a:gsLst>
                  <a:gs pos="0">
                    <a:schemeClr val="accent3">
                      <a:shade val="58000"/>
                      <a:shade val="51000"/>
                      <a:satMod val="130000"/>
                    </a:schemeClr>
                  </a:gs>
                  <a:gs pos="80000">
                    <a:schemeClr val="accent3">
                      <a:shade val="58000"/>
                      <a:shade val="93000"/>
                      <a:satMod val="130000"/>
                    </a:schemeClr>
                  </a:gs>
                  <a:gs pos="100000">
                    <a:schemeClr val="accent3">
                      <a:shade val="58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D226-4742-8E7F-C6FD6D3E0DFF}"/>
              </c:ext>
            </c:extLst>
          </c:dPt>
          <c:dLbls>
            <c:dLbl>
              <c:idx val="0"/>
              <c:layout>
                <c:manualLayout>
                  <c:x val="6.8765334830695996E-2"/>
                  <c:y val="-6.13939831052556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ECF9C51-46E0-4294-B195-1D220E9FC5C4}" type="PERCENTAGE">
                      <a:rPr lang="en-US"/>
                      <a:pPr>
                        <a:defRPr b="1"/>
                      </a:pPr>
                      <a:t>[PORCENTAJE]</a:t>
                    </a:fld>
                    <a:r>
                      <a:rPr lang="en-US"/>
                      <a:t> Discapacidad Civil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947429462203"/>
                      <c:h val="6.325084154136975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226-4742-8E7F-C6FD6D3E0DFF}"/>
                </c:ext>
              </c:extLst>
            </c:dLbl>
            <c:dLbl>
              <c:idx val="1"/>
              <c:layout>
                <c:manualLayout>
                  <c:x val="4.1222659314372308E-2"/>
                  <c:y val="9.621750525817800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DB0CDDD-8AED-465F-8CB0-AD4C2AA7E6E9}" type="VALUE">
                      <a:rPr lang="en-US"/>
                      <a:pPr>
                        <a:defRPr b="1"/>
                      </a:pPr>
                      <a:t>[VALOR]</a:t>
                    </a:fld>
                    <a:r>
                      <a:rPr lang="en-US"/>
                      <a:t> Discapacidad PN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98503430418618"/>
                      <c:h val="5.480049531005783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226-4742-8E7F-C6FD6D3E0DFF}"/>
                </c:ext>
              </c:extLst>
            </c:dLbl>
            <c:dLbl>
              <c:idx val="2"/>
              <c:layout>
                <c:manualLayout>
                  <c:x val="5.2495967179825145E-2"/>
                  <c:y val="-8.81690459458451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31C39E-1E62-4572-8675-95EF26C6BE38}" type="PERCENTAGE">
                      <a:rPr lang="en-US"/>
                      <a:pPr>
                        <a:defRPr b="1"/>
                      </a:pPr>
                      <a:t>[PORCENTAJE]</a:t>
                    </a:fld>
                    <a:r>
                      <a:rPr lang="en-US"/>
                      <a:t> Sobrevivencia</a:t>
                    </a:r>
                    <a:r>
                      <a:rPr lang="en-US" baseline="0"/>
                      <a:t> Civil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792695237817"/>
                      <c:h val="5.902567555211994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226-4742-8E7F-C6FD6D3E0DFF}"/>
                </c:ext>
              </c:extLst>
            </c:dLbl>
            <c:dLbl>
              <c:idx val="3"/>
              <c:layout>
                <c:manualLayout>
                  <c:x val="-3.3523265897112478E-2"/>
                  <c:y val="-9.66386800119945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7D688D-08E1-4C3E-B88A-5A6FCB65F87E}" type="PERCENTAGE">
                      <a:rPr lang="en-US"/>
                      <a:pPr>
                        <a:defRPr b="1"/>
                      </a:pPr>
                      <a:t>[PORCENTAJE]</a:t>
                    </a:fld>
                    <a:r>
                      <a:rPr lang="en-US"/>
                      <a:t> Sobrevivencia PN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71364109388787"/>
                      <c:h val="6.747601465702572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226-4742-8E7F-C6FD6D3E0DF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2540" cap="flat" cmpd="sng" algn="ctr">
                  <a:solidFill>
                    <a:srgbClr val="0070C0">
                      <a:alpha val="99000"/>
                    </a:srgb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(Autoseguro!$C$13,Autoseguro!$H$13,Autoseguro!$M$13,Autoseguro!$O$13)</c:f>
              <c:numCache>
                <c:formatCode>0.00%</c:formatCode>
                <c:ptCount val="4"/>
                <c:pt idx="0">
                  <c:v>9.8381912802953983E-2</c:v>
                </c:pt>
                <c:pt idx="1">
                  <c:v>1E-3</c:v>
                </c:pt>
                <c:pt idx="2">
                  <c:v>0.44948814997483583</c:v>
                </c:pt>
                <c:pt idx="3">
                  <c:v>0.45108848168808818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6-4742-8E7F-C6FD6D3E0DF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Inclusiones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Movimientos!$A$9:$A$11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Movimientos!$B$9:$B$11</c:f>
              <c:numCache>
                <c:formatCode>#,##0</c:formatCode>
                <c:ptCount val="3"/>
                <c:pt idx="0">
                  <c:v>1183</c:v>
                </c:pt>
                <c:pt idx="1">
                  <c:v>3372</c:v>
                </c:pt>
                <c:pt idx="2">
                  <c:v>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D-4375-BB21-8C6D1E025F82}"/>
            </c:ext>
          </c:extLst>
        </c:ser>
        <c:ser>
          <c:idx val="1"/>
          <c:order val="1"/>
          <c:tx>
            <c:v>Aumentos</c:v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Movimientos!$A$9:$A$11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Movimientos!$H$9:$H$11</c:f>
              <c:numCache>
                <c:formatCode>#,##0</c:formatCode>
                <c:ptCount val="3"/>
                <c:pt idx="0">
                  <c:v>66</c:v>
                </c:pt>
                <c:pt idx="1">
                  <c:v>57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D-4375-BB21-8C6D1E025F82}"/>
            </c:ext>
          </c:extLst>
        </c:ser>
        <c:ser>
          <c:idx val="2"/>
          <c:order val="2"/>
          <c:tx>
            <c:v>Exclusiones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Movimientos!$A$9:$A$11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Movimientos!$J$9:$J$11</c:f>
              <c:numCache>
                <c:formatCode>#,##0</c:formatCode>
                <c:ptCount val="3"/>
                <c:pt idx="0">
                  <c:v>443</c:v>
                </c:pt>
                <c:pt idx="1">
                  <c:v>609</c:v>
                </c:pt>
                <c:pt idx="2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5D-4375-BB21-8C6D1E025F82}"/>
            </c:ext>
          </c:extLst>
        </c:ser>
        <c:ser>
          <c:idx val="3"/>
          <c:order val="3"/>
          <c:tx>
            <c:v>Suspensiones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Movimientos!$A$9:$A$11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Movimientos!$L$9:$L$11</c:f>
              <c:numCache>
                <c:formatCode>#,##0</c:formatCode>
                <c:ptCount val="3"/>
                <c:pt idx="0">
                  <c:v>85</c:v>
                </c:pt>
                <c:pt idx="1">
                  <c:v>158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5D-4375-BB21-8C6D1E025F82}"/>
            </c:ext>
          </c:extLst>
        </c:ser>
        <c:ser>
          <c:idx val="4"/>
          <c:order val="4"/>
          <c:tx>
            <c:v>Sobrevivencia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Movimientos!$D$9:$D$11</c:f>
              <c:numCache>
                <c:formatCode>#,##0</c:formatCode>
                <c:ptCount val="3"/>
                <c:pt idx="0">
                  <c:v>167</c:v>
                </c:pt>
                <c:pt idx="1">
                  <c:v>199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5D-4375-BB21-8C6D1E025F82}"/>
            </c:ext>
          </c:extLst>
        </c:ser>
        <c:ser>
          <c:idx val="5"/>
          <c:order val="5"/>
          <c:tx>
            <c:v>Reinclusión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Movimientos!$F$9:$F$11</c:f>
              <c:numCache>
                <c:formatCode>#,##0</c:formatCode>
                <c:ptCount val="3"/>
                <c:pt idx="0">
                  <c:v>49</c:v>
                </c:pt>
                <c:pt idx="1">
                  <c:v>58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5D-4375-BB21-8C6D1E025F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65022896"/>
        <c:axId val="1665031056"/>
      </c:barChart>
      <c:catAx>
        <c:axId val="16650228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DO"/>
          </a:p>
        </c:txPr>
        <c:crossAx val="1665031056"/>
        <c:crosses val="autoZero"/>
        <c:auto val="1"/>
        <c:lblAlgn val="ctr"/>
        <c:lblOffset val="100"/>
        <c:noMultiLvlLbl val="0"/>
      </c:catAx>
      <c:valAx>
        <c:axId val="1665031056"/>
        <c:scaling>
          <c:logBase val="10"/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DO"/>
          </a:p>
        </c:txPr>
        <c:crossAx val="16650228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es-DO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'Afiliados y Cotizantes'!$B$6</c:f>
              <c:strCache>
                <c:ptCount val="1"/>
                <c:pt idx="0">
                  <c:v>Afiliados al Sistema de Reparto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2.3665036994507917E-17"/>
                  <c:y val="0.2225013660299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54-4B02-BE0A-FF69FF46AF7C}"/>
                </c:ext>
              </c:extLst>
            </c:dLbl>
            <c:dLbl>
              <c:idx val="1"/>
              <c:layout>
                <c:manualLayout>
                  <c:x val="-2.5816702227310574E-3"/>
                  <c:y val="0.47755701402459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54-4B02-BE0A-FF69FF46AF7C}"/>
                </c:ext>
              </c:extLst>
            </c:dLbl>
            <c:dLbl>
              <c:idx val="2"/>
              <c:layout>
                <c:manualLayout>
                  <c:x val="0"/>
                  <c:y val="0.238922704380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54-4B02-BE0A-FF69FF46A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'Afiliados y Cotizantes'!$A$7:$A$9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'Afiliados y Cotizantes'!$B$7:$B$9</c:f>
              <c:numCache>
                <c:formatCode>#,##0</c:formatCode>
                <c:ptCount val="3"/>
                <c:pt idx="0">
                  <c:v>93004</c:v>
                </c:pt>
                <c:pt idx="1">
                  <c:v>92035</c:v>
                </c:pt>
                <c:pt idx="2">
                  <c:v>92497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4-4B02-BE0A-FF69FF46AF7C}"/>
            </c:ext>
          </c:extLst>
        </c:ser>
        <c:ser>
          <c:idx val="1"/>
          <c:order val="1"/>
          <c:tx>
            <c:strRef>
              <c:f>'Afiliados y Cotizantes'!$C$6</c:f>
              <c:strCache>
                <c:ptCount val="1"/>
                <c:pt idx="0">
                  <c:v>Cotizantes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7577334418827987E-3"/>
                  <c:y val="0.19366850213694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54-4B02-BE0A-FF69FF46AF7C}"/>
                </c:ext>
              </c:extLst>
            </c:dLbl>
            <c:dLbl>
              <c:idx val="1"/>
              <c:layout>
                <c:manualLayout>
                  <c:x val="0"/>
                  <c:y val="0.194444431985712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54-4B02-BE0A-FF69FF46AF7C}"/>
                </c:ext>
              </c:extLst>
            </c:dLbl>
            <c:dLbl>
              <c:idx val="2"/>
              <c:layout>
                <c:manualLayout>
                  <c:x val="2.5859897607539758E-3"/>
                  <c:y val="0.19473506929322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54-4B02-BE0A-FF69FF46A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aseline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'Afiliados y Cotizantes'!$A$7:$A$9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'Afiliados y Cotizantes'!$C$7:$C$9</c:f>
              <c:numCache>
                <c:formatCode>#,##0</c:formatCode>
                <c:ptCount val="3"/>
                <c:pt idx="0">
                  <c:v>26188</c:v>
                </c:pt>
                <c:pt idx="1">
                  <c:v>25424</c:v>
                </c:pt>
                <c:pt idx="2">
                  <c:v>26607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54-4B02-BE0A-FF69FF46AF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78271600"/>
        <c:axId val="1578260720"/>
      </c:barChart>
      <c:lineChart>
        <c:grouping val="standard"/>
        <c:varyColors val="0"/>
        <c:ser>
          <c:idx val="2"/>
          <c:order val="2"/>
          <c:tx>
            <c:strRef>
              <c:f>'Afiliados y Cotizantes'!$D$6</c:f>
              <c:strCache>
                <c:ptCount val="1"/>
                <c:pt idx="0">
                  <c:v>% Cotizantes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7.7272093495421197E-3"/>
                  <c:y val="-8.1490126180545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54-4B02-BE0A-FF69FF46AF7C}"/>
                </c:ext>
              </c:extLst>
            </c:dLbl>
            <c:dLbl>
              <c:idx val="1"/>
              <c:layout>
                <c:manualLayout>
                  <c:x val="-2.3235032004579517E-2"/>
                  <c:y val="-0.113737411883746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54-4B02-BE0A-FF69FF46AF7C}"/>
                </c:ext>
              </c:extLst>
            </c:dLbl>
            <c:dLbl>
              <c:idx val="2"/>
              <c:layout>
                <c:manualLayout>
                  <c:x val="-3.4707803203467044E-2"/>
                  <c:y val="2.84806620789627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/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95129235811132"/>
                      <c:h val="0.13217897696564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854-4B02-BE0A-FF69FF46A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'Afiliados y Cotizantes'!$A$7:$A$9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'Afiliados y Cotizantes'!$D$7:$D$9</c:f>
              <c:numCache>
                <c:formatCode>0.00%</c:formatCode>
                <c:ptCount val="3"/>
                <c:pt idx="0">
                  <c:v>0.28157928691239087</c:v>
                </c:pt>
                <c:pt idx="1">
                  <c:v>0.27624273374259795</c:v>
                </c:pt>
                <c:pt idx="2">
                  <c:v>0.2876525725158654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854-4B02-BE0A-FF69FF46AF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8262352"/>
        <c:axId val="1578258544"/>
      </c:lineChart>
      <c:catAx>
        <c:axId val="157827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8260720"/>
        <c:crosses val="autoZero"/>
        <c:auto val="1"/>
        <c:lblAlgn val="ctr"/>
        <c:lblOffset val="100"/>
        <c:noMultiLvlLbl val="0"/>
      </c:catAx>
      <c:valAx>
        <c:axId val="15782607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578271600"/>
        <c:crosses val="autoZero"/>
        <c:crossBetween val="between"/>
      </c:valAx>
      <c:valAx>
        <c:axId val="157825854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578262352"/>
        <c:crosses val="max"/>
        <c:crossBetween val="between"/>
      </c:valAx>
      <c:catAx>
        <c:axId val="157826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82585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Inclusiones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Movimientos!$A$9:$A$11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Movimientos!$C$9:$C$11</c:f>
              <c:numCache>
                <c:formatCode>#,##0.00</c:formatCode>
                <c:ptCount val="3"/>
                <c:pt idx="0">
                  <c:v>14517842.33</c:v>
                </c:pt>
                <c:pt idx="1">
                  <c:v>40336246.400000006</c:v>
                </c:pt>
                <c:pt idx="2">
                  <c:v>19571690.219999999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9-49A7-9ED4-8922C1B4A086}"/>
            </c:ext>
          </c:extLst>
        </c:ser>
        <c:ser>
          <c:idx val="1"/>
          <c:order val="1"/>
          <c:tx>
            <c:v>Aumentos</c:v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Movimientos!$A$9:$A$11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Movimientos!$I$9:$I$11</c:f>
              <c:numCache>
                <c:formatCode>#,##0.00</c:formatCode>
                <c:ptCount val="3"/>
                <c:pt idx="0">
                  <c:v>821641.90999999992</c:v>
                </c:pt>
                <c:pt idx="1">
                  <c:v>954483.34000000008</c:v>
                </c:pt>
                <c:pt idx="2">
                  <c:v>597030.89999999991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49-49A7-9ED4-8922C1B4A086}"/>
            </c:ext>
          </c:extLst>
        </c:ser>
        <c:ser>
          <c:idx val="2"/>
          <c:order val="2"/>
          <c:tx>
            <c:v>Exclusiones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Movimientos!$A$9:$A$11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Movimientos!$K$9:$K$11</c:f>
              <c:numCache>
                <c:formatCode>#,##0.00</c:formatCode>
                <c:ptCount val="3"/>
                <c:pt idx="0">
                  <c:v>5948332.0099999998</c:v>
                </c:pt>
                <c:pt idx="1">
                  <c:v>8021628.2300000004</c:v>
                </c:pt>
                <c:pt idx="2">
                  <c:v>6493111.3500000006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49-49A7-9ED4-8922C1B4A086}"/>
            </c:ext>
          </c:extLst>
        </c:ser>
        <c:ser>
          <c:idx val="3"/>
          <c:order val="3"/>
          <c:tx>
            <c:v>Suspensiones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Movimientos!$A$9:$A$11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Movimientos!$M$9:$M$11</c:f>
              <c:numCache>
                <c:formatCode>#,##0.00</c:formatCode>
                <c:ptCount val="3"/>
                <c:pt idx="0">
                  <c:v>850422.33</c:v>
                </c:pt>
                <c:pt idx="1">
                  <c:v>2120445.58</c:v>
                </c:pt>
                <c:pt idx="2">
                  <c:v>2299005.31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49-49A7-9ED4-8922C1B4A086}"/>
            </c:ext>
          </c:extLst>
        </c:ser>
        <c:ser>
          <c:idx val="4"/>
          <c:order val="4"/>
          <c:tx>
            <c:v>Sobrevivencia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Movimientos!$E$9:$E$11</c:f>
              <c:numCache>
                <c:formatCode>#,##0.00</c:formatCode>
                <c:ptCount val="3"/>
                <c:pt idx="0">
                  <c:v>2417944.84</c:v>
                </c:pt>
                <c:pt idx="1">
                  <c:v>3004757.8200000003</c:v>
                </c:pt>
                <c:pt idx="2">
                  <c:v>2427345.61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49-49A7-9ED4-8922C1B4A086}"/>
            </c:ext>
          </c:extLst>
        </c:ser>
        <c:ser>
          <c:idx val="5"/>
          <c:order val="5"/>
          <c:tx>
            <c:v>Reinclusión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Movimientos!$G$9:$G$11</c:f>
              <c:numCache>
                <c:formatCode>#,##0.00</c:formatCode>
                <c:ptCount val="3"/>
                <c:pt idx="0">
                  <c:v>694140.48</c:v>
                </c:pt>
                <c:pt idx="1">
                  <c:v>923995</c:v>
                </c:pt>
                <c:pt idx="2">
                  <c:v>796242.26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49-49A7-9ED4-8922C1B4A0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65025616"/>
        <c:axId val="1670809952"/>
      </c:barChart>
      <c:catAx>
        <c:axId val="1665025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DO"/>
          </a:p>
        </c:txPr>
        <c:crossAx val="1670809952"/>
        <c:crosses val="autoZero"/>
        <c:auto val="1"/>
        <c:lblAlgn val="ctr"/>
        <c:lblOffset val="100"/>
        <c:noMultiLvlLbl val="0"/>
      </c:catAx>
      <c:valAx>
        <c:axId val="1670809952"/>
        <c:scaling>
          <c:logBase val="10"/>
          <c:orientation val="minMax"/>
          <c:max val="51000000"/>
          <c:min val="500000"/>
        </c:scaling>
        <c:delete val="0"/>
        <c:axPos val="b"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DO"/>
          </a:p>
        </c:txPr>
        <c:crossAx val="1665025616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b="1"/>
          </a:pPr>
          <a:endParaRPr lang="es-DO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solidFill>
                  <a:schemeClr val="accent1"/>
                </a:solidFill>
              </a:rPr>
              <a:t>Porcentaje Modalidad</a:t>
            </a:r>
            <a:r>
              <a:rPr lang="es-ES" sz="1400" baseline="0">
                <a:solidFill>
                  <a:schemeClr val="accent1"/>
                </a:solidFill>
              </a:rPr>
              <a:t> de Pago</a:t>
            </a:r>
            <a:endParaRPr lang="es-ES" sz="14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24317598335221177"/>
          <c:y val="3.23522372488446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882-47C0-9C20-76A0642EBB7A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882-47C0-9C20-76A0642EBB7A}"/>
              </c:ext>
            </c:extLst>
          </c:dPt>
          <c:dLbls>
            <c:dLbl>
              <c:idx val="0"/>
              <c:layout>
                <c:manualLayout>
                  <c:x val="-1.8055555555555554E-2"/>
                  <c:y val="-0.3553240740740740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Electrónico</a:t>
                    </a:r>
                  </a:p>
                  <a:p>
                    <a:pPr>
                      <a:defRPr sz="1000" b="1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defRPr>
                    </a:pPr>
                    <a:r>
                      <a:rPr lang="en-US" sz="1000" b="1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 </a:t>
                    </a:r>
                    <a:fld id="{6A789905-C907-4699-A041-A6FD64461BF5}" type="VALUE">
                      <a:rPr lang="en-US" sz="1000" b="1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0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[VALOR]</a:t>
                    </a:fld>
                    <a:endParaRPr lang="en-US" sz="1000" b="1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41666666666666"/>
                      <c:h val="0.210648148148148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82-47C0-9C20-76A0642EBB7A}"/>
                </c:ext>
              </c:extLst>
            </c:dLbl>
            <c:dLbl>
              <c:idx val="1"/>
              <c:layout>
                <c:manualLayout>
                  <c:x val="-4.6721964522656895E-2"/>
                  <c:y val="5.27839164057003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Cheque</a:t>
                    </a:r>
                  </a:p>
                  <a:p>
                    <a:pPr>
                      <a:defRPr sz="1000" b="1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defRPr>
                    </a:pPr>
                    <a:r>
                      <a:rPr lang="en-US" sz="1000" b="1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 </a:t>
                    </a:r>
                    <a:fld id="{928CA2D4-AB57-4300-BD4F-83CC6382AA06}" type="VALUE">
                      <a:rPr lang="en-US" sz="1000" b="1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0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[VALOR]</a:t>
                    </a:fld>
                    <a:endParaRPr lang="en-US" sz="1000" b="1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02209762708696"/>
                      <c:h val="0.14416160985114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82-47C0-9C20-76A0642EBB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(Modalidad!$O$8,Modalidad!$Q$8)</c:f>
              <c:strCache>
                <c:ptCount val="2"/>
                <c:pt idx="0">
                  <c:v>Monto</c:v>
                </c:pt>
                <c:pt idx="1">
                  <c:v>Monto</c:v>
                </c:pt>
              </c:strCache>
            </c:strRef>
          </c:cat>
          <c:val>
            <c:numRef>
              <c:f>(Modalidad!$O$28,Modalidad!$Q$28)</c:f>
              <c:numCache>
                <c:formatCode>0.00%</c:formatCode>
                <c:ptCount val="2"/>
                <c:pt idx="0">
                  <c:v>0.9983262612172501</c:v>
                </c:pt>
                <c:pt idx="1">
                  <c:v>1.6737387827499206E-3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7C0-9C20-76A0642EB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0597950039618"/>
          <c:y val="4.2299470680314477E-2"/>
          <c:w val="0.65858516691985691"/>
          <c:h val="0.72007785017025605"/>
        </c:manualLayout>
      </c:layout>
      <c:barChart>
        <c:barDir val="col"/>
        <c:grouping val="clustered"/>
        <c:varyColors val="0"/>
        <c:ser>
          <c:idx val="0"/>
          <c:order val="0"/>
          <c:tx>
            <c:v>Pensionados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Retroactivos!$B$9:$B$11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Retroactivos!$L$9:$L$11</c:f>
              <c:numCache>
                <c:formatCode>_(* #,##0_);_(* \(#,##0\);_(* "-"??_);_(@_)</c:formatCode>
                <c:ptCount val="3"/>
                <c:pt idx="0">
                  <c:v>534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88-4F3E-9D80-50FAAA1EC586}"/>
            </c:ext>
          </c:extLst>
        </c:ser>
        <c:ser>
          <c:idx val="1"/>
          <c:order val="1"/>
          <c:tx>
            <c:v>Pensiones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Retroactivos!$B$9:$B$11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Retroactivos!$M$9:$M$11</c:f>
              <c:numCache>
                <c:formatCode>_(* #,##0_);_(* \(#,##0\);_(* "-"??_);_(@_)</c:formatCode>
                <c:ptCount val="3"/>
                <c:pt idx="0">
                  <c:v>580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88-4F3E-9D80-50FAAA1EC5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72051440"/>
        <c:axId val="1672050896"/>
      </c:barChart>
      <c:lineChart>
        <c:grouping val="standard"/>
        <c:varyColors val="0"/>
        <c:ser>
          <c:idx val="2"/>
          <c:order val="2"/>
          <c:tx>
            <c:strRef>
              <c:f>Retroactivos!$N$7</c:f>
              <c:strCache>
                <c:ptCount val="1"/>
                <c:pt idx="0">
                  <c:v>Monto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6B88-4F3E-9D80-50FAAA1EC586}"/>
              </c:ext>
            </c:extLst>
          </c:dPt>
          <c:dLbls>
            <c:dLbl>
              <c:idx val="0"/>
              <c:layout>
                <c:manualLayout>
                  <c:x val="-9.7235059390661502E-2"/>
                  <c:y val="4.9330437303556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88-4F3E-9D80-50FAAA1EC586}"/>
                </c:ext>
              </c:extLst>
            </c:dLbl>
            <c:dLbl>
              <c:idx val="1"/>
              <c:layout>
                <c:manualLayout>
                  <c:x val="-8.1406096234042172E-2"/>
                  <c:y val="4.9330437303556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88-4D3B-A92B-728D1A25D1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Retroactivos!$B$9:$B$11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Retroactivos!$N$9:$N$11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51653994.310000002</c:v>
                </c:pt>
                <c:pt idx="1">
                  <c:v>0</c:v>
                </c:pt>
                <c:pt idx="2" formatCode="_(* #,##0.00_);_(* \(#,##0.00\);_(* &quot;-&quot;??_);_(@_)">
                  <c:v>1548747.76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88-4F3E-9D80-50FAAA1EC5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72055792"/>
        <c:axId val="1672053072"/>
      </c:lineChart>
      <c:catAx>
        <c:axId val="167205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2050896"/>
        <c:crosses val="autoZero"/>
        <c:auto val="1"/>
        <c:lblAlgn val="ctr"/>
        <c:lblOffset val="100"/>
        <c:noMultiLvlLbl val="0"/>
      </c:catAx>
      <c:valAx>
        <c:axId val="1672050896"/>
        <c:scaling>
          <c:logBase val="10"/>
          <c:orientation val="minMax"/>
          <c:max val="1000"/>
          <c:min val="1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1672051440"/>
        <c:crosses val="autoZero"/>
        <c:crossBetween val="between"/>
      </c:valAx>
      <c:valAx>
        <c:axId val="1672053072"/>
        <c:scaling>
          <c:logBase val="10"/>
          <c:orientation val="minMax"/>
          <c:min val="100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672055792"/>
        <c:crosses val="max"/>
        <c:crossBetween val="between"/>
      </c:valAx>
      <c:catAx>
        <c:axId val="167205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20530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4932899446490744"/>
          <c:y val="0.87879252468585134"/>
          <c:w val="0.51212458447537823"/>
          <c:h val="8.4031421083945429E-2"/>
        </c:manualLayout>
      </c:layout>
      <c:overlay val="0"/>
      <c:txPr>
        <a:bodyPr/>
        <a:lstStyle/>
        <a:p>
          <a:pPr>
            <a:defRPr sz="900"/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solidFill>
                  <a:schemeClr val="tx2">
                    <a:lumMod val="60000"/>
                    <a:lumOff val="40000"/>
                  </a:schemeClr>
                </a:solidFill>
              </a:rPr>
              <a:t>Reintegro</a:t>
            </a:r>
            <a:r>
              <a:rPr lang="es-DO" sz="1100" b="1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 de Cheques</a:t>
            </a:r>
            <a:endParaRPr lang="es-DO" sz="1100" b="1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Reintegros!$H$7</c:f>
              <c:strCache>
                <c:ptCount val="1"/>
                <c:pt idx="0">
                  <c:v>Cantidad 
de Cheques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Reintegros!$A$8:$A$10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Reintegros!$H$8:$H$10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80</c:v>
                </c:pt>
                <c:pt idx="2">
                  <c:v>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3-4894-8909-6FB7CBDC635F}"/>
            </c:ext>
          </c:extLst>
        </c:ser>
        <c:ser>
          <c:idx val="1"/>
          <c:order val="1"/>
          <c:tx>
            <c:strRef>
              <c:f>Reintegros!$I$7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Reintegros!$A$8:$A$10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Reintegros!$I$8:$I$10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797212.89</c:v>
                </c:pt>
                <c:pt idx="2" formatCode="_(* #,##0_);_(* \(#,##0\);_(* &quot;-&quot;??_);_(@_)">
                  <c:v>20744930.620000001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3-4894-8909-6FB7CBDC6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2047088"/>
        <c:axId val="1672050352"/>
      </c:barChart>
      <c:catAx>
        <c:axId val="167204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2050352"/>
        <c:crosses val="autoZero"/>
        <c:auto val="1"/>
        <c:lblAlgn val="ctr"/>
        <c:lblOffset val="100"/>
        <c:noMultiLvlLbl val="0"/>
      </c:catAx>
      <c:valAx>
        <c:axId val="167205035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204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solidFill>
                  <a:schemeClr val="tx2">
                    <a:lumMod val="60000"/>
                    <a:lumOff val="40000"/>
                  </a:schemeClr>
                </a:solidFill>
              </a:rPr>
              <a:t>Créditos</a:t>
            </a:r>
            <a:r>
              <a:rPr lang="es-DO" sz="1100" b="1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 Rechazados</a:t>
            </a:r>
            <a:endParaRPr lang="es-DO" sz="1100" b="1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'Créditos Rechazados'!$H$7</c:f>
              <c:strCache>
                <c:ptCount val="1"/>
                <c:pt idx="0">
                  <c:v>Cantidad 
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'Créditos Rechazados'!$A$8:$A$10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'Créditos Rechazados'!$H$8:$H$10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40</c:v>
                </c:pt>
                <c:pt idx="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9-4FB4-B4A2-1D086BEA9BB5}"/>
            </c:ext>
          </c:extLst>
        </c:ser>
        <c:ser>
          <c:idx val="1"/>
          <c:order val="1"/>
          <c:tx>
            <c:strRef>
              <c:f>'Créditos Rechazados'!$I$7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'Créditos Rechazados'!$A$8:$A$10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'Créditos Rechazados'!$I$8:$I$10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414032.22</c:v>
                </c:pt>
                <c:pt idx="2" formatCode="_(* #,##0_);_(* \(#,##0\);_(* &quot;-&quot;??_);_(@_)">
                  <c:v>1591442.78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9-4FB4-B4A2-1D086BEA9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2047632"/>
        <c:axId val="1672049264"/>
      </c:barChart>
      <c:catAx>
        <c:axId val="167204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2049264"/>
        <c:crosses val="autoZero"/>
        <c:auto val="1"/>
        <c:lblAlgn val="ctr"/>
        <c:lblOffset val="100"/>
        <c:noMultiLvlLbl val="0"/>
      </c:catAx>
      <c:valAx>
        <c:axId val="167204926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20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16805319017807"/>
          <c:y val="0.1147686611742301"/>
          <c:w val="0.71680195964278259"/>
          <c:h val="0.69625725323778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'Recuperación Fondos'!$C$6</c:f>
              <c:strCache>
                <c:ptCount val="1"/>
                <c:pt idx="0">
                  <c:v>Monto 
Solicitado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1568720852990166E-2"/>
                  <c:y val="-2.0040690556597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53-4937-ACFC-AC9F032F728F}"/>
                </c:ext>
              </c:extLst>
            </c:dLbl>
            <c:dLbl>
              <c:idx val="1"/>
              <c:layout>
                <c:manualLayout>
                  <c:x val="1.9182306332050394E-2"/>
                  <c:y val="-4.014939585169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53-4937-ACFC-AC9F032F728F}"/>
                </c:ext>
              </c:extLst>
            </c:dLbl>
            <c:dLbl>
              <c:idx val="2"/>
              <c:layout>
                <c:manualLayout>
                  <c:x val="2.026815239970273E-2"/>
                  <c:y val="6.333355019191987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42072050919608"/>
                      <c:h val="3.45704129973208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953-4937-ACFC-AC9F032F728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'Recuperación Fondos'!$A$7:$A$9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'Recuperación Fondos'!$C$7:$C$9</c:f>
              <c:numCache>
                <c:formatCode>#,##0.00</c:formatCode>
                <c:ptCount val="3"/>
                <c:pt idx="0">
                  <c:v>1445410.38</c:v>
                </c:pt>
                <c:pt idx="1">
                  <c:v>6547146.9299999978</c:v>
                </c:pt>
                <c:pt idx="2">
                  <c:v>9438613.8400000017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53-4937-ACFC-AC9F032F728F}"/>
            </c:ext>
          </c:extLst>
        </c:ser>
        <c:ser>
          <c:idx val="1"/>
          <c:order val="1"/>
          <c:tx>
            <c:strRef>
              <c:f>'Recuperación Fondos'!$F$6</c:f>
              <c:strCache>
                <c:ptCount val="1"/>
                <c:pt idx="0">
                  <c:v>Total 
Recuperado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4354024410601823E-2"/>
                  <c:y val="1.20111071025129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07200811714922"/>
                      <c:h val="4.58372022876609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953-4937-ACFC-AC9F032F728F}"/>
                </c:ext>
              </c:extLst>
            </c:dLbl>
            <c:dLbl>
              <c:idx val="1"/>
              <c:layout>
                <c:manualLayout>
                  <c:x val="4.004152379754003E-3"/>
                  <c:y val="1.8518638995511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53-4937-ACFC-AC9F032F728F}"/>
                </c:ext>
              </c:extLst>
            </c:dLbl>
            <c:dLbl>
              <c:idx val="2"/>
              <c:layout>
                <c:manualLayout>
                  <c:x val="-1.598692580187087E-3"/>
                  <c:y val="2.340771582850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53-4937-ACFC-AC9F032F728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'Recuperación Fondos'!$A$7:$A$9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'Recuperación Fondos'!$F$7:$F$9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1045395.4099999999</c:v>
                </c:pt>
                <c:pt idx="2">
                  <c:v>3414950.1399999992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53-4937-ACFC-AC9F032F72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72048720"/>
        <c:axId val="1672045456"/>
      </c:barChart>
      <c:lineChart>
        <c:grouping val="standard"/>
        <c:varyColors val="0"/>
        <c:ser>
          <c:idx val="2"/>
          <c:order val="2"/>
          <c:tx>
            <c:strRef>
              <c:f>'Recuperación Fondos'!$G$6</c:f>
              <c:strCache>
                <c:ptCount val="1"/>
                <c:pt idx="0">
                  <c:v>% Recuperado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9.6445290055332478E-2"/>
                  <c:y val="-1.27554249146858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="1"/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238097194996"/>
                      <c:h val="7.44359212448471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953-4937-ACFC-AC9F032F728F}"/>
                </c:ext>
              </c:extLst>
            </c:dLbl>
            <c:dLbl>
              <c:idx val="1"/>
              <c:layout>
                <c:manualLayout>
                  <c:x val="-8.0756784548152889E-3"/>
                  <c:y val="-1.70638628822872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="1"/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2780795442271"/>
                      <c:h val="6.31691319545070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953-4937-ACFC-AC9F032F728F}"/>
                </c:ext>
              </c:extLst>
            </c:dLbl>
            <c:dLbl>
              <c:idx val="2"/>
              <c:layout>
                <c:manualLayout>
                  <c:x val="-3.1184528464622326E-3"/>
                  <c:y val="6.3777124573429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53-4937-ACFC-AC9F032F72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'Recuperación Fondos'!$A$7:$A$9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'Recuperación Fondos'!$G$7:$G$9</c:f>
              <c:numCache>
                <c:formatCode>0.00%</c:formatCode>
                <c:ptCount val="3"/>
                <c:pt idx="0">
                  <c:v>0</c:v>
                </c:pt>
                <c:pt idx="1">
                  <c:v>0.1596719030712207</c:v>
                </c:pt>
                <c:pt idx="2">
                  <c:v>0.36180632006871027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953-4937-ACFC-AC9F032F72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72048176"/>
        <c:axId val="1672052528"/>
      </c:lineChart>
      <c:valAx>
        <c:axId val="1672052528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crossAx val="1672048176"/>
        <c:crosses val="max"/>
        <c:crossBetween val="between"/>
      </c:valAx>
      <c:catAx>
        <c:axId val="1672048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2052528"/>
        <c:crosses val="autoZero"/>
        <c:auto val="1"/>
        <c:lblAlgn val="ctr"/>
        <c:lblOffset val="100"/>
        <c:noMultiLvlLbl val="0"/>
      </c:catAx>
      <c:valAx>
        <c:axId val="1672045456"/>
        <c:scaling>
          <c:orientation val="minMax"/>
          <c:max val="10000000"/>
          <c:min val="1000000"/>
        </c:scaling>
        <c:delete val="0"/>
        <c:axPos val="l"/>
        <c:numFmt formatCode="#,##0.00" sourceLinked="1"/>
        <c:majorTickMark val="out"/>
        <c:minorTickMark val="none"/>
        <c:tickLblPos val="nextTo"/>
        <c:crossAx val="1672048720"/>
        <c:crosses val="autoZero"/>
        <c:crossBetween val="between"/>
        <c:majorUnit val="1000000"/>
      </c:valAx>
      <c:catAx>
        <c:axId val="167204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204545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800" baseline="0"/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1"/>
          <c:order val="0"/>
          <c:tx>
            <c:strRef>
              <c:f>Servicios!$L$10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Servicios!$B$11:$B$23</c:f>
              <c:strCache>
                <c:ptCount val="13"/>
                <c:pt idx="0">
                  <c:v>Modificación Datos Críticos</c:v>
                </c:pt>
                <c:pt idx="1">
                  <c:v>Pensión por sobrevivencia</c:v>
                </c:pt>
                <c:pt idx="2">
                  <c:v>Registro de Poderes</c:v>
                </c:pt>
                <c:pt idx="3">
                  <c:v>Solicitud Aplicación/Suspensión de Descuento 2%</c:v>
                </c:pt>
                <c:pt idx="4">
                  <c:v>Solicitud de actualización de datos  Pensionados</c:v>
                </c:pt>
                <c:pt idx="5">
                  <c:v>Solicitud de Exclusión</c:v>
                </c:pt>
                <c:pt idx="6">
                  <c:v>Solicitud de Inclusión a Nómina</c:v>
                </c:pt>
                <c:pt idx="7">
                  <c:v>Solicitud de Reajuste de Pensión</c:v>
                </c:pt>
                <c:pt idx="8">
                  <c:v>Solicitud de Reclamación de Deuda</c:v>
                </c:pt>
                <c:pt idx="9">
                  <c:v>Solicitud Pago Único Compensatorio</c:v>
                </c:pt>
                <c:pt idx="10">
                  <c:v>Solicitud Pensión</c:v>
                </c:pt>
                <c:pt idx="11">
                  <c:v>Solicitud Re-activación/Re-inclusión Pensión</c:v>
                </c:pt>
                <c:pt idx="12">
                  <c:v>Solicitud Traspaso</c:v>
                </c:pt>
              </c:strCache>
            </c:strRef>
          </c:cat>
          <c:val>
            <c:numRef>
              <c:f>Servicios!$L$11:$L$23</c:f>
              <c:numCache>
                <c:formatCode>#,##0</c:formatCode>
                <c:ptCount val="13"/>
                <c:pt idx="0">
                  <c:v>18</c:v>
                </c:pt>
                <c:pt idx="1">
                  <c:v>429</c:v>
                </c:pt>
                <c:pt idx="2">
                  <c:v>133</c:v>
                </c:pt>
                <c:pt idx="3">
                  <c:v>490</c:v>
                </c:pt>
                <c:pt idx="4">
                  <c:v>7497</c:v>
                </c:pt>
                <c:pt idx="5">
                  <c:v>795</c:v>
                </c:pt>
                <c:pt idx="6">
                  <c:v>4329</c:v>
                </c:pt>
                <c:pt idx="7">
                  <c:v>24</c:v>
                </c:pt>
                <c:pt idx="8">
                  <c:v>148</c:v>
                </c:pt>
                <c:pt idx="9">
                  <c:v>20</c:v>
                </c:pt>
                <c:pt idx="10">
                  <c:v>608</c:v>
                </c:pt>
                <c:pt idx="11">
                  <c:v>128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C-45A1-A6C8-669D4A3C48EA}"/>
            </c:ext>
          </c:extLst>
        </c:ser>
        <c:ser>
          <c:idx val="22"/>
          <c:order val="1"/>
          <c:tx>
            <c:strRef>
              <c:f>Servicios!$M$10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Servicios!$B$11:$B$23</c:f>
              <c:strCache>
                <c:ptCount val="13"/>
                <c:pt idx="0">
                  <c:v>Modificación Datos Críticos</c:v>
                </c:pt>
                <c:pt idx="1">
                  <c:v>Pensión por sobrevivencia</c:v>
                </c:pt>
                <c:pt idx="2">
                  <c:v>Registro de Poderes</c:v>
                </c:pt>
                <c:pt idx="3">
                  <c:v>Solicitud Aplicación/Suspensión de Descuento 2%</c:v>
                </c:pt>
                <c:pt idx="4">
                  <c:v>Solicitud de actualización de datos  Pensionados</c:v>
                </c:pt>
                <c:pt idx="5">
                  <c:v>Solicitud de Exclusión</c:v>
                </c:pt>
                <c:pt idx="6">
                  <c:v>Solicitud de Inclusión a Nómina</c:v>
                </c:pt>
                <c:pt idx="7">
                  <c:v>Solicitud de Reajuste de Pensión</c:v>
                </c:pt>
                <c:pt idx="8">
                  <c:v>Solicitud de Reclamación de Deuda</c:v>
                </c:pt>
                <c:pt idx="9">
                  <c:v>Solicitud Pago Único Compensatorio</c:v>
                </c:pt>
                <c:pt idx="10">
                  <c:v>Solicitud Pensión</c:v>
                </c:pt>
                <c:pt idx="11">
                  <c:v>Solicitud Re-activación/Re-inclusión Pensión</c:v>
                </c:pt>
                <c:pt idx="12">
                  <c:v>Solicitud Traspaso</c:v>
                </c:pt>
              </c:strCache>
            </c:strRef>
          </c:cat>
          <c:val>
            <c:numRef>
              <c:f>Servicios!$M$11:$M$23</c:f>
              <c:numCache>
                <c:formatCode>#,##0</c:formatCode>
                <c:ptCount val="13"/>
                <c:pt idx="0">
                  <c:v>16</c:v>
                </c:pt>
                <c:pt idx="1">
                  <c:v>395</c:v>
                </c:pt>
                <c:pt idx="2">
                  <c:v>84</c:v>
                </c:pt>
                <c:pt idx="3">
                  <c:v>485</c:v>
                </c:pt>
                <c:pt idx="4">
                  <c:v>7425</c:v>
                </c:pt>
                <c:pt idx="5">
                  <c:v>777</c:v>
                </c:pt>
                <c:pt idx="6">
                  <c:v>4090</c:v>
                </c:pt>
                <c:pt idx="7">
                  <c:v>20</c:v>
                </c:pt>
                <c:pt idx="8">
                  <c:v>140</c:v>
                </c:pt>
                <c:pt idx="9">
                  <c:v>19</c:v>
                </c:pt>
                <c:pt idx="10">
                  <c:v>579</c:v>
                </c:pt>
                <c:pt idx="11">
                  <c:v>121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C-45A1-A6C8-669D4A3C4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2055248"/>
        <c:axId val="1672041104"/>
      </c:barChart>
      <c:lineChart>
        <c:grouping val="standard"/>
        <c:varyColors val="0"/>
        <c:ser>
          <c:idx val="23"/>
          <c:order val="2"/>
          <c:tx>
            <c:strRef>
              <c:f>Servicios!$N$10</c:f>
              <c:strCache>
                <c:ptCount val="1"/>
                <c:pt idx="0">
                  <c:v>% Eficacia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Servicios!$B$11:$B$23</c:f>
              <c:strCache>
                <c:ptCount val="13"/>
                <c:pt idx="0">
                  <c:v>Modificación Datos Críticos</c:v>
                </c:pt>
                <c:pt idx="1">
                  <c:v>Pensión por sobrevivencia</c:v>
                </c:pt>
                <c:pt idx="2">
                  <c:v>Registro de Poderes</c:v>
                </c:pt>
                <c:pt idx="3">
                  <c:v>Solicitud Aplicación/Suspensión de Descuento 2%</c:v>
                </c:pt>
                <c:pt idx="4">
                  <c:v>Solicitud de actualización de datos  Pensionados</c:v>
                </c:pt>
                <c:pt idx="5">
                  <c:v>Solicitud de Exclusión</c:v>
                </c:pt>
                <c:pt idx="6">
                  <c:v>Solicitud de Inclusión a Nómina</c:v>
                </c:pt>
                <c:pt idx="7">
                  <c:v>Solicitud de Reajuste de Pensión</c:v>
                </c:pt>
                <c:pt idx="8">
                  <c:v>Solicitud de Reclamación de Deuda</c:v>
                </c:pt>
                <c:pt idx="9">
                  <c:v>Solicitud Pago Único Compensatorio</c:v>
                </c:pt>
                <c:pt idx="10">
                  <c:v>Solicitud Pensión</c:v>
                </c:pt>
                <c:pt idx="11">
                  <c:v>Solicitud Re-activación/Re-inclusión Pensión</c:v>
                </c:pt>
                <c:pt idx="12">
                  <c:v>Solicitud Traspaso</c:v>
                </c:pt>
              </c:strCache>
            </c:strRef>
          </c:cat>
          <c:val>
            <c:numRef>
              <c:f>Servicios!$N$11:$N$23</c:f>
              <c:numCache>
                <c:formatCode>0.0%</c:formatCode>
                <c:ptCount val="13"/>
                <c:pt idx="0">
                  <c:v>0.88888888888888884</c:v>
                </c:pt>
                <c:pt idx="1">
                  <c:v>0.92074592074592077</c:v>
                </c:pt>
                <c:pt idx="2">
                  <c:v>0.63157894736842102</c:v>
                </c:pt>
                <c:pt idx="3">
                  <c:v>0.98979591836734693</c:v>
                </c:pt>
                <c:pt idx="4">
                  <c:v>0.99039615846338536</c:v>
                </c:pt>
                <c:pt idx="5">
                  <c:v>0.97735849056603774</c:v>
                </c:pt>
                <c:pt idx="6">
                  <c:v>0.94479094479094483</c:v>
                </c:pt>
                <c:pt idx="7">
                  <c:v>0.83333333333333337</c:v>
                </c:pt>
                <c:pt idx="8">
                  <c:v>0.94594594594594594</c:v>
                </c:pt>
                <c:pt idx="9">
                  <c:v>0.95</c:v>
                </c:pt>
                <c:pt idx="10">
                  <c:v>0.95230263157894735</c:v>
                </c:pt>
                <c:pt idx="11">
                  <c:v>0.9453125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CC-45A1-A6C8-669D4A3C4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042192"/>
        <c:axId val="1672041648"/>
      </c:lineChart>
      <c:catAx>
        <c:axId val="167205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2041104"/>
        <c:crosses val="autoZero"/>
        <c:auto val="1"/>
        <c:lblAlgn val="ctr"/>
        <c:lblOffset val="100"/>
        <c:noMultiLvlLbl val="0"/>
      </c:catAx>
      <c:valAx>
        <c:axId val="1672041104"/>
        <c:scaling>
          <c:logBase val="10"/>
          <c:orientation val="minMax"/>
          <c:max val="100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672055248"/>
        <c:crosses val="autoZero"/>
        <c:crossBetween val="between"/>
      </c:valAx>
      <c:valAx>
        <c:axId val="1672041648"/>
        <c:scaling>
          <c:orientation val="minMax"/>
          <c:max val="1"/>
          <c:min val="0.70000000000000007"/>
        </c:scaling>
        <c:delete val="0"/>
        <c:axPos val="r"/>
        <c:numFmt formatCode="0.0%" sourceLinked="1"/>
        <c:majorTickMark val="out"/>
        <c:minorTickMark val="none"/>
        <c:tickLblPos val="nextTo"/>
        <c:crossAx val="1672042192"/>
        <c:crosses val="max"/>
        <c:crossBetween val="between"/>
        <c:majorUnit val="5.000000000000001E-2"/>
      </c:valAx>
      <c:catAx>
        <c:axId val="167204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20416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1"/>
          <c:order val="0"/>
          <c:tx>
            <c:strRef>
              <c:f>Servicios!$L$10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Servicios!$B$33:$B$47</c:f>
              <c:strCache>
                <c:ptCount val="15"/>
                <c:pt idx="0">
                  <c:v>Pensión por Sobrevivencia Concubina</c:v>
                </c:pt>
                <c:pt idx="1">
                  <c:v>Pensión por Sobrevivencia Conyugue</c:v>
                </c:pt>
                <c:pt idx="2">
                  <c:v>Pension por Sobrevivencia Estudiante PN</c:v>
                </c:pt>
                <c:pt idx="3">
                  <c:v>Pensión por Sobrevivencia Menor</c:v>
                </c:pt>
                <c:pt idx="4">
                  <c:v>Pensión por Sobrevivencia Padres</c:v>
                </c:pt>
                <c:pt idx="5">
                  <c:v>Reactivacion</c:v>
                </c:pt>
                <c:pt idx="6">
                  <c:v>Reembolso - RE</c:v>
                </c:pt>
                <c:pt idx="7">
                  <c:v>Reinclusion</c:v>
                </c:pt>
                <c:pt idx="8">
                  <c:v>Retroactivo – RT</c:v>
                </c:pt>
                <c:pt idx="9">
                  <c:v>Retroactivo – RTI</c:v>
                </c:pt>
                <c:pt idx="10">
                  <c:v>Solicitud de aplicacion de Descuento ADL</c:v>
                </c:pt>
                <c:pt idx="11">
                  <c:v>Solicitud de Inclusión a Nómina</c:v>
                </c:pt>
                <c:pt idx="12">
                  <c:v>Solicitud de Suspension de Descuento SDL</c:v>
                </c:pt>
                <c:pt idx="13">
                  <c:v>Solicitud Modificación Monto Pensión</c:v>
                </c:pt>
                <c:pt idx="14">
                  <c:v>Pensión por Sobrevivencia Hijo Discapacitado PN</c:v>
                </c:pt>
              </c:strCache>
            </c:strRef>
          </c:cat>
          <c:val>
            <c:numRef>
              <c:f>Servicios!$L$33:$L$47</c:f>
              <c:numCache>
                <c:formatCode>#,##0</c:formatCode>
                <c:ptCount val="15"/>
                <c:pt idx="0">
                  <c:v>53</c:v>
                </c:pt>
                <c:pt idx="1">
                  <c:v>317</c:v>
                </c:pt>
                <c:pt idx="2">
                  <c:v>6</c:v>
                </c:pt>
                <c:pt idx="3">
                  <c:v>23</c:v>
                </c:pt>
                <c:pt idx="4">
                  <c:v>1</c:v>
                </c:pt>
                <c:pt idx="5">
                  <c:v>100</c:v>
                </c:pt>
                <c:pt idx="6">
                  <c:v>26</c:v>
                </c:pt>
                <c:pt idx="7">
                  <c:v>15</c:v>
                </c:pt>
                <c:pt idx="8">
                  <c:v>72</c:v>
                </c:pt>
                <c:pt idx="9">
                  <c:v>537</c:v>
                </c:pt>
                <c:pt idx="10">
                  <c:v>18</c:v>
                </c:pt>
                <c:pt idx="11">
                  <c:v>3944</c:v>
                </c:pt>
                <c:pt idx="12">
                  <c:v>57</c:v>
                </c:pt>
                <c:pt idx="13">
                  <c:v>616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3-4EA1-A621-3A7FC20B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2043824"/>
        <c:axId val="1672044368"/>
      </c:barChart>
      <c:catAx>
        <c:axId val="1672043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2044368"/>
        <c:crosses val="autoZero"/>
        <c:auto val="1"/>
        <c:lblAlgn val="ctr"/>
        <c:lblOffset val="100"/>
        <c:noMultiLvlLbl val="0"/>
      </c:catAx>
      <c:valAx>
        <c:axId val="1672044368"/>
        <c:scaling>
          <c:logBase val="10"/>
          <c:orientation val="minMax"/>
          <c:max val="12000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167204382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1"/>
          <c:order val="0"/>
          <c:tx>
            <c:strRef>
              <c:f>Servicios!$L$65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Servicios!$B$66:$B$69</c:f>
              <c:strCache>
                <c:ptCount val="4"/>
                <c:pt idx="0">
                  <c:v>Sobrevivencia Civil</c:v>
                </c:pt>
                <c:pt idx="1">
                  <c:v>Sobrevivencia Policía Nacional</c:v>
                </c:pt>
                <c:pt idx="2">
                  <c:v>Discapacidad Civil</c:v>
                </c:pt>
                <c:pt idx="3">
                  <c:v>Discapacidad Policía Nacional</c:v>
                </c:pt>
              </c:strCache>
            </c:strRef>
          </c:cat>
          <c:val>
            <c:numRef>
              <c:f>Servicios!$L$66:$L$69</c:f>
              <c:numCache>
                <c:formatCode>#,##0</c:formatCode>
                <c:ptCount val="4"/>
                <c:pt idx="0">
                  <c:v>20</c:v>
                </c:pt>
                <c:pt idx="1">
                  <c:v>19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E-4A05-A70D-CF127407BAED}"/>
            </c:ext>
          </c:extLst>
        </c:ser>
        <c:ser>
          <c:idx val="22"/>
          <c:order val="1"/>
          <c:tx>
            <c:strRef>
              <c:f>Servicios!$M$65</c:f>
              <c:strCache>
                <c:ptCount val="1"/>
                <c:pt idx="0">
                  <c:v>Otorgadas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Servicios!$B$66:$B$69</c:f>
              <c:strCache>
                <c:ptCount val="4"/>
                <c:pt idx="0">
                  <c:v>Sobrevivencia Civil</c:v>
                </c:pt>
                <c:pt idx="1">
                  <c:v>Sobrevivencia Policía Nacional</c:v>
                </c:pt>
                <c:pt idx="2">
                  <c:v>Discapacidad Civil</c:v>
                </c:pt>
                <c:pt idx="3">
                  <c:v>Discapacidad Policía Nacional</c:v>
                </c:pt>
              </c:strCache>
            </c:strRef>
          </c:cat>
          <c:val>
            <c:numRef>
              <c:f>Servicios!$M$66:$M$69</c:f>
              <c:numCache>
                <c:formatCode>#,##0</c:formatCode>
                <c:ptCount val="4"/>
                <c:pt idx="0">
                  <c:v>23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E-4A05-A70D-CF127407B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2055248"/>
        <c:axId val="1672041104"/>
      </c:barChart>
      <c:catAx>
        <c:axId val="167205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2041104"/>
        <c:crosses val="autoZero"/>
        <c:auto val="1"/>
        <c:lblAlgn val="ctr"/>
        <c:lblOffset val="100"/>
        <c:noMultiLvlLbl val="0"/>
      </c:catAx>
      <c:valAx>
        <c:axId val="1672041104"/>
        <c:scaling>
          <c:orientation val="minMax"/>
          <c:max val="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6720552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61211035074938"/>
          <c:y val="3.4863870221580044E-2"/>
          <c:w val="0.78893118039654453"/>
          <c:h val="0.65586379419781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'Afiliados y Cotizantes'!$B$6</c:f>
              <c:strCache>
                <c:ptCount val="1"/>
                <c:pt idx="0">
                  <c:v>Afiliados al Sistema de Reparto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2.3665036994507917E-17"/>
                  <c:y val="0.2225013660299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5C-4406-B71E-65516B4B4A9D}"/>
                </c:ext>
              </c:extLst>
            </c:dLbl>
            <c:dLbl>
              <c:idx val="1"/>
              <c:layout>
                <c:manualLayout>
                  <c:x val="2.5816702227310574E-3"/>
                  <c:y val="0.47233406426224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5C-4406-B71E-65516B4B4A9D}"/>
                </c:ext>
              </c:extLst>
            </c:dLbl>
            <c:dLbl>
              <c:idx val="2"/>
              <c:layout>
                <c:manualLayout>
                  <c:x val="-5.1633404454622094E-3"/>
                  <c:y val="0.478160265843433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5C-4406-B71E-65516B4B4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'Afiliados y Cotizantes'!$A$7:$A$9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'Afiliados y Cotizantes'!$B$7:$B$9</c:f>
              <c:numCache>
                <c:formatCode>#,##0</c:formatCode>
                <c:ptCount val="3"/>
                <c:pt idx="0">
                  <c:v>93004</c:v>
                </c:pt>
                <c:pt idx="1">
                  <c:v>92035</c:v>
                </c:pt>
                <c:pt idx="2">
                  <c:v>92497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5C-4406-B71E-65516B4B4A9D}"/>
            </c:ext>
          </c:extLst>
        </c:ser>
        <c:ser>
          <c:idx val="1"/>
          <c:order val="1"/>
          <c:tx>
            <c:v>No Cotizantes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633404454621149E-3"/>
                  <c:y val="0.393979007543447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5C-4406-B71E-65516B4B4A9D}"/>
                </c:ext>
              </c:extLst>
            </c:dLbl>
            <c:dLbl>
              <c:idx val="1"/>
              <c:layout>
                <c:manualLayout>
                  <c:x val="2.5816702227310574E-3"/>
                  <c:y val="0.39403018411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5C-4406-B71E-65516B4B4A9D}"/>
                </c:ext>
              </c:extLst>
            </c:dLbl>
            <c:dLbl>
              <c:idx val="2"/>
              <c:layout>
                <c:manualLayout>
                  <c:x val="-2.5816702227310574E-3"/>
                  <c:y val="0.393799647736819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5C-4406-B71E-65516B4B4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'Afiliados y Cotizantes'!$A$7:$A$9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'Afiliados y Cotizantes'!$E$7:$E$9</c:f>
              <c:numCache>
                <c:formatCode>#,##0</c:formatCode>
                <c:ptCount val="3"/>
                <c:pt idx="0">
                  <c:v>66816</c:v>
                </c:pt>
                <c:pt idx="1">
                  <c:v>66611</c:v>
                </c:pt>
                <c:pt idx="2">
                  <c:v>65890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5C-4406-B71E-65516B4B4A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67770560"/>
        <c:axId val="1667758048"/>
      </c:barChart>
      <c:lineChart>
        <c:grouping val="standard"/>
        <c:varyColors val="0"/>
        <c:ser>
          <c:idx val="2"/>
          <c:order val="2"/>
          <c:tx>
            <c:strRef>
              <c:f>'Afiliados y Cotizantes'!$F$6</c:f>
              <c:strCache>
                <c:ptCount val="1"/>
                <c:pt idx="0">
                  <c:v>% No Cotizantes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7.7450106681931728E-3"/>
                  <c:y val="-0.121616463706442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5C-4406-B71E-65516B4B4A9D}"/>
                </c:ext>
              </c:extLst>
            </c:dLbl>
            <c:dLbl>
              <c:idx val="1"/>
              <c:layout>
                <c:manualLayout>
                  <c:x val="-6.9705096013738546E-2"/>
                  <c:y val="-0.136842629316782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5C-4406-B71E-65516B4B4A9D}"/>
                </c:ext>
              </c:extLst>
            </c:dLbl>
            <c:dLbl>
              <c:idx val="2"/>
              <c:layout>
                <c:manualLayout>
                  <c:x val="-4.3888393786427976E-2"/>
                  <c:y val="-0.102999609984574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5C-4406-B71E-65516B4B4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'Afiliados y Cotizantes'!$A$7:$A$9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'Afiliados y Cotizantes'!$F$7:$F$9</c:f>
              <c:numCache>
                <c:formatCode>0.00%</c:formatCode>
                <c:ptCount val="3"/>
                <c:pt idx="0">
                  <c:v>0.71842071308760913</c:v>
                </c:pt>
                <c:pt idx="1">
                  <c:v>0.72375726625740211</c:v>
                </c:pt>
                <c:pt idx="2">
                  <c:v>0.7123474274841346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75C-4406-B71E-65516B4B4A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67766752"/>
        <c:axId val="1667762944"/>
      </c:lineChart>
      <c:catAx>
        <c:axId val="166777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7758048"/>
        <c:crosses val="autoZero"/>
        <c:auto val="1"/>
        <c:lblAlgn val="ctr"/>
        <c:lblOffset val="100"/>
        <c:noMultiLvlLbl val="0"/>
      </c:catAx>
      <c:valAx>
        <c:axId val="16677580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667770560"/>
        <c:crosses val="autoZero"/>
        <c:crossBetween val="between"/>
      </c:valAx>
      <c:valAx>
        <c:axId val="166776294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667766752"/>
        <c:crosses val="max"/>
        <c:crossBetween val="between"/>
      </c:valAx>
      <c:catAx>
        <c:axId val="166776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77629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 sz="1100">
                <a:solidFill>
                  <a:schemeClr val="accent1"/>
                </a:solidFill>
              </a:rPr>
              <a:t>Porcentaje de Cotizantes</a:t>
            </a:r>
            <a:r>
              <a:rPr lang="es-ES" sz="1100" baseline="0">
                <a:solidFill>
                  <a:schemeClr val="accent1"/>
                </a:solidFill>
              </a:rPr>
              <a:t> y No Cotizantes</a:t>
            </a:r>
            <a:endParaRPr lang="es-ES" sz="1100">
              <a:solidFill>
                <a:schemeClr val="accent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EA7-43FD-B304-646A53AEE0F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EA7-43FD-B304-646A53AEE0FB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7-43FD-B304-646A53AEE0FB}"/>
                </c:ext>
              </c:extLst>
            </c:dLbl>
            <c:dLbl>
              <c:idx val="1"/>
              <c:layout>
                <c:manualLayout>
                  <c:x val="0.21927088801399824"/>
                  <c:y val="-0.2268121172353455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5822397200349"/>
                      <c:h val="0.126898148148148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EA7-43FD-B304-646A53AEE0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('Afiliados y Cotizantes'!$D$6,'Afiliados y Cotizantes'!$F$6)</c:f>
              <c:strCache>
                <c:ptCount val="2"/>
                <c:pt idx="0">
                  <c:v>% Cotizantes</c:v>
                </c:pt>
                <c:pt idx="1">
                  <c:v>% No Cotizantes</c:v>
                </c:pt>
              </c:strCache>
            </c:strRef>
          </c:cat>
          <c:val>
            <c:numRef>
              <c:f>('Afiliados y Cotizantes'!$D$10,'Afiliados y Cotizantes'!$F$10)</c:f>
              <c:numCache>
                <c:formatCode>0.00%</c:formatCode>
                <c:ptCount val="2"/>
                <c:pt idx="0">
                  <c:v>0.28183370805949498</c:v>
                </c:pt>
                <c:pt idx="1">
                  <c:v>0.71816629194050496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7-43FD-B304-646A53AEE0F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accent1"/>
                </a:solidFill>
              </a:rPr>
              <a:t>Afiliados Policia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'Afiliados y Cotizantes'!$G$6</c:f>
              <c:strCache>
                <c:ptCount val="1"/>
                <c:pt idx="0">
                  <c:v>Afiliados Policia Nacional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'Afiliados y Cotizantes'!$A$7:$A$9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'Afiliados y Cotizantes'!$G$7:$G$9</c:f>
              <c:numCache>
                <c:formatCode>#,##0</c:formatCode>
                <c:ptCount val="3"/>
                <c:pt idx="0">
                  <c:v>59837</c:v>
                </c:pt>
                <c:pt idx="1">
                  <c:v>59627</c:v>
                </c:pt>
                <c:pt idx="2">
                  <c:v>58655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C-4C5D-AA0A-07EE66F30F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09055728"/>
        <c:axId val="509058352"/>
      </c:barChart>
      <c:catAx>
        <c:axId val="50905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9058352"/>
        <c:crosses val="autoZero"/>
        <c:auto val="1"/>
        <c:lblAlgn val="ctr"/>
        <c:lblOffset val="100"/>
        <c:noMultiLvlLbl val="0"/>
      </c:catAx>
      <c:valAx>
        <c:axId val="5090583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0905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8018372703412"/>
          <c:y val="3.5109750841474434E-2"/>
          <c:w val="0.6891789151356080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Cotizantes!$B$7</c:f>
              <c:strCache>
                <c:ptCount val="1"/>
                <c:pt idx="0">
                  <c:v>Público 
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7771099146605784E-3"/>
                  <c:y val="0.21687019593026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C0-431D-A784-ADE8732008D2}"/>
                </c:ext>
              </c:extLst>
            </c:dLbl>
            <c:dLbl>
              <c:idx val="1"/>
              <c:layout>
                <c:manualLayout>
                  <c:x val="-2.7770361414853994E-3"/>
                  <c:y val="0.233135460625038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C0-431D-A784-ADE8732008D2}"/>
                </c:ext>
              </c:extLst>
            </c:dLbl>
            <c:dLbl>
              <c:idx val="2"/>
              <c:layout>
                <c:manualLayout>
                  <c:x val="2.7770361414853994E-3"/>
                  <c:y val="0.22229195082852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C0-431D-A784-ADE873200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Cotizantes!$A$8:$A$10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Cotizantes!$B$8:$B$10</c:f>
              <c:numCache>
                <c:formatCode>#,##0</c:formatCode>
                <c:ptCount val="3"/>
                <c:pt idx="0">
                  <c:v>21212</c:v>
                </c:pt>
                <c:pt idx="1">
                  <c:v>20593</c:v>
                </c:pt>
                <c:pt idx="2">
                  <c:v>21551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B-4152-BDE9-0C66FFE1287D}"/>
            </c:ext>
          </c:extLst>
        </c:ser>
        <c:ser>
          <c:idx val="1"/>
          <c:order val="1"/>
          <c:tx>
            <c:strRef>
              <c:f>Cotizantes!$C$7</c:f>
              <c:strCache>
                <c:ptCount val="1"/>
                <c:pt idx="0">
                  <c:v>Privado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Cotizantes!$A$8:$A$10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Cotizantes!$C$8:$C$10</c:f>
              <c:numCache>
                <c:formatCode>#,##0</c:formatCode>
                <c:ptCount val="3"/>
                <c:pt idx="0">
                  <c:v>5081</c:v>
                </c:pt>
                <c:pt idx="1">
                  <c:v>4831</c:v>
                </c:pt>
                <c:pt idx="2">
                  <c:v>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B-4152-BDE9-0C66FFE12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763488"/>
        <c:axId val="1667764032"/>
      </c:barChart>
      <c:catAx>
        <c:axId val="166776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7764032"/>
        <c:crosses val="autoZero"/>
        <c:auto val="1"/>
        <c:lblAlgn val="ctr"/>
        <c:lblOffset val="100"/>
        <c:noMultiLvlLbl val="0"/>
      </c:catAx>
      <c:valAx>
        <c:axId val="1667764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67763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12576552930884"/>
          <c:y val="0.41853966170895307"/>
          <c:w val="0.14242979002624673"/>
          <c:h val="0.1674343832020997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 sz="1100">
                <a:solidFill>
                  <a:schemeClr val="accent1"/>
                </a:solidFill>
              </a:rPr>
              <a:t>Porcentaje</a:t>
            </a:r>
            <a:r>
              <a:rPr lang="es-ES" sz="1100" baseline="0">
                <a:solidFill>
                  <a:schemeClr val="accent1"/>
                </a:solidFill>
              </a:rPr>
              <a:t> Cotizantes por Tipo de Empleador</a:t>
            </a:r>
            <a:endParaRPr lang="es-ES" sz="1100">
              <a:solidFill>
                <a:schemeClr val="accent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explosion val="21"/>
          <c:dPt>
            <c:idx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FC0-4626-8946-C199BABBAAC4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FC0-4626-8946-C199BABBAAC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E83FA5F-D0AB-48CE-96D6-99FDB27CB41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20B6CD3-A00D-42C3-9725-57F7CEEDB32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C0-4626-8946-C199BABBAAC4}"/>
                </c:ext>
              </c:extLst>
            </c:dLbl>
            <c:dLbl>
              <c:idx val="1"/>
              <c:layout>
                <c:manualLayout>
                  <c:x val="0.11996024068101704"/>
                  <c:y val="0.105161649465344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C0-4626-8946-C199BABBAA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Cotizantes!$E$7:$F$7</c:f>
              <c:strCache>
                <c:ptCount val="2"/>
                <c:pt idx="0">
                  <c:v>% Público</c:v>
                </c:pt>
                <c:pt idx="1">
                  <c:v>% Privado</c:v>
                </c:pt>
              </c:strCache>
            </c:strRef>
          </c:cat>
          <c:val>
            <c:numRef>
              <c:f>Cotizantes!$E$11:$F$11</c:f>
              <c:numCache>
                <c:formatCode>0%</c:formatCode>
                <c:ptCount val="2"/>
                <c:pt idx="0">
                  <c:v>0.80890405390039011</c:v>
                </c:pt>
                <c:pt idx="1">
                  <c:v>0.19109594609960992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0-4626-8946-C199BABB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Empleador!$B$7</c:f>
              <c:strCache>
                <c:ptCount val="1"/>
                <c:pt idx="0">
                  <c:v>Público (RD$)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Empleador!$A$8:$A$10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Empleador!$B$8:$B$10</c:f>
              <c:numCache>
                <c:formatCode>#,##0.00</c:formatCode>
                <c:ptCount val="3"/>
                <c:pt idx="0">
                  <c:v>85536495.430000007</c:v>
                </c:pt>
                <c:pt idx="1">
                  <c:v>83109585.859999999</c:v>
                </c:pt>
                <c:pt idx="2">
                  <c:v>88601830.129999995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4-4074-BEFF-2DE0A00E38F1}"/>
            </c:ext>
          </c:extLst>
        </c:ser>
        <c:ser>
          <c:idx val="1"/>
          <c:order val="1"/>
          <c:tx>
            <c:strRef>
              <c:f>Empleador!$C$7</c:f>
              <c:strCache>
                <c:ptCount val="1"/>
                <c:pt idx="0">
                  <c:v>Privado (RD$)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20766864871802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38-4061-9CFB-E05ABCE275A3}"/>
                </c:ext>
              </c:extLst>
            </c:dLbl>
            <c:dLbl>
              <c:idx val="1"/>
              <c:layout>
                <c:manualLayout>
                  <c:x val="3.8491316270104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38-4061-9CFB-E05ABCE275A3}"/>
                </c:ext>
              </c:extLst>
            </c:dLbl>
            <c:dLbl>
              <c:idx val="2"/>
              <c:layout>
                <c:manualLayout>
                  <c:x val="3.5171502631453108E-3"/>
                  <c:y val="2.34053308339563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93191724743438"/>
                      <c:h val="0.12174141980054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F4B-423A-9D8D-AF7B1DB20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Empleador!$A$8:$A$10</c:f>
              <c:strCache>
                <c:ptCount val="3"/>
                <c:pt idx="0">
                  <c:v>Diciembre</c:v>
                </c:pt>
                <c:pt idx="1">
                  <c:v>Noviembre </c:v>
                </c:pt>
                <c:pt idx="2">
                  <c:v>Octubre</c:v>
                </c:pt>
              </c:strCache>
            </c:strRef>
          </c:cat>
          <c:val>
            <c:numRef>
              <c:f>Empleador!$C$8:$C$10</c:f>
              <c:numCache>
                <c:formatCode>#,##0.00</c:formatCode>
                <c:ptCount val="3"/>
                <c:pt idx="0">
                  <c:v>11664067.560000001</c:v>
                </c:pt>
                <c:pt idx="1">
                  <c:v>11333125.34</c:v>
                </c:pt>
                <c:pt idx="2">
                  <c:v>12082067.74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4-4074-BEFF-2DE0A00E38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67757504"/>
        <c:axId val="1667761312"/>
      </c:barChart>
      <c:catAx>
        <c:axId val="1667757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7761312"/>
        <c:crosses val="autoZero"/>
        <c:auto val="1"/>
        <c:lblAlgn val="ctr"/>
        <c:lblOffset val="100"/>
        <c:noMultiLvlLbl val="0"/>
      </c:catAx>
      <c:valAx>
        <c:axId val="1667761312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16677575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accent1"/>
                </a:solidFill>
              </a:rPr>
              <a:t>Porcentaje Monto Total</a:t>
            </a:r>
            <a:r>
              <a:rPr lang="en-US" sz="1100" b="1" baseline="0">
                <a:solidFill>
                  <a:schemeClr val="accent1"/>
                </a:solidFill>
              </a:rPr>
              <a:t> Individualizado por Tipo de Empleador</a:t>
            </a:r>
            <a:endParaRPr lang="en-US" sz="1100" b="1">
              <a:solidFill>
                <a:schemeClr val="accent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7F0-4060-96BC-C2830A8E27F4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7F0-4060-96BC-C2830A8E27F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1E0124BD-4345-4E4A-B14D-12CA58C6987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7F0-4060-96BC-C2830A8E27F4}"/>
                </c:ext>
              </c:extLst>
            </c:dLbl>
            <c:dLbl>
              <c:idx val="1"/>
              <c:layout>
                <c:manualLayout>
                  <c:x val="7.4119001557259923E-2"/>
                  <c:y val="9.94286855606828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9808AA45-761B-4E95-9508-60574774486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F0-4060-96BC-C2830A8E27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Empleador!$B$7:$C$7</c:f>
              <c:strCache>
                <c:ptCount val="2"/>
                <c:pt idx="0">
                  <c:v>Público (RD$)</c:v>
                </c:pt>
                <c:pt idx="1">
                  <c:v>Privado (RD$)</c:v>
                </c:pt>
              </c:strCache>
            </c:strRef>
          </c:cat>
          <c:val>
            <c:numRef>
              <c:f>Empleador!$B$25:$C$25</c:f>
              <c:numCache>
                <c:formatCode>0%</c:formatCode>
                <c:ptCount val="2"/>
                <c:pt idx="0">
                  <c:v>0.88000000002462997</c:v>
                </c:pt>
                <c:pt idx="1">
                  <c:v>0.11999999997537006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F0-4060-96BC-C2830A8E27F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1.png"/><Relationship Id="rId1" Type="http://schemas.openxmlformats.org/officeDocument/2006/relationships/chart" Target="../charts/chart19.xml"/><Relationship Id="rId4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28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8.xml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4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644769</xdr:colOff>
      <xdr:row>35</xdr:row>
      <xdr:rowOff>153866</xdr:rowOff>
    </xdr:from>
    <xdr:to>
      <xdr:col>5</xdr:col>
      <xdr:colOff>223471</xdr:colOff>
      <xdr:row>52</xdr:row>
      <xdr:rowOff>21982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154372</xdr:colOff>
      <xdr:row>1</xdr:row>
      <xdr:rowOff>43961</xdr:rowOff>
    </xdr:from>
    <xdr:to>
      <xdr:col>1</xdr:col>
      <xdr:colOff>131884</xdr:colOff>
      <xdr:row>3</xdr:row>
      <xdr:rowOff>146235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72" y="234461"/>
          <a:ext cx="761493" cy="483274"/>
        </a:xfrm>
        <a:prstGeom prst="rect">
          <a:avLst/>
        </a:prstGeom>
      </xdr:spPr>
    </xdr:pic>
    <xdr:clientData/>
  </xdr:twoCellAnchor>
  <xdr:twoCellAnchor editAs="oneCell">
    <xdr:from>
      <xdr:col>3</xdr:col>
      <xdr:colOff>570597</xdr:colOff>
      <xdr:row>0</xdr:row>
      <xdr:rowOff>190499</xdr:rowOff>
    </xdr:from>
    <xdr:to>
      <xdr:col>6</xdr:col>
      <xdr:colOff>370115</xdr:colOff>
      <xdr:row>4</xdr:row>
      <xdr:rowOff>36634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866" y="190499"/>
          <a:ext cx="2327307" cy="608135"/>
        </a:xfrm>
        <a:prstGeom prst="rect">
          <a:avLst/>
        </a:prstGeom>
      </xdr:spPr>
    </xdr:pic>
    <xdr:clientData/>
  </xdr:twoCellAnchor>
  <xdr:twoCellAnchor>
    <xdr:from>
      <xdr:col>2</xdr:col>
      <xdr:colOff>227135</xdr:colOff>
      <xdr:row>34</xdr:row>
      <xdr:rowOff>43961</xdr:rowOff>
    </xdr:from>
    <xdr:to>
      <xdr:col>4</xdr:col>
      <xdr:colOff>219808</xdr:colOff>
      <xdr:row>36</xdr:row>
      <xdr:rowOff>102576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505F560-0670-97A6-6B39-0A52AC835241}"/>
            </a:ext>
          </a:extLst>
        </xdr:cNvPr>
        <xdr:cNvSpPr txBox="1"/>
      </xdr:nvSpPr>
      <xdr:spPr>
        <a:xfrm>
          <a:off x="2036885" y="3055326"/>
          <a:ext cx="1685192" cy="439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Programado vs Ejecutado</a:t>
          </a:r>
          <a:endParaRPr lang="es-DO">
            <a:solidFill>
              <a:schemeClr val="accent1"/>
            </a:solidFill>
            <a:effectLst/>
          </a:endParaRPr>
        </a:p>
        <a:p>
          <a:endParaRPr lang="es-DO" sz="1100">
            <a:solidFill>
              <a:schemeClr val="accent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153056</xdr:colOff>
      <xdr:row>30</xdr:row>
      <xdr:rowOff>42243</xdr:rowOff>
    </xdr:from>
    <xdr:to>
      <xdr:col>6</xdr:col>
      <xdr:colOff>17807</xdr:colOff>
      <xdr:row>42</xdr:row>
      <xdr:rowOff>67089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98425</xdr:colOff>
      <xdr:row>44</xdr:row>
      <xdr:rowOff>137386</xdr:rowOff>
    </xdr:from>
    <xdr:to>
      <xdr:col>6</xdr:col>
      <xdr:colOff>482622</xdr:colOff>
      <xdr:row>56</xdr:row>
      <xdr:rowOff>60187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455544</xdr:colOff>
      <xdr:row>31</xdr:row>
      <xdr:rowOff>37272</xdr:rowOff>
    </xdr:from>
    <xdr:to>
      <xdr:col>12</xdr:col>
      <xdr:colOff>463827</xdr:colOff>
      <xdr:row>43</xdr:row>
      <xdr:rowOff>49696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431109</xdr:colOff>
      <xdr:row>43</xdr:row>
      <xdr:rowOff>113089</xdr:rowOff>
    </xdr:from>
    <xdr:to>
      <xdr:col>3</xdr:col>
      <xdr:colOff>630637</xdr:colOff>
      <xdr:row>44</xdr:row>
      <xdr:rowOff>132139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983684" y="5389939"/>
          <a:ext cx="961528" cy="209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>
              <a:solidFill>
                <a:schemeClr val="accent5">
                  <a:lumMod val="75000"/>
                </a:schemeClr>
              </a:solidFill>
            </a:rPr>
            <a:t>Pensiones</a:t>
          </a:r>
        </a:p>
      </xdr:txBody>
    </xdr:sp>
    <xdr:clientData/>
  </xdr:twoCellAnchor>
  <xdr:twoCellAnchor>
    <xdr:from>
      <xdr:col>6</xdr:col>
      <xdr:colOff>542299</xdr:colOff>
      <xdr:row>30</xdr:row>
      <xdr:rowOff>4141</xdr:rowOff>
    </xdr:from>
    <xdr:to>
      <xdr:col>12</xdr:col>
      <xdr:colOff>324932</xdr:colOff>
      <xdr:row>30</xdr:row>
      <xdr:rowOff>58353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7681908" y="2994163"/>
          <a:ext cx="2060350" cy="5421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100" b="1">
              <a:solidFill>
                <a:schemeClr val="accent5">
                  <a:lumMod val="75000"/>
                </a:schemeClr>
              </a:solidFill>
            </a:rPr>
            <a:t>Monto</a:t>
          </a:r>
        </a:p>
      </xdr:txBody>
    </xdr:sp>
    <xdr:clientData/>
  </xdr:twoCellAnchor>
  <xdr:twoCellAnchor editAs="oneCell">
    <xdr:from>
      <xdr:col>2</xdr:col>
      <xdr:colOff>446942</xdr:colOff>
      <xdr:row>1</xdr:row>
      <xdr:rowOff>36635</xdr:rowOff>
    </xdr:from>
    <xdr:to>
      <xdr:col>3</xdr:col>
      <xdr:colOff>667472</xdr:colOff>
      <xdr:row>4</xdr:row>
      <xdr:rowOff>87923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54115" y="227135"/>
          <a:ext cx="989857" cy="622788"/>
        </a:xfrm>
        <a:prstGeom prst="rect">
          <a:avLst/>
        </a:prstGeom>
      </xdr:spPr>
    </xdr:pic>
    <xdr:clientData/>
  </xdr:twoCellAnchor>
  <xdr:twoCellAnchor editAs="oneCell">
    <xdr:from>
      <xdr:col>9</xdr:col>
      <xdr:colOff>140805</xdr:colOff>
      <xdr:row>0</xdr:row>
      <xdr:rowOff>124240</xdr:rowOff>
    </xdr:from>
    <xdr:to>
      <xdr:col>11</xdr:col>
      <xdr:colOff>520755</xdr:colOff>
      <xdr:row>3</xdr:row>
      <xdr:rowOff>110678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5870" y="124240"/>
          <a:ext cx="2246436" cy="557938"/>
        </a:xfrm>
        <a:prstGeom prst="rect">
          <a:avLst/>
        </a:prstGeom>
      </xdr:spPr>
    </xdr:pic>
    <xdr:clientData/>
  </xdr:twoCellAnchor>
  <xdr:twoCellAnchor>
    <xdr:from>
      <xdr:col>6</xdr:col>
      <xdr:colOff>609600</xdr:colOff>
      <xdr:row>44</xdr:row>
      <xdr:rowOff>109537</xdr:rowOff>
    </xdr:from>
    <xdr:to>
      <xdr:col>12</xdr:col>
      <xdr:colOff>438150</xdr:colOff>
      <xdr:row>58</xdr:row>
      <xdr:rowOff>185737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42BF6BF-17CA-41F1-AC5B-7C97748AD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0.30281</cdr:x>
      <cdr:y>0</cdr:y>
    </cdr:from>
    <cdr:to>
      <cdr:x>0.71115</cdr:x>
      <cdr:y>0.09722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31919" y="0"/>
          <a:ext cx="2200646" cy="253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100" b="1">
              <a:solidFill>
                <a:schemeClr val="accent5">
                  <a:lumMod val="75000"/>
                </a:schemeClr>
              </a:solidFill>
            </a:rPr>
            <a:t>Pensionados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115639</xdr:colOff>
      <xdr:row>0</xdr:row>
      <xdr:rowOff>177439</xdr:rowOff>
    </xdr:from>
    <xdr:to>
      <xdr:col>2</xdr:col>
      <xdr:colOff>390166</xdr:colOff>
      <xdr:row>4</xdr:row>
      <xdr:rowOff>38227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E942B9E2-F9D1-4E35-8E7F-20E9BC515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617" y="177439"/>
          <a:ext cx="986830" cy="622788"/>
        </a:xfrm>
        <a:prstGeom prst="rect">
          <a:avLst/>
        </a:prstGeom>
      </xdr:spPr>
    </xdr:pic>
    <xdr:clientData/>
  </xdr:twoCellAnchor>
  <xdr:twoCellAnchor editAs="oneCell">
    <xdr:from>
      <xdr:col>13</xdr:col>
      <xdr:colOff>969894</xdr:colOff>
      <xdr:row>0</xdr:row>
      <xdr:rowOff>175177</xdr:rowOff>
    </xdr:from>
    <xdr:to>
      <xdr:col>16</xdr:col>
      <xdr:colOff>315641</xdr:colOff>
      <xdr:row>3</xdr:row>
      <xdr:rowOff>161615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F0EDD90A-9281-44E9-A447-233166329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0720" y="175177"/>
          <a:ext cx="2261226" cy="557938"/>
        </a:xfrm>
        <a:prstGeom prst="rect">
          <a:avLst/>
        </a:prstGeom>
      </xdr:spPr>
    </xdr:pic>
    <xdr:clientData/>
  </xdr:twoCellAnchor>
  <xdr:twoCellAnchor>
    <xdr:from>
      <xdr:col>2</xdr:col>
      <xdr:colOff>23594</xdr:colOff>
      <xdr:row>13</xdr:row>
      <xdr:rowOff>172726</xdr:rowOff>
    </xdr:from>
    <xdr:to>
      <xdr:col>12</xdr:col>
      <xdr:colOff>198781</xdr:colOff>
      <xdr:row>26</xdr:row>
      <xdr:rowOff>149087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89759A0-5C3E-1BAD-FEDD-D69933DC8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248089</xdr:colOff>
      <xdr:row>30</xdr:row>
      <xdr:rowOff>105815</xdr:rowOff>
    </xdr:from>
    <xdr:to>
      <xdr:col>12</xdr:col>
      <xdr:colOff>886240</xdr:colOff>
      <xdr:row>45</xdr:row>
      <xdr:rowOff>99392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608E5EA0-87A6-489D-A102-39C905707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674077</xdr:colOff>
      <xdr:row>2</xdr:row>
      <xdr:rowOff>0</xdr:rowOff>
    </xdr:from>
    <xdr:to>
      <xdr:col>3</xdr:col>
      <xdr:colOff>770050</xdr:colOff>
      <xdr:row>5</xdr:row>
      <xdr:rowOff>51288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303029-753E-46CF-9AE6-8340C7F23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1427" y="381000"/>
          <a:ext cx="991323" cy="622788"/>
        </a:xfrm>
        <a:prstGeom prst="rect">
          <a:avLst/>
        </a:prstGeom>
      </xdr:spPr>
    </xdr:pic>
    <xdr:clientData/>
  </xdr:twoCellAnchor>
  <xdr:twoCellAnchor>
    <xdr:from>
      <xdr:col>0</xdr:col>
      <xdr:colOff>82827</xdr:colOff>
      <xdr:row>29</xdr:row>
      <xdr:rowOff>92489</xdr:rowOff>
    </xdr:from>
    <xdr:to>
      <xdr:col>6</xdr:col>
      <xdr:colOff>182217</xdr:colOff>
      <xdr:row>44</xdr:row>
      <xdr:rowOff>99391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B882A147-3351-46DD-B052-100241B5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865187</xdr:colOff>
      <xdr:row>1</xdr:row>
      <xdr:rowOff>119062</xdr:rowOff>
    </xdr:from>
    <xdr:to>
      <xdr:col>13</xdr:col>
      <xdr:colOff>420811</xdr:colOff>
      <xdr:row>4</xdr:row>
      <xdr:rowOff>105500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2132418-C961-4545-82D6-330F26F77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5337" y="309562"/>
          <a:ext cx="2241674" cy="557938"/>
        </a:xfrm>
        <a:prstGeom prst="rect">
          <a:avLst/>
        </a:prstGeom>
      </xdr:spPr>
    </xdr:pic>
    <xdr:clientData/>
  </xdr:twoCellAnchor>
  <xdr:twoCellAnchor>
    <xdr:from>
      <xdr:col>9</xdr:col>
      <xdr:colOff>438978</xdr:colOff>
      <xdr:row>28</xdr:row>
      <xdr:rowOff>182217</xdr:rowOff>
    </xdr:from>
    <xdr:to>
      <xdr:col>10</xdr:col>
      <xdr:colOff>397565</xdr:colOff>
      <xdr:row>30</xdr:row>
      <xdr:rowOff>41413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8587D218-959D-45F1-8620-EDEFAA76CF39}"/>
            </a:ext>
          </a:extLst>
        </xdr:cNvPr>
        <xdr:cNvSpPr txBox="1"/>
      </xdr:nvSpPr>
      <xdr:spPr>
        <a:xfrm>
          <a:off x="8363778" y="5468592"/>
          <a:ext cx="853937" cy="2401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>
              <a:solidFill>
                <a:schemeClr val="tx2">
                  <a:lumMod val="60000"/>
                  <a:lumOff val="40000"/>
                </a:schemeClr>
              </a:solidFill>
            </a:rPr>
            <a:t>PENSIONES</a:t>
          </a:r>
        </a:p>
      </xdr:txBody>
    </xdr:sp>
    <xdr:clientData/>
  </xdr:twoCellAnchor>
  <xdr:twoCellAnchor>
    <xdr:from>
      <xdr:col>2</xdr:col>
      <xdr:colOff>434009</xdr:colOff>
      <xdr:row>28</xdr:row>
      <xdr:rowOff>36444</xdr:rowOff>
    </xdr:from>
    <xdr:to>
      <xdr:col>3</xdr:col>
      <xdr:colOff>273328</xdr:colOff>
      <xdr:row>29</xdr:row>
      <xdr:rowOff>86140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A921A9C9-820E-4CAF-854C-39006CD45DCB}"/>
            </a:ext>
          </a:extLst>
        </xdr:cNvPr>
        <xdr:cNvSpPr txBox="1"/>
      </xdr:nvSpPr>
      <xdr:spPr>
        <a:xfrm>
          <a:off x="2091359" y="5322819"/>
          <a:ext cx="734669" cy="2401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>
              <a:solidFill>
                <a:schemeClr val="tx2">
                  <a:lumMod val="60000"/>
                  <a:lumOff val="40000"/>
                </a:schemeClr>
              </a:solidFill>
            </a:rPr>
            <a:t>MONTO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109904</xdr:colOff>
      <xdr:row>1</xdr:row>
      <xdr:rowOff>73270</xdr:rowOff>
    </xdr:from>
    <xdr:to>
      <xdr:col>4</xdr:col>
      <xdr:colOff>520935</xdr:colOff>
      <xdr:row>4</xdr:row>
      <xdr:rowOff>124558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289" y="263770"/>
          <a:ext cx="989857" cy="622788"/>
        </a:xfrm>
        <a:prstGeom prst="rect">
          <a:avLst/>
        </a:prstGeom>
      </xdr:spPr>
    </xdr:pic>
    <xdr:clientData/>
  </xdr:twoCellAnchor>
  <xdr:twoCellAnchor>
    <xdr:from>
      <xdr:col>4</xdr:col>
      <xdr:colOff>383054</xdr:colOff>
      <xdr:row>33</xdr:row>
      <xdr:rowOff>112058</xdr:rowOff>
    </xdr:from>
    <xdr:to>
      <xdr:col>9</xdr:col>
      <xdr:colOff>476810</xdr:colOff>
      <xdr:row>49</xdr:row>
      <xdr:rowOff>43141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476250</xdr:colOff>
      <xdr:row>1</xdr:row>
      <xdr:rowOff>38100</xdr:rowOff>
    </xdr:from>
    <xdr:to>
      <xdr:col>14</xdr:col>
      <xdr:colOff>474786</xdr:colOff>
      <xdr:row>4</xdr:row>
      <xdr:rowOff>24538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228600"/>
          <a:ext cx="2246436" cy="55793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139054</xdr:colOff>
      <xdr:row>32</xdr:row>
      <xdr:rowOff>123627</xdr:rowOff>
    </xdr:from>
    <xdr:to>
      <xdr:col>12</xdr:col>
      <xdr:colOff>116541</xdr:colOff>
      <xdr:row>47</xdr:row>
      <xdr:rowOff>98050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170245</xdr:colOff>
      <xdr:row>30</xdr:row>
      <xdr:rowOff>108315</xdr:rowOff>
    </xdr:from>
    <xdr:to>
      <xdr:col>10</xdr:col>
      <xdr:colOff>637021</xdr:colOff>
      <xdr:row>31</xdr:row>
      <xdr:rowOff>181584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665670" y="3280140"/>
          <a:ext cx="3743376" cy="2637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>
              <a:solidFill>
                <a:schemeClr val="tx2">
                  <a:lumMod val="60000"/>
                  <a:lumOff val="40000"/>
                </a:schemeClr>
              </a:solidFill>
            </a:rPr>
            <a:t>Pago de Retroactivos</a:t>
          </a:r>
        </a:p>
      </xdr:txBody>
    </xdr:sp>
    <xdr:clientData/>
  </xdr:twoCellAnchor>
  <xdr:twoCellAnchor editAs="oneCell">
    <xdr:from>
      <xdr:col>2</xdr:col>
      <xdr:colOff>203688</xdr:colOff>
      <xdr:row>1</xdr:row>
      <xdr:rowOff>27842</xdr:rowOff>
    </xdr:from>
    <xdr:to>
      <xdr:col>3</xdr:col>
      <xdr:colOff>458209</xdr:colOff>
      <xdr:row>4</xdr:row>
      <xdr:rowOff>79130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5688" y="218342"/>
          <a:ext cx="987946" cy="622788"/>
        </a:xfrm>
        <a:prstGeom prst="rect">
          <a:avLst/>
        </a:prstGeom>
      </xdr:spPr>
    </xdr:pic>
    <xdr:clientData/>
  </xdr:twoCellAnchor>
  <xdr:twoCellAnchor editAs="oneCell">
    <xdr:from>
      <xdr:col>10</xdr:col>
      <xdr:colOff>747506</xdr:colOff>
      <xdr:row>1</xdr:row>
      <xdr:rowOff>33545</xdr:rowOff>
    </xdr:from>
    <xdr:to>
      <xdr:col>13</xdr:col>
      <xdr:colOff>628527</xdr:colOff>
      <xdr:row>4</xdr:row>
      <xdr:rowOff>19983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531" y="224045"/>
          <a:ext cx="2224171" cy="55793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222738</xdr:colOff>
      <xdr:row>1</xdr:row>
      <xdr:rowOff>46892</xdr:rowOff>
    </xdr:from>
    <xdr:to>
      <xdr:col>2</xdr:col>
      <xdr:colOff>677730</xdr:colOff>
      <xdr:row>4</xdr:row>
      <xdr:rowOff>98180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738" y="237392"/>
          <a:ext cx="1188417" cy="622788"/>
        </a:xfrm>
        <a:prstGeom prst="rect">
          <a:avLst/>
        </a:prstGeom>
      </xdr:spPr>
    </xdr:pic>
    <xdr:clientData/>
  </xdr:twoCellAnchor>
  <xdr:twoCellAnchor editAs="oneCell">
    <xdr:from>
      <xdr:col>6</xdr:col>
      <xdr:colOff>219808</xdr:colOff>
      <xdr:row>1</xdr:row>
      <xdr:rowOff>14654</xdr:rowOff>
    </xdr:from>
    <xdr:to>
      <xdr:col>9</xdr:col>
      <xdr:colOff>261573</xdr:colOff>
      <xdr:row>4</xdr:row>
      <xdr:rowOff>1092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5233" y="205154"/>
          <a:ext cx="2242040" cy="557938"/>
        </a:xfrm>
        <a:prstGeom prst="rect">
          <a:avLst/>
        </a:prstGeom>
      </xdr:spPr>
    </xdr:pic>
    <xdr:clientData/>
  </xdr:twoCellAnchor>
  <xdr:twoCellAnchor>
    <xdr:from>
      <xdr:col>9</xdr:col>
      <xdr:colOff>247650</xdr:colOff>
      <xdr:row>1</xdr:row>
      <xdr:rowOff>185737</xdr:rowOff>
    </xdr:from>
    <xdr:to>
      <xdr:col>14</xdr:col>
      <xdr:colOff>971550</xdr:colOff>
      <xdr:row>29</xdr:row>
      <xdr:rowOff>14287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498230</xdr:colOff>
      <xdr:row>2</xdr:row>
      <xdr:rowOff>109903</xdr:rowOff>
    </xdr:from>
    <xdr:to>
      <xdr:col>13</xdr:col>
      <xdr:colOff>747345</xdr:colOff>
      <xdr:row>3</xdr:row>
      <xdr:rowOff>183172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0137530" y="490903"/>
          <a:ext cx="1792165" cy="2637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>
              <a:solidFill>
                <a:schemeClr val="tx2">
                  <a:lumMod val="60000"/>
                  <a:lumOff val="40000"/>
                </a:schemeClr>
              </a:solidFill>
            </a:rPr>
            <a:t>Créditos</a:t>
          </a:r>
          <a:r>
            <a:rPr lang="es-DO" sz="1100" b="1" baseline="0">
              <a:solidFill>
                <a:schemeClr val="tx2">
                  <a:lumMod val="60000"/>
                  <a:lumOff val="40000"/>
                </a:schemeClr>
              </a:solidFill>
            </a:rPr>
            <a:t> Rechazados</a:t>
          </a:r>
          <a:endParaRPr lang="es-DO" sz="11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365613</xdr:colOff>
      <xdr:row>0</xdr:row>
      <xdr:rowOff>189767</xdr:rowOff>
    </xdr:from>
    <xdr:to>
      <xdr:col>2</xdr:col>
      <xdr:colOff>820605</xdr:colOff>
      <xdr:row>4</xdr:row>
      <xdr:rowOff>50555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613" y="189767"/>
          <a:ext cx="1188417" cy="62278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43962</xdr:rowOff>
    </xdr:from>
    <xdr:to>
      <xdr:col>8</xdr:col>
      <xdr:colOff>908540</xdr:colOff>
      <xdr:row>4</xdr:row>
      <xdr:rowOff>30400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234462"/>
          <a:ext cx="2242040" cy="557938"/>
        </a:xfrm>
        <a:prstGeom prst="rect">
          <a:avLst/>
        </a:prstGeom>
      </xdr:spPr>
    </xdr:pic>
    <xdr:clientData/>
  </xdr:twoCellAnchor>
  <xdr:twoCellAnchor>
    <xdr:from>
      <xdr:col>9</xdr:col>
      <xdr:colOff>285750</xdr:colOff>
      <xdr:row>2</xdr:row>
      <xdr:rowOff>119062</xdr:rowOff>
    </xdr:from>
    <xdr:to>
      <xdr:col>14</xdr:col>
      <xdr:colOff>1009650</xdr:colOff>
      <xdr:row>28</xdr:row>
      <xdr:rowOff>138112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89547</xdr:rowOff>
    </xdr:from>
    <xdr:to>
      <xdr:col>2</xdr:col>
      <xdr:colOff>378346</xdr:colOff>
      <xdr:row>4</xdr:row>
      <xdr:rowOff>140835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D885CE-A212-4769-998C-D1677A364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280047"/>
          <a:ext cx="987946" cy="622788"/>
        </a:xfrm>
        <a:prstGeom prst="rect">
          <a:avLst/>
        </a:prstGeom>
      </xdr:spPr>
    </xdr:pic>
    <xdr:clientData/>
  </xdr:twoCellAnchor>
  <xdr:twoCellAnchor editAs="oneCell">
    <xdr:from>
      <xdr:col>6</xdr:col>
      <xdr:colOff>477143</xdr:colOff>
      <xdr:row>1</xdr:row>
      <xdr:rowOff>95250</xdr:rowOff>
    </xdr:from>
    <xdr:to>
      <xdr:col>9</xdr:col>
      <xdr:colOff>224814</xdr:colOff>
      <xdr:row>4</xdr:row>
      <xdr:rowOff>81688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801DD6-C7F5-451B-A1B2-AAA206528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7843" y="285750"/>
          <a:ext cx="2224171" cy="55793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24668</xdr:colOff>
      <xdr:row>36</xdr:row>
      <xdr:rowOff>98668</xdr:rowOff>
    </xdr:from>
    <xdr:to>
      <xdr:col>5</xdr:col>
      <xdr:colOff>503603</xdr:colOff>
      <xdr:row>54</xdr:row>
      <xdr:rowOff>51288</xdr:rowOff>
    </xdr:to>
    <xdr:graphicFrame macro="">
      <xdr:nvGraphicFramePr>
        <xdr:cNvPr id="2" name="7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307410</xdr:colOff>
      <xdr:row>1</xdr:row>
      <xdr:rowOff>79640</xdr:rowOff>
    </xdr:from>
    <xdr:ext cx="989857" cy="622788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410" y="270140"/>
          <a:ext cx="989857" cy="622788"/>
        </a:xfrm>
        <a:prstGeom prst="rect">
          <a:avLst/>
        </a:prstGeom>
      </xdr:spPr>
    </xdr:pic>
    <xdr:clientData/>
  </xdr:oneCellAnchor>
  <xdr:twoCellAnchor editAs="oneCell">
    <xdr:from>
      <xdr:col>4</xdr:col>
      <xdr:colOff>679177</xdr:colOff>
      <xdr:row>1</xdr:row>
      <xdr:rowOff>62758</xdr:rowOff>
    </xdr:from>
    <xdr:to>
      <xdr:col>7</xdr:col>
      <xdr:colOff>287921</xdr:colOff>
      <xdr:row>4</xdr:row>
      <xdr:rowOff>49196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3" y="253258"/>
          <a:ext cx="2242614" cy="557938"/>
        </a:xfrm>
        <a:prstGeom prst="rect">
          <a:avLst/>
        </a:prstGeom>
      </xdr:spPr>
    </xdr:pic>
    <xdr:clientData/>
  </xdr:twoCellAnchor>
  <xdr:twoCellAnchor>
    <xdr:from>
      <xdr:col>1</xdr:col>
      <xdr:colOff>836544</xdr:colOff>
      <xdr:row>34</xdr:row>
      <xdr:rowOff>107675</xdr:rowOff>
    </xdr:from>
    <xdr:to>
      <xdr:col>5</xdr:col>
      <xdr:colOff>91109</xdr:colOff>
      <xdr:row>36</xdr:row>
      <xdr:rowOff>182218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3CF2A34-922B-238A-7CE5-F0C850928E51}"/>
            </a:ext>
          </a:extLst>
        </xdr:cNvPr>
        <xdr:cNvSpPr txBox="1"/>
      </xdr:nvSpPr>
      <xdr:spPr>
        <a:xfrm>
          <a:off x="1714501" y="2658718"/>
          <a:ext cx="2766391" cy="4555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ES" sz="1100" b="1" i="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Recuperación de Fondos</a:t>
          </a:r>
          <a:endParaRPr lang="es-DO">
            <a:solidFill>
              <a:schemeClr val="accent1"/>
            </a:solidFill>
            <a:effectLst/>
          </a:endParaRPr>
        </a:p>
        <a:p>
          <a:pPr algn="ctr" rtl="0"/>
          <a:r>
            <a:rPr lang="es-ES" sz="1100" b="1" i="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Monto solicitado / Total Recuperado</a:t>
          </a:r>
          <a:endParaRPr lang="es-DO">
            <a:solidFill>
              <a:schemeClr val="accent1"/>
            </a:solidFill>
            <a:effectLst/>
          </a:endParaRPr>
        </a:p>
        <a:p>
          <a:pPr algn="ctr"/>
          <a:endParaRPr lang="es-DO" sz="1100">
            <a:solidFill>
              <a:schemeClr val="accent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88058</xdr:colOff>
      <xdr:row>29</xdr:row>
      <xdr:rowOff>17516</xdr:rowOff>
    </xdr:from>
    <xdr:to>
      <xdr:col>5</xdr:col>
      <xdr:colOff>175314</xdr:colOff>
      <xdr:row>40</xdr:row>
      <xdr:rowOff>151599</xdr:rowOff>
    </xdr:to>
    <xdr:graphicFrame macro="">
      <xdr:nvGraphicFramePr>
        <xdr:cNvPr id="2" name="10 Gráfico">
          <a:extLst>
            <a:ext uri="{FF2B5EF4-FFF2-40B4-BE49-F238E27FC236}">
              <a16:creationId xmlns:a16="http://schemas.microsoft.com/office/drawing/2014/main" id="{7412F171-EEEB-49E2-966D-2F1CACD4A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588089</xdr:colOff>
      <xdr:row>64</xdr:row>
      <xdr:rowOff>44161</xdr:rowOff>
    </xdr:from>
    <xdr:to>
      <xdr:col>17</xdr:col>
      <xdr:colOff>702388</xdr:colOff>
      <xdr:row>65</xdr:row>
      <xdr:rowOff>120361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7E3A95FC-AC94-4EE6-8655-9FEDB168D4F6}"/>
            </a:ext>
          </a:extLst>
        </xdr:cNvPr>
        <xdr:cNvSpPr txBox="1"/>
      </xdr:nvSpPr>
      <xdr:spPr>
        <a:xfrm>
          <a:off x="12018089" y="12426661"/>
          <a:ext cx="1638299" cy="266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>
              <a:solidFill>
                <a:schemeClr val="accent1"/>
              </a:solidFill>
            </a:rPr>
            <a:t>Afiliados/Cotizantes</a:t>
          </a:r>
        </a:p>
      </xdr:txBody>
    </xdr:sp>
    <xdr:clientData/>
  </xdr:twoCellAnchor>
  <xdr:twoCellAnchor>
    <xdr:from>
      <xdr:col>7</xdr:col>
      <xdr:colOff>294817</xdr:colOff>
      <xdr:row>27</xdr:row>
      <xdr:rowOff>61737</xdr:rowOff>
    </xdr:from>
    <xdr:to>
      <xdr:col>9</xdr:col>
      <xdr:colOff>641381</xdr:colOff>
      <xdr:row>28</xdr:row>
      <xdr:rowOff>137937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1641605F-E6E2-484F-A7BE-C823C39B7978}"/>
            </a:ext>
          </a:extLst>
        </xdr:cNvPr>
        <xdr:cNvSpPr txBox="1"/>
      </xdr:nvSpPr>
      <xdr:spPr>
        <a:xfrm>
          <a:off x="6266992" y="3119262"/>
          <a:ext cx="1870564" cy="266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>
              <a:solidFill>
                <a:schemeClr val="accent1"/>
              </a:solidFill>
            </a:rPr>
            <a:t>Afiliados/No Cotizantes</a:t>
          </a:r>
        </a:p>
      </xdr:txBody>
    </xdr:sp>
    <xdr:clientData/>
  </xdr:twoCellAnchor>
  <xdr:oneCellAnchor>
    <xdr:from>
      <xdr:col>0</xdr:col>
      <xdr:colOff>346908</xdr:colOff>
      <xdr:row>1</xdr:row>
      <xdr:rowOff>113567</xdr:rowOff>
    </xdr:from>
    <xdr:ext cx="871814" cy="549520"/>
    <xdr:pic>
      <xdr:nvPicPr>
        <xdr:cNvPr id="5" name="Picture 8">
          <a:extLst>
            <a:ext uri="{FF2B5EF4-FFF2-40B4-BE49-F238E27FC236}">
              <a16:creationId xmlns:a16="http://schemas.microsoft.com/office/drawing/2014/main" id="{4DD5A5D0-8A9D-405C-BF51-D9919A664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908" y="304067"/>
          <a:ext cx="871814" cy="549520"/>
        </a:xfrm>
        <a:prstGeom prst="rect">
          <a:avLst/>
        </a:prstGeom>
      </xdr:spPr>
    </xdr:pic>
    <xdr:clientData/>
  </xdr:oneCellAnchor>
  <xdr:twoCellAnchor>
    <xdr:from>
      <xdr:col>5</xdr:col>
      <xdr:colOff>414854</xdr:colOff>
      <xdr:row>29</xdr:row>
      <xdr:rowOff>81357</xdr:rowOff>
    </xdr:from>
    <xdr:to>
      <xdr:col>11</xdr:col>
      <xdr:colOff>217865</xdr:colOff>
      <xdr:row>41</xdr:row>
      <xdr:rowOff>19707</xdr:rowOff>
    </xdr:to>
    <xdr:graphicFrame macro="">
      <xdr:nvGraphicFramePr>
        <xdr:cNvPr id="6" name="10 Gráfico">
          <a:extLst>
            <a:ext uri="{FF2B5EF4-FFF2-40B4-BE49-F238E27FC236}">
              <a16:creationId xmlns:a16="http://schemas.microsoft.com/office/drawing/2014/main" id="{3C96AE7C-3C81-42F8-9061-2945E252F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727085</xdr:colOff>
      <xdr:row>43</xdr:row>
      <xdr:rowOff>895</xdr:rowOff>
    </xdr:from>
    <xdr:to>
      <xdr:col>11</xdr:col>
      <xdr:colOff>182800</xdr:colOff>
      <xdr:row>57</xdr:row>
      <xdr:rowOff>77095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8E741-4A5F-4509-AAD0-034771F70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4</xdr:col>
      <xdr:colOff>816953</xdr:colOff>
      <xdr:row>1</xdr:row>
      <xdr:rowOff>43229</xdr:rowOff>
    </xdr:from>
    <xdr:ext cx="2232100" cy="557938"/>
    <xdr:pic>
      <xdr:nvPicPr>
        <xdr:cNvPr id="8" name="Picture 9">
          <a:extLst>
            <a:ext uri="{FF2B5EF4-FFF2-40B4-BE49-F238E27FC236}">
              <a16:creationId xmlns:a16="http://schemas.microsoft.com/office/drawing/2014/main" id="{F8AF9267-88C4-44C4-A567-EB0184EBA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4503" y="233729"/>
          <a:ext cx="2232100" cy="557938"/>
        </a:xfrm>
        <a:prstGeom prst="rect">
          <a:avLst/>
        </a:prstGeom>
      </xdr:spPr>
    </xdr:pic>
    <xdr:clientData/>
  </xdr:oneCellAnchor>
  <xdr:twoCellAnchor>
    <xdr:from>
      <xdr:col>1</xdr:col>
      <xdr:colOff>638175</xdr:colOff>
      <xdr:row>27</xdr:row>
      <xdr:rowOff>71537</xdr:rowOff>
    </xdr:from>
    <xdr:to>
      <xdr:col>3</xdr:col>
      <xdr:colOff>323850</xdr:colOff>
      <xdr:row>28</xdr:row>
      <xdr:rowOff>147737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53C8BA23-7508-4CB1-81D8-368BB9F6EE14}"/>
            </a:ext>
          </a:extLst>
        </xdr:cNvPr>
        <xdr:cNvSpPr txBox="1"/>
      </xdr:nvSpPr>
      <xdr:spPr>
        <a:xfrm>
          <a:off x="1447800" y="3129062"/>
          <a:ext cx="13239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>
              <a:solidFill>
                <a:schemeClr val="accent1"/>
              </a:solidFill>
            </a:rPr>
            <a:t>Afiliados/Cotizantes</a:t>
          </a:r>
        </a:p>
      </xdr:txBody>
    </xdr:sp>
    <xdr:clientData/>
  </xdr:twoCellAnchor>
  <xdr:twoCellAnchor>
    <xdr:from>
      <xdr:col>0</xdr:col>
      <xdr:colOff>291351</xdr:colOff>
      <xdr:row>42</xdr:row>
      <xdr:rowOff>126625</xdr:rowOff>
    </xdr:from>
    <xdr:to>
      <xdr:col>5</xdr:col>
      <xdr:colOff>717175</xdr:colOff>
      <xdr:row>57</xdr:row>
      <xdr:rowOff>13446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B5FE624-4100-C68A-BE51-0D04822C9B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730069</xdr:colOff>
      <xdr:row>6</xdr:row>
      <xdr:rowOff>175005</xdr:rowOff>
    </xdr:from>
    <xdr:to>
      <xdr:col>22</xdr:col>
      <xdr:colOff>120463</xdr:colOff>
      <xdr:row>29</xdr:row>
      <xdr:rowOff>197224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436284</xdr:colOff>
      <xdr:row>31</xdr:row>
      <xdr:rowOff>99919</xdr:rowOff>
    </xdr:from>
    <xdr:to>
      <xdr:col>21</xdr:col>
      <xdr:colOff>588678</xdr:colOff>
      <xdr:row>57</xdr:row>
      <xdr:rowOff>138013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123825</xdr:colOff>
      <xdr:row>3</xdr:row>
      <xdr:rowOff>0</xdr:rowOff>
    </xdr:from>
    <xdr:to>
      <xdr:col>1</xdr:col>
      <xdr:colOff>1113682</xdr:colOff>
      <xdr:row>6</xdr:row>
      <xdr:rowOff>51288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5825" y="571500"/>
          <a:ext cx="989857" cy="622788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2</xdr:row>
      <xdr:rowOff>133350</xdr:rowOff>
    </xdr:from>
    <xdr:to>
      <xdr:col>14</xdr:col>
      <xdr:colOff>379536</xdr:colOff>
      <xdr:row>5</xdr:row>
      <xdr:rowOff>119788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514350"/>
          <a:ext cx="2246436" cy="557938"/>
        </a:xfrm>
        <a:prstGeom prst="rect">
          <a:avLst/>
        </a:prstGeom>
      </xdr:spPr>
    </xdr:pic>
    <xdr:clientData/>
  </xdr:twoCellAnchor>
  <xdr:twoCellAnchor>
    <xdr:from>
      <xdr:col>16</xdr:col>
      <xdr:colOff>437030</xdr:colOff>
      <xdr:row>61</xdr:row>
      <xdr:rowOff>78442</xdr:rowOff>
    </xdr:from>
    <xdr:to>
      <xdr:col>22</xdr:col>
      <xdr:colOff>87661</xdr:colOff>
      <xdr:row>79</xdr:row>
      <xdr:rowOff>50441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601405CA-A455-4EE1-81E2-87C3B89AB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0.37758</cdr:x>
      <cdr:y>0.0195</cdr:y>
    </cdr:from>
    <cdr:to>
      <cdr:x>0.65124</cdr:x>
      <cdr:y>0.08894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0604" y="53486"/>
          <a:ext cx="1377461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0.37758</cdr:x>
      <cdr:y>0.0195</cdr:y>
    </cdr:from>
    <cdr:to>
      <cdr:x>0.65124</cdr:x>
      <cdr:y>0.08894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0604" y="53486"/>
          <a:ext cx="1377461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72443</xdr:rowOff>
    </xdr:from>
    <xdr:to>
      <xdr:col>5</xdr:col>
      <xdr:colOff>492125</xdr:colOff>
      <xdr:row>41</xdr:row>
      <xdr:rowOff>128858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141832</xdr:colOff>
      <xdr:row>1</xdr:row>
      <xdr:rowOff>87924</xdr:rowOff>
    </xdr:from>
    <xdr:to>
      <xdr:col>1</xdr:col>
      <xdr:colOff>206650</xdr:colOff>
      <xdr:row>4</xdr:row>
      <xdr:rowOff>80596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832" y="278424"/>
          <a:ext cx="896694" cy="564172"/>
        </a:xfrm>
        <a:prstGeom prst="rect">
          <a:avLst/>
        </a:prstGeom>
      </xdr:spPr>
    </xdr:pic>
    <xdr:clientData/>
  </xdr:twoCellAnchor>
  <xdr:twoCellAnchor>
    <xdr:from>
      <xdr:col>5</xdr:col>
      <xdr:colOff>352488</xdr:colOff>
      <xdr:row>28</xdr:row>
      <xdr:rowOff>20495</xdr:rowOff>
    </xdr:from>
    <xdr:to>
      <xdr:col>10</xdr:col>
      <xdr:colOff>363479</xdr:colOff>
      <xdr:row>39</xdr:row>
      <xdr:rowOff>159707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534866</xdr:colOff>
      <xdr:row>1</xdr:row>
      <xdr:rowOff>58616</xdr:rowOff>
    </xdr:from>
    <xdr:to>
      <xdr:col>6</xdr:col>
      <xdr:colOff>495302</xdr:colOff>
      <xdr:row>4</xdr:row>
      <xdr:rowOff>45054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1962" y="249116"/>
          <a:ext cx="2246436" cy="557938"/>
        </a:xfrm>
        <a:prstGeom prst="rect">
          <a:avLst/>
        </a:prstGeom>
      </xdr:spPr>
    </xdr:pic>
    <xdr:clientData/>
  </xdr:twoCellAnchor>
  <xdr:oneCellAnchor>
    <xdr:from>
      <xdr:col>0</xdr:col>
      <xdr:colOff>770283</xdr:colOff>
      <xdr:row>27</xdr:row>
      <xdr:rowOff>115957</xdr:rowOff>
    </xdr:from>
    <xdr:ext cx="2898914" cy="29817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08D513B-E3E0-7594-8479-50134A15EED6}"/>
            </a:ext>
          </a:extLst>
        </xdr:cNvPr>
        <xdr:cNvSpPr txBox="1"/>
      </xdr:nvSpPr>
      <xdr:spPr>
        <a:xfrm>
          <a:off x="770283" y="3114261"/>
          <a:ext cx="2898914" cy="298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/>
          <a:r>
            <a:rPr lang="es-ES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Cantidad de cotizantes por tipo de empleador</a:t>
          </a:r>
          <a:endParaRPr lang="es-DO">
            <a:solidFill>
              <a:srgbClr val="0070C0"/>
            </a:solidFill>
            <a:effectLst/>
          </a:endParaRPr>
        </a:p>
        <a:p>
          <a:endParaRPr lang="es-DO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75710</xdr:colOff>
      <xdr:row>31</xdr:row>
      <xdr:rowOff>65165</xdr:rowOff>
    </xdr:from>
    <xdr:to>
      <xdr:col>4</xdr:col>
      <xdr:colOff>538370</xdr:colOff>
      <xdr:row>41</xdr:row>
      <xdr:rowOff>59305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80597</xdr:colOff>
      <xdr:row>2</xdr:row>
      <xdr:rowOff>36634</xdr:rowOff>
    </xdr:from>
    <xdr:to>
      <xdr:col>0</xdr:col>
      <xdr:colOff>639575</xdr:colOff>
      <xdr:row>4</xdr:row>
      <xdr:rowOff>7326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97" y="608134"/>
          <a:ext cx="558978" cy="351692"/>
        </a:xfrm>
        <a:prstGeom prst="rect">
          <a:avLst/>
        </a:prstGeom>
      </xdr:spPr>
    </xdr:pic>
    <xdr:clientData/>
  </xdr:twoCellAnchor>
  <xdr:twoCellAnchor>
    <xdr:from>
      <xdr:col>5</xdr:col>
      <xdr:colOff>188334</xdr:colOff>
      <xdr:row>29</xdr:row>
      <xdr:rowOff>4236</xdr:rowOff>
    </xdr:from>
    <xdr:to>
      <xdr:col>10</xdr:col>
      <xdr:colOff>364181</xdr:colOff>
      <xdr:row>40</xdr:row>
      <xdr:rowOff>71643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1273014</xdr:colOff>
      <xdr:row>1</xdr:row>
      <xdr:rowOff>163271</xdr:rowOff>
    </xdr:from>
    <xdr:to>
      <xdr:col>4</xdr:col>
      <xdr:colOff>275020</xdr:colOff>
      <xdr:row>4</xdr:row>
      <xdr:rowOff>1943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166" y="353771"/>
          <a:ext cx="1652441" cy="410172"/>
        </a:xfrm>
        <a:prstGeom prst="rect">
          <a:avLst/>
        </a:prstGeom>
      </xdr:spPr>
    </xdr:pic>
    <xdr:clientData/>
  </xdr:twoCellAnchor>
  <xdr:twoCellAnchor>
    <xdr:from>
      <xdr:col>1</xdr:col>
      <xdr:colOff>554935</xdr:colOff>
      <xdr:row>29</xdr:row>
      <xdr:rowOff>91109</xdr:rowOff>
    </xdr:from>
    <xdr:to>
      <xdr:col>3</xdr:col>
      <xdr:colOff>844826</xdr:colOff>
      <xdr:row>30</xdr:row>
      <xdr:rowOff>140804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AB721E-8696-1E7D-CC68-9C6E3EC787D8}"/>
            </a:ext>
          </a:extLst>
        </xdr:cNvPr>
        <xdr:cNvSpPr txBox="1"/>
      </xdr:nvSpPr>
      <xdr:spPr>
        <a:xfrm>
          <a:off x="1333500" y="3139109"/>
          <a:ext cx="2708413" cy="2401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accent1"/>
              </a:solidFill>
            </a:rPr>
            <a:t>Montos mensuales por sector empleador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29392</xdr:rowOff>
    </xdr:from>
    <xdr:to>
      <xdr:col>2</xdr:col>
      <xdr:colOff>1006896</xdr:colOff>
      <xdr:row>42</xdr:row>
      <xdr:rowOff>29308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175844</xdr:colOff>
      <xdr:row>1</xdr:row>
      <xdr:rowOff>131885</xdr:rowOff>
    </xdr:from>
    <xdr:to>
      <xdr:col>0</xdr:col>
      <xdr:colOff>1060893</xdr:colOff>
      <xdr:row>4</xdr:row>
      <xdr:rowOff>117231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844" y="322385"/>
          <a:ext cx="885049" cy="556846"/>
        </a:xfrm>
        <a:prstGeom prst="rect">
          <a:avLst/>
        </a:prstGeom>
      </xdr:spPr>
    </xdr:pic>
    <xdr:clientData/>
  </xdr:twoCellAnchor>
  <xdr:twoCellAnchor editAs="oneCell">
    <xdr:from>
      <xdr:col>2</xdr:col>
      <xdr:colOff>725368</xdr:colOff>
      <xdr:row>1</xdr:row>
      <xdr:rowOff>58616</xdr:rowOff>
    </xdr:from>
    <xdr:to>
      <xdr:col>4</xdr:col>
      <xdr:colOff>451343</xdr:colOff>
      <xdr:row>4</xdr:row>
      <xdr:rowOff>45054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1868" y="249116"/>
          <a:ext cx="2246437" cy="5579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158312</xdr:colOff>
      <xdr:row>28</xdr:row>
      <xdr:rowOff>53066</xdr:rowOff>
    </xdr:from>
    <xdr:to>
      <xdr:col>2</xdr:col>
      <xdr:colOff>1031437</xdr:colOff>
      <xdr:row>41</xdr:row>
      <xdr:rowOff>104598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389843</xdr:colOff>
      <xdr:row>2</xdr:row>
      <xdr:rowOff>23496</xdr:rowOff>
    </xdr:from>
    <xdr:to>
      <xdr:col>0</xdr:col>
      <xdr:colOff>968670</xdr:colOff>
      <xdr:row>4</xdr:row>
      <xdr:rowOff>6676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843" y="404496"/>
          <a:ext cx="578827" cy="364180"/>
        </a:xfrm>
        <a:prstGeom prst="rect">
          <a:avLst/>
        </a:prstGeom>
      </xdr:spPr>
    </xdr:pic>
    <xdr:clientData/>
  </xdr:twoCellAnchor>
  <xdr:twoCellAnchor editAs="oneCell">
    <xdr:from>
      <xdr:col>2</xdr:col>
      <xdr:colOff>1137948</xdr:colOff>
      <xdr:row>1</xdr:row>
      <xdr:rowOff>141991</xdr:rowOff>
    </xdr:from>
    <xdr:to>
      <xdr:col>4</xdr:col>
      <xdr:colOff>59523</xdr:colOff>
      <xdr:row>3</xdr:row>
      <xdr:rowOff>171163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310" y="332491"/>
          <a:ext cx="1641127" cy="410172"/>
        </a:xfrm>
        <a:prstGeom prst="rect">
          <a:avLst/>
        </a:prstGeom>
      </xdr:spPr>
    </xdr:pic>
    <xdr:clientData/>
  </xdr:twoCellAnchor>
  <xdr:twoCellAnchor>
    <xdr:from>
      <xdr:col>3</xdr:col>
      <xdr:colOff>488403</xdr:colOff>
      <xdr:row>28</xdr:row>
      <xdr:rowOff>183110</xdr:rowOff>
    </xdr:from>
    <xdr:to>
      <xdr:col>8</xdr:col>
      <xdr:colOff>707478</xdr:colOff>
      <xdr:row>42</xdr:row>
      <xdr:rowOff>54523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BBF88E-78EE-4615-A07B-EE21FD6649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163767</xdr:colOff>
      <xdr:row>35</xdr:row>
      <xdr:rowOff>177678</xdr:rowOff>
    </xdr:from>
    <xdr:to>
      <xdr:col>6</xdr:col>
      <xdr:colOff>707619</xdr:colOff>
      <xdr:row>55</xdr:row>
      <xdr:rowOff>80432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301325</xdr:colOff>
      <xdr:row>1</xdr:row>
      <xdr:rowOff>109903</xdr:rowOff>
    </xdr:from>
    <xdr:to>
      <xdr:col>1</xdr:col>
      <xdr:colOff>329514</xdr:colOff>
      <xdr:row>4</xdr:row>
      <xdr:rowOff>58615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325" y="300403"/>
          <a:ext cx="826824" cy="520212"/>
        </a:xfrm>
        <a:prstGeom prst="rect">
          <a:avLst/>
        </a:prstGeom>
      </xdr:spPr>
    </xdr:pic>
    <xdr:clientData/>
  </xdr:twoCellAnchor>
  <xdr:twoCellAnchor editAs="oneCell">
    <xdr:from>
      <xdr:col>5</xdr:col>
      <xdr:colOff>696058</xdr:colOff>
      <xdr:row>1</xdr:row>
      <xdr:rowOff>7326</xdr:rowOff>
    </xdr:from>
    <xdr:to>
      <xdr:col>7</xdr:col>
      <xdr:colOff>901402</xdr:colOff>
      <xdr:row>3</xdr:row>
      <xdr:rowOff>184264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077" y="197826"/>
          <a:ext cx="2246436" cy="557938"/>
        </a:xfrm>
        <a:prstGeom prst="rect">
          <a:avLst/>
        </a:prstGeom>
      </xdr:spPr>
    </xdr:pic>
    <xdr:clientData/>
  </xdr:twoCellAnchor>
  <xdr:twoCellAnchor>
    <xdr:from>
      <xdr:col>2</xdr:col>
      <xdr:colOff>751418</xdr:colOff>
      <xdr:row>33</xdr:row>
      <xdr:rowOff>105833</xdr:rowOff>
    </xdr:from>
    <xdr:to>
      <xdr:col>4</xdr:col>
      <xdr:colOff>518584</xdr:colOff>
      <xdr:row>34</xdr:row>
      <xdr:rowOff>137582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6DFC084-82C1-FD55-AFDF-8B4E1841BABD}"/>
            </a:ext>
          </a:extLst>
        </xdr:cNvPr>
        <xdr:cNvSpPr txBox="1"/>
      </xdr:nvSpPr>
      <xdr:spPr>
        <a:xfrm>
          <a:off x="2762251" y="3302000"/>
          <a:ext cx="2180166" cy="222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 b="1">
              <a:solidFill>
                <a:schemeClr val="accent1"/>
              </a:solidFill>
            </a:rPr>
            <a:t>Programado Total</a:t>
          </a:r>
          <a:r>
            <a:rPr lang="es-DO" sz="1200" b="1" baseline="0">
              <a:solidFill>
                <a:schemeClr val="accent1"/>
              </a:solidFill>
            </a:rPr>
            <a:t> vs Ejecutado</a:t>
          </a:r>
          <a:endParaRPr lang="es-DO" sz="1200" b="1">
            <a:solidFill>
              <a:schemeClr val="accent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52"/>
  <sheetViews>
    <sheetView showGridLines="0" tabSelected="1" zoomScale="130" zoomScaleNormal="130" workbookViewId="0">
      <selection activeCell="I36" sqref="I36"/>
    </sheetView>
  </sheetViews>
  <sheetFormatPr baseColWidth="10" defaultColWidth="11.42578125" defaultRowHeight="15" x14ac:dyDescent="0.25"/>
  <cols>
    <col min="1" max="1" width="11.7109375" style="1" customWidth="1"/>
    <col min="2" max="2" width="15.42578125" style="1" customWidth="1"/>
    <col min="3" max="3" width="14" style="1" bestFit="1" customWidth="1"/>
    <col min="4" max="4" width="11.42578125" style="1" bestFit="1" customWidth="1"/>
    <col min="5" max="5" width="15" style="1" customWidth="1"/>
    <col min="6" max="6" width="11.42578125" style="1" bestFit="1" customWidth="1"/>
    <col min="7" max="16384" width="11.42578125" style="1"/>
  </cols>
  <sheetData>
    <row r="1" spans="1:11" x14ac:dyDescent="0.25">
      <c r="A1" s="304" t="s">
        <v>0</v>
      </c>
      <c r="B1" s="304"/>
      <c r="C1" s="304"/>
      <c r="D1" s="304"/>
      <c r="E1" s="304"/>
      <c r="F1" s="304"/>
    </row>
    <row r="2" spans="1:11" x14ac:dyDescent="0.25">
      <c r="A2" s="304" t="s">
        <v>1</v>
      </c>
      <c r="B2" s="304"/>
      <c r="C2" s="304"/>
      <c r="D2" s="304"/>
      <c r="E2" s="304"/>
      <c r="F2" s="304"/>
    </row>
    <row r="3" spans="1:11" x14ac:dyDescent="0.25">
      <c r="A3" s="304" t="s">
        <v>2</v>
      </c>
      <c r="B3" s="304"/>
      <c r="C3" s="304"/>
      <c r="D3" s="304"/>
      <c r="E3" s="304"/>
      <c r="F3" s="304"/>
    </row>
    <row r="4" spans="1:11" x14ac:dyDescent="0.25">
      <c r="A4" s="304" t="s">
        <v>238</v>
      </c>
      <c r="B4" s="304"/>
      <c r="C4" s="304"/>
      <c r="D4" s="304"/>
      <c r="E4" s="304"/>
      <c r="F4" s="304"/>
    </row>
    <row r="5" spans="1:11" x14ac:dyDescent="0.25">
      <c r="A5" s="304" t="s">
        <v>233</v>
      </c>
      <c r="B5" s="304"/>
      <c r="C5" s="304"/>
      <c r="D5" s="304"/>
      <c r="E5" s="304"/>
      <c r="F5" s="304"/>
    </row>
    <row r="6" spans="1:11" x14ac:dyDescent="0.25">
      <c r="A6" s="305" t="s">
        <v>3</v>
      </c>
      <c r="B6" s="305" t="s">
        <v>4</v>
      </c>
      <c r="C6" s="305" t="s">
        <v>5</v>
      </c>
      <c r="D6" s="305"/>
      <c r="E6" s="305" t="s">
        <v>6</v>
      </c>
      <c r="F6" s="305"/>
    </row>
    <row r="7" spans="1:11" ht="11.25" customHeight="1" x14ac:dyDescent="0.25">
      <c r="A7" s="305"/>
      <c r="B7" s="305"/>
      <c r="C7" s="305"/>
      <c r="D7" s="305"/>
      <c r="E7" s="305"/>
      <c r="F7" s="305"/>
      <c r="I7" s="75"/>
    </row>
    <row r="8" spans="1:11" x14ac:dyDescent="0.25">
      <c r="A8" s="109"/>
      <c r="B8" s="110" t="s">
        <v>7</v>
      </c>
      <c r="C8" s="110" t="s">
        <v>8</v>
      </c>
      <c r="D8" s="110" t="s">
        <v>9</v>
      </c>
      <c r="E8" s="110" t="s">
        <v>8</v>
      </c>
      <c r="F8" s="110" t="s">
        <v>9</v>
      </c>
      <c r="G8"/>
      <c r="H8"/>
    </row>
    <row r="9" spans="1:11" x14ac:dyDescent="0.25">
      <c r="A9" s="155" t="s">
        <v>10</v>
      </c>
      <c r="B9" s="204">
        <v>26433755.640000001</v>
      </c>
      <c r="C9" s="204">
        <v>25642744.379999999</v>
      </c>
      <c r="D9" s="273">
        <f t="shared" ref="D9:D10" si="0">+C9/B9</f>
        <v>0.97007571414471916</v>
      </c>
      <c r="E9" s="274">
        <f t="shared" ref="E9:E10" si="1">+B9-C9</f>
        <v>791011.26000000164</v>
      </c>
      <c r="F9" s="275">
        <f t="shared" ref="F9:F10" si="2">(E9/B9)</f>
        <v>2.992428585528082E-2</v>
      </c>
      <c r="G9"/>
      <c r="H9"/>
      <c r="K9" s="1" t="s">
        <v>253</v>
      </c>
    </row>
    <row r="10" spans="1:11" x14ac:dyDescent="0.25">
      <c r="A10" s="276" t="s">
        <v>11</v>
      </c>
      <c r="B10" s="204">
        <f>104544770.05+966166.81</f>
        <v>105510936.86</v>
      </c>
      <c r="C10" s="204">
        <v>113147057.56</v>
      </c>
      <c r="D10" s="273">
        <f t="shared" si="0"/>
        <v>1.0723727883312437</v>
      </c>
      <c r="E10" s="274">
        <f t="shared" si="1"/>
        <v>-7636120.700000003</v>
      </c>
      <c r="F10" s="275">
        <f t="shared" si="2"/>
        <v>-7.2372788331243734E-2</v>
      </c>
      <c r="G10"/>
      <c r="H10"/>
    </row>
    <row r="11" spans="1:11" x14ac:dyDescent="0.25">
      <c r="A11" s="276" t="s">
        <v>12</v>
      </c>
      <c r="B11" s="202">
        <v>45441034.140000001</v>
      </c>
      <c r="C11" s="202">
        <v>40376016.450000003</v>
      </c>
      <c r="D11" s="242">
        <v>0.88853647840858763</v>
      </c>
      <c r="E11" s="116">
        <v>5065017.6899999976</v>
      </c>
      <c r="F11" s="246">
        <v>0.11146352159141239</v>
      </c>
      <c r="G11"/>
      <c r="H11"/>
    </row>
    <row r="12" spans="1:11" x14ac:dyDescent="0.25">
      <c r="A12" s="276" t="s">
        <v>13</v>
      </c>
      <c r="B12" s="202">
        <v>74438136.439999998</v>
      </c>
      <c r="C12" s="202">
        <v>70883579.109999999</v>
      </c>
      <c r="D12" s="242">
        <v>0.95224816874794938</v>
      </c>
      <c r="E12" s="116">
        <v>3554557.3299999982</v>
      </c>
      <c r="F12" s="246">
        <v>4.7751831252050597E-2</v>
      </c>
      <c r="G12"/>
      <c r="H12"/>
    </row>
    <row r="13" spans="1:11" x14ac:dyDescent="0.25">
      <c r="A13" s="113" t="s">
        <v>14</v>
      </c>
      <c r="B13" s="209">
        <f>SUM(B9:B12)</f>
        <v>251823863.07999998</v>
      </c>
      <c r="C13" s="209">
        <f>SUM(C9:C12)</f>
        <v>250049397.5</v>
      </c>
      <c r="D13" s="244">
        <f>(C13/B13)</f>
        <v>0.99295354475824138</v>
      </c>
      <c r="E13" s="264">
        <f>SUM(E9:E12)</f>
        <v>1774465.5799999945</v>
      </c>
      <c r="F13" s="245">
        <f>(E13/B13)</f>
        <v>7.0464552417587138E-3</v>
      </c>
      <c r="G13"/>
      <c r="H13"/>
    </row>
    <row r="14" spans="1:11" hidden="1" x14ac:dyDescent="0.25">
      <c r="A14" s="83" t="s">
        <v>15</v>
      </c>
      <c r="B14" s="114"/>
      <c r="C14" s="115"/>
      <c r="D14" s="2" t="e">
        <f t="shared" ref="D14:D25" si="3">+C14/B14</f>
        <v>#DIV/0!</v>
      </c>
      <c r="E14" s="116"/>
      <c r="F14" s="4" t="e">
        <f t="shared" ref="F14:F25" si="4">(E14/B14)</f>
        <v>#DIV/0!</v>
      </c>
      <c r="G14"/>
      <c r="H14"/>
    </row>
    <row r="15" spans="1:11" hidden="1" x14ac:dyDescent="0.25">
      <c r="A15" s="83" t="s">
        <v>16</v>
      </c>
      <c r="B15" s="114"/>
      <c r="C15" s="115"/>
      <c r="D15" s="2" t="e">
        <f t="shared" si="3"/>
        <v>#DIV/0!</v>
      </c>
      <c r="E15" s="116"/>
      <c r="F15" s="4" t="e">
        <f t="shared" si="4"/>
        <v>#DIV/0!</v>
      </c>
      <c r="G15"/>
      <c r="H15"/>
    </row>
    <row r="16" spans="1:11" hidden="1" x14ac:dyDescent="0.25">
      <c r="A16" s="83" t="s">
        <v>17</v>
      </c>
      <c r="B16" s="114"/>
      <c r="C16" s="115"/>
      <c r="D16" s="2" t="e">
        <f t="shared" si="3"/>
        <v>#DIV/0!</v>
      </c>
      <c r="E16" s="116"/>
      <c r="F16" s="4" t="e">
        <f t="shared" si="4"/>
        <v>#DIV/0!</v>
      </c>
      <c r="G16"/>
      <c r="H16"/>
    </row>
    <row r="17" spans="1:8" hidden="1" x14ac:dyDescent="0.25">
      <c r="A17" s="113" t="s">
        <v>18</v>
      </c>
      <c r="B17" s="8">
        <f>SUM(B14:B16)</f>
        <v>0</v>
      </c>
      <c r="C17" s="8">
        <f>SUM(C14:C16)</f>
        <v>0</v>
      </c>
      <c r="D17" s="3" t="e">
        <f>(C17/B17)</f>
        <v>#DIV/0!</v>
      </c>
      <c r="E17" s="9">
        <f>SUM(E14:E16)</f>
        <v>0</v>
      </c>
      <c r="F17" s="5" t="e">
        <f>(E17/B17)</f>
        <v>#DIV/0!</v>
      </c>
      <c r="G17"/>
      <c r="H17"/>
    </row>
    <row r="18" spans="1:8" hidden="1" x14ac:dyDescent="0.25">
      <c r="A18" s="83" t="s">
        <v>19</v>
      </c>
      <c r="B18" s="114"/>
      <c r="C18" s="115"/>
      <c r="D18" s="2" t="e">
        <f t="shared" si="3"/>
        <v>#DIV/0!</v>
      </c>
      <c r="E18" s="116"/>
      <c r="F18" s="4" t="e">
        <f t="shared" si="4"/>
        <v>#DIV/0!</v>
      </c>
      <c r="G18"/>
      <c r="H18"/>
    </row>
    <row r="19" spans="1:8" hidden="1" x14ac:dyDescent="0.25">
      <c r="A19" s="83" t="s">
        <v>20</v>
      </c>
      <c r="B19" s="114"/>
      <c r="C19" s="115"/>
      <c r="D19" s="2" t="e">
        <f t="shared" si="3"/>
        <v>#DIV/0!</v>
      </c>
      <c r="E19" s="116"/>
      <c r="F19" s="4" t="e">
        <f t="shared" si="4"/>
        <v>#DIV/0!</v>
      </c>
      <c r="G19"/>
      <c r="H19"/>
    </row>
    <row r="20" spans="1:8" hidden="1" x14ac:dyDescent="0.25">
      <c r="A20" s="83" t="s">
        <v>21</v>
      </c>
      <c r="B20" s="114"/>
      <c r="C20" s="115"/>
      <c r="D20" s="2" t="e">
        <f t="shared" si="3"/>
        <v>#DIV/0!</v>
      </c>
      <c r="E20" s="116"/>
      <c r="F20" s="4" t="e">
        <f t="shared" si="4"/>
        <v>#DIV/0!</v>
      </c>
      <c r="G20"/>
      <c r="H20"/>
    </row>
    <row r="21" spans="1:8" hidden="1" x14ac:dyDescent="0.25">
      <c r="A21" s="113" t="s">
        <v>22</v>
      </c>
      <c r="B21" s="8">
        <f>SUM(B18:B20)</f>
        <v>0</v>
      </c>
      <c r="C21" s="8">
        <f>SUM(C18:C20)</f>
        <v>0</v>
      </c>
      <c r="D21" s="3" t="e">
        <f>(C21/B21)</f>
        <v>#DIV/0!</v>
      </c>
      <c r="E21" s="9">
        <f>SUM(E18:E20)</f>
        <v>0</v>
      </c>
      <c r="F21" s="5" t="e">
        <f>(E21/B21)</f>
        <v>#DIV/0!</v>
      </c>
      <c r="G21"/>
      <c r="H21"/>
    </row>
    <row r="22" spans="1:8" hidden="1" x14ac:dyDescent="0.25">
      <c r="A22" s="83" t="s">
        <v>13</v>
      </c>
      <c r="B22" s="114"/>
      <c r="C22" s="115"/>
      <c r="D22" s="2" t="e">
        <f t="shared" si="3"/>
        <v>#DIV/0!</v>
      </c>
      <c r="E22" s="116"/>
      <c r="F22" s="4" t="e">
        <f t="shared" si="4"/>
        <v>#DIV/0!</v>
      </c>
      <c r="G22"/>
      <c r="H22"/>
    </row>
    <row r="23" spans="1:8" hidden="1" x14ac:dyDescent="0.25">
      <c r="A23" s="83" t="s">
        <v>12</v>
      </c>
      <c r="B23" s="114"/>
      <c r="C23" s="115"/>
      <c r="D23" s="2" t="e">
        <f t="shared" si="3"/>
        <v>#DIV/0!</v>
      </c>
      <c r="E23" s="116"/>
      <c r="F23" s="4" t="e">
        <f t="shared" si="4"/>
        <v>#DIV/0!</v>
      </c>
      <c r="G23"/>
      <c r="H23"/>
    </row>
    <row r="24" spans="1:8" hidden="1" x14ac:dyDescent="0.25">
      <c r="A24" s="83" t="s">
        <v>11</v>
      </c>
      <c r="B24" s="114"/>
      <c r="C24" s="115"/>
      <c r="D24" s="2" t="e">
        <f t="shared" si="3"/>
        <v>#DIV/0!</v>
      </c>
      <c r="E24" s="116"/>
      <c r="F24" s="4" t="e">
        <f t="shared" si="4"/>
        <v>#DIV/0!</v>
      </c>
      <c r="G24"/>
      <c r="H24"/>
    </row>
    <row r="25" spans="1:8" hidden="1" x14ac:dyDescent="0.25">
      <c r="A25" s="83" t="s">
        <v>10</v>
      </c>
      <c r="B25" s="114"/>
      <c r="C25" s="115"/>
      <c r="D25" s="2" t="e">
        <f t="shared" si="3"/>
        <v>#DIV/0!</v>
      </c>
      <c r="E25" s="116"/>
      <c r="F25" s="4" t="e">
        <f t="shared" si="4"/>
        <v>#DIV/0!</v>
      </c>
      <c r="G25"/>
      <c r="H25"/>
    </row>
    <row r="26" spans="1:8" hidden="1" x14ac:dyDescent="0.25">
      <c r="A26" s="113" t="s">
        <v>14</v>
      </c>
      <c r="B26" s="8">
        <f>SUM(B22:B25)</f>
        <v>0</v>
      </c>
      <c r="C26" s="8">
        <f>SUM(C22:C25)</f>
        <v>0</v>
      </c>
      <c r="D26" s="3" t="e">
        <f>(C26/B26)</f>
        <v>#DIV/0!</v>
      </c>
      <c r="E26" s="9">
        <f>SUM(E22:E25)</f>
        <v>0</v>
      </c>
      <c r="F26" s="5" t="e">
        <f>(E26/B26)</f>
        <v>#DIV/0!</v>
      </c>
      <c r="G26"/>
      <c r="H26"/>
    </row>
    <row r="27" spans="1:8" hidden="1" x14ac:dyDescent="0.25">
      <c r="A27" s="117" t="s">
        <v>23</v>
      </c>
      <c r="B27" s="10">
        <f>+B13+B17+B21+B26</f>
        <v>251823863.07999998</v>
      </c>
      <c r="C27" s="10">
        <f>+C13+C17+C21+C26</f>
        <v>250049397.5</v>
      </c>
      <c r="D27" s="7">
        <f>(C27/B27)</f>
        <v>0.99295354475824138</v>
      </c>
      <c r="E27" s="11">
        <f>+E13+E17+E21+E26</f>
        <v>1774465.5799999945</v>
      </c>
      <c r="F27" s="6">
        <f>(E27/B27)</f>
        <v>7.0464552417587138E-3</v>
      </c>
      <c r="G27"/>
      <c r="H27"/>
    </row>
    <row r="28" spans="1:8" ht="0.75" customHeight="1" x14ac:dyDescent="0.25">
      <c r="A28" s="306" t="s">
        <v>24</v>
      </c>
      <c r="B28" s="307"/>
      <c r="C28" s="307"/>
      <c r="D28" s="307"/>
      <c r="E28" s="307"/>
      <c r="F28" s="307"/>
      <c r="G28"/>
      <c r="H28"/>
    </row>
    <row r="29" spans="1:8" ht="0.75" customHeight="1" x14ac:dyDescent="0.25">
      <c r="A29" s="287"/>
      <c r="B29" s="288"/>
      <c r="C29" s="288"/>
      <c r="D29" s="288"/>
      <c r="E29" s="288"/>
      <c r="F29" s="288"/>
      <c r="G29"/>
      <c r="H29"/>
    </row>
    <row r="30" spans="1:8" ht="11.25" customHeight="1" x14ac:dyDescent="0.25">
      <c r="A30" s="306" t="s">
        <v>255</v>
      </c>
      <c r="B30" s="307"/>
      <c r="C30" s="307"/>
      <c r="D30" s="307"/>
      <c r="E30" s="307"/>
      <c r="F30" s="307"/>
      <c r="G30"/>
      <c r="H30"/>
    </row>
    <row r="31" spans="1:8" ht="0.75" customHeight="1" x14ac:dyDescent="0.25">
      <c r="A31" s="287"/>
      <c r="B31" s="288"/>
      <c r="C31" s="288"/>
      <c r="D31" s="288"/>
      <c r="E31" s="288"/>
      <c r="F31" s="288"/>
      <c r="G31"/>
      <c r="H31"/>
    </row>
    <row r="32" spans="1:8" ht="12" customHeight="1" x14ac:dyDescent="0.25">
      <c r="A32" s="306" t="s">
        <v>235</v>
      </c>
      <c r="B32" s="307"/>
      <c r="C32" s="307"/>
      <c r="D32" s="307"/>
      <c r="E32" s="307"/>
      <c r="F32" s="307"/>
      <c r="G32"/>
      <c r="H32"/>
    </row>
    <row r="33" spans="1:9" x14ac:dyDescent="0.25">
      <c r="G33"/>
      <c r="H33"/>
      <c r="I33" s="241"/>
    </row>
    <row r="34" spans="1:9" x14ac:dyDescent="0.25">
      <c r="A34" s="287"/>
      <c r="B34" s="288"/>
      <c r="C34" s="288"/>
      <c r="D34" s="288"/>
      <c r="E34" s="288"/>
      <c r="F34" s="288"/>
      <c r="G34"/>
      <c r="H34"/>
      <c r="I34" s="241"/>
    </row>
    <row r="35" spans="1:9" x14ac:dyDescent="0.25">
      <c r="A35"/>
      <c r="B35"/>
      <c r="C35"/>
      <c r="D35"/>
      <c r="E35"/>
      <c r="F35"/>
      <c r="G35"/>
      <c r="H35"/>
    </row>
    <row r="36" spans="1:9" x14ac:dyDescent="0.25">
      <c r="A36"/>
      <c r="B36"/>
      <c r="C36"/>
      <c r="D36"/>
      <c r="E36"/>
      <c r="F36"/>
      <c r="G36"/>
      <c r="H36"/>
    </row>
    <row r="37" spans="1:9" x14ac:dyDescent="0.25">
      <c r="A37"/>
      <c r="B37"/>
      <c r="C37"/>
      <c r="D37"/>
      <c r="E37"/>
      <c r="F37"/>
      <c r="G37"/>
      <c r="H37"/>
    </row>
    <row r="38" spans="1:9" x14ac:dyDescent="0.25">
      <c r="A38"/>
      <c r="B38"/>
      <c r="C38"/>
      <c r="D38"/>
      <c r="E38"/>
      <c r="F38"/>
      <c r="G38"/>
      <c r="H38"/>
    </row>
    <row r="39" spans="1:9" x14ac:dyDescent="0.25">
      <c r="A39"/>
      <c r="B39"/>
      <c r="C39"/>
      <c r="D39"/>
      <c r="E39"/>
      <c r="F39"/>
      <c r="G39"/>
      <c r="H39"/>
    </row>
    <row r="40" spans="1:9" x14ac:dyDescent="0.25">
      <c r="A40"/>
      <c r="B40"/>
      <c r="C40"/>
      <c r="D40"/>
      <c r="E40"/>
      <c r="F40"/>
      <c r="G40"/>
      <c r="H40"/>
    </row>
    <row r="41" spans="1:9" x14ac:dyDescent="0.25">
      <c r="A41"/>
      <c r="B41"/>
      <c r="C41"/>
      <c r="D41"/>
      <c r="E41"/>
      <c r="F41"/>
      <c r="G41"/>
      <c r="H41"/>
    </row>
    <row r="42" spans="1:9" x14ac:dyDescent="0.25">
      <c r="A42"/>
      <c r="B42"/>
      <c r="C42"/>
      <c r="D42"/>
      <c r="E42"/>
      <c r="F42"/>
      <c r="G42"/>
      <c r="H42"/>
    </row>
    <row r="43" spans="1:9" x14ac:dyDescent="0.25">
      <c r="A43"/>
      <c r="B43"/>
      <c r="C43"/>
      <c r="D43"/>
      <c r="E43"/>
      <c r="F43"/>
      <c r="G43"/>
      <c r="H43"/>
    </row>
    <row r="44" spans="1:9" x14ac:dyDescent="0.25">
      <c r="A44"/>
      <c r="B44"/>
      <c r="C44"/>
      <c r="D44"/>
      <c r="E44"/>
      <c r="F44"/>
      <c r="G44"/>
      <c r="H44"/>
    </row>
    <row r="45" spans="1:9" x14ac:dyDescent="0.25">
      <c r="A45"/>
      <c r="B45"/>
      <c r="C45"/>
      <c r="D45"/>
      <c r="E45"/>
      <c r="F45"/>
      <c r="G45"/>
      <c r="H45"/>
    </row>
    <row r="46" spans="1:9" x14ac:dyDescent="0.25">
      <c r="A46"/>
      <c r="B46"/>
      <c r="C46"/>
      <c r="D46"/>
      <c r="E46"/>
      <c r="F46"/>
      <c r="G46"/>
      <c r="H46"/>
    </row>
    <row r="47" spans="1:9" x14ac:dyDescent="0.25">
      <c r="A47"/>
      <c r="B47"/>
      <c r="C47"/>
      <c r="D47"/>
      <c r="E47"/>
      <c r="F47"/>
      <c r="G47"/>
      <c r="H47"/>
    </row>
    <row r="48" spans="1:9" x14ac:dyDescent="0.25">
      <c r="A48"/>
      <c r="B48"/>
      <c r="C48"/>
      <c r="D48"/>
      <c r="E48"/>
      <c r="F48"/>
      <c r="G48"/>
      <c r="H48"/>
    </row>
    <row r="52" spans="1:6" x14ac:dyDescent="0.25">
      <c r="A52" s="83"/>
      <c r="B52" s="111"/>
      <c r="C52" s="111"/>
      <c r="D52" s="2"/>
      <c r="E52" s="112"/>
      <c r="F52" s="4"/>
    </row>
  </sheetData>
  <mergeCells count="12">
    <mergeCell ref="A30:F30"/>
    <mergeCell ref="A32:F32"/>
    <mergeCell ref="A28:F28"/>
    <mergeCell ref="B6:B7"/>
    <mergeCell ref="A6:A7"/>
    <mergeCell ref="A1:F1"/>
    <mergeCell ref="A2:F2"/>
    <mergeCell ref="A3:F3"/>
    <mergeCell ref="A5:F5"/>
    <mergeCell ref="C6:D7"/>
    <mergeCell ref="E6:F7"/>
    <mergeCell ref="A4:F4"/>
  </mergeCells>
  <pageMargins left="0.7" right="0.7" top="0.75" bottom="0.75" header="0.3" footer="0.3"/>
  <pageSetup paperSize="9" scale="99" orientation="portrait" r:id="rId1"/>
  <ignoredErrors>
    <ignoredError sqref="B10 D9:D10 E9:F10" unlockedFormula="1"/>
    <ignoredError sqref="D13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278C-BA39-4F00-919F-B47AB0755D7F}">
  <sheetPr>
    <tabColor rgb="FF00B0F0"/>
    <pageSetUpPr fitToPage="1"/>
  </sheetPr>
  <dimension ref="A1:Q44"/>
  <sheetViews>
    <sheetView showGridLines="0" topLeftCell="A7" zoomScale="115" zoomScaleNormal="115" workbookViewId="0">
      <selection activeCell="O31" sqref="O31"/>
    </sheetView>
  </sheetViews>
  <sheetFormatPr baseColWidth="10" defaultColWidth="11.42578125" defaultRowHeight="15" x14ac:dyDescent="0.25"/>
  <cols>
    <col min="1" max="1" width="11.42578125" style="1"/>
    <col min="2" max="15" width="13.42578125" style="1" customWidth="1"/>
    <col min="16" max="16384" width="11.42578125" style="1"/>
  </cols>
  <sheetData>
    <row r="1" spans="1:17" x14ac:dyDescent="0.25">
      <c r="A1" s="304" t="s">
        <v>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17" x14ac:dyDescent="0.25">
      <c r="A2" s="304" t="s">
        <v>65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</row>
    <row r="3" spans="1:17" x14ac:dyDescent="0.25">
      <c r="A3" s="304" t="s">
        <v>105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17" x14ac:dyDescent="0.25">
      <c r="A4" s="304" t="s">
        <v>238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22"/>
      <c r="Q4" s="22"/>
    </row>
    <row r="5" spans="1:17" x14ac:dyDescent="0.25">
      <c r="A5" s="304" t="s">
        <v>233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</row>
    <row r="6" spans="1:17" x14ac:dyDescent="0.25">
      <c r="A6" s="304" t="s">
        <v>106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</row>
    <row r="7" spans="1:17" ht="15" customHeight="1" x14ac:dyDescent="0.25">
      <c r="A7" s="138"/>
      <c r="B7" s="309" t="s">
        <v>107</v>
      </c>
      <c r="C7" s="309"/>
      <c r="D7" s="309" t="s">
        <v>108</v>
      </c>
      <c r="E7" s="309"/>
      <c r="F7" s="309" t="s">
        <v>109</v>
      </c>
      <c r="G7" s="309"/>
      <c r="H7" s="309" t="s">
        <v>110</v>
      </c>
      <c r="I7" s="309"/>
      <c r="J7" s="309" t="s">
        <v>111</v>
      </c>
      <c r="K7" s="309"/>
      <c r="L7" s="342" t="s">
        <v>112</v>
      </c>
      <c r="M7" s="342"/>
      <c r="N7" s="342" t="s">
        <v>23</v>
      </c>
      <c r="O7" s="342"/>
      <c r="P7"/>
      <c r="Q7"/>
    </row>
    <row r="8" spans="1:17" x14ac:dyDescent="0.25">
      <c r="A8" s="124" t="s">
        <v>3</v>
      </c>
      <c r="B8" s="124" t="s">
        <v>113</v>
      </c>
      <c r="C8" s="124" t="s">
        <v>7</v>
      </c>
      <c r="D8" s="124" t="s">
        <v>113</v>
      </c>
      <c r="E8" s="124" t="s">
        <v>7</v>
      </c>
      <c r="F8" s="124" t="s">
        <v>113</v>
      </c>
      <c r="G8" s="124" t="s">
        <v>7</v>
      </c>
      <c r="H8" s="124" t="s">
        <v>113</v>
      </c>
      <c r="I8" s="124" t="s">
        <v>7</v>
      </c>
      <c r="J8" s="124" t="s">
        <v>113</v>
      </c>
      <c r="K8" s="124" t="s">
        <v>7</v>
      </c>
      <c r="L8" s="124" t="s">
        <v>113</v>
      </c>
      <c r="M8" s="124" t="s">
        <v>7</v>
      </c>
      <c r="N8" s="124" t="s">
        <v>113</v>
      </c>
      <c r="O8" s="124" t="s">
        <v>7</v>
      </c>
      <c r="P8"/>
      <c r="Q8"/>
    </row>
    <row r="9" spans="1:17" x14ac:dyDescent="0.25">
      <c r="A9" s="156" t="s">
        <v>11</v>
      </c>
      <c r="B9" s="139">
        <v>1183</v>
      </c>
      <c r="C9" s="202">
        <v>14517842.33</v>
      </c>
      <c r="D9" s="139">
        <v>167</v>
      </c>
      <c r="E9" s="202">
        <v>2417944.84</v>
      </c>
      <c r="F9" s="139">
        <v>49</v>
      </c>
      <c r="G9" s="202">
        <v>694140.48</v>
      </c>
      <c r="H9" s="139">
        <v>66</v>
      </c>
      <c r="I9" s="202">
        <v>821641.90999999992</v>
      </c>
      <c r="J9" s="139">
        <v>443</v>
      </c>
      <c r="K9" s="202">
        <v>5948332.0099999998</v>
      </c>
      <c r="L9" s="139">
        <v>85</v>
      </c>
      <c r="M9" s="202">
        <v>850422.33</v>
      </c>
      <c r="N9" s="47">
        <f>(B9+D9+F9)-(J9+L9)</f>
        <v>871</v>
      </c>
      <c r="O9" s="225">
        <f>(C9+E9+G9+I9)-(K9+M9)</f>
        <v>11652815.220000003</v>
      </c>
      <c r="P9"/>
      <c r="Q9"/>
    </row>
    <row r="10" spans="1:17" x14ac:dyDescent="0.25">
      <c r="A10" s="156" t="s">
        <v>239</v>
      </c>
      <c r="B10" s="139">
        <v>3372</v>
      </c>
      <c r="C10" s="202">
        <v>40336246.400000006</v>
      </c>
      <c r="D10" s="139">
        <v>199</v>
      </c>
      <c r="E10" s="202">
        <v>3004757.8200000003</v>
      </c>
      <c r="F10" s="139">
        <v>58</v>
      </c>
      <c r="G10" s="202">
        <v>923995</v>
      </c>
      <c r="H10" s="139">
        <v>57</v>
      </c>
      <c r="I10" s="202">
        <v>954483.34000000008</v>
      </c>
      <c r="J10" s="139">
        <v>609</v>
      </c>
      <c r="K10" s="202">
        <v>8021628.2300000004</v>
      </c>
      <c r="L10" s="139">
        <v>158</v>
      </c>
      <c r="M10" s="202">
        <v>2120445.58</v>
      </c>
      <c r="N10" s="47">
        <f>(B10+D10+F10)-(J10+L10)</f>
        <v>2862</v>
      </c>
      <c r="O10" s="225">
        <f>(C10+E10+G10+I10)-(K10+M10)</f>
        <v>35077408.750000007</v>
      </c>
      <c r="P10"/>
      <c r="Q10"/>
    </row>
    <row r="11" spans="1:17" x14ac:dyDescent="0.25">
      <c r="A11" s="156" t="s">
        <v>13</v>
      </c>
      <c r="B11" s="139">
        <v>2085</v>
      </c>
      <c r="C11" s="202">
        <v>19571690.219999999</v>
      </c>
      <c r="D11" s="139">
        <v>146</v>
      </c>
      <c r="E11" s="202">
        <v>2427345.61</v>
      </c>
      <c r="F11" s="139">
        <v>55</v>
      </c>
      <c r="G11" s="202">
        <v>796242.26</v>
      </c>
      <c r="H11" s="139">
        <v>16</v>
      </c>
      <c r="I11" s="202">
        <v>597030.89999999991</v>
      </c>
      <c r="J11" s="139">
        <v>501</v>
      </c>
      <c r="K11" s="202">
        <v>6493111.3500000006</v>
      </c>
      <c r="L11" s="139">
        <v>176</v>
      </c>
      <c r="M11" s="202">
        <v>2299005.31</v>
      </c>
      <c r="N11" s="47">
        <f>(B11+D11+F11)-(J11+L11)</f>
        <v>1609</v>
      </c>
      <c r="O11" s="225">
        <f>(C11+E11+G11+I11)-(K11+M11)</f>
        <v>14600192.329999998</v>
      </c>
      <c r="P11"/>
      <c r="Q11"/>
    </row>
    <row r="12" spans="1:17" x14ac:dyDescent="0.25">
      <c r="A12" s="46" t="s">
        <v>249</v>
      </c>
      <c r="B12" s="8">
        <f t="shared" ref="B12:I12" si="0">SUM(B9:B11)</f>
        <v>6640</v>
      </c>
      <c r="C12" s="209">
        <f t="shared" si="0"/>
        <v>74425778.950000003</v>
      </c>
      <c r="D12" s="8">
        <f t="shared" si="0"/>
        <v>512</v>
      </c>
      <c r="E12" s="209">
        <f t="shared" si="0"/>
        <v>7850048.2699999996</v>
      </c>
      <c r="F12" s="8">
        <f t="shared" si="0"/>
        <v>162</v>
      </c>
      <c r="G12" s="209">
        <f t="shared" si="0"/>
        <v>2414377.7400000002</v>
      </c>
      <c r="H12" s="8">
        <f t="shared" si="0"/>
        <v>139</v>
      </c>
      <c r="I12" s="209">
        <f t="shared" si="0"/>
        <v>2373156.15</v>
      </c>
      <c r="J12" s="8">
        <f t="shared" ref="J12:M12" si="1">SUM(J9:J11)</f>
        <v>1553</v>
      </c>
      <c r="K12" s="209">
        <f t="shared" si="1"/>
        <v>20463071.59</v>
      </c>
      <c r="L12" s="8">
        <f t="shared" si="1"/>
        <v>419</v>
      </c>
      <c r="M12" s="209">
        <f t="shared" si="1"/>
        <v>5269873.2200000007</v>
      </c>
      <c r="N12" s="8">
        <f>SUM(N9:N11)</f>
        <v>5342</v>
      </c>
      <c r="O12" s="208">
        <f>SUM(O9:O11)</f>
        <v>61330416.300000012</v>
      </c>
      <c r="P12"/>
      <c r="Q12"/>
    </row>
    <row r="13" spans="1:17" hidden="1" x14ac:dyDescent="0.25">
      <c r="A13" s="70" t="s">
        <v>15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47">
        <f t="shared" ref="N13:N23" si="2">+B13-(J13+L13)</f>
        <v>0</v>
      </c>
      <c r="O13" s="47">
        <f t="shared" ref="O13:O23" si="3">+K13+M13+I13+C13</f>
        <v>0</v>
      </c>
      <c r="P13"/>
      <c r="Q13"/>
    </row>
    <row r="14" spans="1:17" hidden="1" x14ac:dyDescent="0.25">
      <c r="A14" s="70" t="s">
        <v>16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47">
        <f t="shared" si="2"/>
        <v>0</v>
      </c>
      <c r="O14" s="47">
        <f t="shared" si="3"/>
        <v>0</v>
      </c>
      <c r="P14"/>
      <c r="Q14"/>
    </row>
    <row r="15" spans="1:17" hidden="1" x14ac:dyDescent="0.25">
      <c r="A15" s="70" t="s">
        <v>17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47">
        <f t="shared" si="2"/>
        <v>0</v>
      </c>
      <c r="O15" s="47">
        <f t="shared" si="3"/>
        <v>0</v>
      </c>
      <c r="P15"/>
      <c r="Q15"/>
    </row>
    <row r="16" spans="1:17" hidden="1" x14ac:dyDescent="0.25">
      <c r="A16" s="46" t="s">
        <v>18</v>
      </c>
      <c r="B16" s="8">
        <f t="shared" ref="B16:O16" si="4">SUM(B13:B15)</f>
        <v>0</v>
      </c>
      <c r="C16" s="8">
        <f t="shared" si="4"/>
        <v>0</v>
      </c>
      <c r="D16" s="8"/>
      <c r="E16" s="8"/>
      <c r="F16" s="8"/>
      <c r="G16" s="8"/>
      <c r="H16" s="8">
        <f t="shared" si="4"/>
        <v>0</v>
      </c>
      <c r="I16" s="8">
        <f t="shared" si="4"/>
        <v>0</v>
      </c>
      <c r="J16" s="8">
        <f t="shared" si="4"/>
        <v>0</v>
      </c>
      <c r="K16" s="8">
        <f t="shared" si="4"/>
        <v>0</v>
      </c>
      <c r="L16" s="8">
        <f t="shared" si="4"/>
        <v>0</v>
      </c>
      <c r="M16" s="8">
        <f t="shared" si="4"/>
        <v>0</v>
      </c>
      <c r="N16" s="8">
        <f t="shared" si="4"/>
        <v>0</v>
      </c>
      <c r="O16" s="8">
        <f t="shared" si="4"/>
        <v>0</v>
      </c>
      <c r="P16"/>
      <c r="Q16"/>
    </row>
    <row r="17" spans="1:17" hidden="1" x14ac:dyDescent="0.25">
      <c r="A17" s="70" t="s">
        <v>34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47">
        <f t="shared" si="2"/>
        <v>0</v>
      </c>
      <c r="O17" s="47">
        <f t="shared" si="3"/>
        <v>0</v>
      </c>
      <c r="P17"/>
      <c r="Q17"/>
    </row>
    <row r="18" spans="1:17" hidden="1" x14ac:dyDescent="0.25">
      <c r="A18" s="70" t="s">
        <v>20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47">
        <f t="shared" si="2"/>
        <v>0</v>
      </c>
      <c r="O18" s="47">
        <f t="shared" si="3"/>
        <v>0</v>
      </c>
      <c r="P18"/>
      <c r="Q18"/>
    </row>
    <row r="19" spans="1:17" hidden="1" x14ac:dyDescent="0.25">
      <c r="A19" s="70" t="s">
        <v>21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47">
        <f t="shared" si="2"/>
        <v>0</v>
      </c>
      <c r="O19" s="47">
        <f t="shared" si="3"/>
        <v>0</v>
      </c>
      <c r="P19"/>
      <c r="Q19"/>
    </row>
    <row r="20" spans="1:17" hidden="1" x14ac:dyDescent="0.25">
      <c r="A20" s="46" t="s">
        <v>22</v>
      </c>
      <c r="B20" s="8">
        <f t="shared" ref="B20:O20" si="5">SUM(B17:B19)</f>
        <v>0</v>
      </c>
      <c r="C20" s="8">
        <f t="shared" si="5"/>
        <v>0</v>
      </c>
      <c r="D20" s="8"/>
      <c r="E20" s="8"/>
      <c r="F20" s="8"/>
      <c r="G20" s="8"/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 t="shared" si="5"/>
        <v>0</v>
      </c>
      <c r="N20" s="8">
        <f t="shared" si="5"/>
        <v>0</v>
      </c>
      <c r="O20" s="8">
        <f t="shared" si="5"/>
        <v>0</v>
      </c>
      <c r="P20"/>
      <c r="Q20"/>
    </row>
    <row r="21" spans="1:17" hidden="1" x14ac:dyDescent="0.25">
      <c r="A21" s="70" t="s">
        <v>13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47">
        <f t="shared" si="2"/>
        <v>0</v>
      </c>
      <c r="O21" s="47">
        <f t="shared" si="3"/>
        <v>0</v>
      </c>
      <c r="P21"/>
      <c r="Q21"/>
    </row>
    <row r="22" spans="1:17" hidden="1" x14ac:dyDescent="0.25">
      <c r="A22" s="70" t="s">
        <v>12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47">
        <f t="shared" si="2"/>
        <v>0</v>
      </c>
      <c r="O22" s="47">
        <f t="shared" si="3"/>
        <v>0</v>
      </c>
      <c r="P22"/>
      <c r="Q22"/>
    </row>
    <row r="23" spans="1:17" hidden="1" x14ac:dyDescent="0.25">
      <c r="A23" s="70" t="s">
        <v>11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47">
        <f t="shared" si="2"/>
        <v>0</v>
      </c>
      <c r="O23" s="47">
        <f t="shared" si="3"/>
        <v>0</v>
      </c>
      <c r="P23"/>
      <c r="Q23"/>
    </row>
    <row r="24" spans="1:17" hidden="1" x14ac:dyDescent="0.25">
      <c r="A24" s="46" t="s">
        <v>14</v>
      </c>
      <c r="B24" s="8">
        <f t="shared" ref="B24:O24" si="6">SUM(B21:B23)</f>
        <v>0</v>
      </c>
      <c r="C24" s="8">
        <f t="shared" si="6"/>
        <v>0</v>
      </c>
      <c r="D24" s="8"/>
      <c r="E24" s="8"/>
      <c r="F24" s="8"/>
      <c r="G24" s="8"/>
      <c r="H24" s="8">
        <f t="shared" si="6"/>
        <v>0</v>
      </c>
      <c r="I24" s="8">
        <f t="shared" si="6"/>
        <v>0</v>
      </c>
      <c r="J24" s="8">
        <f t="shared" si="6"/>
        <v>0</v>
      </c>
      <c r="K24" s="8">
        <f t="shared" si="6"/>
        <v>0</v>
      </c>
      <c r="L24" s="8">
        <f t="shared" si="6"/>
        <v>0</v>
      </c>
      <c r="M24" s="8">
        <f t="shared" si="6"/>
        <v>0</v>
      </c>
      <c r="N24" s="8">
        <f t="shared" si="6"/>
        <v>0</v>
      </c>
      <c r="O24" s="8">
        <f t="shared" si="6"/>
        <v>0</v>
      </c>
      <c r="P24"/>
      <c r="Q24"/>
    </row>
    <row r="25" spans="1:17" hidden="1" x14ac:dyDescent="0.25">
      <c r="A25" s="49" t="s">
        <v>23</v>
      </c>
      <c r="B25" s="50">
        <f>+B12+B16+B20+B24</f>
        <v>6640</v>
      </c>
      <c r="C25" s="48">
        <f t="shared" ref="C25:O25" si="7">+C12+C16+C20+C24</f>
        <v>74425778.950000003</v>
      </c>
      <c r="D25" s="48"/>
      <c r="E25" s="48"/>
      <c r="F25" s="48"/>
      <c r="G25" s="48"/>
      <c r="H25" s="48">
        <f t="shared" si="7"/>
        <v>139</v>
      </c>
      <c r="I25" s="48">
        <f t="shared" si="7"/>
        <v>2373156.15</v>
      </c>
      <c r="J25" s="48">
        <f t="shared" si="7"/>
        <v>1553</v>
      </c>
      <c r="K25" s="48">
        <f t="shared" si="7"/>
        <v>20463071.59</v>
      </c>
      <c r="L25" s="48">
        <f t="shared" si="7"/>
        <v>419</v>
      </c>
      <c r="M25" s="48">
        <f t="shared" si="7"/>
        <v>5269873.2200000007</v>
      </c>
      <c r="N25" s="48">
        <f t="shared" si="7"/>
        <v>5342</v>
      </c>
      <c r="O25" s="48">
        <f t="shared" si="7"/>
        <v>61330416.300000012</v>
      </c>
      <c r="P25"/>
      <c r="Q25"/>
    </row>
    <row r="26" spans="1:17" x14ac:dyDescent="0.25">
      <c r="A26" s="119" t="s">
        <v>83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15" customFormat="1" ht="11.25" x14ac:dyDescent="0.2">
      <c r="A27" s="177"/>
      <c r="B27" s="122"/>
      <c r="C27" s="122"/>
      <c r="D27" s="122"/>
      <c r="E27" s="122"/>
      <c r="F27" s="122"/>
      <c r="G27" s="122"/>
      <c r="H27" s="122"/>
      <c r="I27" s="122"/>
      <c r="J27" s="119"/>
      <c r="K27" s="119"/>
      <c r="L27" s="119"/>
      <c r="M27" s="119"/>
      <c r="N27" s="119"/>
      <c r="O27" s="119"/>
      <c r="P27" s="119"/>
      <c r="Q27" s="119"/>
    </row>
    <row r="28" spans="1:17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2" spans="1:17" x14ac:dyDescent="0.25">
      <c r="B42" s="70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47"/>
      <c r="P42" s="79"/>
    </row>
    <row r="44" spans="1:17" x14ac:dyDescent="0.25">
      <c r="B44" s="70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47"/>
      <c r="P44" s="79"/>
    </row>
  </sheetData>
  <mergeCells count="13">
    <mergeCell ref="N7:O7"/>
    <mergeCell ref="B7:C7"/>
    <mergeCell ref="D7:E7"/>
    <mergeCell ref="F7:G7"/>
    <mergeCell ref="H7:I7"/>
    <mergeCell ref="J7:K7"/>
    <mergeCell ref="L7:M7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9" scale="5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5:H72"/>
  <sheetViews>
    <sheetView topLeftCell="A10" workbookViewId="0">
      <selection activeCell="H23" sqref="H23"/>
    </sheetView>
  </sheetViews>
  <sheetFormatPr baseColWidth="10" defaultColWidth="11.42578125" defaultRowHeight="15" x14ac:dyDescent="0.25"/>
  <cols>
    <col min="1" max="1" width="18.42578125" customWidth="1"/>
    <col min="3" max="3" width="18.140625" customWidth="1"/>
    <col min="6" max="6" width="13.7109375" bestFit="1" customWidth="1"/>
  </cols>
  <sheetData>
    <row r="5" spans="1:8" x14ac:dyDescent="0.25">
      <c r="A5" t="s">
        <v>114</v>
      </c>
    </row>
    <row r="6" spans="1:8" x14ac:dyDescent="0.25">
      <c r="A6" t="s">
        <v>115</v>
      </c>
      <c r="B6" t="s">
        <v>116</v>
      </c>
      <c r="C6" s="74">
        <v>31310</v>
      </c>
      <c r="D6" s="95">
        <v>0.2</v>
      </c>
      <c r="E6" s="74">
        <v>391848281</v>
      </c>
      <c r="F6" s="95">
        <v>0.19</v>
      </c>
    </row>
    <row r="7" spans="1:8" x14ac:dyDescent="0.25">
      <c r="A7" t="s">
        <v>117</v>
      </c>
      <c r="B7" s="74">
        <v>58606</v>
      </c>
      <c r="C7" s="95">
        <v>0.37</v>
      </c>
      <c r="D7" s="74">
        <v>502596251</v>
      </c>
      <c r="E7" s="95">
        <v>0.25</v>
      </c>
    </row>
    <row r="8" spans="1:8" x14ac:dyDescent="0.25">
      <c r="A8" t="s">
        <v>118</v>
      </c>
      <c r="B8" t="s">
        <v>119</v>
      </c>
      <c r="C8" t="s">
        <v>120</v>
      </c>
      <c r="D8">
        <v>280</v>
      </c>
      <c r="E8" s="96">
        <v>2E-3</v>
      </c>
      <c r="F8" s="74">
        <v>4723136</v>
      </c>
      <c r="G8" s="96">
        <v>2E-3</v>
      </c>
    </row>
    <row r="9" spans="1:8" x14ac:dyDescent="0.25">
      <c r="A9" t="s">
        <v>121</v>
      </c>
      <c r="B9" t="s">
        <v>122</v>
      </c>
      <c r="C9" t="s">
        <v>123</v>
      </c>
      <c r="D9" t="s">
        <v>124</v>
      </c>
      <c r="E9">
        <v>164</v>
      </c>
      <c r="F9" s="96">
        <v>1E-3</v>
      </c>
      <c r="G9" s="74">
        <v>4627394</v>
      </c>
      <c r="H9" s="96">
        <v>2E-3</v>
      </c>
    </row>
    <row r="10" spans="1:8" x14ac:dyDescent="0.25">
      <c r="A10" t="s">
        <v>125</v>
      </c>
      <c r="B10" t="s">
        <v>126</v>
      </c>
      <c r="C10">
        <v>311</v>
      </c>
      <c r="D10" s="96">
        <v>2E-3</v>
      </c>
      <c r="E10" s="74">
        <v>8307901</v>
      </c>
      <c r="F10" s="96">
        <v>4.0000000000000001E-3</v>
      </c>
    </row>
    <row r="11" spans="1:8" x14ac:dyDescent="0.25">
      <c r="A11" t="s">
        <v>125</v>
      </c>
      <c r="B11" t="s">
        <v>127</v>
      </c>
      <c r="C11" s="74">
        <v>19019</v>
      </c>
      <c r="D11" s="95">
        <v>0.12</v>
      </c>
      <c r="E11" s="74">
        <v>425653300</v>
      </c>
      <c r="F11" s="95">
        <v>0.21</v>
      </c>
    </row>
    <row r="12" spans="1:8" x14ac:dyDescent="0.25">
      <c r="A12" t="s">
        <v>128</v>
      </c>
      <c r="B12" t="s">
        <v>129</v>
      </c>
      <c r="C12" s="74">
        <v>21131</v>
      </c>
      <c r="D12" s="95">
        <v>0.13</v>
      </c>
      <c r="E12" s="74">
        <v>448771667</v>
      </c>
      <c r="F12" s="95">
        <v>0.22</v>
      </c>
    </row>
    <row r="13" spans="1:8" x14ac:dyDescent="0.25">
      <c r="A13" t="s">
        <v>115</v>
      </c>
      <c r="B13" t="s">
        <v>130</v>
      </c>
      <c r="C13" s="74">
        <v>10163</v>
      </c>
      <c r="D13" s="95">
        <v>0.06</v>
      </c>
      <c r="E13" s="74">
        <v>60978000</v>
      </c>
      <c r="F13" s="95">
        <v>0.03</v>
      </c>
    </row>
    <row r="14" spans="1:8" x14ac:dyDescent="0.25">
      <c r="A14" t="s">
        <v>131</v>
      </c>
      <c r="B14" t="s">
        <v>132</v>
      </c>
      <c r="C14" t="s">
        <v>133</v>
      </c>
      <c r="D14" s="74">
        <v>16719</v>
      </c>
      <c r="E14" s="95">
        <v>0.11</v>
      </c>
      <c r="F14" s="74">
        <v>171659274</v>
      </c>
      <c r="G14" s="95">
        <v>0.09</v>
      </c>
    </row>
    <row r="17" spans="1:7" x14ac:dyDescent="0.25">
      <c r="A17" t="s">
        <v>134</v>
      </c>
      <c r="B17" t="s">
        <v>135</v>
      </c>
      <c r="C17" t="s">
        <v>52</v>
      </c>
      <c r="D17" t="s">
        <v>136</v>
      </c>
      <c r="E17" t="s">
        <v>52</v>
      </c>
    </row>
    <row r="18" spans="1:7" x14ac:dyDescent="0.25">
      <c r="A18" t="s">
        <v>137</v>
      </c>
      <c r="B18" t="s">
        <v>138</v>
      </c>
      <c r="C18" t="s">
        <v>139</v>
      </c>
      <c r="D18">
        <v>42</v>
      </c>
      <c r="E18" s="96">
        <v>2.9999999999999997E-4</v>
      </c>
      <c r="F18" s="97">
        <v>167356.85</v>
      </c>
      <c r="G18" s="95">
        <v>0</v>
      </c>
    </row>
    <row r="19" spans="1:7" x14ac:dyDescent="0.25">
      <c r="A19" t="s">
        <v>140</v>
      </c>
      <c r="B19" t="s">
        <v>141</v>
      </c>
      <c r="C19" t="s">
        <v>142</v>
      </c>
      <c r="D19">
        <v>1</v>
      </c>
      <c r="E19" s="96">
        <v>0</v>
      </c>
      <c r="F19" s="97">
        <v>5117.5</v>
      </c>
      <c r="G19" s="95">
        <v>0</v>
      </c>
    </row>
    <row r="20" spans="1:7" x14ac:dyDescent="0.25">
      <c r="A20" s="97">
        <v>5117.5</v>
      </c>
      <c r="B20" t="s">
        <v>103</v>
      </c>
      <c r="C20" s="97">
        <v>10000</v>
      </c>
      <c r="D20" s="74">
        <v>93522</v>
      </c>
      <c r="E20" s="96">
        <v>0.73980000000000001</v>
      </c>
      <c r="F20" s="97">
        <v>750253033.45000005</v>
      </c>
      <c r="G20" s="95">
        <v>0.5</v>
      </c>
    </row>
    <row r="21" spans="1:7" x14ac:dyDescent="0.25">
      <c r="A21" s="97">
        <v>10000</v>
      </c>
      <c r="B21" t="s">
        <v>103</v>
      </c>
      <c r="C21" s="97">
        <v>20000</v>
      </c>
      <c r="D21" s="74">
        <v>18138</v>
      </c>
      <c r="E21" s="96">
        <v>0.14349999999999999</v>
      </c>
      <c r="F21" s="97">
        <v>227429836.90000001</v>
      </c>
      <c r="G21" s="95">
        <v>0.15</v>
      </c>
    </row>
    <row r="22" spans="1:7" x14ac:dyDescent="0.25">
      <c r="A22" s="97">
        <v>20000</v>
      </c>
      <c r="B22" t="s">
        <v>103</v>
      </c>
      <c r="C22" s="97">
        <v>30000</v>
      </c>
      <c r="D22" s="74">
        <v>6578</v>
      </c>
      <c r="E22" s="96">
        <v>5.1999999999999998E-2</v>
      </c>
      <c r="F22" s="97">
        <v>161421192.27000001</v>
      </c>
      <c r="G22" s="95">
        <v>0.11</v>
      </c>
    </row>
    <row r="23" spans="1:7" x14ac:dyDescent="0.25">
      <c r="A23" s="97">
        <v>30000</v>
      </c>
      <c r="B23" t="s">
        <v>103</v>
      </c>
      <c r="C23" s="97">
        <v>40000</v>
      </c>
      <c r="D23" s="74">
        <v>3651</v>
      </c>
      <c r="E23" s="96">
        <v>2.8899999999999999E-2</v>
      </c>
      <c r="F23" s="97">
        <v>122505219.92</v>
      </c>
      <c r="G23" s="95">
        <v>0.08</v>
      </c>
    </row>
    <row r="24" spans="1:7" x14ac:dyDescent="0.25">
      <c r="A24" s="97">
        <v>40000</v>
      </c>
      <c r="B24" t="s">
        <v>103</v>
      </c>
      <c r="C24" s="97">
        <v>50000</v>
      </c>
      <c r="D24" s="74">
        <v>2228</v>
      </c>
      <c r="E24" s="96">
        <v>1.7600000000000001E-2</v>
      </c>
      <c r="F24" s="97">
        <v>96897867.079999998</v>
      </c>
      <c r="G24" s="95">
        <v>0.06</v>
      </c>
    </row>
    <row r="25" spans="1:7" x14ac:dyDescent="0.25">
      <c r="A25" s="97">
        <v>50000</v>
      </c>
      <c r="B25" t="s">
        <v>103</v>
      </c>
      <c r="C25" s="97">
        <v>60000</v>
      </c>
      <c r="D25" s="74">
        <v>1212</v>
      </c>
      <c r="E25" s="96">
        <v>9.5999999999999992E-3</v>
      </c>
      <c r="F25" s="97">
        <v>63870772.049999997</v>
      </c>
      <c r="G25" s="95">
        <v>0.04</v>
      </c>
    </row>
    <row r="26" spans="1:7" x14ac:dyDescent="0.25">
      <c r="A26" s="97">
        <v>60000</v>
      </c>
      <c r="B26" t="s">
        <v>103</v>
      </c>
      <c r="C26" s="97">
        <v>70000</v>
      </c>
      <c r="D26">
        <v>256</v>
      </c>
      <c r="E26" s="96">
        <v>2E-3</v>
      </c>
      <c r="F26" s="97">
        <v>15987935.460000001</v>
      </c>
      <c r="G26" s="95">
        <v>0.01</v>
      </c>
    </row>
    <row r="27" spans="1:7" x14ac:dyDescent="0.25">
      <c r="A27" s="97">
        <v>70000</v>
      </c>
      <c r="B27" t="s">
        <v>103</v>
      </c>
      <c r="C27" s="97">
        <v>80000</v>
      </c>
      <c r="D27">
        <v>185</v>
      </c>
      <c r="E27" s="96">
        <v>1.5E-3</v>
      </c>
      <c r="F27" s="97">
        <v>13603340.310000001</v>
      </c>
      <c r="G27" s="95">
        <v>0.01</v>
      </c>
    </row>
    <row r="28" spans="1:7" x14ac:dyDescent="0.25">
      <c r="A28" s="97">
        <v>80000</v>
      </c>
      <c r="B28" t="s">
        <v>103</v>
      </c>
      <c r="C28" s="97">
        <v>90000</v>
      </c>
      <c r="D28">
        <v>246</v>
      </c>
      <c r="E28" s="96">
        <v>1.9E-3</v>
      </c>
      <c r="F28" s="97">
        <v>20637258.829999998</v>
      </c>
      <c r="G28" s="95">
        <v>0.01</v>
      </c>
    </row>
    <row r="29" spans="1:7" x14ac:dyDescent="0.25">
      <c r="A29" s="97">
        <v>90000</v>
      </c>
      <c r="B29" t="s">
        <v>103</v>
      </c>
      <c r="C29" s="97">
        <v>100000</v>
      </c>
      <c r="D29">
        <v>300</v>
      </c>
      <c r="E29" s="96">
        <v>2.3999999999999998E-3</v>
      </c>
      <c r="F29" s="97">
        <v>28790914.350000001</v>
      </c>
      <c r="G29" s="95">
        <v>0.02</v>
      </c>
    </row>
    <row r="30" spans="1:7" x14ac:dyDescent="0.25">
      <c r="A30" t="s">
        <v>143</v>
      </c>
      <c r="B30">
        <v>50</v>
      </c>
      <c r="C30" s="96">
        <v>4.0000000000000002E-4</v>
      </c>
      <c r="D30" s="97">
        <v>7845693.5999999996</v>
      </c>
      <c r="E30" s="95">
        <v>0.01</v>
      </c>
    </row>
    <row r="32" spans="1:7" x14ac:dyDescent="0.25">
      <c r="A32" t="s">
        <v>134</v>
      </c>
      <c r="B32" t="s">
        <v>135</v>
      </c>
      <c r="C32" t="s">
        <v>52</v>
      </c>
      <c r="D32" t="s">
        <v>136</v>
      </c>
      <c r="E32" t="s">
        <v>52</v>
      </c>
    </row>
    <row r="33" spans="1:7" x14ac:dyDescent="0.25">
      <c r="A33" t="s">
        <v>144</v>
      </c>
      <c r="B33">
        <v>8</v>
      </c>
      <c r="C33" s="96">
        <v>1E-4</v>
      </c>
      <c r="D33" s="74">
        <v>120807</v>
      </c>
      <c r="E33" s="96">
        <v>1E-4</v>
      </c>
    </row>
    <row r="34" spans="1:7" x14ac:dyDescent="0.25">
      <c r="A34" t="s">
        <v>145</v>
      </c>
      <c r="B34">
        <v>105</v>
      </c>
      <c r="C34" s="96">
        <v>8.9999999999999998E-4</v>
      </c>
      <c r="D34" s="74">
        <v>1623898</v>
      </c>
      <c r="E34" s="96">
        <v>1.1000000000000001E-3</v>
      </c>
    </row>
    <row r="35" spans="1:7" x14ac:dyDescent="0.25">
      <c r="A35" t="s">
        <v>146</v>
      </c>
      <c r="B35">
        <v>662</v>
      </c>
      <c r="C35" s="96">
        <v>5.7999999999999996E-3</v>
      </c>
      <c r="D35" s="74">
        <v>8844351</v>
      </c>
      <c r="E35" s="96">
        <v>5.8999999999999999E-3</v>
      </c>
    </row>
    <row r="36" spans="1:7" x14ac:dyDescent="0.25">
      <c r="A36" t="s">
        <v>147</v>
      </c>
      <c r="B36" s="74">
        <v>3613</v>
      </c>
      <c r="C36" s="96">
        <v>3.1699999999999999E-2</v>
      </c>
      <c r="D36" s="74">
        <v>58835635</v>
      </c>
      <c r="E36" s="96">
        <v>3.9E-2</v>
      </c>
    </row>
    <row r="37" spans="1:7" x14ac:dyDescent="0.25">
      <c r="A37" t="s">
        <v>148</v>
      </c>
      <c r="B37" s="74">
        <v>37680</v>
      </c>
      <c r="C37" s="96">
        <v>0.3306</v>
      </c>
      <c r="D37" s="74">
        <v>525796423</v>
      </c>
      <c r="E37" s="96">
        <v>0.3483</v>
      </c>
    </row>
    <row r="38" spans="1:7" x14ac:dyDescent="0.25">
      <c r="A38" t="s">
        <v>149</v>
      </c>
      <c r="B38" s="74">
        <v>44491</v>
      </c>
      <c r="C38" s="96">
        <v>0.39040000000000002</v>
      </c>
      <c r="D38" s="74">
        <v>593494378</v>
      </c>
      <c r="E38" s="96">
        <v>0.39319999999999999</v>
      </c>
    </row>
    <row r="39" spans="1:7" x14ac:dyDescent="0.25">
      <c r="A39" t="s">
        <v>150</v>
      </c>
      <c r="B39" s="74">
        <v>22199</v>
      </c>
      <c r="C39" s="96">
        <v>0.1948</v>
      </c>
      <c r="D39" s="74">
        <v>263071212</v>
      </c>
      <c r="E39" s="96">
        <v>0.17430000000000001</v>
      </c>
    </row>
    <row r="40" spans="1:7" x14ac:dyDescent="0.25">
      <c r="A40" t="s">
        <v>151</v>
      </c>
      <c r="B40" s="74">
        <v>4787</v>
      </c>
      <c r="C40" s="96">
        <v>4.2000000000000003E-2</v>
      </c>
      <c r="D40" s="74">
        <v>53293459</v>
      </c>
      <c r="E40" s="96">
        <v>3.5299999999999998E-2</v>
      </c>
    </row>
    <row r="41" spans="1:7" x14ac:dyDescent="0.25">
      <c r="A41">
        <v>100</v>
      </c>
      <c r="B41">
        <v>273</v>
      </c>
      <c r="C41" s="96">
        <v>2.3999999999999998E-3</v>
      </c>
      <c r="D41" s="74">
        <v>3036509</v>
      </c>
      <c r="E41" s="96">
        <v>2E-3</v>
      </c>
    </row>
    <row r="42" spans="1:7" x14ac:dyDescent="0.25">
      <c r="A42">
        <v>0</v>
      </c>
      <c r="B42">
        <v>148</v>
      </c>
      <c r="C42" s="96">
        <v>1.2999999999999999E-3</v>
      </c>
      <c r="D42" s="74">
        <v>1202867</v>
      </c>
      <c r="E42" s="96">
        <v>8.0000000000000004E-4</v>
      </c>
    </row>
    <row r="43" spans="1:7" x14ac:dyDescent="0.25">
      <c r="A43" t="s">
        <v>152</v>
      </c>
      <c r="B43" t="s">
        <v>153</v>
      </c>
      <c r="C43" s="98">
        <v>1</v>
      </c>
      <c r="D43">
        <v>11</v>
      </c>
      <c r="E43" s="96">
        <v>1E-4</v>
      </c>
      <c r="F43" s="74">
        <v>96000</v>
      </c>
      <c r="G43" s="96">
        <v>1E-4</v>
      </c>
    </row>
    <row r="60" spans="1:4" ht="1.5" customHeight="1" thickBot="1" x14ac:dyDescent="0.3"/>
    <row r="61" spans="1:4" ht="31.5" customHeight="1" x14ac:dyDescent="0.25">
      <c r="A61" s="343" t="s">
        <v>154</v>
      </c>
      <c r="B61" s="344"/>
      <c r="C61" s="344"/>
      <c r="D61" s="345"/>
    </row>
    <row r="62" spans="1:4" x14ac:dyDescent="0.25">
      <c r="A62" s="100" t="s">
        <v>155</v>
      </c>
      <c r="B62" s="101" t="s">
        <v>52</v>
      </c>
      <c r="C62" s="102" t="s">
        <v>7</v>
      </c>
      <c r="D62" s="103" t="s">
        <v>52</v>
      </c>
    </row>
    <row r="63" spans="1:4" x14ac:dyDescent="0.25">
      <c r="A63" s="88">
        <v>31137</v>
      </c>
      <c r="B63" s="77">
        <f>A63/$F$18</f>
        <v>0.18605154195959114</v>
      </c>
      <c r="C63" s="51">
        <v>395798200.03000003</v>
      </c>
      <c r="D63" s="89">
        <f>C63/C72</f>
        <v>0.19391687100775967</v>
      </c>
    </row>
    <row r="64" spans="1:4" x14ac:dyDescent="0.25">
      <c r="A64" s="88">
        <v>59538</v>
      </c>
      <c r="B64" s="77">
        <f t="shared" ref="B64:B71" si="0">A64/$F$18</f>
        <v>0.35575478386453857</v>
      </c>
      <c r="C64" s="51">
        <v>514655292.12</v>
      </c>
      <c r="D64" s="89">
        <f>C64/C72</f>
        <v>0.25214956482351464</v>
      </c>
    </row>
    <row r="65" spans="1:4" x14ac:dyDescent="0.25">
      <c r="A65" s="88">
        <v>272</v>
      </c>
      <c r="B65" s="78">
        <f t="shared" si="0"/>
        <v>1.6252695960756909E-3</v>
      </c>
      <c r="C65" s="51">
        <v>4588034.25</v>
      </c>
      <c r="D65" s="90">
        <f>C65/C72</f>
        <v>2.2478557147783836E-3</v>
      </c>
    </row>
    <row r="66" spans="1:4" x14ac:dyDescent="0.25">
      <c r="A66" s="88">
        <v>165</v>
      </c>
      <c r="B66" s="78">
        <f t="shared" si="0"/>
        <v>9.8591721820768022E-4</v>
      </c>
      <c r="C66" s="51">
        <v>4769926.3500000006</v>
      </c>
      <c r="D66" s="90">
        <f>C66/C72</f>
        <v>2.3369717008802837E-3</v>
      </c>
    </row>
    <row r="67" spans="1:4" x14ac:dyDescent="0.25">
      <c r="A67" s="88">
        <v>291</v>
      </c>
      <c r="B67" s="78">
        <f t="shared" si="0"/>
        <v>1.7387994575662723E-3</v>
      </c>
      <c r="C67" s="51">
        <v>7859081.6799999997</v>
      </c>
      <c r="D67" s="90">
        <f>C67/C72</f>
        <v>3.8504685677309622E-3</v>
      </c>
    </row>
    <row r="68" spans="1:4" x14ac:dyDescent="0.25">
      <c r="A68" s="88">
        <v>18719</v>
      </c>
      <c r="B68" s="77">
        <f t="shared" si="0"/>
        <v>0.11185081459169433</v>
      </c>
      <c r="C68" s="51">
        <v>422264407.25999999</v>
      </c>
      <c r="D68" s="89">
        <f>C68/C72</f>
        <v>0.20688369120324193</v>
      </c>
    </row>
    <row r="69" spans="1:4" x14ac:dyDescent="0.25">
      <c r="A69" s="88">
        <v>21144</v>
      </c>
      <c r="B69" s="77">
        <f t="shared" si="0"/>
        <v>0.12634081007141326</v>
      </c>
      <c r="C69" s="51">
        <v>451598843.05000001</v>
      </c>
      <c r="D69" s="89">
        <f>C69/C72</f>
        <v>0.22125576768247726</v>
      </c>
    </row>
    <row r="70" spans="1:4" x14ac:dyDescent="0.25">
      <c r="A70" s="88">
        <v>9753</v>
      </c>
      <c r="B70" s="77">
        <f t="shared" si="0"/>
        <v>5.8276670479875788E-2</v>
      </c>
      <c r="C70" s="51">
        <v>58518000</v>
      </c>
      <c r="D70" s="89">
        <f>C70/C72</f>
        <v>2.8670235126819606E-2</v>
      </c>
    </row>
    <row r="71" spans="1:4" x14ac:dyDescent="0.25">
      <c r="A71" s="88">
        <v>17481</v>
      </c>
      <c r="B71" s="77">
        <f t="shared" si="0"/>
        <v>0.10445344782720277</v>
      </c>
      <c r="C71" s="51">
        <v>181019721.69</v>
      </c>
      <c r="D71" s="89">
        <f>C71/C72</f>
        <v>8.8688574172797213E-2</v>
      </c>
    </row>
    <row r="72" spans="1:4" ht="15.75" thickBot="1" x14ac:dyDescent="0.3">
      <c r="A72" s="91">
        <f t="shared" ref="A72:D72" si="1">SUM(A63:A71)</f>
        <v>158500</v>
      </c>
      <c r="B72" s="92">
        <f t="shared" si="1"/>
        <v>0.9470780550661656</v>
      </c>
      <c r="C72" s="93">
        <f t="shared" si="1"/>
        <v>2041071506.4300001</v>
      </c>
      <c r="D72" s="94">
        <f t="shared" si="1"/>
        <v>0.99999999999999989</v>
      </c>
    </row>
  </sheetData>
  <mergeCells count="1">
    <mergeCell ref="A61:D6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S50"/>
  <sheetViews>
    <sheetView showGridLines="0" zoomScaleNormal="100" workbookViewId="0">
      <selection activeCell="P13" sqref="P13"/>
    </sheetView>
  </sheetViews>
  <sheetFormatPr baseColWidth="10" defaultColWidth="11.42578125" defaultRowHeight="15" x14ac:dyDescent="0.25"/>
  <cols>
    <col min="1" max="1" width="11.42578125" style="1"/>
    <col min="2" max="2" width="10.140625" style="1" customWidth="1"/>
    <col min="3" max="3" width="17.5703125" style="1" bestFit="1" customWidth="1"/>
    <col min="4" max="4" width="8.7109375" style="1" customWidth="1"/>
    <col min="5" max="5" width="14.140625" style="1" bestFit="1" customWidth="1"/>
    <col min="6" max="6" width="11.42578125" style="1"/>
    <col min="7" max="7" width="15.85546875" style="1" bestFit="1" customWidth="1"/>
    <col min="8" max="8" width="8.7109375" style="1" customWidth="1"/>
    <col min="9" max="9" width="14.7109375" style="1" customWidth="1"/>
    <col min="10" max="10" width="11.42578125" style="1"/>
    <col min="11" max="11" width="17.42578125" style="1" customWidth="1"/>
    <col min="12" max="12" width="9" style="1" customWidth="1"/>
    <col min="13" max="13" width="13.42578125" style="1" customWidth="1"/>
    <col min="14" max="14" width="11.140625" style="1" customWidth="1"/>
    <col min="15" max="15" width="17.140625" style="1" customWidth="1"/>
    <col min="16" max="16" width="7.7109375" style="1" customWidth="1"/>
    <col min="17" max="18" width="15.7109375" style="1" customWidth="1"/>
    <col min="19" max="19" width="20.42578125" style="1" customWidth="1"/>
    <col min="20" max="16384" width="11.42578125" style="1"/>
  </cols>
  <sheetData>
    <row r="1" spans="1:19" x14ac:dyDescent="0.25">
      <c r="A1" s="304" t="s">
        <v>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189"/>
    </row>
    <row r="2" spans="1:19" x14ac:dyDescent="0.25">
      <c r="A2" s="304" t="s">
        <v>65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189"/>
    </row>
    <row r="3" spans="1:19" x14ac:dyDescent="0.25">
      <c r="A3" s="304" t="s">
        <v>156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189"/>
    </row>
    <row r="4" spans="1:19" x14ac:dyDescent="0.25">
      <c r="A4" s="304" t="s">
        <v>238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189"/>
    </row>
    <row r="5" spans="1:19" x14ac:dyDescent="0.25">
      <c r="A5" s="304" t="s">
        <v>233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189"/>
    </row>
    <row r="6" spans="1:19" x14ac:dyDescent="0.25">
      <c r="A6" s="85"/>
      <c r="B6" s="346" t="s">
        <v>76</v>
      </c>
      <c r="C6" s="346"/>
      <c r="D6" s="346"/>
      <c r="E6" s="346"/>
      <c r="F6" s="347" t="s">
        <v>77</v>
      </c>
      <c r="G6" s="347"/>
      <c r="H6" s="347"/>
      <c r="I6" s="347"/>
      <c r="J6" s="350" t="s">
        <v>78</v>
      </c>
      <c r="K6" s="350"/>
      <c r="L6" s="350"/>
      <c r="M6" s="350"/>
      <c r="N6" s="349" t="s">
        <v>79</v>
      </c>
      <c r="O6" s="349"/>
      <c r="P6" s="349"/>
      <c r="Q6" s="349"/>
      <c r="R6" s="189"/>
    </row>
    <row r="7" spans="1:19" x14ac:dyDescent="0.25">
      <c r="A7" s="138"/>
      <c r="B7" s="348" t="s">
        <v>157</v>
      </c>
      <c r="C7" s="348"/>
      <c r="D7" s="348" t="s">
        <v>158</v>
      </c>
      <c r="E7" s="348"/>
      <c r="F7" s="348" t="s">
        <v>157</v>
      </c>
      <c r="G7" s="348"/>
      <c r="H7" s="348" t="s">
        <v>158</v>
      </c>
      <c r="I7" s="348"/>
      <c r="J7" s="348" t="s">
        <v>157</v>
      </c>
      <c r="K7" s="348"/>
      <c r="L7" s="348" t="s">
        <v>158</v>
      </c>
      <c r="M7" s="348"/>
      <c r="N7" s="348" t="s">
        <v>159</v>
      </c>
      <c r="O7" s="348"/>
      <c r="P7" s="348" t="s">
        <v>158</v>
      </c>
      <c r="Q7" s="348"/>
      <c r="R7" s="189"/>
    </row>
    <row r="8" spans="1:19" ht="32.25" customHeight="1" x14ac:dyDescent="0.25">
      <c r="A8" s="123" t="s">
        <v>3</v>
      </c>
      <c r="B8" s="110" t="s">
        <v>160</v>
      </c>
      <c r="C8" s="110" t="s">
        <v>7</v>
      </c>
      <c r="D8" s="110" t="s">
        <v>81</v>
      </c>
      <c r="E8" s="124" t="s">
        <v>7</v>
      </c>
      <c r="F8" s="110" t="s">
        <v>161</v>
      </c>
      <c r="G8" s="110" t="s">
        <v>7</v>
      </c>
      <c r="H8" s="110" t="s">
        <v>81</v>
      </c>
      <c r="I8" s="124" t="s">
        <v>7</v>
      </c>
      <c r="J8" s="110" t="s">
        <v>161</v>
      </c>
      <c r="K8" s="110" t="s">
        <v>7</v>
      </c>
      <c r="L8" s="110" t="s">
        <v>81</v>
      </c>
      <c r="M8" s="140" t="s">
        <v>7</v>
      </c>
      <c r="N8" s="110" t="s">
        <v>162</v>
      </c>
      <c r="O8" s="110" t="s">
        <v>7</v>
      </c>
      <c r="P8" s="110" t="s">
        <v>163</v>
      </c>
      <c r="Q8" s="124" t="s">
        <v>7</v>
      </c>
      <c r="R8" s="189"/>
    </row>
    <row r="9" spans="1:19" x14ac:dyDescent="0.25">
      <c r="A9" s="44" t="s">
        <v>10</v>
      </c>
      <c r="B9" s="164">
        <v>162867</v>
      </c>
      <c r="C9" s="217">
        <v>2548962340.4899998</v>
      </c>
      <c r="D9" s="164">
        <v>201</v>
      </c>
      <c r="E9" s="228">
        <v>2915869.84</v>
      </c>
      <c r="F9" s="164">
        <v>49324</v>
      </c>
      <c r="G9" s="217">
        <v>281702500</v>
      </c>
      <c r="H9" s="164">
        <v>153</v>
      </c>
      <c r="I9" s="142">
        <v>915500</v>
      </c>
      <c r="J9" s="164">
        <v>25508</v>
      </c>
      <c r="K9" s="230">
        <v>741313071.52999997</v>
      </c>
      <c r="L9" s="136">
        <v>7</v>
      </c>
      <c r="M9" s="217">
        <v>83651.149999999994</v>
      </c>
      <c r="N9" s="140">
        <f>+B9+J9+F9</f>
        <v>237699</v>
      </c>
      <c r="O9" s="57">
        <f>+C9+K9+G9</f>
        <v>3571977912.0199995</v>
      </c>
      <c r="P9" s="165">
        <f>+D9+L9+H9</f>
        <v>361</v>
      </c>
      <c r="Q9" s="232">
        <f>+E9+M9+I9</f>
        <v>3915020.9899999998</v>
      </c>
      <c r="R9" s="189"/>
    </row>
    <row r="10" spans="1:19" x14ac:dyDescent="0.25">
      <c r="A10" s="44" t="s">
        <v>11</v>
      </c>
      <c r="B10" s="164">
        <v>165013</v>
      </c>
      <c r="C10" s="226">
        <v>2686280953.1500001</v>
      </c>
      <c r="D10" s="164">
        <v>220</v>
      </c>
      <c r="E10" s="226">
        <v>3378384.58</v>
      </c>
      <c r="F10" s="164">
        <v>51633</v>
      </c>
      <c r="G10" s="226">
        <v>309798000</v>
      </c>
      <c r="H10" s="164">
        <v>288</v>
      </c>
      <c r="I10" s="226">
        <v>1728000</v>
      </c>
      <c r="J10" s="164">
        <v>25515</v>
      </c>
      <c r="K10" s="230">
        <v>757524002.74000001</v>
      </c>
      <c r="L10" s="136">
        <v>11</v>
      </c>
      <c r="M10" s="217">
        <v>197858.61</v>
      </c>
      <c r="N10" s="38">
        <f t="shared" ref="N10" si="0">+B10+J10+F10</f>
        <v>242161</v>
      </c>
      <c r="O10" s="57">
        <f t="shared" ref="O10" si="1">+C10+K10+G10</f>
        <v>3753602955.8900003</v>
      </c>
      <c r="P10" s="38">
        <f t="shared" ref="P10" si="2">+D10+L10+H10</f>
        <v>519</v>
      </c>
      <c r="Q10" s="57">
        <f t="shared" ref="Q10" si="3">+E10+M10+I10</f>
        <v>5304243.1899999995</v>
      </c>
      <c r="R10" s="189"/>
      <c r="S10" s="35"/>
    </row>
    <row r="11" spans="1:19" x14ac:dyDescent="0.25">
      <c r="A11" s="44" t="s">
        <v>239</v>
      </c>
      <c r="B11" s="164">
        <v>164413</v>
      </c>
      <c r="C11" s="226">
        <v>2677400923.0300002</v>
      </c>
      <c r="D11" s="164">
        <v>256</v>
      </c>
      <c r="E11" s="226">
        <v>3798884.5</v>
      </c>
      <c r="F11" s="164">
        <v>51377</v>
      </c>
      <c r="G11" s="226">
        <v>308262000</v>
      </c>
      <c r="H11" s="164">
        <v>281</v>
      </c>
      <c r="I11" s="226">
        <v>1686000</v>
      </c>
      <c r="J11" s="164">
        <v>25476</v>
      </c>
      <c r="K11" s="230">
        <v>756011925.17999995</v>
      </c>
      <c r="L11" s="136">
        <v>8</v>
      </c>
      <c r="M11" s="217">
        <v>94651.15</v>
      </c>
      <c r="N11" s="38">
        <f t="shared" ref="N11:P12" si="4">+B11+J11+F11</f>
        <v>241266</v>
      </c>
      <c r="O11" s="57">
        <f t="shared" si="4"/>
        <v>3741674848.21</v>
      </c>
      <c r="P11" s="38">
        <f t="shared" si="4"/>
        <v>545</v>
      </c>
      <c r="Q11" s="57">
        <f>+E11+M11+I11</f>
        <v>5579535.6500000004</v>
      </c>
      <c r="R11" s="189"/>
    </row>
    <row r="12" spans="1:19" x14ac:dyDescent="0.25">
      <c r="A12" s="44" t="s">
        <v>13</v>
      </c>
      <c r="B12" s="164">
        <v>163293</v>
      </c>
      <c r="C12" s="226">
        <v>2651549764.7199998</v>
      </c>
      <c r="D12" s="164">
        <v>454</v>
      </c>
      <c r="E12" s="226">
        <v>6542821.8600000003</v>
      </c>
      <c r="F12" s="164">
        <v>49190</v>
      </c>
      <c r="G12" s="226">
        <v>295140000</v>
      </c>
      <c r="H12" s="164">
        <v>533</v>
      </c>
      <c r="I12" s="226">
        <v>3198000</v>
      </c>
      <c r="J12" s="164">
        <v>25565</v>
      </c>
      <c r="K12" s="230">
        <v>755530321.16999996</v>
      </c>
      <c r="L12" s="164">
        <v>17</v>
      </c>
      <c r="M12" s="217">
        <v>222067.36</v>
      </c>
      <c r="N12" s="38">
        <f t="shared" si="4"/>
        <v>238048</v>
      </c>
      <c r="O12" s="57">
        <f t="shared" si="4"/>
        <v>3702220085.8899999</v>
      </c>
      <c r="P12" s="38">
        <f t="shared" si="4"/>
        <v>1004</v>
      </c>
      <c r="Q12" s="57">
        <f>+E12+M12+I12</f>
        <v>9962889.2200000007</v>
      </c>
      <c r="R12" s="189"/>
    </row>
    <row r="13" spans="1:19" x14ac:dyDescent="0.25">
      <c r="A13" s="46" t="s">
        <v>14</v>
      </c>
      <c r="B13" s="55">
        <f>+B10</f>
        <v>165013</v>
      </c>
      <c r="C13" s="227">
        <f>SUM(C9:C12)</f>
        <v>10564193981.389999</v>
      </c>
      <c r="D13" s="55">
        <f>+D10</f>
        <v>220</v>
      </c>
      <c r="E13" s="227">
        <f>SUM(E9:E12)</f>
        <v>16635960.780000001</v>
      </c>
      <c r="F13" s="55">
        <f>+F10</f>
        <v>51633</v>
      </c>
      <c r="G13" s="229">
        <f>SUM(G9:G12)</f>
        <v>1194902500</v>
      </c>
      <c r="H13" s="55">
        <f>SUM(H9:H12)</f>
        <v>1255</v>
      </c>
      <c r="I13" s="227">
        <f>SUM(I9:I12)</f>
        <v>7527500</v>
      </c>
      <c r="J13" s="55">
        <f>+J10</f>
        <v>25515</v>
      </c>
      <c r="K13" s="231">
        <f>SUM(K9:K12)</f>
        <v>3010379320.6199999</v>
      </c>
      <c r="L13" s="55">
        <f>SUM(L9:L12)</f>
        <v>43</v>
      </c>
      <c r="M13" s="227">
        <f>SUM(M9:M12)</f>
        <v>598228.27</v>
      </c>
      <c r="N13" s="55">
        <f>+N10</f>
        <v>242161</v>
      </c>
      <c r="O13" s="227">
        <f>SUM(O9:O12)</f>
        <v>14769475802.009998</v>
      </c>
      <c r="P13" s="55">
        <f>P10</f>
        <v>519</v>
      </c>
      <c r="Q13" s="227">
        <f>SUM(Q9:Q12)</f>
        <v>24761689.050000001</v>
      </c>
      <c r="R13" s="259">
        <f>N10+P10</f>
        <v>242680</v>
      </c>
      <c r="S13" s="260">
        <f>O13+Q13</f>
        <v>14794237491.059998</v>
      </c>
    </row>
    <row r="14" spans="1:19" hidden="1" x14ac:dyDescent="0.25">
      <c r="A14" s="44" t="s">
        <v>15</v>
      </c>
      <c r="B14" s="136"/>
      <c r="C14" s="141"/>
      <c r="D14" s="136"/>
      <c r="E14" s="142"/>
      <c r="F14" s="136"/>
      <c r="G14" s="141"/>
      <c r="H14" s="136">
        <f>SUM(H10:H12)</f>
        <v>1102</v>
      </c>
      <c r="I14" s="142"/>
      <c r="J14" s="136"/>
      <c r="K14" s="141"/>
      <c r="L14" s="136"/>
      <c r="M14" s="142"/>
      <c r="N14" s="38">
        <f t="shared" ref="N14:P16" si="5">+B14+J14+F14</f>
        <v>0</v>
      </c>
      <c r="O14" s="57">
        <f t="shared" si="5"/>
        <v>0</v>
      </c>
      <c r="P14" s="38">
        <f t="shared" si="5"/>
        <v>1102</v>
      </c>
      <c r="Q14" s="57">
        <f>+E14+M14+I14</f>
        <v>0</v>
      </c>
      <c r="R14" s="261"/>
      <c r="S14" s="262"/>
    </row>
    <row r="15" spans="1:19" hidden="1" x14ac:dyDescent="0.25">
      <c r="A15" s="44" t="s">
        <v>16</v>
      </c>
      <c r="B15" s="136"/>
      <c r="C15" s="141"/>
      <c r="D15" s="136"/>
      <c r="E15" s="142"/>
      <c r="F15" s="136"/>
      <c r="G15" s="141"/>
      <c r="H15" s="136"/>
      <c r="I15" s="142"/>
      <c r="J15" s="136"/>
      <c r="K15" s="141"/>
      <c r="L15" s="136"/>
      <c r="M15" s="142"/>
      <c r="N15" s="38">
        <f t="shared" si="5"/>
        <v>0</v>
      </c>
      <c r="O15" s="57">
        <f t="shared" si="5"/>
        <v>0</v>
      </c>
      <c r="P15" s="38">
        <f t="shared" si="5"/>
        <v>0</v>
      </c>
      <c r="Q15" s="57">
        <f>+E15+M15+I15</f>
        <v>0</v>
      </c>
      <c r="R15" s="261"/>
      <c r="S15" s="262"/>
    </row>
    <row r="16" spans="1:19" hidden="1" x14ac:dyDescent="0.25">
      <c r="A16" s="44" t="s">
        <v>17</v>
      </c>
      <c r="B16" s="136"/>
      <c r="C16" s="141"/>
      <c r="D16" s="136"/>
      <c r="E16" s="142"/>
      <c r="F16" s="136"/>
      <c r="G16" s="141"/>
      <c r="H16" s="136"/>
      <c r="I16" s="142"/>
      <c r="J16" s="136"/>
      <c r="K16" s="141"/>
      <c r="L16" s="136"/>
      <c r="M16" s="142"/>
      <c r="N16" s="38">
        <f t="shared" si="5"/>
        <v>0</v>
      </c>
      <c r="O16" s="57">
        <f t="shared" si="5"/>
        <v>0</v>
      </c>
      <c r="P16" s="38">
        <f t="shared" si="5"/>
        <v>0</v>
      </c>
      <c r="Q16" s="57">
        <f>+E16+M16+I16</f>
        <v>0</v>
      </c>
      <c r="R16" s="261"/>
      <c r="S16" s="262"/>
    </row>
    <row r="17" spans="1:19" hidden="1" x14ac:dyDescent="0.25">
      <c r="A17" s="46" t="s">
        <v>18</v>
      </c>
      <c r="B17" s="55">
        <f>+B16</f>
        <v>0</v>
      </c>
      <c r="C17" s="56">
        <f>SUM(C14:C16)</f>
        <v>0</v>
      </c>
      <c r="D17" s="55">
        <f>+D16</f>
        <v>0</v>
      </c>
      <c r="E17" s="56">
        <f>SUM(E14:E16)</f>
        <v>0</v>
      </c>
      <c r="F17" s="55">
        <f>+F16</f>
        <v>0</v>
      </c>
      <c r="G17" s="56">
        <f>SUM(G14:G16)</f>
        <v>0</v>
      </c>
      <c r="H17" s="55">
        <f>+H16</f>
        <v>0</v>
      </c>
      <c r="I17" s="56">
        <f>SUM(I14:I16)</f>
        <v>0</v>
      </c>
      <c r="J17" s="55">
        <f>+J16</f>
        <v>0</v>
      </c>
      <c r="K17" s="56">
        <f>SUM(K14:K16)</f>
        <v>0</v>
      </c>
      <c r="L17" s="55">
        <f>+L16</f>
        <v>0</v>
      </c>
      <c r="M17" s="56">
        <f>SUM(M14:M16)</f>
        <v>0</v>
      </c>
      <c r="N17" s="55">
        <f>+N16</f>
        <v>0</v>
      </c>
      <c r="O17" s="56">
        <f>SUM(O14:O16)</f>
        <v>0</v>
      </c>
      <c r="P17" s="55">
        <f>+P16</f>
        <v>0</v>
      </c>
      <c r="Q17" s="56">
        <f>SUM(Q14:Q16)</f>
        <v>0</v>
      </c>
      <c r="R17" s="261"/>
      <c r="S17" s="263"/>
    </row>
    <row r="18" spans="1:19" hidden="1" x14ac:dyDescent="0.25">
      <c r="A18" s="44" t="s">
        <v>34</v>
      </c>
      <c r="B18" s="136"/>
      <c r="C18" s="141"/>
      <c r="D18" s="136"/>
      <c r="E18" s="142"/>
      <c r="F18" s="136"/>
      <c r="G18" s="141"/>
      <c r="H18" s="136"/>
      <c r="I18" s="142"/>
      <c r="J18" s="136"/>
      <c r="K18" s="141"/>
      <c r="L18" s="136"/>
      <c r="M18" s="142"/>
      <c r="N18" s="38">
        <f t="shared" ref="N18:P20" si="6">+B18+J18+F18</f>
        <v>0</v>
      </c>
      <c r="O18" s="57">
        <f t="shared" si="6"/>
        <v>0</v>
      </c>
      <c r="P18" s="38">
        <f t="shared" si="6"/>
        <v>0</v>
      </c>
      <c r="Q18" s="57">
        <f>+E18+M18+I18</f>
        <v>0</v>
      </c>
      <c r="R18" s="261"/>
      <c r="S18" s="262"/>
    </row>
    <row r="19" spans="1:19" hidden="1" x14ac:dyDescent="0.25">
      <c r="A19" s="44" t="s">
        <v>20</v>
      </c>
      <c r="B19" s="136"/>
      <c r="C19" s="141"/>
      <c r="D19" s="136"/>
      <c r="E19" s="142"/>
      <c r="F19" s="136"/>
      <c r="G19" s="141"/>
      <c r="H19" s="136"/>
      <c r="I19" s="142"/>
      <c r="J19" s="136"/>
      <c r="K19" s="141"/>
      <c r="L19" s="136"/>
      <c r="M19" s="142"/>
      <c r="N19" s="38">
        <f t="shared" si="6"/>
        <v>0</v>
      </c>
      <c r="O19" s="57">
        <f t="shared" si="6"/>
        <v>0</v>
      </c>
      <c r="P19" s="38">
        <f t="shared" si="6"/>
        <v>0</v>
      </c>
      <c r="Q19" s="57">
        <f>+E19+M19+I19</f>
        <v>0</v>
      </c>
      <c r="R19" s="261"/>
      <c r="S19" s="262"/>
    </row>
    <row r="20" spans="1:19" hidden="1" x14ac:dyDescent="0.25">
      <c r="A20" s="44" t="s">
        <v>21</v>
      </c>
      <c r="B20" s="136"/>
      <c r="C20" s="141"/>
      <c r="D20" s="136"/>
      <c r="E20" s="142"/>
      <c r="F20" s="136"/>
      <c r="G20" s="141"/>
      <c r="H20" s="136"/>
      <c r="I20" s="142"/>
      <c r="J20" s="136"/>
      <c r="K20" s="141"/>
      <c r="L20" s="136"/>
      <c r="M20" s="142"/>
      <c r="N20" s="38">
        <f t="shared" si="6"/>
        <v>0</v>
      </c>
      <c r="O20" s="57">
        <f t="shared" si="6"/>
        <v>0</v>
      </c>
      <c r="P20" s="38">
        <f t="shared" si="6"/>
        <v>0</v>
      </c>
      <c r="Q20" s="57">
        <f>+E20+M20+I20</f>
        <v>0</v>
      </c>
      <c r="R20" s="261"/>
      <c r="S20" s="262"/>
    </row>
    <row r="21" spans="1:19" hidden="1" x14ac:dyDescent="0.25">
      <c r="A21" s="46" t="s">
        <v>22</v>
      </c>
      <c r="B21" s="55">
        <f>+B20</f>
        <v>0</v>
      </c>
      <c r="C21" s="56">
        <f>SUM(C18:C20)</f>
        <v>0</v>
      </c>
      <c r="D21" s="55">
        <f>+D20</f>
        <v>0</v>
      </c>
      <c r="E21" s="56">
        <f>SUM(E18:E20)</f>
        <v>0</v>
      </c>
      <c r="F21" s="55">
        <f>+F20</f>
        <v>0</v>
      </c>
      <c r="G21" s="56">
        <f>SUM(G18:G20)</f>
        <v>0</v>
      </c>
      <c r="H21" s="55">
        <f>+H20</f>
        <v>0</v>
      </c>
      <c r="I21" s="56">
        <f>SUM(I18:I20)</f>
        <v>0</v>
      </c>
      <c r="J21" s="55">
        <f>+J20</f>
        <v>0</v>
      </c>
      <c r="K21" s="56">
        <f>SUM(K18:K20)</f>
        <v>0</v>
      </c>
      <c r="L21" s="55">
        <f>+L20</f>
        <v>0</v>
      </c>
      <c r="M21" s="56">
        <f>SUM(M18:M20)</f>
        <v>0</v>
      </c>
      <c r="N21" s="55">
        <f>+N20</f>
        <v>0</v>
      </c>
      <c r="O21" s="56">
        <f>SUM(O18:O20)</f>
        <v>0</v>
      </c>
      <c r="P21" s="55">
        <f>+P20</f>
        <v>0</v>
      </c>
      <c r="Q21" s="56">
        <f>SUM(Q18:Q20)</f>
        <v>0</v>
      </c>
      <c r="R21" s="261"/>
      <c r="S21" s="263"/>
    </row>
    <row r="22" spans="1:19" hidden="1" x14ac:dyDescent="0.25">
      <c r="A22" s="44" t="s">
        <v>13</v>
      </c>
      <c r="B22" s="136"/>
      <c r="C22" s="141"/>
      <c r="D22" s="136"/>
      <c r="E22" s="142"/>
      <c r="F22" s="136"/>
      <c r="G22" s="141"/>
      <c r="H22" s="136"/>
      <c r="I22" s="142"/>
      <c r="J22" s="136"/>
      <c r="K22" s="141"/>
      <c r="L22" s="136"/>
      <c r="M22" s="142"/>
      <c r="N22" s="38">
        <f t="shared" ref="N22:P25" si="7">+B22+J22+F22</f>
        <v>0</v>
      </c>
      <c r="O22" s="57">
        <f t="shared" si="7"/>
        <v>0</v>
      </c>
      <c r="P22" s="38">
        <f t="shared" si="7"/>
        <v>0</v>
      </c>
      <c r="Q22" s="57">
        <f>+E22+M22+I22</f>
        <v>0</v>
      </c>
      <c r="R22" s="261"/>
      <c r="S22" s="262"/>
    </row>
    <row r="23" spans="1:19" hidden="1" x14ac:dyDescent="0.25">
      <c r="A23" s="44" t="s">
        <v>12</v>
      </c>
      <c r="B23" s="136"/>
      <c r="C23" s="141"/>
      <c r="D23" s="136"/>
      <c r="E23" s="142"/>
      <c r="F23" s="136"/>
      <c r="G23" s="141"/>
      <c r="H23" s="136"/>
      <c r="I23" s="142"/>
      <c r="J23" s="136"/>
      <c r="K23" s="141"/>
      <c r="L23" s="136"/>
      <c r="M23" s="142"/>
      <c r="N23" s="38">
        <f t="shared" si="7"/>
        <v>0</v>
      </c>
      <c r="O23" s="57">
        <f t="shared" si="7"/>
        <v>0</v>
      </c>
      <c r="P23" s="38">
        <f t="shared" si="7"/>
        <v>0</v>
      </c>
      <c r="Q23" s="57">
        <f>+E23+M23+I23</f>
        <v>0</v>
      </c>
      <c r="R23" s="261"/>
      <c r="S23" s="262"/>
    </row>
    <row r="24" spans="1:19" hidden="1" x14ac:dyDescent="0.25">
      <c r="A24" s="44" t="s">
        <v>11</v>
      </c>
      <c r="B24" s="136"/>
      <c r="C24" s="141"/>
      <c r="D24" s="136"/>
      <c r="E24" s="142"/>
      <c r="F24" s="136"/>
      <c r="G24" s="141"/>
      <c r="H24" s="136"/>
      <c r="I24" s="142"/>
      <c r="J24" s="136"/>
      <c r="K24" s="141"/>
      <c r="L24" s="136"/>
      <c r="M24" s="142"/>
      <c r="N24" s="38">
        <f t="shared" si="7"/>
        <v>0</v>
      </c>
      <c r="O24" s="57">
        <f t="shared" si="7"/>
        <v>0</v>
      </c>
      <c r="P24" s="38">
        <f t="shared" si="7"/>
        <v>0</v>
      </c>
      <c r="Q24" s="57">
        <f>+E24+M24+I24</f>
        <v>0</v>
      </c>
      <c r="R24" s="261"/>
      <c r="S24" s="262"/>
    </row>
    <row r="25" spans="1:19" hidden="1" x14ac:dyDescent="0.25">
      <c r="A25" s="44" t="s">
        <v>10</v>
      </c>
      <c r="B25" s="136"/>
      <c r="C25" s="141"/>
      <c r="D25" s="136"/>
      <c r="E25" s="142"/>
      <c r="F25" s="136"/>
      <c r="G25" s="141"/>
      <c r="H25" s="136"/>
      <c r="I25" s="142"/>
      <c r="J25" s="136"/>
      <c r="K25" s="141"/>
      <c r="L25" s="136"/>
      <c r="M25" s="142"/>
      <c r="N25" s="38">
        <f t="shared" si="7"/>
        <v>0</v>
      </c>
      <c r="O25" s="57">
        <f t="shared" si="7"/>
        <v>0</v>
      </c>
      <c r="P25" s="38">
        <f t="shared" si="7"/>
        <v>0</v>
      </c>
      <c r="Q25" s="57">
        <f>+E25+M25+I25</f>
        <v>0</v>
      </c>
      <c r="R25" s="261"/>
      <c r="S25" s="262"/>
    </row>
    <row r="26" spans="1:19" hidden="1" x14ac:dyDescent="0.25">
      <c r="A26" s="46" t="s">
        <v>14</v>
      </c>
      <c r="B26" s="55">
        <f>+B24</f>
        <v>0</v>
      </c>
      <c r="C26" s="55">
        <f>SUM(C22:C25)</f>
        <v>0</v>
      </c>
      <c r="D26" s="55">
        <f>+D24</f>
        <v>0</v>
      </c>
      <c r="E26" s="56">
        <f>SUM(E22:E25)</f>
        <v>0</v>
      </c>
      <c r="F26" s="55">
        <f>+F24</f>
        <v>0</v>
      </c>
      <c r="G26" s="56">
        <f>SUM(G22:G25)</f>
        <v>0</v>
      </c>
      <c r="H26" s="55">
        <f>+H24</f>
        <v>0</v>
      </c>
      <c r="I26" s="56">
        <f>SUM(I22:I25)</f>
        <v>0</v>
      </c>
      <c r="J26" s="55">
        <f>+J24</f>
        <v>0</v>
      </c>
      <c r="K26" s="56">
        <f>SUM(K22:K25)</f>
        <v>0</v>
      </c>
      <c r="L26" s="55">
        <f>+L24</f>
        <v>0</v>
      </c>
      <c r="M26" s="56">
        <f>SUM(M22:M25)</f>
        <v>0</v>
      </c>
      <c r="N26" s="55">
        <f>+N24</f>
        <v>0</v>
      </c>
      <c r="O26" s="56">
        <f>SUM(O22:O25)</f>
        <v>0</v>
      </c>
      <c r="P26" s="55">
        <f>+P24</f>
        <v>0</v>
      </c>
      <c r="Q26" s="56">
        <f>SUM(Q22:Q25)</f>
        <v>0</v>
      </c>
      <c r="R26" s="261"/>
      <c r="S26" s="263"/>
    </row>
    <row r="27" spans="1:19" hidden="1" x14ac:dyDescent="0.25">
      <c r="A27" s="49" t="s">
        <v>23</v>
      </c>
      <c r="B27" s="58">
        <f>+B26</f>
        <v>0</v>
      </c>
      <c r="C27" s="59">
        <f>+C13+C17+C21+C26</f>
        <v>10564193981.389999</v>
      </c>
      <c r="D27" s="58">
        <f>+D26</f>
        <v>0</v>
      </c>
      <c r="E27" s="59">
        <f>+E13+E17+E21+E26</f>
        <v>16635960.780000001</v>
      </c>
      <c r="F27" s="58">
        <f>+F26</f>
        <v>0</v>
      </c>
      <c r="G27" s="59">
        <f>+G13+G17+G21+G26</f>
        <v>1194902500</v>
      </c>
      <c r="H27" s="58">
        <f>+H26</f>
        <v>0</v>
      </c>
      <c r="I27" s="59">
        <f>+I13+I17+I21+I26</f>
        <v>7527500</v>
      </c>
      <c r="J27" s="58">
        <f>+J26</f>
        <v>0</v>
      </c>
      <c r="K27" s="59">
        <f>+K13+K17+K21+K26</f>
        <v>3010379320.6199999</v>
      </c>
      <c r="L27" s="58">
        <f>+L26</f>
        <v>0</v>
      </c>
      <c r="M27" s="59">
        <f>+M13+M17+M21+M26</f>
        <v>598228.27</v>
      </c>
      <c r="N27" s="58">
        <f>+N26</f>
        <v>0</v>
      </c>
      <c r="O27" s="59">
        <f>+O13+O17+O21+O26</f>
        <v>14769475802.009998</v>
      </c>
      <c r="P27" s="58">
        <f>+P26</f>
        <v>0</v>
      </c>
      <c r="Q27" s="59">
        <f>+Q13+Q17+Q21+Q26</f>
        <v>24761689.050000001</v>
      </c>
      <c r="R27" s="261"/>
      <c r="S27" s="263"/>
    </row>
    <row r="28" spans="1:19" x14ac:dyDescent="0.25">
      <c r="A28" s="127" t="s">
        <v>52</v>
      </c>
      <c r="B28" s="24"/>
      <c r="C28" s="24"/>
      <c r="D28" s="25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43">
        <f>O13/S13</f>
        <v>0.9983262612172501</v>
      </c>
      <c r="P28" s="143"/>
      <c r="Q28" s="143">
        <f>Q13/S13</f>
        <v>1.6737387827499206E-3</v>
      </c>
      <c r="R28" s="261"/>
      <c r="S28" s="263"/>
    </row>
    <row r="29" spans="1:19" x14ac:dyDescent="0.25">
      <c r="A29" s="175" t="s">
        <v>164</v>
      </c>
      <c r="B29"/>
      <c r="C29" s="144"/>
      <c r="D29"/>
      <c r="E29"/>
      <c r="F29"/>
      <c r="G29" s="144"/>
      <c r="H29"/>
      <c r="I29"/>
      <c r="J29" s="144"/>
      <c r="K29" s="144"/>
      <c r="L29"/>
      <c r="M29"/>
      <c r="N29"/>
      <c r="O29" s="144"/>
      <c r="P29"/>
      <c r="Q29"/>
      <c r="R29" s="189"/>
      <c r="S29" s="35"/>
    </row>
    <row r="30" spans="1:19" x14ac:dyDescent="0.25">
      <c r="B30" s="35"/>
      <c r="C30" s="35"/>
      <c r="O30" s="35"/>
      <c r="R30" s="189"/>
    </row>
    <row r="31" spans="1:19" x14ac:dyDescent="0.25">
      <c r="R31" s="189"/>
    </row>
    <row r="32" spans="1:19" x14ac:dyDescent="0.25">
      <c r="R32" s="189"/>
    </row>
    <row r="34" spans="1:18" x14ac:dyDescent="0.25">
      <c r="O34" s="35"/>
    </row>
    <row r="36" spans="1:18" x14ac:dyDescent="0.25">
      <c r="N36" s="35"/>
    </row>
    <row r="38" spans="1:18" x14ac:dyDescent="0.25">
      <c r="M38" s="35"/>
    </row>
    <row r="43" spans="1:18" x14ac:dyDescent="0.25">
      <c r="N43" s="18"/>
    </row>
    <row r="48" spans="1:18" x14ac:dyDescent="0.25">
      <c r="A48" s="44"/>
      <c r="B48" s="136"/>
      <c r="C48" s="141"/>
      <c r="D48" s="136"/>
      <c r="E48" s="142"/>
      <c r="F48" s="136"/>
      <c r="G48" s="141"/>
      <c r="H48" s="136"/>
      <c r="I48" s="142"/>
      <c r="J48" s="136"/>
      <c r="K48" s="141"/>
      <c r="L48" s="136"/>
      <c r="M48" s="142"/>
      <c r="N48" s="38"/>
      <c r="O48" s="38"/>
      <c r="P48" s="38"/>
      <c r="Q48" s="57"/>
      <c r="R48" s="57"/>
    </row>
    <row r="50" spans="1:18" x14ac:dyDescent="0.25">
      <c r="A50" s="44"/>
      <c r="B50" s="136"/>
      <c r="C50" s="141"/>
      <c r="D50" s="136"/>
      <c r="E50" s="142"/>
      <c r="F50" s="136"/>
      <c r="G50" s="141"/>
      <c r="H50" s="136"/>
      <c r="I50" s="142"/>
      <c r="J50" s="136"/>
      <c r="K50" s="141"/>
      <c r="L50" s="136"/>
      <c r="M50" s="142"/>
      <c r="N50" s="38"/>
      <c r="O50" s="38"/>
      <c r="P50" s="38"/>
      <c r="Q50" s="57"/>
      <c r="R50" s="57"/>
    </row>
  </sheetData>
  <mergeCells count="17">
    <mergeCell ref="J6:M6"/>
    <mergeCell ref="B6:E6"/>
    <mergeCell ref="F6:I6"/>
    <mergeCell ref="L7:M7"/>
    <mergeCell ref="A1:Q1"/>
    <mergeCell ref="A2:Q2"/>
    <mergeCell ref="A3:Q3"/>
    <mergeCell ref="A5:Q5"/>
    <mergeCell ref="B7:C7"/>
    <mergeCell ref="D7:E7"/>
    <mergeCell ref="J7:K7"/>
    <mergeCell ref="N6:Q6"/>
    <mergeCell ref="N7:O7"/>
    <mergeCell ref="P7:Q7"/>
    <mergeCell ref="A4:Q4"/>
    <mergeCell ref="F7:G7"/>
    <mergeCell ref="H7:I7"/>
  </mergeCells>
  <pageMargins left="0.7" right="0.7" top="0.75" bottom="0.75" header="0.3" footer="0.3"/>
  <pageSetup paperSize="9" scale="42" orientation="portrait" r:id="rId1"/>
  <colBreaks count="1" manualBreakCount="1">
    <brk id="18" max="1048575" man="1"/>
  </colBreaks>
  <ignoredErrors>
    <ignoredError sqref="C26 E26 E13:F13 N13:Q13 J13 C13" formula="1"/>
    <ignoredError sqref="Q28 O28 R13:S13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B1:U39"/>
  <sheetViews>
    <sheetView showGridLines="0" zoomScaleNormal="100" workbookViewId="0">
      <selection activeCell="S43" sqref="S43"/>
    </sheetView>
  </sheetViews>
  <sheetFormatPr baseColWidth="10" defaultColWidth="11.42578125" defaultRowHeight="15" x14ac:dyDescent="0.25"/>
  <cols>
    <col min="1" max="1" width="3.5703125" style="1" customWidth="1"/>
    <col min="2" max="2" width="11.42578125" style="1"/>
    <col min="3" max="3" width="11" style="1" customWidth="1"/>
    <col min="4" max="4" width="9.140625" style="1" bestFit="1" customWidth="1"/>
    <col min="5" max="5" width="15" style="1" bestFit="1" customWidth="1"/>
    <col min="6" max="6" width="12.42578125" style="1" hidden="1" customWidth="1"/>
    <col min="7" max="7" width="8.7109375" style="1" hidden="1" customWidth="1"/>
    <col min="8" max="8" width="0.42578125" style="1" hidden="1" customWidth="1"/>
    <col min="9" max="9" width="11.42578125" style="1" customWidth="1"/>
    <col min="10" max="10" width="14" style="1" bestFit="1" customWidth="1"/>
    <col min="11" max="11" width="13.7109375" style="1" customWidth="1"/>
    <col min="12" max="13" width="10.7109375" style="1" customWidth="1"/>
    <col min="14" max="14" width="14.42578125" style="1" customWidth="1"/>
    <col min="15" max="15" width="11.42578125" style="1" customWidth="1"/>
    <col min="16" max="16" width="20.42578125" style="1" customWidth="1"/>
    <col min="17" max="17" width="35.140625" style="1" customWidth="1"/>
    <col min="18" max="18" width="11.7109375" style="1" bestFit="1" customWidth="1"/>
    <col min="19" max="19" width="18.42578125" style="1" customWidth="1"/>
    <col min="20" max="20" width="16" style="1" bestFit="1" customWidth="1"/>
    <col min="21" max="21" width="11.7109375" style="1" bestFit="1" customWidth="1"/>
    <col min="22" max="16384" width="11.42578125" style="1"/>
  </cols>
  <sheetData>
    <row r="1" spans="2:19" x14ac:dyDescent="0.25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2:19" x14ac:dyDescent="0.25">
      <c r="B2" s="304" t="s">
        <v>65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2:19" x14ac:dyDescent="0.25">
      <c r="B3" s="304" t="s">
        <v>165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</row>
    <row r="4" spans="2:19" x14ac:dyDescent="0.25">
      <c r="B4" s="304" t="s">
        <v>238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</row>
    <row r="5" spans="2:19" x14ac:dyDescent="0.25">
      <c r="B5" s="304" t="s">
        <v>233</v>
      </c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</row>
    <row r="6" spans="2:19" x14ac:dyDescent="0.25">
      <c r="B6" s="85"/>
      <c r="C6" s="346" t="s">
        <v>76</v>
      </c>
      <c r="D6" s="346"/>
      <c r="E6" s="346"/>
      <c r="F6" s="347" t="s">
        <v>77</v>
      </c>
      <c r="G6" s="347"/>
      <c r="H6" s="347"/>
      <c r="I6" s="350" t="s">
        <v>78</v>
      </c>
      <c r="J6" s="350"/>
      <c r="K6" s="350"/>
      <c r="L6" s="349" t="s">
        <v>79</v>
      </c>
      <c r="M6" s="349"/>
      <c r="N6" s="349"/>
      <c r="O6"/>
      <c r="P6"/>
      <c r="Q6"/>
      <c r="R6"/>
      <c r="S6"/>
    </row>
    <row r="7" spans="2:19" ht="39.75" customHeight="1" x14ac:dyDescent="0.25">
      <c r="B7" s="86" t="s">
        <v>3</v>
      </c>
      <c r="C7" s="45" t="s">
        <v>166</v>
      </c>
      <c r="D7" s="45" t="s">
        <v>167</v>
      </c>
      <c r="E7" s="45" t="s">
        <v>7</v>
      </c>
      <c r="F7" s="45" t="s">
        <v>166</v>
      </c>
      <c r="G7" s="45" t="s">
        <v>167</v>
      </c>
      <c r="H7" s="45" t="s">
        <v>7</v>
      </c>
      <c r="I7" s="45" t="s">
        <v>166</v>
      </c>
      <c r="J7" s="45" t="s">
        <v>167</v>
      </c>
      <c r="K7" s="45" t="s">
        <v>7</v>
      </c>
      <c r="L7" s="45" t="s">
        <v>80</v>
      </c>
      <c r="M7" s="45" t="s">
        <v>81</v>
      </c>
      <c r="N7" s="45" t="s">
        <v>7</v>
      </c>
      <c r="O7"/>
      <c r="P7"/>
      <c r="Q7"/>
      <c r="R7"/>
      <c r="S7"/>
    </row>
    <row r="8" spans="2:19" x14ac:dyDescent="0.25">
      <c r="B8" s="44" t="s">
        <v>168</v>
      </c>
      <c r="C8" s="185">
        <v>0</v>
      </c>
      <c r="D8" s="185">
        <v>0</v>
      </c>
      <c r="E8" s="135">
        <v>0</v>
      </c>
      <c r="F8" s="167"/>
      <c r="G8" s="167"/>
      <c r="H8" s="167"/>
      <c r="I8" s="166">
        <v>0</v>
      </c>
      <c r="J8" s="166">
        <v>0</v>
      </c>
      <c r="K8" s="60">
        <v>0</v>
      </c>
      <c r="L8" s="298">
        <f t="shared" ref="L8:N11" si="0">+C8+I8+F8</f>
        <v>0</v>
      </c>
      <c r="M8" s="298">
        <f t="shared" si="0"/>
        <v>0</v>
      </c>
      <c r="N8" s="298">
        <f t="shared" si="0"/>
        <v>0</v>
      </c>
      <c r="O8"/>
      <c r="P8"/>
      <c r="Q8"/>
      <c r="R8"/>
      <c r="S8"/>
    </row>
    <row r="9" spans="2:19" x14ac:dyDescent="0.25">
      <c r="B9" s="44" t="s">
        <v>11</v>
      </c>
      <c r="C9" s="135">
        <v>534</v>
      </c>
      <c r="D9" s="135">
        <v>580</v>
      </c>
      <c r="E9" s="295">
        <v>51653994.310000002</v>
      </c>
      <c r="F9" s="106"/>
      <c r="G9" s="106"/>
      <c r="H9" s="145"/>
      <c r="I9" s="166">
        <v>0</v>
      </c>
      <c r="J9" s="166">
        <v>0</v>
      </c>
      <c r="K9" s="60">
        <v>0</v>
      </c>
      <c r="L9" s="298">
        <f t="shared" si="0"/>
        <v>534</v>
      </c>
      <c r="M9" s="298">
        <f t="shared" si="0"/>
        <v>580</v>
      </c>
      <c r="N9" s="299">
        <f t="shared" si="0"/>
        <v>51653994.310000002</v>
      </c>
      <c r="O9"/>
      <c r="P9"/>
      <c r="Q9"/>
      <c r="R9"/>
      <c r="S9"/>
    </row>
    <row r="10" spans="2:19" x14ac:dyDescent="0.25">
      <c r="B10" s="44" t="s">
        <v>239</v>
      </c>
      <c r="C10" s="185">
        <v>0</v>
      </c>
      <c r="D10" s="185">
        <v>0</v>
      </c>
      <c r="E10" s="135">
        <v>0</v>
      </c>
      <c r="F10" s="106"/>
      <c r="G10" s="106"/>
      <c r="H10" s="145"/>
      <c r="I10" s="166">
        <v>0</v>
      </c>
      <c r="J10" s="166">
        <v>0</v>
      </c>
      <c r="K10" s="60">
        <v>0</v>
      </c>
      <c r="L10" s="298">
        <f t="shared" si="0"/>
        <v>0</v>
      </c>
      <c r="M10" s="298">
        <f t="shared" si="0"/>
        <v>0</v>
      </c>
      <c r="N10" s="298">
        <f t="shared" si="0"/>
        <v>0</v>
      </c>
      <c r="O10"/>
      <c r="P10"/>
      <c r="Q10"/>
      <c r="R10"/>
      <c r="S10"/>
    </row>
    <row r="11" spans="2:19" x14ac:dyDescent="0.25">
      <c r="B11" s="44" t="s">
        <v>13</v>
      </c>
      <c r="C11" s="296">
        <v>1</v>
      </c>
      <c r="D11" s="296">
        <v>1</v>
      </c>
      <c r="E11" s="297">
        <v>1548747.76</v>
      </c>
      <c r="F11" s="106"/>
      <c r="G11" s="106"/>
      <c r="H11" s="145"/>
      <c r="I11" s="166">
        <v>0</v>
      </c>
      <c r="J11" s="166">
        <v>0</v>
      </c>
      <c r="K11" s="60">
        <v>0</v>
      </c>
      <c r="L11" s="298">
        <f t="shared" si="0"/>
        <v>1</v>
      </c>
      <c r="M11" s="298">
        <f t="shared" si="0"/>
        <v>1</v>
      </c>
      <c r="N11" s="299">
        <f t="shared" si="0"/>
        <v>1548747.76</v>
      </c>
      <c r="O11"/>
      <c r="P11"/>
      <c r="Q11"/>
      <c r="R11"/>
      <c r="S11"/>
    </row>
    <row r="12" spans="2:19" x14ac:dyDescent="0.25">
      <c r="B12" s="46" t="s">
        <v>14</v>
      </c>
      <c r="C12" s="40">
        <f t="shared" ref="C12:N12" si="1">SUM(C9:C11)</f>
        <v>535</v>
      </c>
      <c r="D12" s="40">
        <f t="shared" si="1"/>
        <v>581</v>
      </c>
      <c r="E12" s="233">
        <f t="shared" si="1"/>
        <v>53202742.07</v>
      </c>
      <c r="F12" s="40">
        <f t="shared" si="1"/>
        <v>0</v>
      </c>
      <c r="G12" s="40">
        <f t="shared" si="1"/>
        <v>0</v>
      </c>
      <c r="H12" s="40">
        <f t="shared" si="1"/>
        <v>0</v>
      </c>
      <c r="I12" s="168">
        <f t="shared" si="1"/>
        <v>0</v>
      </c>
      <c r="J12" s="168">
        <f t="shared" si="1"/>
        <v>0</v>
      </c>
      <c r="K12" s="233">
        <f t="shared" si="1"/>
        <v>0</v>
      </c>
      <c r="L12" s="40">
        <f t="shared" si="1"/>
        <v>535</v>
      </c>
      <c r="M12" s="40">
        <f t="shared" si="1"/>
        <v>581</v>
      </c>
      <c r="N12" s="233">
        <f t="shared" si="1"/>
        <v>53202742.07</v>
      </c>
      <c r="O12"/>
      <c r="P12"/>
      <c r="Q12"/>
      <c r="R12"/>
      <c r="S12"/>
    </row>
    <row r="13" spans="2:19" hidden="1" x14ac:dyDescent="0.25">
      <c r="B13" s="44" t="s">
        <v>15</v>
      </c>
      <c r="C13" s="106"/>
      <c r="D13" s="106"/>
      <c r="E13" s="145"/>
      <c r="F13" s="106"/>
      <c r="G13" s="106"/>
      <c r="H13" s="145"/>
      <c r="I13" s="106"/>
      <c r="J13" s="106"/>
      <c r="K13" s="145"/>
      <c r="L13" s="37">
        <f t="shared" ref="L13:N15" si="2">+C13+I13+F13</f>
        <v>0</v>
      </c>
      <c r="M13" s="37">
        <f t="shared" si="2"/>
        <v>0</v>
      </c>
      <c r="N13" s="65">
        <f t="shared" si="2"/>
        <v>0</v>
      </c>
      <c r="O13"/>
      <c r="P13"/>
      <c r="Q13"/>
      <c r="R13"/>
      <c r="S13"/>
    </row>
    <row r="14" spans="2:19" hidden="1" x14ac:dyDescent="0.25">
      <c r="B14" s="44" t="s">
        <v>16</v>
      </c>
      <c r="C14" s="106"/>
      <c r="D14" s="106"/>
      <c r="E14" s="145"/>
      <c r="F14" s="106"/>
      <c r="G14" s="106"/>
      <c r="H14" s="145"/>
      <c r="I14" s="106"/>
      <c r="J14" s="106"/>
      <c r="K14" s="145"/>
      <c r="L14" s="37">
        <f t="shared" si="2"/>
        <v>0</v>
      </c>
      <c r="M14" s="37">
        <f t="shared" si="2"/>
        <v>0</v>
      </c>
      <c r="N14" s="65">
        <f t="shared" si="2"/>
        <v>0</v>
      </c>
      <c r="O14"/>
      <c r="P14"/>
      <c r="Q14"/>
      <c r="R14"/>
      <c r="S14"/>
    </row>
    <row r="15" spans="2:19" hidden="1" x14ac:dyDescent="0.25">
      <c r="B15" s="44" t="s">
        <v>17</v>
      </c>
      <c r="C15" s="106"/>
      <c r="D15" s="106"/>
      <c r="E15" s="145"/>
      <c r="F15" s="106"/>
      <c r="G15" s="106"/>
      <c r="H15" s="145"/>
      <c r="I15" s="106"/>
      <c r="J15" s="106"/>
      <c r="K15" s="145"/>
      <c r="L15" s="37">
        <f t="shared" si="2"/>
        <v>0</v>
      </c>
      <c r="M15" s="37">
        <f t="shared" si="2"/>
        <v>0</v>
      </c>
      <c r="N15" s="65">
        <f t="shared" si="2"/>
        <v>0</v>
      </c>
      <c r="O15"/>
      <c r="P15"/>
      <c r="Q15"/>
      <c r="R15"/>
      <c r="S15"/>
    </row>
    <row r="16" spans="2:19" hidden="1" x14ac:dyDescent="0.25">
      <c r="B16" s="27" t="s">
        <v>18</v>
      </c>
      <c r="C16" s="39">
        <f t="shared" ref="C16:N16" si="3">SUM(C13:C15)</f>
        <v>0</v>
      </c>
      <c r="D16" s="39">
        <f t="shared" si="3"/>
        <v>0</v>
      </c>
      <c r="E16" s="39">
        <f t="shared" si="3"/>
        <v>0</v>
      </c>
      <c r="F16" s="39">
        <f t="shared" ref="F16:K16" si="4">SUM(F13:F15)</f>
        <v>0</v>
      </c>
      <c r="G16" s="39">
        <f t="shared" si="4"/>
        <v>0</v>
      </c>
      <c r="H16" s="39">
        <f t="shared" si="4"/>
        <v>0</v>
      </c>
      <c r="I16" s="39">
        <f t="shared" si="4"/>
        <v>0</v>
      </c>
      <c r="J16" s="39">
        <f t="shared" si="4"/>
        <v>0</v>
      </c>
      <c r="K16" s="39">
        <f t="shared" si="4"/>
        <v>0</v>
      </c>
      <c r="L16" s="39">
        <f t="shared" si="3"/>
        <v>0</v>
      </c>
      <c r="M16" s="39">
        <f t="shared" si="3"/>
        <v>0</v>
      </c>
      <c r="N16" s="39">
        <f t="shared" si="3"/>
        <v>0</v>
      </c>
      <c r="O16"/>
      <c r="P16"/>
      <c r="Q16"/>
      <c r="R16"/>
      <c r="S16"/>
    </row>
    <row r="17" spans="2:21" hidden="1" x14ac:dyDescent="0.25">
      <c r="B17" s="44" t="s">
        <v>34</v>
      </c>
      <c r="C17" s="106"/>
      <c r="D17" s="106"/>
      <c r="E17" s="145"/>
      <c r="F17" s="106"/>
      <c r="G17" s="106"/>
      <c r="H17" s="145"/>
      <c r="I17" s="106"/>
      <c r="J17" s="106"/>
      <c r="K17" s="145"/>
      <c r="L17" s="37">
        <f t="shared" ref="L17:N19" si="5">+C17+I17+F17</f>
        <v>0</v>
      </c>
      <c r="M17" s="37">
        <f t="shared" si="5"/>
        <v>0</v>
      </c>
      <c r="N17" s="65">
        <f t="shared" si="5"/>
        <v>0</v>
      </c>
      <c r="O17"/>
      <c r="P17"/>
      <c r="Q17"/>
      <c r="R17"/>
      <c r="S17"/>
    </row>
    <row r="18" spans="2:21" hidden="1" x14ac:dyDescent="0.25">
      <c r="B18" s="44" t="s">
        <v>20</v>
      </c>
      <c r="C18" s="106"/>
      <c r="D18" s="106"/>
      <c r="E18" s="145"/>
      <c r="F18" s="106"/>
      <c r="G18" s="106"/>
      <c r="H18" s="145"/>
      <c r="I18" s="106"/>
      <c r="J18" s="106"/>
      <c r="K18" s="145"/>
      <c r="L18" s="37">
        <f t="shared" si="5"/>
        <v>0</v>
      </c>
      <c r="M18" s="37">
        <f t="shared" si="5"/>
        <v>0</v>
      </c>
      <c r="N18" s="65">
        <f t="shared" si="5"/>
        <v>0</v>
      </c>
      <c r="O18"/>
      <c r="P18"/>
      <c r="Q18"/>
      <c r="R18"/>
      <c r="S18"/>
    </row>
    <row r="19" spans="2:21" hidden="1" x14ac:dyDescent="0.25">
      <c r="B19" s="44" t="s">
        <v>21</v>
      </c>
      <c r="C19" s="106"/>
      <c r="D19" s="106"/>
      <c r="E19" s="145"/>
      <c r="F19" s="106"/>
      <c r="G19" s="106"/>
      <c r="H19" s="145"/>
      <c r="I19" s="106"/>
      <c r="J19" s="106"/>
      <c r="K19" s="145"/>
      <c r="L19" s="37">
        <f t="shared" si="5"/>
        <v>0</v>
      </c>
      <c r="M19" s="37">
        <f t="shared" si="5"/>
        <v>0</v>
      </c>
      <c r="N19" s="65">
        <f t="shared" si="5"/>
        <v>0</v>
      </c>
      <c r="O19"/>
      <c r="P19"/>
      <c r="Q19"/>
      <c r="R19"/>
      <c r="S19"/>
    </row>
    <row r="20" spans="2:21" hidden="1" x14ac:dyDescent="0.25">
      <c r="B20" s="27" t="s">
        <v>22</v>
      </c>
      <c r="C20" s="39">
        <f t="shared" ref="C20:E20" si="6">SUM(C17:C19)</f>
        <v>0</v>
      </c>
      <c r="D20" s="39">
        <f t="shared" si="6"/>
        <v>0</v>
      </c>
      <c r="E20" s="39">
        <f t="shared" si="6"/>
        <v>0</v>
      </c>
      <c r="F20" s="39">
        <f t="shared" ref="F20:N20" si="7">SUM(F17:F19)</f>
        <v>0</v>
      </c>
      <c r="G20" s="39">
        <f t="shared" si="7"/>
        <v>0</v>
      </c>
      <c r="H20" s="39">
        <f t="shared" si="7"/>
        <v>0</v>
      </c>
      <c r="I20" s="39">
        <f>SUM(I17:I19)</f>
        <v>0</v>
      </c>
      <c r="J20" s="39">
        <f>SUM(J17:J19)</f>
        <v>0</v>
      </c>
      <c r="K20" s="39">
        <f>SUM(K17:K19)</f>
        <v>0</v>
      </c>
      <c r="L20" s="39">
        <f t="shared" si="7"/>
        <v>0</v>
      </c>
      <c r="M20" s="39">
        <f t="shared" si="7"/>
        <v>0</v>
      </c>
      <c r="N20" s="39">
        <f t="shared" si="7"/>
        <v>0</v>
      </c>
      <c r="O20"/>
      <c r="P20"/>
      <c r="Q20"/>
      <c r="R20"/>
      <c r="S20"/>
    </row>
    <row r="21" spans="2:21" hidden="1" x14ac:dyDescent="0.25">
      <c r="B21" s="44" t="s">
        <v>13</v>
      </c>
      <c r="C21" s="106"/>
      <c r="D21" s="106"/>
      <c r="E21" s="145"/>
      <c r="F21" s="106"/>
      <c r="G21" s="106"/>
      <c r="H21" s="145"/>
      <c r="I21" s="106"/>
      <c r="J21" s="106"/>
      <c r="K21" s="145"/>
      <c r="L21" s="37">
        <f t="shared" ref="L21:N23" si="8">+C21+I21+F21</f>
        <v>0</v>
      </c>
      <c r="M21" s="37">
        <f t="shared" si="8"/>
        <v>0</v>
      </c>
      <c r="N21" s="65">
        <f t="shared" si="8"/>
        <v>0</v>
      </c>
      <c r="O21"/>
      <c r="P21"/>
      <c r="Q21"/>
      <c r="R21"/>
      <c r="S21"/>
    </row>
    <row r="22" spans="2:21" hidden="1" x14ac:dyDescent="0.25">
      <c r="B22" s="44" t="s">
        <v>12</v>
      </c>
      <c r="C22" s="106"/>
      <c r="D22" s="106"/>
      <c r="E22" s="145"/>
      <c r="F22" s="106"/>
      <c r="G22" s="106"/>
      <c r="H22" s="145"/>
      <c r="I22" s="106"/>
      <c r="J22" s="106"/>
      <c r="K22" s="145"/>
      <c r="L22" s="37">
        <f t="shared" si="8"/>
        <v>0</v>
      </c>
      <c r="M22" s="37">
        <f t="shared" si="8"/>
        <v>0</v>
      </c>
      <c r="N22" s="65">
        <f t="shared" si="8"/>
        <v>0</v>
      </c>
      <c r="O22"/>
      <c r="P22"/>
      <c r="Q22"/>
      <c r="R22"/>
      <c r="S22"/>
    </row>
    <row r="23" spans="2:21" hidden="1" x14ac:dyDescent="0.25">
      <c r="B23" s="44" t="s">
        <v>169</v>
      </c>
      <c r="C23" s="106"/>
      <c r="D23" s="106"/>
      <c r="E23" s="145"/>
      <c r="F23" s="106"/>
      <c r="G23" s="106"/>
      <c r="H23" s="145"/>
      <c r="I23" s="106"/>
      <c r="J23" s="106"/>
      <c r="K23" s="145"/>
      <c r="L23" s="37">
        <f t="shared" si="8"/>
        <v>0</v>
      </c>
      <c r="M23" s="37">
        <f t="shared" si="8"/>
        <v>0</v>
      </c>
      <c r="N23" s="65">
        <f t="shared" si="8"/>
        <v>0</v>
      </c>
      <c r="O23"/>
      <c r="P23"/>
      <c r="Q23"/>
      <c r="R23"/>
      <c r="S23"/>
    </row>
    <row r="24" spans="2:21" hidden="1" x14ac:dyDescent="0.25">
      <c r="B24" s="27" t="s">
        <v>14</v>
      </c>
      <c r="C24" s="39">
        <f t="shared" ref="C24:N24" si="9">SUM(C21:C23)</f>
        <v>0</v>
      </c>
      <c r="D24" s="39">
        <f t="shared" si="9"/>
        <v>0</v>
      </c>
      <c r="E24" s="39">
        <f t="shared" si="9"/>
        <v>0</v>
      </c>
      <c r="F24" s="39">
        <f t="shared" ref="F24:K24" si="10">SUM(F21:F23)</f>
        <v>0</v>
      </c>
      <c r="G24" s="39">
        <f t="shared" si="10"/>
        <v>0</v>
      </c>
      <c r="H24" s="39">
        <f t="shared" si="10"/>
        <v>0</v>
      </c>
      <c r="I24" s="39">
        <f t="shared" si="10"/>
        <v>0</v>
      </c>
      <c r="J24" s="39">
        <f t="shared" si="10"/>
        <v>0</v>
      </c>
      <c r="K24" s="39">
        <f t="shared" si="10"/>
        <v>0</v>
      </c>
      <c r="L24" s="39">
        <f t="shared" si="9"/>
        <v>0</v>
      </c>
      <c r="M24" s="39">
        <f t="shared" si="9"/>
        <v>0</v>
      </c>
      <c r="N24" s="39">
        <f t="shared" si="9"/>
        <v>0</v>
      </c>
      <c r="O24"/>
      <c r="P24"/>
      <c r="Q24"/>
      <c r="R24"/>
      <c r="S24"/>
    </row>
    <row r="25" spans="2:21" hidden="1" x14ac:dyDescent="0.25">
      <c r="B25" s="71" t="s">
        <v>23</v>
      </c>
      <c r="C25" s="41">
        <f t="shared" ref="C25:L25" si="11">+C12+C16+C20+C24</f>
        <v>535</v>
      </c>
      <c r="D25" s="41">
        <f t="shared" si="11"/>
        <v>581</v>
      </c>
      <c r="E25" s="41">
        <f t="shared" si="11"/>
        <v>53202742.07</v>
      </c>
      <c r="F25" s="41">
        <f t="shared" si="11"/>
        <v>0</v>
      </c>
      <c r="G25" s="41">
        <f t="shared" si="11"/>
        <v>0</v>
      </c>
      <c r="H25" s="41">
        <f t="shared" si="11"/>
        <v>0</v>
      </c>
      <c r="I25" s="41">
        <f t="shared" si="11"/>
        <v>0</v>
      </c>
      <c r="J25" s="41">
        <f t="shared" si="11"/>
        <v>0</v>
      </c>
      <c r="K25" s="41">
        <f t="shared" si="11"/>
        <v>0</v>
      </c>
      <c r="L25" s="41">
        <f t="shared" si="11"/>
        <v>535</v>
      </c>
      <c r="M25" s="41">
        <f t="shared" ref="M25:N25" si="12">+M12+M16+M20+M24</f>
        <v>581</v>
      </c>
      <c r="N25" s="41">
        <f t="shared" si="12"/>
        <v>53202742.07</v>
      </c>
      <c r="O25"/>
      <c r="P25"/>
      <c r="Q25"/>
      <c r="R25"/>
      <c r="S25"/>
    </row>
    <row r="26" spans="2:21" hidden="1" x14ac:dyDescent="0.25">
      <c r="B26" s="148" t="s">
        <v>170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21" x14ac:dyDescent="0.25">
      <c r="B27" s="175" t="s">
        <v>250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2:21" x14ac:dyDescent="0.25">
      <c r="B28" s="175" t="s">
        <v>171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2:21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 s="144"/>
      <c r="P29"/>
      <c r="Q29"/>
      <c r="R29"/>
      <c r="S29"/>
    </row>
    <row r="30" spans="2:2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 s="144"/>
      <c r="P30"/>
      <c r="Q30"/>
      <c r="R30"/>
      <c r="S30"/>
    </row>
    <row r="31" spans="2:21" x14ac:dyDescent="0.25">
      <c r="B31" s="44"/>
      <c r="C31" s="136"/>
      <c r="D31" s="136"/>
      <c r="E31" s="106"/>
      <c r="F31" s="106"/>
      <c r="G31" s="106"/>
      <c r="H31" s="145"/>
      <c r="I31" s="146"/>
      <c r="J31" s="147"/>
      <c r="K31" s="106"/>
      <c r="L31" s="38"/>
      <c r="M31" s="38"/>
      <c r="N31" s="38"/>
    </row>
    <row r="32" spans="2:21" x14ac:dyDescent="0.25">
      <c r="O32" s="36"/>
      <c r="R32" s="51"/>
      <c r="S32" s="63"/>
      <c r="T32" s="52"/>
      <c r="U32" s="64"/>
    </row>
    <row r="33" spans="2:21" x14ac:dyDescent="0.25">
      <c r="B33" s="44"/>
      <c r="C33" s="136"/>
      <c r="D33" s="136"/>
      <c r="E33" s="106"/>
      <c r="F33" s="106"/>
      <c r="G33" s="106"/>
      <c r="H33" s="145"/>
      <c r="I33" s="146"/>
      <c r="J33" s="147"/>
      <c r="K33" s="106"/>
      <c r="L33" s="38"/>
      <c r="M33" s="38"/>
      <c r="N33" s="38"/>
      <c r="R33" s="51"/>
      <c r="S33" s="63"/>
      <c r="T33" s="52"/>
      <c r="U33" s="64"/>
    </row>
    <row r="34" spans="2:21" x14ac:dyDescent="0.25">
      <c r="R34" s="51"/>
      <c r="S34" s="63"/>
      <c r="T34" s="52"/>
      <c r="U34" s="64"/>
    </row>
    <row r="35" spans="2:21" x14ac:dyDescent="0.25">
      <c r="R35" s="51"/>
      <c r="S35" s="63"/>
      <c r="T35" s="52"/>
      <c r="U35" s="64"/>
    </row>
    <row r="36" spans="2:21" x14ac:dyDescent="0.25">
      <c r="R36" s="51"/>
      <c r="S36" s="63"/>
      <c r="T36" s="52"/>
      <c r="U36" s="64"/>
    </row>
    <row r="37" spans="2:21" x14ac:dyDescent="0.25">
      <c r="R37" s="51"/>
      <c r="S37" s="63"/>
      <c r="T37" s="52"/>
      <c r="U37" s="64"/>
    </row>
    <row r="38" spans="2:21" x14ac:dyDescent="0.25">
      <c r="R38" s="51"/>
      <c r="S38" s="63"/>
      <c r="T38" s="52"/>
      <c r="U38" s="64"/>
    </row>
    <row r="39" spans="2:21" x14ac:dyDescent="0.25">
      <c r="R39" s="51"/>
      <c r="S39" s="63"/>
      <c r="T39" s="52"/>
      <c r="U39" s="64"/>
    </row>
  </sheetData>
  <mergeCells count="9">
    <mergeCell ref="B1:N1"/>
    <mergeCell ref="B2:N2"/>
    <mergeCell ref="B3:N3"/>
    <mergeCell ref="B5:N5"/>
    <mergeCell ref="C6:E6"/>
    <mergeCell ref="I6:K6"/>
    <mergeCell ref="L6:N6"/>
    <mergeCell ref="B4:N4"/>
    <mergeCell ref="F6:H6"/>
  </mergeCells>
  <pageMargins left="0.7" right="0.7" top="0.75" bottom="0.75" header="0.3" footer="0.3"/>
  <pageSetup paperSize="9" scale="72" orientation="portrait" r:id="rId1"/>
  <rowBreaks count="1" manualBreakCount="1">
    <brk id="45" min="1" max="10" man="1"/>
  </rowBreaks>
  <ignoredErrors>
    <ignoredError sqref="C12:E12 I12:K12" formulaRange="1"/>
    <ignoredError sqref="L12:N12" formula="1"/>
  </ignoredError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P39"/>
  <sheetViews>
    <sheetView showGridLines="0" workbookViewId="0">
      <selection activeCell="F8" sqref="F8:G10"/>
    </sheetView>
  </sheetViews>
  <sheetFormatPr baseColWidth="10" defaultColWidth="11.42578125" defaultRowHeight="15" x14ac:dyDescent="0.25"/>
  <cols>
    <col min="1" max="1" width="11.42578125" style="1"/>
    <col min="2" max="2" width="11" style="1" customWidth="1"/>
    <col min="3" max="3" width="14.140625" style="1" customWidth="1"/>
    <col min="4" max="4" width="12.42578125" style="1" customWidth="1"/>
    <col min="5" max="5" width="17.7109375" style="1" bestFit="1" customWidth="1"/>
    <col min="6" max="6" width="12.42578125" style="1" customWidth="1"/>
    <col min="7" max="7" width="16.140625" style="1" bestFit="1" customWidth="1"/>
    <col min="8" max="8" width="10.7109375" style="1" customWidth="1"/>
    <col min="9" max="9" width="15.28515625" style="1" bestFit="1" customWidth="1"/>
    <col min="10" max="10" width="11.42578125" style="1" customWidth="1"/>
    <col min="11" max="12" width="11.42578125" style="1"/>
    <col min="13" max="14" width="11.7109375" style="1" bestFit="1" customWidth="1"/>
    <col min="15" max="15" width="16" style="1" bestFit="1" customWidth="1"/>
    <col min="16" max="16" width="11.7109375" style="1" bestFit="1" customWidth="1"/>
    <col min="17" max="16384" width="11.42578125" style="1"/>
  </cols>
  <sheetData>
    <row r="1" spans="1:9" x14ac:dyDescent="0.25">
      <c r="A1" s="304" t="s">
        <v>172</v>
      </c>
      <c r="B1" s="304"/>
      <c r="C1" s="304"/>
      <c r="D1" s="304"/>
      <c r="E1" s="304"/>
      <c r="F1" s="304"/>
      <c r="G1" s="304"/>
      <c r="H1" s="304"/>
      <c r="I1" s="304"/>
    </row>
    <row r="2" spans="1:9" x14ac:dyDescent="0.25">
      <c r="A2" s="304" t="s">
        <v>65</v>
      </c>
      <c r="B2" s="304"/>
      <c r="C2" s="304"/>
      <c r="D2" s="304"/>
      <c r="E2" s="304"/>
      <c r="F2" s="304"/>
      <c r="G2" s="304"/>
      <c r="H2" s="304"/>
      <c r="I2" s="304"/>
    </row>
    <row r="3" spans="1:9" x14ac:dyDescent="0.25">
      <c r="A3" s="304" t="s">
        <v>173</v>
      </c>
      <c r="B3" s="304"/>
      <c r="C3" s="304"/>
      <c r="D3" s="304"/>
      <c r="E3" s="304"/>
      <c r="F3" s="304"/>
      <c r="G3" s="304"/>
      <c r="H3" s="304"/>
      <c r="I3" s="304"/>
    </row>
    <row r="4" spans="1:9" x14ac:dyDescent="0.25">
      <c r="A4" s="304" t="s">
        <v>174</v>
      </c>
      <c r="B4" s="304"/>
      <c r="C4" s="304"/>
      <c r="D4" s="304"/>
      <c r="E4" s="304"/>
      <c r="F4" s="304"/>
      <c r="G4" s="304"/>
      <c r="H4" s="304"/>
      <c r="I4" s="304"/>
    </row>
    <row r="5" spans="1:9" x14ac:dyDescent="0.25">
      <c r="A5" s="304" t="s">
        <v>175</v>
      </c>
      <c r="B5" s="304"/>
      <c r="C5" s="304"/>
      <c r="D5" s="304"/>
      <c r="E5" s="304"/>
      <c r="F5" s="304"/>
      <c r="G5" s="304"/>
      <c r="H5" s="304"/>
      <c r="I5" s="304"/>
    </row>
    <row r="6" spans="1:9" x14ac:dyDescent="0.25">
      <c r="A6" s="85"/>
      <c r="B6" s="346" t="s">
        <v>176</v>
      </c>
      <c r="C6" s="346"/>
      <c r="D6" s="350" t="s">
        <v>78</v>
      </c>
      <c r="E6" s="350"/>
      <c r="F6" s="347" t="s">
        <v>77</v>
      </c>
      <c r="G6" s="347"/>
      <c r="H6" s="349" t="s">
        <v>79</v>
      </c>
      <c r="I6" s="349"/>
    </row>
    <row r="7" spans="1:9" ht="34.5" customHeight="1" x14ac:dyDescent="0.25">
      <c r="A7" s="86" t="s">
        <v>3</v>
      </c>
      <c r="B7" s="45" t="s">
        <v>177</v>
      </c>
      <c r="C7" s="45" t="s">
        <v>7</v>
      </c>
      <c r="D7" s="45" t="s">
        <v>177</v>
      </c>
      <c r="E7" s="45" t="s">
        <v>7</v>
      </c>
      <c r="F7" s="45" t="s">
        <v>177</v>
      </c>
      <c r="G7" s="45" t="s">
        <v>7</v>
      </c>
      <c r="H7" s="45" t="s">
        <v>177</v>
      </c>
      <c r="I7" s="45" t="s">
        <v>7</v>
      </c>
    </row>
    <row r="8" spans="1:9" x14ac:dyDescent="0.25">
      <c r="A8" s="44" t="s">
        <v>15</v>
      </c>
      <c r="B8" s="32">
        <v>0</v>
      </c>
      <c r="C8" s="60">
        <v>0</v>
      </c>
      <c r="D8" s="32">
        <v>0</v>
      </c>
      <c r="E8" s="60">
        <v>0</v>
      </c>
      <c r="F8" s="32">
        <v>0</v>
      </c>
      <c r="G8" s="60">
        <v>0</v>
      </c>
      <c r="H8" s="37">
        <f t="shared" ref="H8:I10" si="0">+B8+D8+F8</f>
        <v>0</v>
      </c>
      <c r="I8" s="65">
        <f t="shared" si="0"/>
        <v>0</v>
      </c>
    </row>
    <row r="9" spans="1:9" x14ac:dyDescent="0.25">
      <c r="A9" s="44" t="s">
        <v>16</v>
      </c>
      <c r="B9" s="32">
        <f>4+28+31</f>
        <v>63</v>
      </c>
      <c r="C9" s="60">
        <f>30992+216880.44+240467.76</f>
        <v>488340.2</v>
      </c>
      <c r="D9" s="32">
        <v>3</v>
      </c>
      <c r="E9" s="60">
        <v>224872.69</v>
      </c>
      <c r="F9" s="32">
        <f>2+12</f>
        <v>14</v>
      </c>
      <c r="G9" s="60">
        <f>12000+72000</f>
        <v>84000</v>
      </c>
      <c r="H9" s="37">
        <f t="shared" si="0"/>
        <v>80</v>
      </c>
      <c r="I9" s="65">
        <f t="shared" si="0"/>
        <v>797212.89</v>
      </c>
    </row>
    <row r="10" spans="1:9" x14ac:dyDescent="0.25">
      <c r="A10" s="44" t="s">
        <v>17</v>
      </c>
      <c r="B10" s="32">
        <v>1413</v>
      </c>
      <c r="C10" s="60">
        <v>11172621.32</v>
      </c>
      <c r="D10" s="32">
        <v>34</v>
      </c>
      <c r="E10" s="60">
        <v>278309.3</v>
      </c>
      <c r="F10" s="32">
        <v>1549</v>
      </c>
      <c r="G10" s="60">
        <v>9294000</v>
      </c>
      <c r="H10" s="37">
        <f t="shared" si="0"/>
        <v>2996</v>
      </c>
      <c r="I10" s="37">
        <f t="shared" si="0"/>
        <v>20744930.620000001</v>
      </c>
    </row>
    <row r="11" spans="1:9" x14ac:dyDescent="0.25">
      <c r="A11" s="27" t="s">
        <v>18</v>
      </c>
      <c r="B11" s="39">
        <f t="shared" ref="B11:I11" si="1">SUM(B8:B10)</f>
        <v>1476</v>
      </c>
      <c r="C11" s="39">
        <f t="shared" si="1"/>
        <v>11660961.52</v>
      </c>
      <c r="D11" s="39">
        <f t="shared" si="1"/>
        <v>37</v>
      </c>
      <c r="E11" s="39">
        <f t="shared" si="1"/>
        <v>503181.99</v>
      </c>
      <c r="F11" s="39">
        <f>SUM(F8:F10)</f>
        <v>1563</v>
      </c>
      <c r="G11" s="39">
        <f t="shared" ref="G11" si="2">SUM(G8:G10)</f>
        <v>9378000</v>
      </c>
      <c r="H11" s="39">
        <f>SUM(H8:H10)</f>
        <v>3076</v>
      </c>
      <c r="I11" s="39">
        <f t="shared" si="1"/>
        <v>21542143.510000002</v>
      </c>
    </row>
    <row r="12" spans="1:9" hidden="1" x14ac:dyDescent="0.25">
      <c r="A12" s="44" t="s">
        <v>15</v>
      </c>
      <c r="B12" s="32"/>
      <c r="C12" s="60"/>
      <c r="D12" s="32"/>
      <c r="E12" s="60"/>
      <c r="F12" s="32"/>
      <c r="G12" s="60"/>
      <c r="H12" s="37">
        <f t="shared" ref="H12:I14" si="3">+B12+D12+F12</f>
        <v>0</v>
      </c>
      <c r="I12" s="65">
        <f t="shared" si="3"/>
        <v>0</v>
      </c>
    </row>
    <row r="13" spans="1:9" hidden="1" x14ac:dyDescent="0.25">
      <c r="A13" s="44" t="s">
        <v>16</v>
      </c>
      <c r="B13" s="32"/>
      <c r="C13" s="60"/>
      <c r="D13" s="32"/>
      <c r="E13" s="60"/>
      <c r="F13" s="32"/>
      <c r="G13" s="60"/>
      <c r="H13" s="37">
        <f t="shared" si="3"/>
        <v>0</v>
      </c>
      <c r="I13" s="65">
        <f t="shared" si="3"/>
        <v>0</v>
      </c>
    </row>
    <row r="14" spans="1:9" hidden="1" x14ac:dyDescent="0.25">
      <c r="A14" s="44" t="s">
        <v>17</v>
      </c>
      <c r="B14" s="32"/>
      <c r="C14" s="60"/>
      <c r="D14" s="32"/>
      <c r="E14" s="60"/>
      <c r="F14" s="32"/>
      <c r="G14" s="60"/>
      <c r="H14" s="37">
        <f t="shared" si="3"/>
        <v>0</v>
      </c>
      <c r="I14" s="65">
        <f t="shared" si="3"/>
        <v>0</v>
      </c>
    </row>
    <row r="15" spans="1:9" hidden="1" x14ac:dyDescent="0.25">
      <c r="A15" s="27" t="s">
        <v>18</v>
      </c>
      <c r="B15" s="39">
        <f t="shared" ref="B15:I15" si="4">SUM(B12:B14)</f>
        <v>0</v>
      </c>
      <c r="C15" s="39">
        <f t="shared" si="4"/>
        <v>0</v>
      </c>
      <c r="D15" s="39">
        <f t="shared" si="4"/>
        <v>0</v>
      </c>
      <c r="E15" s="39">
        <f t="shared" si="4"/>
        <v>0</v>
      </c>
      <c r="F15" s="39">
        <f t="shared" ref="F15:G15" si="5">SUM(F12:F14)</f>
        <v>0</v>
      </c>
      <c r="G15" s="39">
        <f t="shared" si="5"/>
        <v>0</v>
      </c>
      <c r="H15" s="39">
        <f t="shared" si="4"/>
        <v>0</v>
      </c>
      <c r="I15" s="39">
        <f t="shared" si="4"/>
        <v>0</v>
      </c>
    </row>
    <row r="16" spans="1:9" hidden="1" x14ac:dyDescent="0.25">
      <c r="A16" s="44" t="s">
        <v>34</v>
      </c>
      <c r="B16" s="32"/>
      <c r="C16" s="60"/>
      <c r="D16" s="32"/>
      <c r="E16" s="60"/>
      <c r="F16" s="32"/>
      <c r="G16" s="60"/>
      <c r="H16" s="37">
        <f t="shared" ref="H16:I18" si="6">+B16+D16+F16</f>
        <v>0</v>
      </c>
      <c r="I16" s="65">
        <f t="shared" si="6"/>
        <v>0</v>
      </c>
    </row>
    <row r="17" spans="1:16" hidden="1" x14ac:dyDescent="0.25">
      <c r="A17" s="44" t="s">
        <v>20</v>
      </c>
      <c r="B17" s="32"/>
      <c r="C17" s="60"/>
      <c r="D17" s="32"/>
      <c r="E17" s="60"/>
      <c r="F17" s="32"/>
      <c r="G17" s="60"/>
      <c r="H17" s="37">
        <f t="shared" si="6"/>
        <v>0</v>
      </c>
      <c r="I17" s="65">
        <f t="shared" si="6"/>
        <v>0</v>
      </c>
    </row>
    <row r="18" spans="1:16" hidden="1" x14ac:dyDescent="0.25">
      <c r="A18" s="44" t="s">
        <v>21</v>
      </c>
      <c r="B18" s="32"/>
      <c r="C18" s="60"/>
      <c r="D18" s="32"/>
      <c r="E18" s="60"/>
      <c r="F18" s="32"/>
      <c r="G18" s="60"/>
      <c r="H18" s="37">
        <f t="shared" si="6"/>
        <v>0</v>
      </c>
      <c r="I18" s="65">
        <f t="shared" si="6"/>
        <v>0</v>
      </c>
    </row>
    <row r="19" spans="1:16" hidden="1" x14ac:dyDescent="0.25">
      <c r="A19" s="27" t="s">
        <v>22</v>
      </c>
      <c r="B19" s="39">
        <f t="shared" ref="B19:E19" si="7">SUM(B16:B18)</f>
        <v>0</v>
      </c>
      <c r="C19" s="39">
        <f t="shared" si="7"/>
        <v>0</v>
      </c>
      <c r="D19" s="39">
        <f t="shared" si="7"/>
        <v>0</v>
      </c>
      <c r="E19" s="39">
        <f t="shared" si="7"/>
        <v>0</v>
      </c>
      <c r="F19" s="39">
        <f t="shared" ref="F19:G19" si="8">SUM(F16:F18)</f>
        <v>0</v>
      </c>
      <c r="G19" s="39">
        <f t="shared" si="8"/>
        <v>0</v>
      </c>
      <c r="H19" s="39">
        <f>SUM(H16:H18)</f>
        <v>0</v>
      </c>
      <c r="I19" s="39">
        <f>SUM(I16:I18)</f>
        <v>0</v>
      </c>
    </row>
    <row r="20" spans="1:16" hidden="1" x14ac:dyDescent="0.25">
      <c r="A20" s="31" t="s">
        <v>13</v>
      </c>
      <c r="B20" s="32"/>
      <c r="C20" s="60"/>
      <c r="D20" s="32"/>
      <c r="E20" s="60"/>
      <c r="F20" s="32"/>
      <c r="G20" s="60"/>
      <c r="H20" s="37">
        <f t="shared" ref="H20:I22" si="9">+B20+D20+F20</f>
        <v>0</v>
      </c>
      <c r="I20" s="65">
        <f t="shared" si="9"/>
        <v>0</v>
      </c>
    </row>
    <row r="21" spans="1:16" hidden="1" x14ac:dyDescent="0.25">
      <c r="A21" s="31" t="s">
        <v>12</v>
      </c>
      <c r="B21" s="32"/>
      <c r="C21" s="60"/>
      <c r="D21" s="32"/>
      <c r="E21" s="60"/>
      <c r="F21" s="32"/>
      <c r="G21" s="60"/>
      <c r="H21" s="37">
        <f t="shared" si="9"/>
        <v>0</v>
      </c>
      <c r="I21" s="65">
        <f t="shared" si="9"/>
        <v>0</v>
      </c>
    </row>
    <row r="22" spans="1:16" hidden="1" x14ac:dyDescent="0.25">
      <c r="A22" s="31" t="s">
        <v>11</v>
      </c>
      <c r="B22" s="32"/>
      <c r="C22" s="60"/>
      <c r="D22" s="32"/>
      <c r="E22" s="60"/>
      <c r="F22" s="32"/>
      <c r="G22" s="60"/>
      <c r="H22" s="37">
        <f t="shared" si="9"/>
        <v>0</v>
      </c>
      <c r="I22" s="65">
        <f t="shared" si="9"/>
        <v>0</v>
      </c>
    </row>
    <row r="23" spans="1:16" hidden="1" x14ac:dyDescent="0.25">
      <c r="A23" s="12" t="s">
        <v>14</v>
      </c>
      <c r="B23" s="39">
        <f t="shared" ref="B23:I23" si="10">SUM(B20:B22)</f>
        <v>0</v>
      </c>
      <c r="C23" s="39">
        <f t="shared" si="10"/>
        <v>0</v>
      </c>
      <c r="D23" s="39">
        <f t="shared" si="10"/>
        <v>0</v>
      </c>
      <c r="E23" s="39">
        <f t="shared" si="10"/>
        <v>0</v>
      </c>
      <c r="F23" s="39">
        <f t="shared" ref="F23:G23" si="11">SUM(F20:F22)</f>
        <v>0</v>
      </c>
      <c r="G23" s="39">
        <f t="shared" si="11"/>
        <v>0</v>
      </c>
      <c r="H23" s="39">
        <f t="shared" si="10"/>
        <v>0</v>
      </c>
      <c r="I23" s="39">
        <f t="shared" si="10"/>
        <v>0</v>
      </c>
    </row>
    <row r="24" spans="1:16" hidden="1" x14ac:dyDescent="0.25">
      <c r="A24" s="61" t="s">
        <v>23</v>
      </c>
      <c r="B24" s="41">
        <f>+B11+B15+B19+B23</f>
        <v>1476</v>
      </c>
      <c r="C24" s="41">
        <f>+C11+C15+C19+C23</f>
        <v>11660961.52</v>
      </c>
      <c r="D24" s="41">
        <f t="shared" ref="D24:I24" si="12">+D11+D15+D19+D23</f>
        <v>37</v>
      </c>
      <c r="E24" s="41">
        <f t="shared" si="12"/>
        <v>503181.99</v>
      </c>
      <c r="F24" s="41">
        <f t="shared" si="12"/>
        <v>1563</v>
      </c>
      <c r="G24" s="41">
        <f t="shared" si="12"/>
        <v>9378000</v>
      </c>
      <c r="H24" s="41">
        <f>+H11+H15+H19+H23</f>
        <v>3076</v>
      </c>
      <c r="I24" s="41">
        <f t="shared" si="12"/>
        <v>21542143.510000002</v>
      </c>
    </row>
    <row r="25" spans="1:16" hidden="1" x14ac:dyDescent="0.25">
      <c r="A25" s="62" t="s">
        <v>178</v>
      </c>
    </row>
    <row r="26" spans="1:16" x14ac:dyDescent="0.25">
      <c r="A26" s="15" t="s">
        <v>179</v>
      </c>
      <c r="E26" s="36"/>
      <c r="G26" s="36"/>
    </row>
    <row r="32" spans="1:16" x14ac:dyDescent="0.25">
      <c r="M32" s="51">
        <v>32154</v>
      </c>
      <c r="N32" s="63" t="e">
        <f t="shared" ref="N32:N39" si="13">M32/$B$29*100</f>
        <v>#DIV/0!</v>
      </c>
      <c r="O32" s="52">
        <v>386810064.19999999</v>
      </c>
      <c r="P32" s="64" t="e">
        <f>O32/O40*100</f>
        <v>#DIV/0!</v>
      </c>
    </row>
    <row r="33" spans="13:16" x14ac:dyDescent="0.25">
      <c r="M33" s="51">
        <v>56199</v>
      </c>
      <c r="N33" s="63" t="e">
        <f t="shared" si="13"/>
        <v>#DIV/0!</v>
      </c>
      <c r="O33" s="52">
        <v>471111842.94</v>
      </c>
      <c r="P33" s="64" t="e">
        <f>O33/O40*100</f>
        <v>#DIV/0!</v>
      </c>
    </row>
    <row r="34" spans="13:16" x14ac:dyDescent="0.25">
      <c r="M34" s="51">
        <v>297</v>
      </c>
      <c r="N34" s="63" t="e">
        <f t="shared" si="13"/>
        <v>#DIV/0!</v>
      </c>
      <c r="O34" s="52">
        <v>5010228</v>
      </c>
      <c r="P34" s="64" t="e">
        <f>O34/O40*100</f>
        <v>#DIV/0!</v>
      </c>
    </row>
    <row r="35" spans="13:16" x14ac:dyDescent="0.25">
      <c r="M35" s="51">
        <v>163</v>
      </c>
      <c r="N35" s="63" t="e">
        <f t="shared" si="13"/>
        <v>#DIV/0!</v>
      </c>
      <c r="O35" s="52">
        <v>4392328.91</v>
      </c>
      <c r="P35" s="64" t="e">
        <f>O35/O40*100</f>
        <v>#DIV/0!</v>
      </c>
    </row>
    <row r="36" spans="13:16" x14ac:dyDescent="0.25">
      <c r="M36" s="51">
        <v>366</v>
      </c>
      <c r="N36" s="63" t="e">
        <f t="shared" si="13"/>
        <v>#DIV/0!</v>
      </c>
      <c r="O36" s="52">
        <v>9034522.6500000004</v>
      </c>
      <c r="P36" s="64" t="e">
        <f>O36/O40*100</f>
        <v>#DIV/0!</v>
      </c>
    </row>
    <row r="37" spans="13:16" x14ac:dyDescent="0.25">
      <c r="M37" s="51">
        <v>17249</v>
      </c>
      <c r="N37" s="63" t="e">
        <f t="shared" si="13"/>
        <v>#DIV/0!</v>
      </c>
      <c r="O37" s="52">
        <v>405400068.69</v>
      </c>
      <c r="P37" s="64" t="e">
        <f>O37/O40*100</f>
        <v>#DIV/0!</v>
      </c>
    </row>
    <row r="38" spans="13:16" x14ac:dyDescent="0.25">
      <c r="M38" s="51">
        <v>18745</v>
      </c>
      <c r="N38" s="63" t="e">
        <f t="shared" si="13"/>
        <v>#DIV/0!</v>
      </c>
      <c r="O38" s="52">
        <v>369724631.60000002</v>
      </c>
      <c r="P38" s="64" t="e">
        <f>O38/O40*100</f>
        <v>#DIV/0!</v>
      </c>
    </row>
    <row r="39" spans="13:16" x14ac:dyDescent="0.25">
      <c r="M39" s="51">
        <v>15130</v>
      </c>
      <c r="N39" s="63" t="e">
        <f t="shared" si="13"/>
        <v>#DIV/0!</v>
      </c>
      <c r="O39" s="52">
        <v>151015428.50999999</v>
      </c>
      <c r="P39" s="64" t="e">
        <f>O39/O40*100</f>
        <v>#DIV/0!</v>
      </c>
    </row>
  </sheetData>
  <mergeCells count="9">
    <mergeCell ref="B6:C6"/>
    <mergeCell ref="D6:E6"/>
    <mergeCell ref="F6:G6"/>
    <mergeCell ref="H6:I6"/>
    <mergeCell ref="A1:I1"/>
    <mergeCell ref="A2:I2"/>
    <mergeCell ref="A3:I3"/>
    <mergeCell ref="A4:I4"/>
    <mergeCell ref="A5:I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P39"/>
  <sheetViews>
    <sheetView showGridLines="0" workbookViewId="0">
      <selection activeCell="B27" sqref="B27"/>
    </sheetView>
  </sheetViews>
  <sheetFormatPr baseColWidth="10" defaultColWidth="11.42578125" defaultRowHeight="15" x14ac:dyDescent="0.25"/>
  <cols>
    <col min="1" max="1" width="11.42578125" style="1"/>
    <col min="2" max="2" width="11" style="1" customWidth="1"/>
    <col min="3" max="3" width="14.140625" style="1" customWidth="1"/>
    <col min="4" max="4" width="12.42578125" style="1" customWidth="1"/>
    <col min="5" max="5" width="17.7109375" style="1" bestFit="1" customWidth="1"/>
    <col min="6" max="6" width="12.42578125" style="1" customWidth="1"/>
    <col min="7" max="7" width="16.140625" style="1" bestFit="1" customWidth="1"/>
    <col min="8" max="8" width="10.7109375" style="1" customWidth="1"/>
    <col min="9" max="9" width="15.28515625" style="1" bestFit="1" customWidth="1"/>
    <col min="10" max="10" width="11.42578125" style="1" customWidth="1"/>
    <col min="11" max="12" width="11.42578125" style="1"/>
    <col min="13" max="14" width="11.7109375" style="1" bestFit="1" customWidth="1"/>
    <col min="15" max="15" width="16" style="1" bestFit="1" customWidth="1"/>
    <col min="16" max="16" width="11.7109375" style="1" bestFit="1" customWidth="1"/>
    <col min="17" max="16384" width="11.42578125" style="1"/>
  </cols>
  <sheetData>
    <row r="1" spans="1:9" x14ac:dyDescent="0.25">
      <c r="A1" s="304" t="s">
        <v>172</v>
      </c>
      <c r="B1" s="304"/>
      <c r="C1" s="304"/>
      <c r="D1" s="304"/>
      <c r="E1" s="304"/>
      <c r="F1" s="304"/>
      <c r="G1" s="304"/>
      <c r="H1" s="304"/>
      <c r="I1" s="304"/>
    </row>
    <row r="2" spans="1:9" x14ac:dyDescent="0.25">
      <c r="A2" s="304" t="s">
        <v>65</v>
      </c>
      <c r="B2" s="304"/>
      <c r="C2" s="304"/>
      <c r="D2" s="304"/>
      <c r="E2" s="304"/>
      <c r="F2" s="304"/>
      <c r="G2" s="304"/>
      <c r="H2" s="304"/>
      <c r="I2" s="304"/>
    </row>
    <row r="3" spans="1:9" x14ac:dyDescent="0.25">
      <c r="A3" s="304" t="s">
        <v>180</v>
      </c>
      <c r="B3" s="304"/>
      <c r="C3" s="304"/>
      <c r="D3" s="304"/>
      <c r="E3" s="304"/>
      <c r="F3" s="304"/>
      <c r="G3" s="304"/>
      <c r="H3" s="304"/>
      <c r="I3" s="304"/>
    </row>
    <row r="4" spans="1:9" x14ac:dyDescent="0.25">
      <c r="A4" s="304" t="s">
        <v>181</v>
      </c>
      <c r="B4" s="304"/>
      <c r="C4" s="304"/>
      <c r="D4" s="304"/>
      <c r="E4" s="304"/>
      <c r="F4" s="304"/>
      <c r="G4" s="304"/>
      <c r="H4" s="304"/>
      <c r="I4" s="304"/>
    </row>
    <row r="5" spans="1:9" x14ac:dyDescent="0.25">
      <c r="A5" s="304" t="s">
        <v>175</v>
      </c>
      <c r="B5" s="304"/>
      <c r="C5" s="304"/>
      <c r="D5" s="304"/>
      <c r="E5" s="304"/>
      <c r="F5" s="304"/>
      <c r="G5" s="304"/>
      <c r="H5" s="304"/>
      <c r="I5" s="304"/>
    </row>
    <row r="6" spans="1:9" x14ac:dyDescent="0.25">
      <c r="A6" s="85"/>
      <c r="B6" s="346" t="s">
        <v>176</v>
      </c>
      <c r="C6" s="346"/>
      <c r="D6" s="350" t="s">
        <v>78</v>
      </c>
      <c r="E6" s="350"/>
      <c r="F6" s="347" t="s">
        <v>77</v>
      </c>
      <c r="G6" s="347"/>
      <c r="H6" s="349" t="s">
        <v>79</v>
      </c>
      <c r="I6" s="349"/>
    </row>
    <row r="7" spans="1:9" ht="34.5" customHeight="1" x14ac:dyDescent="0.25">
      <c r="A7" s="86" t="s">
        <v>3</v>
      </c>
      <c r="B7" s="45" t="s">
        <v>182</v>
      </c>
      <c r="C7" s="45" t="s">
        <v>7</v>
      </c>
      <c r="D7" s="45" t="s">
        <v>182</v>
      </c>
      <c r="E7" s="45" t="s">
        <v>7</v>
      </c>
      <c r="F7" s="45" t="s">
        <v>182</v>
      </c>
      <c r="G7" s="45" t="s">
        <v>7</v>
      </c>
      <c r="H7" s="45" t="s">
        <v>182</v>
      </c>
      <c r="I7" s="45" t="s">
        <v>7</v>
      </c>
    </row>
    <row r="8" spans="1:9" x14ac:dyDescent="0.25">
      <c r="A8" s="44" t="s">
        <v>15</v>
      </c>
      <c r="B8" s="32">
        <v>0</v>
      </c>
      <c r="C8" s="60">
        <v>0</v>
      </c>
      <c r="D8" s="32">
        <v>0</v>
      </c>
      <c r="E8" s="60">
        <v>0</v>
      </c>
      <c r="F8" s="32">
        <v>0</v>
      </c>
      <c r="G8" s="60">
        <v>0</v>
      </c>
      <c r="H8" s="37">
        <f t="shared" ref="H8:I10" si="0">+B8+D8+F8</f>
        <v>0</v>
      </c>
      <c r="I8" s="65">
        <f t="shared" si="0"/>
        <v>0</v>
      </c>
    </row>
    <row r="9" spans="1:9" x14ac:dyDescent="0.25">
      <c r="A9" s="44" t="s">
        <v>16</v>
      </c>
      <c r="B9" s="32">
        <v>36</v>
      </c>
      <c r="C9" s="60">
        <v>386001.61</v>
      </c>
      <c r="D9" s="32">
        <v>2</v>
      </c>
      <c r="E9" s="60">
        <v>16030.61</v>
      </c>
      <c r="F9" s="32">
        <v>2</v>
      </c>
      <c r="G9" s="60">
        <v>12000</v>
      </c>
      <c r="H9" s="37">
        <f t="shared" si="0"/>
        <v>40</v>
      </c>
      <c r="I9" s="65">
        <f t="shared" si="0"/>
        <v>414032.22</v>
      </c>
    </row>
    <row r="10" spans="1:9" x14ac:dyDescent="0.25">
      <c r="A10" s="44" t="s">
        <v>17</v>
      </c>
      <c r="B10" s="32">
        <v>131</v>
      </c>
      <c r="C10" s="60">
        <v>1444844.33</v>
      </c>
      <c r="D10" s="32">
        <v>5</v>
      </c>
      <c r="E10" s="60">
        <v>110598.45</v>
      </c>
      <c r="F10" s="32">
        <v>6</v>
      </c>
      <c r="G10" s="60">
        <v>36000</v>
      </c>
      <c r="H10" s="37">
        <f t="shared" si="0"/>
        <v>142</v>
      </c>
      <c r="I10" s="37">
        <f t="shared" si="0"/>
        <v>1591442.78</v>
      </c>
    </row>
    <row r="11" spans="1:9" x14ac:dyDescent="0.25">
      <c r="A11" s="27" t="s">
        <v>18</v>
      </c>
      <c r="B11" s="39">
        <f t="shared" ref="B11:I11" si="1">SUM(B8:B10)</f>
        <v>167</v>
      </c>
      <c r="C11" s="39">
        <f t="shared" si="1"/>
        <v>1830845.94</v>
      </c>
      <c r="D11" s="39">
        <f t="shared" si="1"/>
        <v>7</v>
      </c>
      <c r="E11" s="39">
        <f t="shared" si="1"/>
        <v>126629.06</v>
      </c>
      <c r="F11" s="39">
        <f>SUM(F8:F10)</f>
        <v>8</v>
      </c>
      <c r="G11" s="39">
        <f t="shared" ref="G11" si="2">SUM(G8:G10)</f>
        <v>48000</v>
      </c>
      <c r="H11" s="39">
        <f t="shared" si="1"/>
        <v>182</v>
      </c>
      <c r="I11" s="39">
        <f t="shared" si="1"/>
        <v>2005475</v>
      </c>
    </row>
    <row r="12" spans="1:9" hidden="1" x14ac:dyDescent="0.25">
      <c r="A12" s="44" t="s">
        <v>15</v>
      </c>
      <c r="B12" s="32">
        <v>52</v>
      </c>
      <c r="C12" s="60">
        <v>621254.41</v>
      </c>
      <c r="D12" s="32">
        <v>2</v>
      </c>
      <c r="E12" s="60">
        <v>15128.119999999999</v>
      </c>
      <c r="F12" s="32"/>
      <c r="G12" s="60"/>
      <c r="H12" s="37">
        <f t="shared" ref="H12:I14" si="3">+B12+D12+F12</f>
        <v>54</v>
      </c>
      <c r="I12" s="65">
        <f t="shared" si="3"/>
        <v>636382.53</v>
      </c>
    </row>
    <row r="13" spans="1:9" hidden="1" x14ac:dyDescent="0.25">
      <c r="A13" s="44" t="s">
        <v>16</v>
      </c>
      <c r="B13" s="32"/>
      <c r="C13" s="60"/>
      <c r="D13" s="32"/>
      <c r="E13" s="60"/>
      <c r="F13" s="32"/>
      <c r="G13" s="60"/>
      <c r="H13" s="37">
        <f t="shared" si="3"/>
        <v>0</v>
      </c>
      <c r="I13" s="65">
        <f t="shared" si="3"/>
        <v>0</v>
      </c>
    </row>
    <row r="14" spans="1:9" hidden="1" x14ac:dyDescent="0.25">
      <c r="A14" s="44" t="s">
        <v>17</v>
      </c>
      <c r="B14" s="32"/>
      <c r="C14" s="60"/>
      <c r="D14" s="32"/>
      <c r="E14" s="60"/>
      <c r="F14" s="32"/>
      <c r="G14" s="60"/>
      <c r="H14" s="37">
        <f t="shared" si="3"/>
        <v>0</v>
      </c>
      <c r="I14" s="65">
        <f t="shared" si="3"/>
        <v>0</v>
      </c>
    </row>
    <row r="15" spans="1:9" hidden="1" x14ac:dyDescent="0.25">
      <c r="A15" s="27" t="s">
        <v>18</v>
      </c>
      <c r="B15" s="39">
        <f t="shared" ref="B15:I15" si="4">SUM(B12:B14)</f>
        <v>52</v>
      </c>
      <c r="C15" s="39">
        <f t="shared" si="4"/>
        <v>621254.41</v>
      </c>
      <c r="D15" s="39">
        <f t="shared" si="4"/>
        <v>2</v>
      </c>
      <c r="E15" s="39">
        <f t="shared" si="4"/>
        <v>15128.119999999999</v>
      </c>
      <c r="F15" s="39">
        <f t="shared" ref="F15:G15" si="5">SUM(F12:F14)</f>
        <v>0</v>
      </c>
      <c r="G15" s="39">
        <f t="shared" si="5"/>
        <v>0</v>
      </c>
      <c r="H15" s="39">
        <f t="shared" si="4"/>
        <v>54</v>
      </c>
      <c r="I15" s="39">
        <f t="shared" si="4"/>
        <v>636382.53</v>
      </c>
    </row>
    <row r="16" spans="1:9" hidden="1" x14ac:dyDescent="0.25">
      <c r="A16" s="44" t="s">
        <v>34</v>
      </c>
      <c r="B16" s="32"/>
      <c r="C16" s="60"/>
      <c r="D16" s="32"/>
      <c r="E16" s="60"/>
      <c r="F16" s="32"/>
      <c r="G16" s="60"/>
      <c r="H16" s="37">
        <f t="shared" ref="H16:I18" si="6">+B16+D16+F16</f>
        <v>0</v>
      </c>
      <c r="I16" s="65">
        <f t="shared" si="6"/>
        <v>0</v>
      </c>
    </row>
    <row r="17" spans="1:16" hidden="1" x14ac:dyDescent="0.25">
      <c r="A17" s="44" t="s">
        <v>20</v>
      </c>
      <c r="B17" s="32"/>
      <c r="C17" s="60"/>
      <c r="D17" s="32"/>
      <c r="E17" s="60"/>
      <c r="F17" s="32"/>
      <c r="G17" s="60"/>
      <c r="H17" s="37">
        <f t="shared" si="6"/>
        <v>0</v>
      </c>
      <c r="I17" s="65">
        <f t="shared" si="6"/>
        <v>0</v>
      </c>
    </row>
    <row r="18" spans="1:16" hidden="1" x14ac:dyDescent="0.25">
      <c r="A18" s="44" t="s">
        <v>21</v>
      </c>
      <c r="B18" s="32"/>
      <c r="C18" s="60"/>
      <c r="D18" s="32"/>
      <c r="E18" s="60"/>
      <c r="F18" s="32"/>
      <c r="G18" s="60"/>
      <c r="H18" s="37">
        <f t="shared" si="6"/>
        <v>0</v>
      </c>
      <c r="I18" s="65">
        <f t="shared" si="6"/>
        <v>0</v>
      </c>
    </row>
    <row r="19" spans="1:16" hidden="1" x14ac:dyDescent="0.25">
      <c r="A19" s="27" t="s">
        <v>22</v>
      </c>
      <c r="B19" s="39">
        <f t="shared" ref="B19:E19" si="7">SUM(B16:B18)</f>
        <v>0</v>
      </c>
      <c r="C19" s="39">
        <f t="shared" si="7"/>
        <v>0</v>
      </c>
      <c r="D19" s="39">
        <f t="shared" si="7"/>
        <v>0</v>
      </c>
      <c r="E19" s="39">
        <f t="shared" si="7"/>
        <v>0</v>
      </c>
      <c r="F19" s="39">
        <f t="shared" ref="F19:G19" si="8">SUM(F16:F18)</f>
        <v>0</v>
      </c>
      <c r="G19" s="39">
        <f t="shared" si="8"/>
        <v>0</v>
      </c>
      <c r="H19" s="39">
        <f>SUM(H16:H18)</f>
        <v>0</v>
      </c>
      <c r="I19" s="39">
        <f>SUM(I16:I18)</f>
        <v>0</v>
      </c>
    </row>
    <row r="20" spans="1:16" hidden="1" x14ac:dyDescent="0.25">
      <c r="A20" s="31" t="s">
        <v>13</v>
      </c>
      <c r="B20" s="32"/>
      <c r="C20" s="60"/>
      <c r="D20" s="32"/>
      <c r="E20" s="60"/>
      <c r="F20" s="32"/>
      <c r="G20" s="60"/>
      <c r="H20" s="37">
        <f t="shared" ref="H20:I22" si="9">+B20+D20+F20</f>
        <v>0</v>
      </c>
      <c r="I20" s="65">
        <f t="shared" si="9"/>
        <v>0</v>
      </c>
    </row>
    <row r="21" spans="1:16" hidden="1" x14ac:dyDescent="0.25">
      <c r="A21" s="31" t="s">
        <v>12</v>
      </c>
      <c r="B21" s="32"/>
      <c r="C21" s="60"/>
      <c r="D21" s="32"/>
      <c r="E21" s="60"/>
      <c r="F21" s="32"/>
      <c r="G21" s="60"/>
      <c r="H21" s="37">
        <f t="shared" si="9"/>
        <v>0</v>
      </c>
      <c r="I21" s="65">
        <f t="shared" si="9"/>
        <v>0</v>
      </c>
    </row>
    <row r="22" spans="1:16" hidden="1" x14ac:dyDescent="0.25">
      <c r="A22" s="31" t="s">
        <v>11</v>
      </c>
      <c r="B22" s="32"/>
      <c r="C22" s="60"/>
      <c r="D22" s="32"/>
      <c r="E22" s="60"/>
      <c r="F22" s="32"/>
      <c r="G22" s="60"/>
      <c r="H22" s="37">
        <f t="shared" si="9"/>
        <v>0</v>
      </c>
      <c r="I22" s="65">
        <f t="shared" si="9"/>
        <v>0</v>
      </c>
    </row>
    <row r="23" spans="1:16" hidden="1" x14ac:dyDescent="0.25">
      <c r="A23" s="12" t="s">
        <v>14</v>
      </c>
      <c r="B23" s="39">
        <f t="shared" ref="B23:I23" si="10">SUM(B20:B22)</f>
        <v>0</v>
      </c>
      <c r="C23" s="39">
        <f t="shared" si="10"/>
        <v>0</v>
      </c>
      <c r="D23" s="39">
        <f t="shared" si="10"/>
        <v>0</v>
      </c>
      <c r="E23" s="39">
        <f t="shared" si="10"/>
        <v>0</v>
      </c>
      <c r="F23" s="39">
        <f t="shared" ref="F23:G23" si="11">SUM(F20:F22)</f>
        <v>0</v>
      </c>
      <c r="G23" s="39">
        <f t="shared" si="11"/>
        <v>0</v>
      </c>
      <c r="H23" s="39">
        <f t="shared" si="10"/>
        <v>0</v>
      </c>
      <c r="I23" s="39">
        <f t="shared" si="10"/>
        <v>0</v>
      </c>
    </row>
    <row r="24" spans="1:16" hidden="1" x14ac:dyDescent="0.25">
      <c r="A24" s="61" t="s">
        <v>23</v>
      </c>
      <c r="B24" s="41">
        <f>+B11+B15+B19+B23</f>
        <v>219</v>
      </c>
      <c r="C24" s="41">
        <f>+C11+C15+C19+C23</f>
        <v>2452100.35</v>
      </c>
      <c r="D24" s="41">
        <f t="shared" ref="D24:I24" si="12">+D11+D15+D19+D23</f>
        <v>9</v>
      </c>
      <c r="E24" s="41">
        <f t="shared" si="12"/>
        <v>141757.18</v>
      </c>
      <c r="F24" s="41">
        <f t="shared" si="12"/>
        <v>8</v>
      </c>
      <c r="G24" s="41">
        <f t="shared" si="12"/>
        <v>48000</v>
      </c>
      <c r="H24" s="41">
        <f>+H11+H15+H19+H23</f>
        <v>236</v>
      </c>
      <c r="I24" s="41">
        <f t="shared" si="12"/>
        <v>2641857.5300000003</v>
      </c>
    </row>
    <row r="25" spans="1:16" x14ac:dyDescent="0.25">
      <c r="A25" s="15" t="s">
        <v>179</v>
      </c>
    </row>
    <row r="26" spans="1:16" x14ac:dyDescent="0.25">
      <c r="E26" s="36"/>
      <c r="G26" s="36"/>
    </row>
    <row r="32" spans="1:16" x14ac:dyDescent="0.25">
      <c r="M32" s="51">
        <v>32154</v>
      </c>
      <c r="N32" s="63" t="e">
        <f t="shared" ref="N32:N39" si="13">M32/$B$29*100</f>
        <v>#DIV/0!</v>
      </c>
      <c r="O32" s="52">
        <v>386810064.19999999</v>
      </c>
      <c r="P32" s="64" t="e">
        <f>O32/O40*100</f>
        <v>#DIV/0!</v>
      </c>
    </row>
    <row r="33" spans="13:16" x14ac:dyDescent="0.25">
      <c r="M33" s="51">
        <v>56199</v>
      </c>
      <c r="N33" s="63" t="e">
        <f t="shared" si="13"/>
        <v>#DIV/0!</v>
      </c>
      <c r="O33" s="52">
        <v>471111842.94</v>
      </c>
      <c r="P33" s="64" t="e">
        <f>O33/O40*100</f>
        <v>#DIV/0!</v>
      </c>
    </row>
    <row r="34" spans="13:16" x14ac:dyDescent="0.25">
      <c r="M34" s="51">
        <v>297</v>
      </c>
      <c r="N34" s="63" t="e">
        <f t="shared" si="13"/>
        <v>#DIV/0!</v>
      </c>
      <c r="O34" s="52">
        <v>5010228</v>
      </c>
      <c r="P34" s="64" t="e">
        <f>O34/O40*100</f>
        <v>#DIV/0!</v>
      </c>
    </row>
    <row r="35" spans="13:16" x14ac:dyDescent="0.25">
      <c r="M35" s="51">
        <v>163</v>
      </c>
      <c r="N35" s="63" t="e">
        <f t="shared" si="13"/>
        <v>#DIV/0!</v>
      </c>
      <c r="O35" s="52">
        <v>4392328.91</v>
      </c>
      <c r="P35" s="64" t="e">
        <f>O35/O40*100</f>
        <v>#DIV/0!</v>
      </c>
    </row>
    <row r="36" spans="13:16" x14ac:dyDescent="0.25">
      <c r="M36" s="51">
        <v>366</v>
      </c>
      <c r="N36" s="63" t="e">
        <f t="shared" si="13"/>
        <v>#DIV/0!</v>
      </c>
      <c r="O36" s="52">
        <v>9034522.6500000004</v>
      </c>
      <c r="P36" s="64" t="e">
        <f>O36/O40*100</f>
        <v>#DIV/0!</v>
      </c>
    </row>
    <row r="37" spans="13:16" x14ac:dyDescent="0.25">
      <c r="M37" s="51">
        <v>17249</v>
      </c>
      <c r="N37" s="63" t="e">
        <f t="shared" si="13"/>
        <v>#DIV/0!</v>
      </c>
      <c r="O37" s="52">
        <v>405400068.69</v>
      </c>
      <c r="P37" s="64" t="e">
        <f>O37/O40*100</f>
        <v>#DIV/0!</v>
      </c>
    </row>
    <row r="38" spans="13:16" x14ac:dyDescent="0.25">
      <c r="M38" s="51">
        <v>18745</v>
      </c>
      <c r="N38" s="63" t="e">
        <f t="shared" si="13"/>
        <v>#DIV/0!</v>
      </c>
      <c r="O38" s="52">
        <v>369724631.60000002</v>
      </c>
      <c r="P38" s="64" t="e">
        <f>O38/O40*100</f>
        <v>#DIV/0!</v>
      </c>
    </row>
    <row r="39" spans="13:16" x14ac:dyDescent="0.25">
      <c r="M39" s="51">
        <v>15130</v>
      </c>
      <c r="N39" s="63" t="e">
        <f t="shared" si="13"/>
        <v>#DIV/0!</v>
      </c>
      <c r="O39" s="52">
        <v>151015428.50999999</v>
      </c>
      <c r="P39" s="64" t="e">
        <f>O39/O40*100</f>
        <v>#DIV/0!</v>
      </c>
    </row>
  </sheetData>
  <mergeCells count="9">
    <mergeCell ref="B6:C6"/>
    <mergeCell ref="D6:E6"/>
    <mergeCell ref="F6:G6"/>
    <mergeCell ref="H6:I6"/>
    <mergeCell ref="A1:I1"/>
    <mergeCell ref="A2:I2"/>
    <mergeCell ref="A3:I3"/>
    <mergeCell ref="A4:I4"/>
    <mergeCell ref="A5:I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C94A-CB5A-45F2-B896-85DE3097DD67}">
  <sheetPr>
    <tabColor theme="8"/>
  </sheetPr>
  <dimension ref="A1:T36"/>
  <sheetViews>
    <sheetView showGridLines="0" workbookViewId="0">
      <selection activeCell="A16" sqref="A16"/>
    </sheetView>
  </sheetViews>
  <sheetFormatPr baseColWidth="10" defaultColWidth="9.140625" defaultRowHeight="15" x14ac:dyDescent="0.25"/>
  <cols>
    <col min="1" max="1" width="15.85546875" customWidth="1"/>
    <col min="2" max="2" width="13.140625" customWidth="1"/>
    <col min="4" max="4" width="23.85546875" customWidth="1"/>
    <col min="5" max="5" width="12.85546875" customWidth="1"/>
    <col min="7" max="7" width="14.7109375" customWidth="1"/>
    <col min="8" max="8" width="12" customWidth="1"/>
    <col min="9" max="9" width="10.42578125" customWidth="1"/>
    <col min="10" max="10" width="15.28515625" customWidth="1"/>
  </cols>
  <sheetData>
    <row r="1" spans="1:16" x14ac:dyDescent="0.25">
      <c r="A1" s="304" t="s">
        <v>0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6" x14ac:dyDescent="0.25">
      <c r="A2" s="304" t="s">
        <v>65</v>
      </c>
      <c r="B2" s="304"/>
      <c r="C2" s="304"/>
      <c r="D2" s="304"/>
      <c r="E2" s="304"/>
      <c r="F2" s="304"/>
      <c r="G2" s="304"/>
      <c r="H2" s="304"/>
      <c r="I2" s="304"/>
      <c r="J2" s="304"/>
    </row>
    <row r="3" spans="1:16" x14ac:dyDescent="0.25">
      <c r="A3" s="304" t="s">
        <v>183</v>
      </c>
      <c r="B3" s="304"/>
      <c r="C3" s="304"/>
      <c r="D3" s="304"/>
      <c r="E3" s="304"/>
      <c r="F3" s="304"/>
      <c r="G3" s="304"/>
      <c r="H3" s="304"/>
      <c r="I3" s="304"/>
      <c r="J3" s="304"/>
    </row>
    <row r="4" spans="1:16" x14ac:dyDescent="0.25">
      <c r="A4" s="304" t="s">
        <v>238</v>
      </c>
      <c r="B4" s="304"/>
      <c r="C4" s="304"/>
      <c r="D4" s="304"/>
      <c r="E4" s="304"/>
      <c r="F4" s="304"/>
      <c r="G4" s="304"/>
      <c r="H4" s="304"/>
      <c r="I4" s="304"/>
      <c r="J4" s="304"/>
    </row>
    <row r="5" spans="1:16" x14ac:dyDescent="0.25">
      <c r="A5" s="304" t="s">
        <v>233</v>
      </c>
      <c r="B5" s="304"/>
      <c r="C5" s="304"/>
      <c r="D5" s="304"/>
      <c r="E5" s="304"/>
      <c r="F5" s="304"/>
      <c r="G5" s="304"/>
      <c r="H5" s="304"/>
      <c r="I5" s="304"/>
      <c r="J5" s="304"/>
    </row>
    <row r="6" spans="1:16" x14ac:dyDescent="0.25">
      <c r="A6" s="123"/>
      <c r="B6" s="351" t="s">
        <v>76</v>
      </c>
      <c r="C6" s="351"/>
      <c r="D6" s="351"/>
      <c r="E6" s="352" t="s">
        <v>78</v>
      </c>
      <c r="F6" s="352"/>
      <c r="G6" s="352"/>
      <c r="H6" s="353" t="s">
        <v>79</v>
      </c>
      <c r="I6" s="353"/>
      <c r="J6" s="353"/>
    </row>
    <row r="7" spans="1:16" ht="25.5" x14ac:dyDescent="0.25">
      <c r="A7" s="86" t="s">
        <v>3</v>
      </c>
      <c r="B7" s="45" t="s">
        <v>166</v>
      </c>
      <c r="C7" s="45" t="s">
        <v>167</v>
      </c>
      <c r="D7" s="45" t="s">
        <v>7</v>
      </c>
      <c r="E7" s="45" t="s">
        <v>166</v>
      </c>
      <c r="F7" s="45" t="s">
        <v>167</v>
      </c>
      <c r="G7" s="45" t="s">
        <v>7</v>
      </c>
      <c r="H7" s="45" t="s">
        <v>80</v>
      </c>
      <c r="I7" s="45" t="s">
        <v>81</v>
      </c>
      <c r="J7" s="45" t="s">
        <v>7</v>
      </c>
    </row>
    <row r="8" spans="1:16" x14ac:dyDescent="0.25">
      <c r="A8" s="31" t="s">
        <v>10</v>
      </c>
      <c r="B8" s="226">
        <v>0</v>
      </c>
      <c r="C8" s="226">
        <v>0</v>
      </c>
      <c r="D8" s="247">
        <v>0</v>
      </c>
      <c r="E8" s="226">
        <v>0</v>
      </c>
      <c r="F8" s="226">
        <v>0</v>
      </c>
      <c r="G8" s="226">
        <v>0</v>
      </c>
      <c r="H8" s="248">
        <f>SUM(B8,E8)</f>
        <v>0</v>
      </c>
      <c r="I8" s="248">
        <f>SUM(C8,F8)</f>
        <v>0</v>
      </c>
      <c r="J8" s="248">
        <f>SUM(D8,G8)</f>
        <v>0</v>
      </c>
    </row>
    <row r="9" spans="1:16" x14ac:dyDescent="0.25">
      <c r="A9" s="31" t="s">
        <v>11</v>
      </c>
      <c r="B9" s="269">
        <v>112</v>
      </c>
      <c r="C9" s="269">
        <v>112</v>
      </c>
      <c r="D9" s="247">
        <v>3498734.2800000003</v>
      </c>
      <c r="E9" s="226">
        <v>1728</v>
      </c>
      <c r="F9" s="226">
        <v>1728</v>
      </c>
      <c r="G9" s="226">
        <v>6810877.2700000005</v>
      </c>
      <c r="H9" s="249">
        <f t="shared" ref="H9:J11" si="0">SUM(B9,E9)</f>
        <v>1840</v>
      </c>
      <c r="I9" s="249">
        <f t="shared" si="0"/>
        <v>1840</v>
      </c>
      <c r="J9" s="249">
        <f t="shared" si="0"/>
        <v>10309611.550000001</v>
      </c>
    </row>
    <row r="10" spans="1:16" x14ac:dyDescent="0.25">
      <c r="A10" s="31" t="s">
        <v>239</v>
      </c>
      <c r="B10" s="226">
        <v>0</v>
      </c>
      <c r="C10" s="226">
        <v>0</v>
      </c>
      <c r="D10" s="247">
        <v>0</v>
      </c>
      <c r="E10" s="226">
        <v>0</v>
      </c>
      <c r="F10" s="226">
        <v>0</v>
      </c>
      <c r="G10" s="226">
        <v>0</v>
      </c>
      <c r="H10" s="248">
        <f t="shared" si="0"/>
        <v>0</v>
      </c>
      <c r="I10" s="248">
        <f t="shared" si="0"/>
        <v>0</v>
      </c>
      <c r="J10" s="248">
        <f t="shared" si="0"/>
        <v>0</v>
      </c>
    </row>
    <row r="11" spans="1:16" x14ac:dyDescent="0.25">
      <c r="A11" s="31" t="s">
        <v>13</v>
      </c>
      <c r="B11" s="217">
        <v>0</v>
      </c>
      <c r="C11" s="247">
        <v>0</v>
      </c>
      <c r="D11" s="247">
        <v>0</v>
      </c>
      <c r="E11" s="226">
        <v>0</v>
      </c>
      <c r="F11" s="226">
        <v>0</v>
      </c>
      <c r="G11" s="226">
        <v>0</v>
      </c>
      <c r="H11" s="249">
        <f t="shared" si="0"/>
        <v>0</v>
      </c>
      <c r="I11" s="249">
        <f t="shared" si="0"/>
        <v>0</v>
      </c>
      <c r="J11" s="249">
        <f t="shared" si="0"/>
        <v>0</v>
      </c>
    </row>
    <row r="12" spans="1:16" x14ac:dyDescent="0.25">
      <c r="A12" s="61" t="s">
        <v>252</v>
      </c>
      <c r="B12" s="250">
        <f>SUM(B8:B11)</f>
        <v>112</v>
      </c>
      <c r="C12" s="250">
        <f t="shared" ref="C12:D12" si="1">SUM(C8:C11)</f>
        <v>112</v>
      </c>
      <c r="D12" s="251">
        <f t="shared" si="1"/>
        <v>3498734.2800000003</v>
      </c>
      <c r="E12" s="250">
        <f t="shared" ref="E12:J12" si="2">SUM(E8:E11)</f>
        <v>1728</v>
      </c>
      <c r="F12" s="250">
        <f t="shared" si="2"/>
        <v>1728</v>
      </c>
      <c r="G12" s="252">
        <f t="shared" si="2"/>
        <v>6810877.2700000005</v>
      </c>
      <c r="H12" s="250">
        <f t="shared" si="2"/>
        <v>1840</v>
      </c>
      <c r="I12" s="250">
        <f t="shared" si="2"/>
        <v>1840</v>
      </c>
      <c r="J12" s="252">
        <f t="shared" si="2"/>
        <v>10309611.550000001</v>
      </c>
    </row>
    <row r="13" spans="1:16" x14ac:dyDescent="0.25">
      <c r="A13" s="175" t="s">
        <v>251</v>
      </c>
      <c r="P13" t="s">
        <v>253</v>
      </c>
    </row>
    <row r="14" spans="1:16" x14ac:dyDescent="0.25">
      <c r="A14" s="175" t="s">
        <v>171</v>
      </c>
    </row>
    <row r="36" spans="20:20" x14ac:dyDescent="0.25">
      <c r="T36" s="1"/>
    </row>
  </sheetData>
  <mergeCells count="8">
    <mergeCell ref="B6:D6"/>
    <mergeCell ref="E6:G6"/>
    <mergeCell ref="H6:J6"/>
    <mergeCell ref="A1:J1"/>
    <mergeCell ref="A2:J2"/>
    <mergeCell ref="A3:J3"/>
    <mergeCell ref="A4:J4"/>
    <mergeCell ref="A5:J5"/>
  </mergeCells>
  <pageMargins left="0.7" right="0.7" top="0.75" bottom="0.75" header="0.3" footer="0.3"/>
  <ignoredErrors>
    <ignoredError sqref="B12:C12 I12:J12 G12:H12 D12:F12" unlocked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J61"/>
  <sheetViews>
    <sheetView showGridLines="0" topLeftCell="A4" zoomScale="115" zoomScaleNormal="115" workbookViewId="0">
      <selection activeCell="M36" sqref="M36"/>
    </sheetView>
  </sheetViews>
  <sheetFormatPr baseColWidth="10" defaultColWidth="9.140625" defaultRowHeight="15" x14ac:dyDescent="0.25"/>
  <cols>
    <col min="1" max="7" width="13.140625" style="1" customWidth="1"/>
    <col min="8" max="16384" width="9.140625" style="1"/>
  </cols>
  <sheetData>
    <row r="1" spans="1:10" x14ac:dyDescent="0.25">
      <c r="A1" s="304" t="s">
        <v>0</v>
      </c>
      <c r="B1" s="304"/>
      <c r="C1" s="304"/>
      <c r="D1" s="304"/>
      <c r="E1" s="304"/>
      <c r="F1" s="304"/>
      <c r="G1" s="304"/>
      <c r="H1" s="22"/>
      <c r="I1" s="22"/>
      <c r="J1" s="22"/>
    </row>
    <row r="2" spans="1:10" x14ac:dyDescent="0.25">
      <c r="A2" s="304" t="s">
        <v>65</v>
      </c>
      <c r="B2" s="304"/>
      <c r="C2" s="304"/>
      <c r="D2" s="304"/>
      <c r="E2" s="304"/>
      <c r="F2" s="304"/>
      <c r="G2" s="304"/>
      <c r="H2" s="22"/>
      <c r="I2" s="22"/>
      <c r="J2" s="22"/>
    </row>
    <row r="3" spans="1:10" x14ac:dyDescent="0.25">
      <c r="A3" s="304" t="s">
        <v>184</v>
      </c>
      <c r="B3" s="304"/>
      <c r="C3" s="304"/>
      <c r="D3" s="304"/>
      <c r="E3" s="304"/>
      <c r="F3" s="304"/>
      <c r="G3" s="304"/>
      <c r="H3" s="22"/>
      <c r="I3" s="22"/>
      <c r="J3" s="22"/>
    </row>
    <row r="4" spans="1:10" x14ac:dyDescent="0.25">
      <c r="A4" s="304" t="s">
        <v>238</v>
      </c>
      <c r="B4" s="304"/>
      <c r="C4" s="304"/>
      <c r="D4" s="304"/>
      <c r="E4" s="304"/>
      <c r="F4" s="304"/>
      <c r="G4" s="304"/>
      <c r="H4" s="22"/>
      <c r="I4" s="22"/>
      <c r="J4" s="22"/>
    </row>
    <row r="5" spans="1:10" x14ac:dyDescent="0.25">
      <c r="A5" s="304" t="s">
        <v>233</v>
      </c>
      <c r="B5" s="304"/>
      <c r="C5" s="304"/>
      <c r="D5" s="304"/>
      <c r="E5" s="304"/>
      <c r="F5" s="304"/>
      <c r="G5" s="304"/>
      <c r="H5" s="22"/>
      <c r="I5" s="22"/>
      <c r="J5" s="22"/>
    </row>
    <row r="6" spans="1:10" ht="51" x14ac:dyDescent="0.25">
      <c r="A6" s="86" t="s">
        <v>3</v>
      </c>
      <c r="B6" s="45" t="s">
        <v>185</v>
      </c>
      <c r="C6" s="45" t="s">
        <v>186</v>
      </c>
      <c r="D6" s="45" t="s">
        <v>187</v>
      </c>
      <c r="E6" s="45" t="s">
        <v>188</v>
      </c>
      <c r="F6" s="45" t="s">
        <v>189</v>
      </c>
      <c r="G6" s="149" t="s">
        <v>190</v>
      </c>
      <c r="H6" s="22"/>
    </row>
    <row r="7" spans="1:10" x14ac:dyDescent="0.25">
      <c r="A7" s="70" t="s">
        <v>11</v>
      </c>
      <c r="B7" s="150">
        <v>41</v>
      </c>
      <c r="C7" s="234">
        <v>1445410.38</v>
      </c>
      <c r="D7" s="238">
        <v>0</v>
      </c>
      <c r="E7" s="238">
        <v>0</v>
      </c>
      <c r="F7" s="238">
        <f>E7+D7</f>
        <v>0</v>
      </c>
      <c r="G7" s="240">
        <f t="shared" ref="G7" si="0">F7/C7</f>
        <v>0</v>
      </c>
      <c r="H7"/>
    </row>
    <row r="8" spans="1:10" x14ac:dyDescent="0.25">
      <c r="A8" s="70" t="s">
        <v>239</v>
      </c>
      <c r="B8" s="150">
        <v>127</v>
      </c>
      <c r="C8" s="234">
        <v>6547146.9299999978</v>
      </c>
      <c r="D8" s="234">
        <v>726599.85</v>
      </c>
      <c r="E8" s="234">
        <v>318795.56</v>
      </c>
      <c r="F8" s="238">
        <f>E8+D8</f>
        <v>1045395.4099999999</v>
      </c>
      <c r="G8" s="240">
        <f>F8/C8</f>
        <v>0.1596719030712207</v>
      </c>
      <c r="H8"/>
    </row>
    <row r="9" spans="1:10" x14ac:dyDescent="0.25">
      <c r="A9" s="70" t="s">
        <v>13</v>
      </c>
      <c r="B9" s="150">
        <v>208</v>
      </c>
      <c r="C9" s="234">
        <v>9438613.8400000017</v>
      </c>
      <c r="D9" s="234">
        <v>1391655.5599999998</v>
      </c>
      <c r="E9" s="237">
        <v>2023294.5799999994</v>
      </c>
      <c r="F9" s="238">
        <f>E9+D9</f>
        <v>3414950.1399999992</v>
      </c>
      <c r="G9" s="240">
        <f>F9/C9</f>
        <v>0.36180632006871027</v>
      </c>
      <c r="H9"/>
    </row>
    <row r="10" spans="1:10" x14ac:dyDescent="0.25">
      <c r="A10" s="27" t="s">
        <v>14</v>
      </c>
      <c r="B10" s="8">
        <f>SUM(B7:B9)</f>
        <v>376</v>
      </c>
      <c r="C10" s="235">
        <f>SUM(C7:C9)</f>
        <v>17431171.149999999</v>
      </c>
      <c r="D10" s="236">
        <f>SUM(D7:D9)</f>
        <v>2118255.4099999997</v>
      </c>
      <c r="E10" s="236">
        <f>SUM(E7:E9)</f>
        <v>2342090.1399999992</v>
      </c>
      <c r="F10" s="239">
        <f>SUM(F7:F9)</f>
        <v>4460345.5499999989</v>
      </c>
      <c r="G10" s="87">
        <f t="shared" ref="G10:G23" si="1">F10/C10</f>
        <v>0.25588329731935422</v>
      </c>
      <c r="H10"/>
    </row>
    <row r="11" spans="1:10" hidden="1" x14ac:dyDescent="0.25">
      <c r="A11" s="70" t="s">
        <v>15</v>
      </c>
      <c r="B11" s="150"/>
      <c r="C11" s="152"/>
      <c r="D11" s="152"/>
      <c r="E11" s="152"/>
      <c r="F11" s="66">
        <f>E11+D11</f>
        <v>0</v>
      </c>
      <c r="G11" s="67" t="e">
        <f t="shared" si="1"/>
        <v>#DIV/0!</v>
      </c>
      <c r="H11"/>
    </row>
    <row r="12" spans="1:10" hidden="1" x14ac:dyDescent="0.25">
      <c r="A12" s="70" t="s">
        <v>16</v>
      </c>
      <c r="B12" s="150"/>
      <c r="C12" s="152"/>
      <c r="D12" s="152"/>
      <c r="E12" s="152"/>
      <c r="F12" s="66">
        <f>E12+D12</f>
        <v>0</v>
      </c>
      <c r="G12" s="67" t="e">
        <f t="shared" si="1"/>
        <v>#DIV/0!</v>
      </c>
      <c r="H12"/>
    </row>
    <row r="13" spans="1:10" hidden="1" x14ac:dyDescent="0.25">
      <c r="A13" s="70" t="s">
        <v>17</v>
      </c>
      <c r="B13" s="150"/>
      <c r="C13" s="152"/>
      <c r="D13" s="135"/>
      <c r="E13" s="135"/>
      <c r="F13" s="68">
        <f>E13+D13</f>
        <v>0</v>
      </c>
      <c r="G13" s="67" t="e">
        <f t="shared" si="1"/>
        <v>#DIV/0!</v>
      </c>
      <c r="H13"/>
    </row>
    <row r="14" spans="1:10" hidden="1" x14ac:dyDescent="0.25">
      <c r="A14" s="27" t="s">
        <v>18</v>
      </c>
      <c r="B14" s="8">
        <f>SUM(B11:B13)</f>
        <v>0</v>
      </c>
      <c r="C14" s="69">
        <f>SUM(C11:C13)</f>
        <v>0</v>
      </c>
      <c r="D14" s="69">
        <f>SUM(D11:D13)</f>
        <v>0</v>
      </c>
      <c r="E14" s="69">
        <f>SUM(E11:E13)</f>
        <v>0</v>
      </c>
      <c r="F14" s="69">
        <f>SUM(F11:F13)</f>
        <v>0</v>
      </c>
      <c r="G14" s="16" t="e">
        <f t="shared" si="1"/>
        <v>#DIV/0!</v>
      </c>
      <c r="H14"/>
    </row>
    <row r="15" spans="1:10" hidden="1" x14ac:dyDescent="0.25">
      <c r="A15" s="70" t="s">
        <v>34</v>
      </c>
      <c r="B15" s="150"/>
      <c r="C15" s="152"/>
      <c r="D15" s="152"/>
      <c r="E15" s="152"/>
      <c r="F15" s="66">
        <f>E15+D15</f>
        <v>0</v>
      </c>
      <c r="G15" s="67" t="e">
        <f t="shared" si="1"/>
        <v>#DIV/0!</v>
      </c>
      <c r="H15"/>
    </row>
    <row r="16" spans="1:10" hidden="1" x14ac:dyDescent="0.25">
      <c r="A16" s="70" t="s">
        <v>20</v>
      </c>
      <c r="B16" s="150"/>
      <c r="C16" s="152"/>
      <c r="D16" s="152"/>
      <c r="E16" s="152"/>
      <c r="F16" s="66">
        <f>E16+D16</f>
        <v>0</v>
      </c>
      <c r="G16" s="67" t="e">
        <f t="shared" si="1"/>
        <v>#DIV/0!</v>
      </c>
      <c r="H16"/>
    </row>
    <row r="17" spans="1:8" hidden="1" x14ac:dyDescent="0.25">
      <c r="A17" s="70" t="s">
        <v>21</v>
      </c>
      <c r="B17" s="150"/>
      <c r="C17" s="152"/>
      <c r="D17" s="135"/>
      <c r="E17" s="135"/>
      <c r="F17" s="68">
        <f>E17+D17</f>
        <v>0</v>
      </c>
      <c r="G17" s="67" t="e">
        <f t="shared" si="1"/>
        <v>#DIV/0!</v>
      </c>
      <c r="H17"/>
    </row>
    <row r="18" spans="1:8" hidden="1" x14ac:dyDescent="0.25">
      <c r="A18" s="27" t="s">
        <v>22</v>
      </c>
      <c r="B18" s="8">
        <f>SUM(B15:B17)</f>
        <v>0</v>
      </c>
      <c r="C18" s="69">
        <f>SUM(C15:C17)</f>
        <v>0</v>
      </c>
      <c r="D18" s="69">
        <f>SUM(D15:D17)</f>
        <v>0</v>
      </c>
      <c r="E18" s="69">
        <f>SUM(E15:E17)</f>
        <v>0</v>
      </c>
      <c r="F18" s="69">
        <f>SUM(F15:F17)</f>
        <v>0</v>
      </c>
      <c r="G18" s="16" t="e">
        <f t="shared" si="1"/>
        <v>#DIV/0!</v>
      </c>
      <c r="H18"/>
    </row>
    <row r="19" spans="1:8" hidden="1" x14ac:dyDescent="0.25">
      <c r="A19" s="70" t="s">
        <v>13</v>
      </c>
      <c r="B19" s="150"/>
      <c r="C19" s="152"/>
      <c r="D19" s="152"/>
      <c r="E19" s="152"/>
      <c r="F19" s="66">
        <f>E19+D19</f>
        <v>0</v>
      </c>
      <c r="G19" s="67" t="e">
        <f t="shared" si="1"/>
        <v>#DIV/0!</v>
      </c>
      <c r="H19"/>
    </row>
    <row r="20" spans="1:8" hidden="1" x14ac:dyDescent="0.25">
      <c r="A20" s="70" t="s">
        <v>12</v>
      </c>
      <c r="B20" s="150"/>
      <c r="C20" s="152"/>
      <c r="D20" s="152"/>
      <c r="E20" s="152"/>
      <c r="F20" s="66">
        <f>E20+D20</f>
        <v>0</v>
      </c>
      <c r="G20" s="67" t="e">
        <f t="shared" si="1"/>
        <v>#DIV/0!</v>
      </c>
      <c r="H20"/>
    </row>
    <row r="21" spans="1:8" hidden="1" x14ac:dyDescent="0.25">
      <c r="A21" s="70" t="s">
        <v>11</v>
      </c>
      <c r="B21" s="150"/>
      <c r="C21" s="152"/>
      <c r="D21" s="135"/>
      <c r="E21" s="135"/>
      <c r="F21" s="68">
        <f>E21+D21</f>
        <v>0</v>
      </c>
      <c r="G21" s="67" t="e">
        <f t="shared" si="1"/>
        <v>#DIV/0!</v>
      </c>
      <c r="H21"/>
    </row>
    <row r="22" spans="1:8" hidden="1" x14ac:dyDescent="0.25">
      <c r="A22" s="27" t="s">
        <v>14</v>
      </c>
      <c r="B22" s="8">
        <f>SUM(B19:B21)</f>
        <v>0</v>
      </c>
      <c r="C22" s="69">
        <f>SUM(C19:C21)</f>
        <v>0</v>
      </c>
      <c r="D22" s="69">
        <f>SUM(D19:D21)</f>
        <v>0</v>
      </c>
      <c r="E22" s="69">
        <f>SUM(E19:E21)</f>
        <v>0</v>
      </c>
      <c r="F22" s="69">
        <f>SUM(F19:F21)</f>
        <v>0</v>
      </c>
      <c r="G22" s="16" t="e">
        <f t="shared" si="1"/>
        <v>#DIV/0!</v>
      </c>
      <c r="H22"/>
    </row>
    <row r="23" spans="1:8" hidden="1" x14ac:dyDescent="0.25">
      <c r="A23" s="71" t="s">
        <v>23</v>
      </c>
      <c r="B23" s="10">
        <f>+B10+B14+B18+B22</f>
        <v>376</v>
      </c>
      <c r="C23" s="10">
        <f>+C10+C14+C18+C22</f>
        <v>17431171.149999999</v>
      </c>
      <c r="D23" s="10">
        <f>+D10+D14+D18+D22</f>
        <v>2118255.4099999997</v>
      </c>
      <c r="E23" s="10">
        <f>+E10+E14+E18+E22</f>
        <v>2342090.1399999992</v>
      </c>
      <c r="F23" s="10">
        <f>+F10+F14+F18+F22</f>
        <v>4460345.5499999989</v>
      </c>
      <c r="G23" s="10">
        <f t="shared" si="1"/>
        <v>0.25588329731935422</v>
      </c>
      <c r="H23"/>
    </row>
    <row r="24" spans="1:8" hidden="1" x14ac:dyDescent="0.25">
      <c r="A24"/>
      <c r="B24"/>
      <c r="C24"/>
      <c r="D24"/>
      <c r="E24"/>
      <c r="F24"/>
      <c r="G24"/>
      <c r="H24"/>
    </row>
    <row r="25" spans="1:8" hidden="1" x14ac:dyDescent="0.25">
      <c r="A25"/>
      <c r="B25"/>
      <c r="C25"/>
      <c r="D25"/>
      <c r="E25"/>
      <c r="F25"/>
      <c r="G25"/>
      <c r="H25"/>
    </row>
    <row r="26" spans="1:8" hidden="1" x14ac:dyDescent="0.25">
      <c r="A26"/>
      <c r="B26"/>
      <c r="C26"/>
      <c r="D26"/>
      <c r="E26"/>
      <c r="F26"/>
      <c r="G26"/>
      <c r="H26"/>
    </row>
    <row r="27" spans="1:8" hidden="1" x14ac:dyDescent="0.25">
      <c r="A27"/>
      <c r="B27"/>
      <c r="C27"/>
      <c r="D27"/>
      <c r="E27"/>
      <c r="F27"/>
      <c r="G27"/>
      <c r="H27"/>
    </row>
    <row r="28" spans="1:8" hidden="1" x14ac:dyDescent="0.25">
      <c r="A28"/>
      <c r="B28"/>
      <c r="C28"/>
      <c r="D28"/>
      <c r="E28"/>
      <c r="F28"/>
      <c r="G28"/>
      <c r="H28"/>
    </row>
    <row r="29" spans="1:8" hidden="1" x14ac:dyDescent="0.25">
      <c r="A29"/>
      <c r="B29"/>
      <c r="C29"/>
      <c r="D29"/>
      <c r="E29"/>
      <c r="F29"/>
      <c r="G29"/>
      <c r="H29"/>
    </row>
    <row r="30" spans="1:8" hidden="1" x14ac:dyDescent="0.25">
      <c r="A30"/>
      <c r="B30"/>
      <c r="C30"/>
      <c r="D30"/>
      <c r="E30"/>
      <c r="F30"/>
      <c r="G30"/>
      <c r="H30"/>
    </row>
    <row r="31" spans="1:8" hidden="1" x14ac:dyDescent="0.25">
      <c r="A31"/>
      <c r="B31"/>
      <c r="C31"/>
      <c r="D31"/>
      <c r="E31"/>
      <c r="F31"/>
      <c r="G31"/>
      <c r="H31"/>
    </row>
    <row r="32" spans="1:8" hidden="1" x14ac:dyDescent="0.25">
      <c r="A32"/>
      <c r="B32"/>
      <c r="C32"/>
      <c r="D32"/>
      <c r="E32"/>
      <c r="F32"/>
      <c r="G32"/>
      <c r="H32"/>
    </row>
    <row r="33" spans="1:8" hidden="1" x14ac:dyDescent="0.25">
      <c r="A33"/>
      <c r="B33"/>
      <c r="C33"/>
      <c r="D33"/>
      <c r="E33"/>
      <c r="F33"/>
      <c r="G33"/>
      <c r="H33"/>
    </row>
    <row r="34" spans="1:8" x14ac:dyDescent="0.25">
      <c r="A34" s="175" t="s">
        <v>171</v>
      </c>
      <c r="B34"/>
      <c r="C34"/>
      <c r="D34"/>
      <c r="E34"/>
      <c r="F34"/>
      <c r="G34"/>
      <c r="H34"/>
    </row>
    <row r="35" spans="1:8" x14ac:dyDescent="0.25">
      <c r="A35" s="118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/>
      <c r="C39"/>
      <c r="D39"/>
      <c r="E39"/>
      <c r="F39"/>
      <c r="G39"/>
      <c r="H39"/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  <row r="46" spans="1:8" x14ac:dyDescent="0.25">
      <c r="A46"/>
      <c r="B46"/>
      <c r="C46"/>
      <c r="D46"/>
      <c r="E46"/>
      <c r="F46"/>
      <c r="G46"/>
      <c r="H46"/>
    </row>
    <row r="47" spans="1:8" x14ac:dyDescent="0.25">
      <c r="A47"/>
      <c r="B47"/>
      <c r="C47"/>
      <c r="D47"/>
      <c r="E47"/>
      <c r="F47"/>
      <c r="G47"/>
      <c r="H47"/>
    </row>
    <row r="48" spans="1:8" x14ac:dyDescent="0.25">
      <c r="A48"/>
      <c r="B48"/>
      <c r="C48"/>
      <c r="D48"/>
      <c r="E48"/>
      <c r="F48"/>
      <c r="G48"/>
      <c r="H48"/>
    </row>
    <row r="49" spans="1:8" x14ac:dyDescent="0.25">
      <c r="A49"/>
      <c r="B49"/>
      <c r="C49"/>
      <c r="D49"/>
      <c r="E49"/>
      <c r="F49"/>
      <c r="G49"/>
      <c r="H49"/>
    </row>
    <row r="50" spans="1:8" x14ac:dyDescent="0.25">
      <c r="A50"/>
      <c r="B50"/>
      <c r="C50"/>
      <c r="D50"/>
      <c r="E50"/>
      <c r="F50"/>
      <c r="G50"/>
      <c r="H50"/>
    </row>
    <row r="51" spans="1:8" x14ac:dyDescent="0.25">
      <c r="A51"/>
      <c r="B51"/>
      <c r="C51"/>
      <c r="D51"/>
      <c r="E51"/>
      <c r="F51"/>
      <c r="G51"/>
      <c r="H51"/>
    </row>
    <row r="52" spans="1:8" x14ac:dyDescent="0.25">
      <c r="A52"/>
      <c r="B52"/>
      <c r="C52"/>
      <c r="D52"/>
      <c r="E52"/>
      <c r="F52"/>
      <c r="G52"/>
      <c r="H52"/>
    </row>
    <row r="53" spans="1:8" x14ac:dyDescent="0.25">
      <c r="A53"/>
      <c r="B53"/>
      <c r="C53"/>
      <c r="D53"/>
      <c r="E53"/>
      <c r="F53"/>
      <c r="G53"/>
      <c r="H53"/>
    </row>
    <row r="54" spans="1:8" x14ac:dyDescent="0.25">
      <c r="A54"/>
      <c r="B54"/>
      <c r="C54"/>
      <c r="D54"/>
      <c r="E54"/>
      <c r="F54"/>
      <c r="G54"/>
      <c r="H54"/>
    </row>
    <row r="55" spans="1:8" x14ac:dyDescent="0.25">
      <c r="A55"/>
      <c r="B55"/>
      <c r="C55"/>
      <c r="D55"/>
      <c r="E55"/>
      <c r="F55"/>
      <c r="G55"/>
      <c r="H55"/>
    </row>
    <row r="56" spans="1:8" x14ac:dyDescent="0.25">
      <c r="A56"/>
      <c r="B56"/>
      <c r="C56"/>
      <c r="D56"/>
      <c r="E56"/>
      <c r="F56"/>
      <c r="G56"/>
      <c r="H56"/>
    </row>
    <row r="57" spans="1:8" x14ac:dyDescent="0.25">
      <c r="A57"/>
      <c r="B57"/>
      <c r="C57"/>
      <c r="D57"/>
      <c r="E57"/>
      <c r="F57"/>
      <c r="G57"/>
      <c r="H57"/>
    </row>
    <row r="59" spans="1:8" x14ac:dyDescent="0.25">
      <c r="A59" s="70"/>
      <c r="B59" s="153"/>
      <c r="C59" s="151"/>
      <c r="D59" s="135"/>
      <c r="E59" s="135"/>
      <c r="F59" s="68"/>
      <c r="G59" s="67"/>
    </row>
    <row r="61" spans="1:8" x14ac:dyDescent="0.25">
      <c r="A61" s="70"/>
      <c r="B61" s="150"/>
      <c r="C61" s="151"/>
      <c r="D61" s="152"/>
      <c r="E61" s="152"/>
      <c r="F61" s="68"/>
      <c r="G61" s="67"/>
    </row>
  </sheetData>
  <mergeCells count="5">
    <mergeCell ref="A1:G1"/>
    <mergeCell ref="A2:G2"/>
    <mergeCell ref="A3:G3"/>
    <mergeCell ref="A5:G5"/>
    <mergeCell ref="A4:G4"/>
  </mergeCells>
  <pageMargins left="0.7" right="0.7" top="0.75" bottom="0.75" header="0.3" footer="0.3"/>
  <pageSetup paperSize="9" scale="54" orientation="portrait" r:id="rId1"/>
  <ignoredErrors>
    <ignoredError sqref="F10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Z71"/>
  <sheetViews>
    <sheetView showGridLines="0" zoomScale="85" zoomScaleNormal="85" workbookViewId="0">
      <selection activeCell="AA29" sqref="AA29"/>
    </sheetView>
  </sheetViews>
  <sheetFormatPr baseColWidth="10" defaultColWidth="11.42578125" defaultRowHeight="15" x14ac:dyDescent="0.25"/>
  <cols>
    <col min="1" max="1" width="11.42578125" style="1"/>
    <col min="2" max="2" width="45.7109375" style="1" customWidth="1"/>
    <col min="3" max="3" width="9.42578125" style="1" hidden="1" customWidth="1"/>
    <col min="4" max="4" width="10.85546875" style="1" hidden="1" customWidth="1"/>
    <col min="5" max="5" width="11.42578125" style="1" hidden="1" customWidth="1"/>
    <col min="6" max="6" width="9.42578125" style="1" hidden="1" customWidth="1"/>
    <col min="7" max="7" width="10.85546875" style="1" hidden="1" customWidth="1"/>
    <col min="8" max="8" width="11.42578125" style="1" hidden="1" customWidth="1"/>
    <col min="9" max="9" width="9.42578125" style="1" hidden="1" customWidth="1"/>
    <col min="10" max="10" width="10.85546875" style="1" hidden="1" customWidth="1"/>
    <col min="11" max="11" width="11.42578125" style="1" hidden="1" customWidth="1"/>
    <col min="12" max="12" width="11.42578125" style="1" customWidth="1"/>
    <col min="13" max="13" width="11.42578125" style="1"/>
    <col min="14" max="14" width="11.42578125" style="1" customWidth="1"/>
    <col min="15" max="15" width="18" style="1" customWidth="1"/>
    <col min="16" max="16384" width="11.42578125" style="1"/>
  </cols>
  <sheetData>
    <row r="1" spans="1:26" x14ac:dyDescent="0.25">
      <c r="A1" s="22"/>
      <c r="B1" s="304" t="s">
        <v>172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26" x14ac:dyDescent="0.25">
      <c r="A2" s="22"/>
      <c r="B2" s="304" t="s">
        <v>191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26" x14ac:dyDescent="0.25">
      <c r="A3" s="22"/>
      <c r="B3" s="304" t="s">
        <v>192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</row>
    <row r="4" spans="1:26" x14ac:dyDescent="0.25">
      <c r="A4" s="22"/>
      <c r="B4" s="304" t="s">
        <v>238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</row>
    <row r="5" spans="1:26" x14ac:dyDescent="0.25">
      <c r="A5" s="22"/>
      <c r="B5" s="304" t="s">
        <v>233</v>
      </c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</row>
    <row r="8" spans="1:26" ht="15.75" x14ac:dyDescent="0.25">
      <c r="B8" s="355" t="s">
        <v>193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Z8" s="18"/>
    </row>
    <row r="9" spans="1:26" x14ac:dyDescent="0.25">
      <c r="B9" s="154"/>
      <c r="C9" s="342" t="s">
        <v>13</v>
      </c>
      <c r="D9" s="342"/>
      <c r="E9" s="342"/>
      <c r="F9" s="342" t="s">
        <v>12</v>
      </c>
      <c r="G9" s="342"/>
      <c r="H9" s="342"/>
      <c r="I9" s="342" t="s">
        <v>246</v>
      </c>
      <c r="J9" s="342"/>
      <c r="K9" s="342"/>
      <c r="L9" s="342" t="s">
        <v>14</v>
      </c>
      <c r="M9" s="342"/>
      <c r="N9" s="342"/>
      <c r="O9"/>
      <c r="P9"/>
      <c r="Q9"/>
      <c r="R9"/>
      <c r="S9"/>
      <c r="T9"/>
      <c r="U9"/>
      <c r="V9"/>
    </row>
    <row r="10" spans="1:26" x14ac:dyDescent="0.25">
      <c r="B10" s="54" t="s">
        <v>194</v>
      </c>
      <c r="C10" s="54" t="s">
        <v>195</v>
      </c>
      <c r="D10" s="54" t="s">
        <v>196</v>
      </c>
      <c r="E10" s="54" t="s">
        <v>197</v>
      </c>
      <c r="F10" s="54" t="s">
        <v>195</v>
      </c>
      <c r="G10" s="54" t="s">
        <v>196</v>
      </c>
      <c r="H10" s="54" t="s">
        <v>197</v>
      </c>
      <c r="I10" s="54" t="s">
        <v>195</v>
      </c>
      <c r="J10" s="54" t="s">
        <v>196</v>
      </c>
      <c r="K10" s="54" t="s">
        <v>197</v>
      </c>
      <c r="L10" s="54" t="s">
        <v>195</v>
      </c>
      <c r="M10" s="54" t="s">
        <v>196</v>
      </c>
      <c r="N10" s="54" t="s">
        <v>257</v>
      </c>
      <c r="O10"/>
      <c r="P10"/>
      <c r="Q10"/>
      <c r="R10"/>
      <c r="S10"/>
      <c r="T10"/>
      <c r="U10"/>
      <c r="V10"/>
    </row>
    <row r="11" spans="1:26" x14ac:dyDescent="0.25">
      <c r="B11" s="53" t="s">
        <v>198</v>
      </c>
      <c r="C11" s="114"/>
      <c r="D11" s="114"/>
      <c r="E11" s="105" t="str">
        <f>IFERROR(D11/C11,"-")</f>
        <v>-</v>
      </c>
      <c r="F11" s="114"/>
      <c r="G11" s="114"/>
      <c r="H11" s="105" t="str">
        <f>IFERROR(G11/F11,"-")</f>
        <v>-</v>
      </c>
      <c r="I11" s="114"/>
      <c r="J11" s="114"/>
      <c r="K11" s="105" t="str">
        <f>IFERROR(J11/I11,"-")</f>
        <v>-</v>
      </c>
      <c r="L11" s="114">
        <v>18</v>
      </c>
      <c r="M11" s="114">
        <v>16</v>
      </c>
      <c r="N11" s="105">
        <f>IFERROR(M11/L11,"-")</f>
        <v>0.88888888888888884</v>
      </c>
      <c r="O11"/>
      <c r="P11"/>
      <c r="Q11"/>
      <c r="R11"/>
      <c r="S11"/>
      <c r="T11"/>
      <c r="U11"/>
      <c r="V11"/>
    </row>
    <row r="12" spans="1:26" x14ac:dyDescent="0.25">
      <c r="B12" s="53" t="s">
        <v>199</v>
      </c>
      <c r="C12" s="114"/>
      <c r="D12" s="114"/>
      <c r="E12" s="105" t="str">
        <f t="shared" ref="E12:E24" si="0">IFERROR(D12/C12,"-")</f>
        <v>-</v>
      </c>
      <c r="F12" s="114"/>
      <c r="G12" s="114"/>
      <c r="H12" s="105" t="str">
        <f t="shared" ref="H12:H20" si="1">IFERROR(G12/F12,"-")</f>
        <v>-</v>
      </c>
      <c r="I12" s="114"/>
      <c r="J12" s="114"/>
      <c r="K12" s="105" t="str">
        <f t="shared" ref="K12:K20" si="2">IFERROR(J12/I12,"-")</f>
        <v>-</v>
      </c>
      <c r="L12" s="114">
        <v>429</v>
      </c>
      <c r="M12" s="114">
        <v>395</v>
      </c>
      <c r="N12" s="105">
        <f t="shared" ref="N12:N22" si="3">IFERROR(M12/L12,"-")</f>
        <v>0.92074592074592077</v>
      </c>
      <c r="O12"/>
      <c r="P12"/>
      <c r="Q12"/>
      <c r="R12"/>
      <c r="S12"/>
      <c r="T12"/>
      <c r="U12"/>
      <c r="V12"/>
    </row>
    <row r="13" spans="1:26" x14ac:dyDescent="0.25">
      <c r="B13" s="53" t="s">
        <v>200</v>
      </c>
      <c r="C13" s="114"/>
      <c r="D13" s="114"/>
      <c r="E13" s="105" t="str">
        <f t="shared" si="0"/>
        <v>-</v>
      </c>
      <c r="F13" s="114"/>
      <c r="G13" s="114"/>
      <c r="H13" s="105" t="str">
        <f t="shared" si="1"/>
        <v>-</v>
      </c>
      <c r="I13" s="114"/>
      <c r="J13" s="114"/>
      <c r="K13" s="105" t="str">
        <f t="shared" si="2"/>
        <v>-</v>
      </c>
      <c r="L13" s="114">
        <v>133</v>
      </c>
      <c r="M13" s="114">
        <v>84</v>
      </c>
      <c r="N13" s="105">
        <f t="shared" si="3"/>
        <v>0.63157894736842102</v>
      </c>
      <c r="O13"/>
      <c r="P13"/>
      <c r="Q13"/>
      <c r="R13"/>
      <c r="S13"/>
      <c r="T13"/>
      <c r="U13"/>
      <c r="V13"/>
    </row>
    <row r="14" spans="1:26" x14ac:dyDescent="0.25">
      <c r="B14" s="53" t="s">
        <v>201</v>
      </c>
      <c r="C14" s="114"/>
      <c r="D14" s="114"/>
      <c r="E14" s="105" t="str">
        <f t="shared" si="0"/>
        <v>-</v>
      </c>
      <c r="F14" s="114"/>
      <c r="G14" s="114"/>
      <c r="H14" s="105" t="str">
        <f t="shared" si="1"/>
        <v>-</v>
      </c>
      <c r="I14" s="114"/>
      <c r="J14" s="114"/>
      <c r="K14" s="105" t="str">
        <f t="shared" si="2"/>
        <v>-</v>
      </c>
      <c r="L14" s="114">
        <v>490</v>
      </c>
      <c r="M14" s="114">
        <v>485</v>
      </c>
      <c r="N14" s="105">
        <f t="shared" si="3"/>
        <v>0.98979591836734693</v>
      </c>
      <c r="O14"/>
      <c r="P14"/>
      <c r="Q14"/>
      <c r="R14"/>
      <c r="S14"/>
      <c r="T14"/>
      <c r="U14"/>
      <c r="V14"/>
    </row>
    <row r="15" spans="1:26" x14ac:dyDescent="0.25">
      <c r="B15" s="53" t="s">
        <v>202</v>
      </c>
      <c r="C15" s="114"/>
      <c r="D15" s="114"/>
      <c r="E15" s="105" t="str">
        <f t="shared" si="0"/>
        <v>-</v>
      </c>
      <c r="F15" s="114"/>
      <c r="G15" s="114"/>
      <c r="H15" s="105" t="str">
        <f t="shared" si="1"/>
        <v>-</v>
      </c>
      <c r="I15" s="114"/>
      <c r="J15" s="114"/>
      <c r="K15" s="105" t="str">
        <f t="shared" si="2"/>
        <v>-</v>
      </c>
      <c r="L15" s="114">
        <v>7497</v>
      </c>
      <c r="M15" s="114">
        <v>7425</v>
      </c>
      <c r="N15" s="105">
        <f t="shared" si="3"/>
        <v>0.99039615846338536</v>
      </c>
      <c r="O15"/>
      <c r="P15"/>
      <c r="Q15"/>
      <c r="R15"/>
      <c r="S15"/>
      <c r="T15"/>
      <c r="U15"/>
      <c r="V15"/>
    </row>
    <row r="16" spans="1:26" x14ac:dyDescent="0.25">
      <c r="B16" s="53" t="s">
        <v>203</v>
      </c>
      <c r="C16" s="114"/>
      <c r="D16" s="114"/>
      <c r="E16" s="105" t="str">
        <f t="shared" si="0"/>
        <v>-</v>
      </c>
      <c r="F16" s="114"/>
      <c r="G16" s="114"/>
      <c r="H16" s="105" t="str">
        <f t="shared" si="1"/>
        <v>-</v>
      </c>
      <c r="I16" s="114"/>
      <c r="J16" s="114"/>
      <c r="K16" s="105" t="str">
        <f t="shared" si="2"/>
        <v>-</v>
      </c>
      <c r="L16" s="114">
        <v>795</v>
      </c>
      <c r="M16" s="114">
        <v>777</v>
      </c>
      <c r="N16" s="105">
        <f t="shared" si="3"/>
        <v>0.97735849056603774</v>
      </c>
      <c r="O16"/>
      <c r="P16"/>
      <c r="Q16"/>
      <c r="R16"/>
      <c r="S16"/>
      <c r="T16"/>
      <c r="U16"/>
      <c r="V16"/>
    </row>
    <row r="17" spans="2:22" x14ac:dyDescent="0.25">
      <c r="B17" s="53" t="s">
        <v>204</v>
      </c>
      <c r="C17" s="114"/>
      <c r="D17" s="114"/>
      <c r="E17" s="105" t="str">
        <f t="shared" si="0"/>
        <v>-</v>
      </c>
      <c r="F17" s="114"/>
      <c r="G17" s="114"/>
      <c r="H17" s="105" t="str">
        <f t="shared" si="1"/>
        <v>-</v>
      </c>
      <c r="I17" s="114"/>
      <c r="J17" s="114"/>
      <c r="K17" s="105" t="str">
        <f t="shared" si="2"/>
        <v>-</v>
      </c>
      <c r="L17" s="114">
        <v>4329</v>
      </c>
      <c r="M17" s="114">
        <v>4090</v>
      </c>
      <c r="N17" s="105">
        <f t="shared" si="3"/>
        <v>0.94479094479094483</v>
      </c>
      <c r="O17"/>
      <c r="P17"/>
      <c r="Q17"/>
      <c r="R17"/>
      <c r="S17"/>
      <c r="T17"/>
      <c r="U17"/>
      <c r="V17"/>
    </row>
    <row r="18" spans="2:22" x14ac:dyDescent="0.25">
      <c r="B18" s="53" t="s">
        <v>205</v>
      </c>
      <c r="C18" s="114"/>
      <c r="D18" s="114"/>
      <c r="E18" s="105" t="str">
        <f t="shared" si="0"/>
        <v>-</v>
      </c>
      <c r="F18" s="114"/>
      <c r="G18" s="114"/>
      <c r="H18" s="105" t="str">
        <f t="shared" si="1"/>
        <v>-</v>
      </c>
      <c r="I18" s="114"/>
      <c r="J18" s="114"/>
      <c r="K18" s="105" t="str">
        <f t="shared" si="2"/>
        <v>-</v>
      </c>
      <c r="L18" s="114">
        <v>24</v>
      </c>
      <c r="M18" s="114">
        <v>20</v>
      </c>
      <c r="N18" s="105">
        <f t="shared" si="3"/>
        <v>0.83333333333333337</v>
      </c>
      <c r="O18"/>
      <c r="P18"/>
      <c r="Q18"/>
      <c r="R18"/>
      <c r="S18"/>
      <c r="T18"/>
      <c r="U18"/>
      <c r="V18"/>
    </row>
    <row r="19" spans="2:22" x14ac:dyDescent="0.25">
      <c r="B19" s="53" t="s">
        <v>206</v>
      </c>
      <c r="C19" s="114"/>
      <c r="D19" s="114"/>
      <c r="E19" s="105" t="str">
        <f t="shared" si="0"/>
        <v>-</v>
      </c>
      <c r="F19" s="114"/>
      <c r="G19" s="114"/>
      <c r="H19" s="105" t="str">
        <f t="shared" si="1"/>
        <v>-</v>
      </c>
      <c r="I19" s="114"/>
      <c r="J19" s="114"/>
      <c r="K19" s="105" t="str">
        <f t="shared" si="2"/>
        <v>-</v>
      </c>
      <c r="L19" s="114">
        <v>148</v>
      </c>
      <c r="M19" s="114">
        <v>140</v>
      </c>
      <c r="N19" s="105">
        <f t="shared" si="3"/>
        <v>0.94594594594594594</v>
      </c>
      <c r="O19"/>
      <c r="P19"/>
      <c r="Q19"/>
      <c r="R19"/>
      <c r="S19"/>
      <c r="T19"/>
      <c r="U19"/>
      <c r="V19"/>
    </row>
    <row r="20" spans="2:22" x14ac:dyDescent="0.25">
      <c r="B20" s="53" t="s">
        <v>207</v>
      </c>
      <c r="C20" s="114"/>
      <c r="D20" s="114"/>
      <c r="E20" s="105" t="str">
        <f t="shared" si="0"/>
        <v>-</v>
      </c>
      <c r="F20" s="114"/>
      <c r="G20" s="114"/>
      <c r="H20" s="105" t="str">
        <f t="shared" si="1"/>
        <v>-</v>
      </c>
      <c r="I20" s="114"/>
      <c r="J20" s="114"/>
      <c r="K20" s="105" t="str">
        <f t="shared" si="2"/>
        <v>-</v>
      </c>
      <c r="L20" s="114">
        <v>20</v>
      </c>
      <c r="M20" s="114">
        <v>19</v>
      </c>
      <c r="N20" s="105">
        <f>IFERROR(M20/L20,"-")</f>
        <v>0.95</v>
      </c>
      <c r="O20"/>
      <c r="P20"/>
      <c r="Q20"/>
      <c r="R20"/>
      <c r="S20"/>
      <c r="T20"/>
      <c r="U20"/>
      <c r="V20"/>
    </row>
    <row r="21" spans="2:22" x14ac:dyDescent="0.25">
      <c r="B21" s="53" t="s">
        <v>208</v>
      </c>
      <c r="C21" s="114"/>
      <c r="D21" s="114"/>
      <c r="E21" s="105" t="str">
        <f t="shared" si="0"/>
        <v>-</v>
      </c>
      <c r="F21" s="114"/>
      <c r="G21" s="114"/>
      <c r="H21" s="105" t="str">
        <f t="shared" ref="H21:H24" si="4">IFERROR(G21/F21,"-")</f>
        <v>-</v>
      </c>
      <c r="I21" s="114"/>
      <c r="J21" s="114"/>
      <c r="K21" s="105" t="str">
        <f t="shared" ref="K21:K24" si="5">IFERROR(J21/I21,"-")</f>
        <v>-</v>
      </c>
      <c r="L21" s="114">
        <v>608</v>
      </c>
      <c r="M21" s="114">
        <v>579</v>
      </c>
      <c r="N21" s="105">
        <f t="shared" si="3"/>
        <v>0.95230263157894735</v>
      </c>
      <c r="O21"/>
      <c r="P21"/>
      <c r="Q21"/>
      <c r="R21"/>
      <c r="S21"/>
      <c r="T21"/>
      <c r="U21"/>
      <c r="V21"/>
    </row>
    <row r="22" spans="2:22" x14ac:dyDescent="0.25">
      <c r="B22" s="53" t="s">
        <v>209</v>
      </c>
      <c r="C22" s="114"/>
      <c r="D22" s="114"/>
      <c r="E22" s="105"/>
      <c r="F22" s="114"/>
      <c r="G22" s="114"/>
      <c r="H22" s="105"/>
      <c r="I22" s="114"/>
      <c r="J22" s="114"/>
      <c r="K22" s="105"/>
      <c r="L22" s="114">
        <v>128</v>
      </c>
      <c r="M22" s="114">
        <v>121</v>
      </c>
      <c r="N22" s="105">
        <f t="shared" si="3"/>
        <v>0.9453125</v>
      </c>
      <c r="O22"/>
      <c r="P22"/>
      <c r="Q22"/>
      <c r="R22"/>
      <c r="S22"/>
      <c r="T22"/>
      <c r="U22"/>
      <c r="V22"/>
    </row>
    <row r="23" spans="2:22" x14ac:dyDescent="0.25">
      <c r="B23" s="53" t="s">
        <v>210</v>
      </c>
      <c r="C23" s="114"/>
      <c r="D23" s="114"/>
      <c r="E23" s="105" t="str">
        <f t="shared" si="0"/>
        <v>-</v>
      </c>
      <c r="F23" s="114"/>
      <c r="G23" s="114"/>
      <c r="H23" s="105" t="str">
        <f t="shared" si="4"/>
        <v>-</v>
      </c>
      <c r="I23" s="114"/>
      <c r="J23" s="114"/>
      <c r="K23" s="105" t="str">
        <f t="shared" si="5"/>
        <v>-</v>
      </c>
      <c r="L23" s="114">
        <v>5</v>
      </c>
      <c r="M23" s="114">
        <v>5</v>
      </c>
      <c r="N23" s="105">
        <f t="shared" ref="N23" si="6">IFERROR(M23/L23,"-")</f>
        <v>1</v>
      </c>
      <c r="O23"/>
      <c r="P23"/>
      <c r="Q23"/>
      <c r="R23"/>
      <c r="S23"/>
      <c r="T23"/>
      <c r="U23"/>
      <c r="V23"/>
    </row>
    <row r="24" spans="2:22" x14ac:dyDescent="0.25">
      <c r="B24" s="286" t="s">
        <v>211</v>
      </c>
      <c r="C24" s="289">
        <f>SUM(C11:C23)</f>
        <v>0</v>
      </c>
      <c r="D24" s="289">
        <f>SUM(D11:D23)</f>
        <v>0</v>
      </c>
      <c r="E24" s="289" t="str">
        <f t="shared" si="0"/>
        <v>-</v>
      </c>
      <c r="F24" s="289">
        <f>SUM(F11:F23)</f>
        <v>0</v>
      </c>
      <c r="G24" s="289">
        <f>SUM(G11:G23)</f>
        <v>0</v>
      </c>
      <c r="H24" s="289" t="str">
        <f t="shared" si="4"/>
        <v>-</v>
      </c>
      <c r="I24" s="289">
        <f>SUM(I11:I23)</f>
        <v>0</v>
      </c>
      <c r="J24" s="289">
        <f>SUM(J11:J23)</f>
        <v>0</v>
      </c>
      <c r="K24" s="289" t="str">
        <f t="shared" si="5"/>
        <v>-</v>
      </c>
      <c r="L24" s="289">
        <f>SUM(L11:L23)</f>
        <v>14624</v>
      </c>
      <c r="M24" s="289">
        <f>SUM(M11:M23)</f>
        <v>14156</v>
      </c>
      <c r="N24" s="290">
        <f>+M24/L24</f>
        <v>0.9679978118161926</v>
      </c>
      <c r="O24"/>
      <c r="P24"/>
      <c r="Q24"/>
      <c r="R24"/>
      <c r="S24"/>
      <c r="T24"/>
      <c r="U24"/>
      <c r="V24"/>
    </row>
    <row r="25" spans="2:22" ht="3.75" customHeight="1" x14ac:dyDescent="0.25">
      <c r="B25" s="122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2:22" x14ac:dyDescent="0.25">
      <c r="B26" s="122" t="s">
        <v>242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2:22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2:22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2:22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2:22" ht="15.75" x14ac:dyDescent="0.25">
      <c r="B30" s="354" t="s">
        <v>244</v>
      </c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258"/>
      <c r="N30" s="258"/>
      <c r="O30"/>
      <c r="P30"/>
      <c r="Q30"/>
      <c r="R30"/>
      <c r="S30"/>
      <c r="T30"/>
      <c r="U30"/>
      <c r="V30"/>
    </row>
    <row r="31" spans="2:22" x14ac:dyDescent="0.25">
      <c r="B31" s="154"/>
      <c r="C31" s="342" t="s">
        <v>13</v>
      </c>
      <c r="D31" s="342"/>
      <c r="E31" s="342"/>
      <c r="F31" s="342" t="s">
        <v>12</v>
      </c>
      <c r="G31" s="342"/>
      <c r="H31" s="342"/>
      <c r="I31" s="342" t="s">
        <v>246</v>
      </c>
      <c r="J31" s="342"/>
      <c r="K31" s="342"/>
      <c r="L31" s="257" t="s">
        <v>14</v>
      </c>
      <c r="M31"/>
      <c r="N31"/>
      <c r="O31"/>
      <c r="P31"/>
      <c r="Q31"/>
      <c r="R31"/>
      <c r="S31"/>
      <c r="T31"/>
      <c r="U31"/>
      <c r="V31"/>
    </row>
    <row r="32" spans="2:22" x14ac:dyDescent="0.25">
      <c r="B32" s="54" t="s">
        <v>236</v>
      </c>
      <c r="C32" s="54" t="s">
        <v>195</v>
      </c>
      <c r="D32" s="54" t="s">
        <v>196</v>
      </c>
      <c r="E32" s="54" t="s">
        <v>52</v>
      </c>
      <c r="F32" s="54" t="s">
        <v>195</v>
      </c>
      <c r="G32" s="54" t="s">
        <v>196</v>
      </c>
      <c r="H32" s="54" t="s">
        <v>197</v>
      </c>
      <c r="I32" s="54" t="s">
        <v>195</v>
      </c>
      <c r="J32" s="54" t="s">
        <v>196</v>
      </c>
      <c r="K32" s="54" t="s">
        <v>197</v>
      </c>
      <c r="L32" s="54" t="s">
        <v>212</v>
      </c>
      <c r="M32"/>
      <c r="N32"/>
      <c r="O32"/>
      <c r="P32"/>
      <c r="Q32"/>
      <c r="R32"/>
      <c r="S32"/>
      <c r="T32"/>
      <c r="U32"/>
      <c r="V32"/>
    </row>
    <row r="33" spans="2:22" x14ac:dyDescent="0.25">
      <c r="B33" s="53" t="s">
        <v>213</v>
      </c>
      <c r="C33" s="114"/>
      <c r="D33" s="114"/>
      <c r="E33" s="194" t="str">
        <f>IFERROR(D33/C33,"-")</f>
        <v>-</v>
      </c>
      <c r="F33" s="114"/>
      <c r="G33" s="114"/>
      <c r="H33" s="194" t="str">
        <f t="shared" ref="H33:H48" si="7">IFERROR(G33/F33,"-")</f>
        <v>-</v>
      </c>
      <c r="I33" s="114"/>
      <c r="J33" s="114"/>
      <c r="K33" s="194" t="str">
        <f>IFERROR(J33/I33,"-")</f>
        <v>-</v>
      </c>
      <c r="L33" s="114">
        <v>53</v>
      </c>
      <c r="M33"/>
      <c r="N33"/>
      <c r="O33"/>
      <c r="P33"/>
      <c r="Q33"/>
      <c r="R33"/>
      <c r="S33"/>
      <c r="T33"/>
      <c r="U33"/>
      <c r="V33"/>
    </row>
    <row r="34" spans="2:22" x14ac:dyDescent="0.25">
      <c r="B34" s="53" t="s">
        <v>214</v>
      </c>
      <c r="C34" s="114"/>
      <c r="D34" s="114"/>
      <c r="E34" s="194" t="str">
        <f t="shared" ref="E34:E46" si="8">IFERROR(D34/C34,"-")</f>
        <v>-</v>
      </c>
      <c r="F34" s="114"/>
      <c r="G34" s="114"/>
      <c r="H34" s="194" t="str">
        <f t="shared" si="7"/>
        <v>-</v>
      </c>
      <c r="I34" s="114"/>
      <c r="J34" s="114"/>
      <c r="K34" s="194" t="str">
        <f t="shared" ref="K34:K48" si="9">IFERROR(J34/I34,"-")</f>
        <v>-</v>
      </c>
      <c r="L34" s="114">
        <v>317</v>
      </c>
      <c r="M34"/>
      <c r="N34"/>
      <c r="O34"/>
      <c r="P34"/>
      <c r="Q34"/>
      <c r="R34"/>
      <c r="S34"/>
      <c r="T34"/>
      <c r="U34"/>
      <c r="V34"/>
    </row>
    <row r="35" spans="2:22" x14ac:dyDescent="0.25">
      <c r="B35" s="53" t="s">
        <v>215</v>
      </c>
      <c r="C35" s="114"/>
      <c r="D35" s="114"/>
      <c r="E35" s="194" t="str">
        <f t="shared" si="8"/>
        <v>-</v>
      </c>
      <c r="F35" s="114"/>
      <c r="G35" s="114"/>
      <c r="H35" s="194" t="str">
        <f t="shared" si="7"/>
        <v>-</v>
      </c>
      <c r="I35" s="114"/>
      <c r="J35" s="114"/>
      <c r="K35" s="194" t="str">
        <f t="shared" si="9"/>
        <v>-</v>
      </c>
      <c r="L35" s="114">
        <v>6</v>
      </c>
      <c r="M35"/>
      <c r="N35"/>
      <c r="O35"/>
      <c r="P35"/>
      <c r="Q35"/>
      <c r="R35"/>
      <c r="S35"/>
      <c r="T35"/>
      <c r="U35"/>
      <c r="V35"/>
    </row>
    <row r="36" spans="2:22" x14ac:dyDescent="0.25">
      <c r="B36" s="53" t="s">
        <v>216</v>
      </c>
      <c r="C36" s="114"/>
      <c r="D36" s="114"/>
      <c r="E36" s="194"/>
      <c r="F36" s="114"/>
      <c r="G36" s="114"/>
      <c r="H36" s="194"/>
      <c r="I36" s="114"/>
      <c r="J36" s="114"/>
      <c r="K36" s="194"/>
      <c r="L36" s="114">
        <v>23</v>
      </c>
      <c r="M36"/>
      <c r="N36"/>
      <c r="O36"/>
      <c r="P36"/>
      <c r="Q36"/>
      <c r="R36"/>
      <c r="S36"/>
      <c r="T36"/>
      <c r="U36"/>
      <c r="V36"/>
    </row>
    <row r="37" spans="2:22" x14ac:dyDescent="0.25">
      <c r="B37" s="53" t="s">
        <v>217</v>
      </c>
      <c r="C37" s="114"/>
      <c r="D37" s="114"/>
      <c r="E37" s="194"/>
      <c r="F37" s="114"/>
      <c r="G37" s="114"/>
      <c r="H37" s="194"/>
      <c r="I37" s="114"/>
      <c r="J37" s="114"/>
      <c r="K37" s="194"/>
      <c r="L37" s="114">
        <v>1</v>
      </c>
      <c r="M37"/>
      <c r="N37"/>
      <c r="O37"/>
      <c r="P37"/>
      <c r="Q37"/>
      <c r="R37"/>
      <c r="S37"/>
      <c r="T37"/>
      <c r="U37"/>
      <c r="V37"/>
    </row>
    <row r="38" spans="2:22" x14ac:dyDescent="0.25">
      <c r="B38" s="53" t="s">
        <v>218</v>
      </c>
      <c r="C38" s="114"/>
      <c r="D38" s="114"/>
      <c r="E38" s="194"/>
      <c r="F38" s="114"/>
      <c r="G38" s="114"/>
      <c r="H38" s="194"/>
      <c r="I38" s="114"/>
      <c r="J38" s="114"/>
      <c r="K38" s="194"/>
      <c r="L38" s="114">
        <v>100</v>
      </c>
      <c r="M38"/>
      <c r="N38"/>
      <c r="O38"/>
      <c r="P38"/>
      <c r="Q38"/>
      <c r="R38"/>
      <c r="S38"/>
      <c r="T38"/>
      <c r="U38"/>
      <c r="V38"/>
    </row>
    <row r="39" spans="2:22" x14ac:dyDescent="0.25">
      <c r="B39" s="53" t="s">
        <v>219</v>
      </c>
      <c r="C39" s="114"/>
      <c r="D39" s="114"/>
      <c r="E39" s="194"/>
      <c r="F39" s="114"/>
      <c r="G39" s="114"/>
      <c r="H39" s="194"/>
      <c r="I39" s="114"/>
      <c r="J39" s="114"/>
      <c r="K39" s="194"/>
      <c r="L39" s="114">
        <v>26</v>
      </c>
      <c r="M39"/>
      <c r="N39"/>
      <c r="O39"/>
      <c r="P39"/>
      <c r="Q39"/>
      <c r="R39"/>
      <c r="S39"/>
      <c r="T39"/>
      <c r="U39"/>
      <c r="V39"/>
    </row>
    <row r="40" spans="2:22" x14ac:dyDescent="0.25">
      <c r="B40" s="53" t="s">
        <v>220</v>
      </c>
      <c r="C40" s="114"/>
      <c r="D40" s="114"/>
      <c r="E40" s="194" t="str">
        <f t="shared" si="8"/>
        <v>-</v>
      </c>
      <c r="F40" s="114"/>
      <c r="G40" s="114"/>
      <c r="H40" s="194" t="str">
        <f t="shared" si="7"/>
        <v>-</v>
      </c>
      <c r="I40" s="114"/>
      <c r="J40" s="114"/>
      <c r="K40" s="194" t="str">
        <f t="shared" si="9"/>
        <v>-</v>
      </c>
      <c r="L40" s="114">
        <v>15</v>
      </c>
      <c r="M40"/>
      <c r="N40"/>
      <c r="O40"/>
      <c r="P40"/>
      <c r="Q40"/>
      <c r="R40"/>
      <c r="S40"/>
      <c r="T40"/>
      <c r="U40"/>
      <c r="V40"/>
    </row>
    <row r="41" spans="2:22" x14ac:dyDescent="0.25">
      <c r="B41" s="53" t="s">
        <v>221</v>
      </c>
      <c r="C41" s="114"/>
      <c r="D41" s="114"/>
      <c r="E41" s="194" t="str">
        <f t="shared" si="8"/>
        <v>-</v>
      </c>
      <c r="F41" s="114"/>
      <c r="G41" s="114"/>
      <c r="H41" s="194" t="str">
        <f t="shared" si="7"/>
        <v>-</v>
      </c>
      <c r="I41" s="114"/>
      <c r="J41" s="114"/>
      <c r="K41" s="194" t="str">
        <f t="shared" si="9"/>
        <v>-</v>
      </c>
      <c r="L41" s="114">
        <v>72</v>
      </c>
      <c r="M41"/>
      <c r="N41"/>
      <c r="O41"/>
      <c r="P41"/>
      <c r="Q41"/>
      <c r="R41"/>
      <c r="S41"/>
      <c r="T41"/>
      <c r="U41"/>
      <c r="V41"/>
    </row>
    <row r="42" spans="2:22" x14ac:dyDescent="0.25">
      <c r="B42" s="53" t="s">
        <v>222</v>
      </c>
      <c r="C42" s="114"/>
      <c r="D42" s="114"/>
      <c r="E42" s="194" t="str">
        <f t="shared" si="8"/>
        <v>-</v>
      </c>
      <c r="F42" s="114"/>
      <c r="G42" s="114"/>
      <c r="H42" s="194" t="str">
        <f t="shared" si="7"/>
        <v>-</v>
      </c>
      <c r="I42" s="114"/>
      <c r="J42" s="114"/>
      <c r="K42" s="194" t="str">
        <f t="shared" si="9"/>
        <v>-</v>
      </c>
      <c r="L42" s="114">
        <v>537</v>
      </c>
      <c r="M42"/>
      <c r="N42"/>
      <c r="O42"/>
      <c r="P42"/>
      <c r="Q42"/>
      <c r="R42"/>
      <c r="S42"/>
      <c r="T42"/>
      <c r="U42"/>
      <c r="V42"/>
    </row>
    <row r="43" spans="2:22" x14ac:dyDescent="0.25">
      <c r="B43" s="53" t="s">
        <v>223</v>
      </c>
      <c r="C43" s="114"/>
      <c r="D43" s="114"/>
      <c r="E43" s="194" t="str">
        <f t="shared" si="8"/>
        <v>-</v>
      </c>
      <c r="F43" s="114"/>
      <c r="G43" s="114"/>
      <c r="H43" s="194" t="str">
        <f t="shared" si="7"/>
        <v>-</v>
      </c>
      <c r="I43" s="114"/>
      <c r="J43" s="114"/>
      <c r="K43" s="194" t="str">
        <f t="shared" si="9"/>
        <v>-</v>
      </c>
      <c r="L43" s="114">
        <v>18</v>
      </c>
      <c r="M43"/>
      <c r="N43"/>
      <c r="O43"/>
      <c r="P43"/>
      <c r="Q43"/>
      <c r="R43"/>
      <c r="S43"/>
      <c r="T43"/>
      <c r="U43"/>
      <c r="V43"/>
    </row>
    <row r="44" spans="2:22" x14ac:dyDescent="0.25">
      <c r="B44" s="53" t="s">
        <v>204</v>
      </c>
      <c r="C44" s="114"/>
      <c r="D44" s="114"/>
      <c r="E44" s="194" t="str">
        <f t="shared" si="8"/>
        <v>-</v>
      </c>
      <c r="F44" s="114"/>
      <c r="G44" s="114"/>
      <c r="H44" s="194" t="str">
        <f t="shared" si="7"/>
        <v>-</v>
      </c>
      <c r="I44" s="114"/>
      <c r="J44" s="114"/>
      <c r="K44" s="194" t="str">
        <f t="shared" si="9"/>
        <v>-</v>
      </c>
      <c r="L44" s="114">
        <v>3944</v>
      </c>
      <c r="M44"/>
      <c r="N44"/>
      <c r="O44"/>
      <c r="P44"/>
      <c r="Q44"/>
      <c r="R44"/>
      <c r="S44"/>
      <c r="T44"/>
      <c r="U44"/>
      <c r="V44"/>
    </row>
    <row r="45" spans="2:22" x14ac:dyDescent="0.25">
      <c r="B45" s="53" t="s">
        <v>224</v>
      </c>
      <c r="C45" s="114"/>
      <c r="D45" s="114"/>
      <c r="E45" s="194" t="str">
        <f t="shared" si="8"/>
        <v>-</v>
      </c>
      <c r="F45" s="114"/>
      <c r="G45" s="114"/>
      <c r="H45" s="194" t="str">
        <f t="shared" si="7"/>
        <v>-</v>
      </c>
      <c r="I45" s="114"/>
      <c r="J45" s="114"/>
      <c r="K45" s="194" t="str">
        <f t="shared" si="9"/>
        <v>-</v>
      </c>
      <c r="L45" s="114">
        <v>57</v>
      </c>
      <c r="M45"/>
      <c r="N45"/>
      <c r="O45"/>
      <c r="P45"/>
      <c r="Q45"/>
      <c r="R45"/>
      <c r="S45"/>
      <c r="T45"/>
      <c r="U45"/>
      <c r="V45"/>
    </row>
    <row r="46" spans="2:22" x14ac:dyDescent="0.25">
      <c r="B46" s="53" t="s">
        <v>225</v>
      </c>
      <c r="C46" s="114"/>
      <c r="D46" s="114"/>
      <c r="E46" s="194" t="str">
        <f t="shared" si="8"/>
        <v>-</v>
      </c>
      <c r="F46" s="114"/>
      <c r="G46" s="114"/>
      <c r="H46" s="194" t="str">
        <f t="shared" si="7"/>
        <v>-</v>
      </c>
      <c r="I46" s="114"/>
      <c r="J46" s="114"/>
      <c r="K46" s="194" t="str">
        <f t="shared" si="9"/>
        <v>-</v>
      </c>
      <c r="L46" s="114">
        <v>616</v>
      </c>
      <c r="M46"/>
      <c r="N46"/>
      <c r="O46"/>
      <c r="P46"/>
      <c r="Q46"/>
      <c r="R46"/>
      <c r="S46"/>
      <c r="T46"/>
      <c r="U46"/>
      <c r="V46"/>
    </row>
    <row r="47" spans="2:22" x14ac:dyDescent="0.25">
      <c r="B47" s="53" t="s">
        <v>245</v>
      </c>
      <c r="C47" s="114"/>
      <c r="D47" s="114"/>
      <c r="E47" s="194"/>
      <c r="F47" s="114"/>
      <c r="G47" s="114"/>
      <c r="H47" s="194"/>
      <c r="I47" s="114"/>
      <c r="J47" s="114"/>
      <c r="K47" s="194"/>
      <c r="L47" s="114">
        <v>2</v>
      </c>
      <c r="M47"/>
      <c r="N47"/>
      <c r="O47"/>
      <c r="P47"/>
      <c r="Q47"/>
      <c r="R47"/>
      <c r="S47"/>
      <c r="T47"/>
      <c r="U47"/>
      <c r="V47"/>
    </row>
    <row r="48" spans="2:22" x14ac:dyDescent="0.25">
      <c r="B48" s="286" t="s">
        <v>211</v>
      </c>
      <c r="C48" s="289">
        <f>SUM(C33:C46)</f>
        <v>0</v>
      </c>
      <c r="D48" s="289">
        <f>SUM(D33:D46)</f>
        <v>0</v>
      </c>
      <c r="E48" s="289" t="str">
        <f>IFERROR(D48/C48,"-")</f>
        <v>-</v>
      </c>
      <c r="F48" s="289">
        <f>SUM(F33:F46)</f>
        <v>0</v>
      </c>
      <c r="G48" s="289">
        <f>SUM(G33:G46)</f>
        <v>0</v>
      </c>
      <c r="H48" s="289" t="str">
        <f t="shared" si="7"/>
        <v>-</v>
      </c>
      <c r="I48" s="289">
        <f>SUM(I33:I46)</f>
        <v>0</v>
      </c>
      <c r="J48" s="289">
        <f>SUM(J33:J46)</f>
        <v>0</v>
      </c>
      <c r="K48" s="289" t="str">
        <f t="shared" si="9"/>
        <v>-</v>
      </c>
      <c r="L48" s="289">
        <f>SUM(L33:L46)</f>
        <v>5785</v>
      </c>
      <c r="M48"/>
      <c r="N48"/>
      <c r="O48"/>
      <c r="P48"/>
      <c r="Q48"/>
      <c r="R48"/>
      <c r="S48"/>
      <c r="T48"/>
      <c r="U48"/>
      <c r="V48"/>
    </row>
    <row r="49" spans="2:22" x14ac:dyDescent="0.25">
      <c r="B49" s="122" t="s">
        <v>243</v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2:22" x14ac:dyDescent="0.25">
      <c r="B50" s="122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2:22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2:22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2:22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2:22" x14ac:dyDescent="0.25">
      <c r="O54"/>
      <c r="P54"/>
      <c r="Q54"/>
      <c r="R54"/>
      <c r="S54"/>
      <c r="T54"/>
      <c r="U54"/>
      <c r="V54"/>
    </row>
    <row r="55" spans="2:22" x14ac:dyDescent="0.25">
      <c r="O55"/>
      <c r="P55"/>
      <c r="Q55"/>
      <c r="R55"/>
      <c r="S55"/>
      <c r="T55"/>
      <c r="U55"/>
      <c r="V55"/>
    </row>
    <row r="56" spans="2:22" x14ac:dyDescent="0.25">
      <c r="O56"/>
      <c r="P56"/>
      <c r="Q56"/>
      <c r="R56"/>
      <c r="S56"/>
      <c r="T56"/>
      <c r="U56"/>
      <c r="V56"/>
    </row>
    <row r="57" spans="2:22" x14ac:dyDescent="0.25">
      <c r="O57"/>
      <c r="P57"/>
      <c r="Q57"/>
      <c r="R57"/>
      <c r="S57"/>
      <c r="T57"/>
      <c r="U57"/>
      <c r="V57"/>
    </row>
    <row r="58" spans="2:22" x14ac:dyDescent="0.25">
      <c r="O58"/>
      <c r="P58"/>
      <c r="Q58"/>
      <c r="R58"/>
      <c r="S58"/>
      <c r="T58"/>
      <c r="U58"/>
      <c r="V58"/>
    </row>
    <row r="59" spans="2:22" x14ac:dyDescent="0.25">
      <c r="O59"/>
      <c r="P59"/>
      <c r="Q59"/>
      <c r="R59"/>
      <c r="S59"/>
      <c r="T59"/>
      <c r="U59"/>
      <c r="V59"/>
    </row>
    <row r="63" spans="2:22" ht="15.75" x14ac:dyDescent="0.25">
      <c r="B63" s="354" t="s">
        <v>226</v>
      </c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4"/>
    </row>
    <row r="64" spans="2:22" x14ac:dyDescent="0.25">
      <c r="B64" s="149" t="s">
        <v>14</v>
      </c>
      <c r="C64" s="149" t="s">
        <v>13</v>
      </c>
      <c r="D64" s="149"/>
      <c r="E64" s="149"/>
      <c r="F64" s="149" t="s">
        <v>12</v>
      </c>
      <c r="G64" s="149"/>
      <c r="H64" s="149"/>
      <c r="I64" s="149" t="s">
        <v>11</v>
      </c>
      <c r="J64" s="149"/>
      <c r="K64" s="149"/>
      <c r="L64" s="149"/>
      <c r="M64" s="149"/>
      <c r="N64"/>
    </row>
    <row r="65" spans="2:13" x14ac:dyDescent="0.25">
      <c r="B65" s="54" t="s">
        <v>194</v>
      </c>
      <c r="C65" s="54" t="s">
        <v>195</v>
      </c>
      <c r="D65" s="54" t="s">
        <v>196</v>
      </c>
      <c r="E65" s="54" t="s">
        <v>52</v>
      </c>
      <c r="F65" s="54" t="s">
        <v>195</v>
      </c>
      <c r="G65" s="54" t="s">
        <v>196</v>
      </c>
      <c r="H65" s="54" t="s">
        <v>197</v>
      </c>
      <c r="I65" s="54" t="s">
        <v>195</v>
      </c>
      <c r="J65" s="54" t="s">
        <v>196</v>
      </c>
      <c r="K65" s="54" t="s">
        <v>197</v>
      </c>
      <c r="L65" s="54" t="s">
        <v>195</v>
      </c>
      <c r="M65" s="54" t="s">
        <v>227</v>
      </c>
    </row>
    <row r="66" spans="2:13" x14ac:dyDescent="0.25">
      <c r="B66" s="53" t="s">
        <v>228</v>
      </c>
      <c r="C66" s="114">
        <v>8</v>
      </c>
      <c r="D66" s="114">
        <v>12</v>
      </c>
      <c r="E66" s="194">
        <f>IFERROR(D66/C66,"-")</f>
        <v>1.5</v>
      </c>
      <c r="F66" s="114">
        <v>5</v>
      </c>
      <c r="G66" s="114">
        <v>5</v>
      </c>
      <c r="H66" s="194">
        <f t="shared" ref="H66:H70" si="10">IFERROR(G66/F66,"-")</f>
        <v>1</v>
      </c>
      <c r="I66" s="114">
        <v>7</v>
      </c>
      <c r="J66" s="114">
        <v>6</v>
      </c>
      <c r="K66" s="194">
        <f t="shared" ref="K66:K70" si="11">IFERROR(J66/I66,"-")</f>
        <v>0.8571428571428571</v>
      </c>
      <c r="L66" s="114">
        <f>IFERROR(C66+F66+I66,"_")</f>
        <v>20</v>
      </c>
      <c r="M66" s="114">
        <f>IFERROR(D66+G66+J66,"_")</f>
        <v>23</v>
      </c>
    </row>
    <row r="67" spans="2:13" x14ac:dyDescent="0.25">
      <c r="B67" s="53" t="s">
        <v>229</v>
      </c>
      <c r="C67" s="114">
        <v>5</v>
      </c>
      <c r="D67" s="114">
        <v>3</v>
      </c>
      <c r="E67" s="194">
        <f t="shared" ref="E67:E69" si="12">IFERROR(D67/C67,"-")</f>
        <v>0.6</v>
      </c>
      <c r="F67" s="114">
        <v>8</v>
      </c>
      <c r="G67" s="114">
        <v>5</v>
      </c>
      <c r="H67" s="194">
        <f t="shared" si="10"/>
        <v>0.625</v>
      </c>
      <c r="I67" s="114">
        <v>6</v>
      </c>
      <c r="J67" s="114">
        <v>3</v>
      </c>
      <c r="K67" s="194">
        <f t="shared" si="11"/>
        <v>0.5</v>
      </c>
      <c r="L67" s="114">
        <f t="shared" ref="L67:L69" si="13">IFERROR(C67+F67+I67,"_")</f>
        <v>19</v>
      </c>
      <c r="M67" s="114">
        <f t="shared" ref="M67:M69" si="14">IFERROR(D67+G67+J67,"_")</f>
        <v>11</v>
      </c>
    </row>
    <row r="68" spans="2:13" x14ac:dyDescent="0.25">
      <c r="B68" s="53" t="s">
        <v>230</v>
      </c>
      <c r="C68" s="114">
        <v>3</v>
      </c>
      <c r="D68" s="114">
        <v>1</v>
      </c>
      <c r="E68" s="194">
        <f t="shared" si="12"/>
        <v>0.33333333333333331</v>
      </c>
      <c r="F68" s="114">
        <v>4</v>
      </c>
      <c r="G68" s="114">
        <v>1</v>
      </c>
      <c r="H68" s="194">
        <f t="shared" si="10"/>
        <v>0.25</v>
      </c>
      <c r="I68" s="114">
        <v>1</v>
      </c>
      <c r="J68" s="114">
        <v>1</v>
      </c>
      <c r="K68" s="194">
        <f t="shared" si="11"/>
        <v>1</v>
      </c>
      <c r="L68" s="114">
        <f t="shared" si="13"/>
        <v>8</v>
      </c>
      <c r="M68" s="114">
        <f t="shared" si="14"/>
        <v>3</v>
      </c>
    </row>
    <row r="69" spans="2:13" x14ac:dyDescent="0.25">
      <c r="B69" s="53" t="s">
        <v>231</v>
      </c>
      <c r="C69" s="114">
        <v>0</v>
      </c>
      <c r="D69" s="114">
        <v>0</v>
      </c>
      <c r="E69" s="194" t="str">
        <f t="shared" si="12"/>
        <v>-</v>
      </c>
      <c r="F69" s="114">
        <v>0</v>
      </c>
      <c r="G69" s="114">
        <v>0</v>
      </c>
      <c r="H69" s="194" t="str">
        <f t="shared" si="10"/>
        <v>-</v>
      </c>
      <c r="I69" s="114">
        <v>0</v>
      </c>
      <c r="J69" s="114">
        <v>0</v>
      </c>
      <c r="K69" s="194" t="str">
        <f t="shared" si="11"/>
        <v>-</v>
      </c>
      <c r="L69" s="114">
        <f t="shared" si="13"/>
        <v>0</v>
      </c>
      <c r="M69" s="114">
        <f t="shared" si="14"/>
        <v>0</v>
      </c>
    </row>
    <row r="70" spans="2:13" x14ac:dyDescent="0.25">
      <c r="B70" s="286" t="s">
        <v>211</v>
      </c>
      <c r="C70" s="289">
        <f>SUM(C60:C62)</f>
        <v>0</v>
      </c>
      <c r="D70" s="289">
        <f>SUM(D60:D62)</f>
        <v>0</v>
      </c>
      <c r="E70" s="289" t="str">
        <f>IFERROR(D70/C70,"-")</f>
        <v>-</v>
      </c>
      <c r="F70" s="289">
        <f>SUM(F60:F62)</f>
        <v>0</v>
      </c>
      <c r="G70" s="289">
        <f>SUM(G60:G62)</f>
        <v>0</v>
      </c>
      <c r="H70" s="289" t="str">
        <f t="shared" si="10"/>
        <v>-</v>
      </c>
      <c r="I70" s="289">
        <f>SUM(I60:I62)</f>
        <v>0</v>
      </c>
      <c r="J70" s="289">
        <f>SUM(J60:J62)</f>
        <v>0</v>
      </c>
      <c r="K70" s="289" t="str">
        <f t="shared" si="11"/>
        <v>-</v>
      </c>
      <c r="L70" s="289">
        <f>SUM(L66:L69)</f>
        <v>47</v>
      </c>
      <c r="M70" s="289">
        <f>SUM(M66:M69)</f>
        <v>37</v>
      </c>
    </row>
    <row r="71" spans="2:13" x14ac:dyDescent="0.25">
      <c r="B71" s="253" t="s">
        <v>232</v>
      </c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</row>
  </sheetData>
  <mergeCells count="15">
    <mergeCell ref="L9:N9"/>
    <mergeCell ref="B30:L30"/>
    <mergeCell ref="B63:M63"/>
    <mergeCell ref="B5:N5"/>
    <mergeCell ref="B1:N1"/>
    <mergeCell ref="B2:N2"/>
    <mergeCell ref="B3:N3"/>
    <mergeCell ref="C9:E9"/>
    <mergeCell ref="B4:N4"/>
    <mergeCell ref="B8:N8"/>
    <mergeCell ref="C31:E31"/>
    <mergeCell ref="F9:H9"/>
    <mergeCell ref="F31:H31"/>
    <mergeCell ref="I9:K9"/>
    <mergeCell ref="I31:K31"/>
  </mergeCells>
  <pageMargins left="0.7" right="0.7" top="0.75" bottom="0.75" header="0.3" footer="0.3"/>
  <pageSetup paperSize="9" scale="41" orientation="portrait" r:id="rId1"/>
  <colBreaks count="1" manualBreakCount="1">
    <brk id="23" max="1048575" man="1"/>
  </colBreaks>
  <ignoredErrors>
    <ignoredError sqref="N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P82"/>
  <sheetViews>
    <sheetView showGridLines="0" zoomScaleNormal="100" zoomScaleSheetLayoutView="100" workbookViewId="0">
      <selection activeCell="L7" sqref="L7"/>
    </sheetView>
  </sheetViews>
  <sheetFormatPr baseColWidth="10" defaultColWidth="11.42578125" defaultRowHeight="15" x14ac:dyDescent="0.25"/>
  <cols>
    <col min="1" max="1" width="12.140625" style="1" customWidth="1"/>
    <col min="2" max="2" width="11.42578125" style="1"/>
    <col min="3" max="3" width="13.140625" style="1" bestFit="1" customWidth="1"/>
    <col min="4" max="4" width="12.140625" style="1" customWidth="1"/>
    <col min="5" max="5" width="13.42578125" style="1" customWidth="1"/>
    <col min="6" max="6" width="14.140625" style="1" customWidth="1"/>
    <col min="7" max="7" width="13.140625" style="1" customWidth="1"/>
    <col min="8" max="16384" width="11.42578125" style="1"/>
  </cols>
  <sheetData>
    <row r="1" spans="1:16" x14ac:dyDescent="0.25">
      <c r="A1" s="308" t="s">
        <v>0</v>
      </c>
      <c r="B1" s="308"/>
      <c r="C1" s="308"/>
      <c r="D1" s="308"/>
      <c r="E1" s="308"/>
      <c r="F1" s="308"/>
      <c r="G1" s="308"/>
    </row>
    <row r="2" spans="1:16" x14ac:dyDescent="0.25">
      <c r="A2" s="308" t="s">
        <v>25</v>
      </c>
      <c r="B2" s="308"/>
      <c r="C2" s="308"/>
      <c r="D2" s="308"/>
      <c r="E2" s="308"/>
      <c r="F2" s="308"/>
      <c r="G2" s="308"/>
    </row>
    <row r="3" spans="1:16" x14ac:dyDescent="0.25">
      <c r="A3" s="308" t="s">
        <v>26</v>
      </c>
      <c r="B3" s="308"/>
      <c r="C3" s="308"/>
      <c r="D3" s="308"/>
      <c r="E3" s="308"/>
      <c r="F3" s="308"/>
      <c r="G3" s="308"/>
    </row>
    <row r="4" spans="1:16" x14ac:dyDescent="0.25">
      <c r="A4" s="308" t="s">
        <v>238</v>
      </c>
      <c r="B4" s="308"/>
      <c r="C4" s="308"/>
      <c r="D4" s="308"/>
      <c r="E4" s="308"/>
      <c r="F4" s="308"/>
      <c r="G4" s="308"/>
    </row>
    <row r="5" spans="1:16" x14ac:dyDescent="0.25">
      <c r="A5" s="308" t="s">
        <v>233</v>
      </c>
      <c r="B5" s="308"/>
      <c r="C5" s="308"/>
      <c r="D5" s="308"/>
      <c r="E5" s="308"/>
      <c r="F5" s="308"/>
      <c r="G5" s="308"/>
      <c r="P5" s="18"/>
    </row>
    <row r="6" spans="1:16" ht="40.5" customHeight="1" x14ac:dyDescent="0.25">
      <c r="A6" s="43" t="s">
        <v>3</v>
      </c>
      <c r="B6" s="45" t="s">
        <v>27</v>
      </c>
      <c r="C6" s="45" t="s">
        <v>28</v>
      </c>
      <c r="D6" s="45" t="s">
        <v>29</v>
      </c>
      <c r="E6" s="45" t="s">
        <v>30</v>
      </c>
      <c r="F6" s="45" t="s">
        <v>31</v>
      </c>
      <c r="G6" s="45" t="s">
        <v>32</v>
      </c>
      <c r="H6"/>
      <c r="I6"/>
      <c r="J6"/>
      <c r="K6"/>
      <c r="L6"/>
      <c r="M6"/>
      <c r="N6"/>
      <c r="O6"/>
    </row>
    <row r="7" spans="1:16" x14ac:dyDescent="0.25">
      <c r="A7" s="181" t="s">
        <v>11</v>
      </c>
      <c r="B7" s="120">
        <v>93004</v>
      </c>
      <c r="C7" s="120">
        <v>26188</v>
      </c>
      <c r="D7" s="254">
        <f>+C7/B7</f>
        <v>0.28157928691239087</v>
      </c>
      <c r="E7" s="120">
        <v>66816</v>
      </c>
      <c r="F7" s="254">
        <f t="shared" ref="F7:F23" si="0">+E7/B7</f>
        <v>0.71842071308760913</v>
      </c>
      <c r="G7" s="120">
        <v>59837</v>
      </c>
      <c r="H7"/>
      <c r="I7"/>
      <c r="J7"/>
      <c r="K7" s="74"/>
      <c r="L7" s="74"/>
      <c r="M7"/>
      <c r="N7"/>
      <c r="O7"/>
    </row>
    <row r="8" spans="1:16" x14ac:dyDescent="0.25">
      <c r="A8" s="181" t="s">
        <v>239</v>
      </c>
      <c r="B8" s="120">
        <v>92035</v>
      </c>
      <c r="C8" s="120">
        <v>25424</v>
      </c>
      <c r="D8" s="254">
        <f t="shared" ref="D8:D23" si="1">+C8/B8</f>
        <v>0.27624273374259795</v>
      </c>
      <c r="E8" s="120">
        <v>66611</v>
      </c>
      <c r="F8" s="254">
        <f t="shared" si="0"/>
        <v>0.72375726625740211</v>
      </c>
      <c r="G8" s="120">
        <v>59627</v>
      </c>
      <c r="H8"/>
      <c r="I8"/>
      <c r="J8"/>
      <c r="K8"/>
      <c r="L8" s="74"/>
      <c r="M8"/>
      <c r="N8"/>
      <c r="O8"/>
    </row>
    <row r="9" spans="1:16" x14ac:dyDescent="0.25">
      <c r="A9" s="179" t="s">
        <v>13</v>
      </c>
      <c r="B9" s="120">
        <v>92497</v>
      </c>
      <c r="C9" s="120">
        <v>26607</v>
      </c>
      <c r="D9" s="254">
        <f t="shared" si="1"/>
        <v>0.2876525725158654</v>
      </c>
      <c r="E9" s="120">
        <v>65890</v>
      </c>
      <c r="F9" s="254">
        <f t="shared" si="0"/>
        <v>0.7123474274841346</v>
      </c>
      <c r="G9" s="120">
        <v>58655</v>
      </c>
      <c r="H9"/>
      <c r="I9"/>
      <c r="J9"/>
      <c r="K9" t="s">
        <v>253</v>
      </c>
      <c r="L9"/>
      <c r="M9"/>
      <c r="N9"/>
      <c r="O9"/>
    </row>
    <row r="10" spans="1:16" ht="24" customHeight="1" x14ac:dyDescent="0.25">
      <c r="A10" s="184" t="s">
        <v>240</v>
      </c>
      <c r="B10" s="188">
        <f>+AVERAGE(B7:B9)</f>
        <v>92512</v>
      </c>
      <c r="C10" s="188">
        <f>+AVERAGE(C7:C9)</f>
        <v>26073</v>
      </c>
      <c r="D10" s="255">
        <f t="shared" si="1"/>
        <v>0.28183370805949498</v>
      </c>
      <c r="E10" s="188">
        <f>+AVERAGE(E7:E9)</f>
        <v>66439</v>
      </c>
      <c r="F10" s="255">
        <f t="shared" si="0"/>
        <v>0.71816629194050496</v>
      </c>
      <c r="G10" s="8">
        <f>AVERAGE(G7:G9)</f>
        <v>59373</v>
      </c>
      <c r="H10"/>
      <c r="I10"/>
      <c r="J10"/>
      <c r="K10"/>
      <c r="L10" s="180"/>
      <c r="M10"/>
      <c r="N10"/>
      <c r="O10"/>
    </row>
    <row r="11" spans="1:16" hidden="1" x14ac:dyDescent="0.25">
      <c r="A11" s="179" t="s">
        <v>15</v>
      </c>
      <c r="B11" s="120"/>
      <c r="C11" s="120"/>
      <c r="D11" s="178" t="e">
        <f t="shared" si="1"/>
        <v>#DIV/0!</v>
      </c>
      <c r="E11" s="120"/>
      <c r="F11" s="178" t="e">
        <f t="shared" si="0"/>
        <v>#DIV/0!</v>
      </c>
      <c r="G11" s="178"/>
      <c r="H11"/>
      <c r="I11"/>
      <c r="J11"/>
      <c r="K11" s="74"/>
      <c r="L11" s="74"/>
      <c r="M11"/>
      <c r="N11"/>
      <c r="O11"/>
    </row>
    <row r="12" spans="1:16" hidden="1" x14ac:dyDescent="0.25">
      <c r="A12" s="181" t="s">
        <v>16</v>
      </c>
      <c r="B12" s="120"/>
      <c r="C12" s="120"/>
      <c r="D12" s="178" t="e">
        <f t="shared" si="1"/>
        <v>#DIV/0!</v>
      </c>
      <c r="E12" s="120"/>
      <c r="F12" s="178" t="e">
        <f t="shared" si="0"/>
        <v>#DIV/0!</v>
      </c>
      <c r="G12" s="178"/>
      <c r="H12"/>
      <c r="I12"/>
      <c r="J12"/>
      <c r="K12"/>
      <c r="L12" s="74"/>
      <c r="M12"/>
      <c r="N12"/>
      <c r="O12"/>
    </row>
    <row r="13" spans="1:16" hidden="1" x14ac:dyDescent="0.25">
      <c r="A13" s="181" t="s">
        <v>17</v>
      </c>
      <c r="B13" s="120"/>
      <c r="C13" s="120"/>
      <c r="D13" s="178" t="e">
        <f t="shared" si="1"/>
        <v>#DIV/0!</v>
      </c>
      <c r="E13" s="120"/>
      <c r="F13" s="178" t="e">
        <f t="shared" si="0"/>
        <v>#DIV/0!</v>
      </c>
      <c r="G13" s="178"/>
      <c r="H13"/>
      <c r="I13"/>
      <c r="J13"/>
      <c r="K13"/>
      <c r="L13"/>
      <c r="M13"/>
      <c r="N13"/>
      <c r="O13"/>
    </row>
    <row r="14" spans="1:16" ht="24" hidden="1" customHeight="1" x14ac:dyDescent="0.25">
      <c r="A14" s="121" t="s">
        <v>33</v>
      </c>
      <c r="B14" s="8" t="e">
        <f>+AVERAGE(B11:B13)</f>
        <v>#DIV/0!</v>
      </c>
      <c r="C14" s="8" t="e">
        <f>+AVERAGE(C11:C13)</f>
        <v>#DIV/0!</v>
      </c>
      <c r="D14" s="16" t="e">
        <f t="shared" si="1"/>
        <v>#DIV/0!</v>
      </c>
      <c r="E14" s="8" t="e">
        <f>+AVERAGE(E11:E13)</f>
        <v>#DIV/0!</v>
      </c>
      <c r="F14" s="16" t="e">
        <f t="shared" si="0"/>
        <v>#DIV/0!</v>
      </c>
      <c r="G14" s="16"/>
      <c r="H14"/>
      <c r="I14"/>
      <c r="J14"/>
      <c r="K14"/>
      <c r="L14" s="180"/>
      <c r="M14"/>
      <c r="N14"/>
      <c r="O14"/>
    </row>
    <row r="15" spans="1:16" hidden="1" x14ac:dyDescent="0.25">
      <c r="A15" s="179" t="s">
        <v>34</v>
      </c>
      <c r="B15" s="120"/>
      <c r="C15" s="120"/>
      <c r="D15" s="178" t="e">
        <f t="shared" si="1"/>
        <v>#DIV/0!</v>
      </c>
      <c r="E15" s="120"/>
      <c r="F15" s="178" t="e">
        <f t="shared" si="0"/>
        <v>#DIV/0!</v>
      </c>
      <c r="G15" s="178"/>
      <c r="H15"/>
      <c r="I15"/>
      <c r="J15"/>
      <c r="K15" s="74"/>
      <c r="L15" s="74"/>
      <c r="M15"/>
      <c r="N15"/>
      <c r="O15"/>
    </row>
    <row r="16" spans="1:16" hidden="1" x14ac:dyDescent="0.25">
      <c r="A16" s="181" t="s">
        <v>20</v>
      </c>
      <c r="B16" s="120"/>
      <c r="C16" s="120"/>
      <c r="D16" s="178" t="e">
        <f t="shared" si="1"/>
        <v>#DIV/0!</v>
      </c>
      <c r="E16" s="120"/>
      <c r="F16" s="178" t="e">
        <f t="shared" si="0"/>
        <v>#DIV/0!</v>
      </c>
      <c r="G16" s="178"/>
      <c r="H16"/>
      <c r="I16"/>
      <c r="J16"/>
      <c r="K16"/>
      <c r="L16" s="74"/>
      <c r="M16"/>
      <c r="N16"/>
      <c r="O16"/>
    </row>
    <row r="17" spans="1:15" hidden="1" x14ac:dyDescent="0.25">
      <c r="A17" s="181" t="s">
        <v>21</v>
      </c>
      <c r="B17" s="120"/>
      <c r="C17" s="120"/>
      <c r="D17" s="178" t="e">
        <f t="shared" si="1"/>
        <v>#DIV/0!</v>
      </c>
      <c r="E17" s="120"/>
      <c r="F17" s="178" t="e">
        <f t="shared" si="0"/>
        <v>#DIV/0!</v>
      </c>
      <c r="G17" s="178"/>
      <c r="H17"/>
      <c r="I17"/>
      <c r="J17"/>
      <c r="K17"/>
      <c r="L17"/>
      <c r="M17"/>
      <c r="N17"/>
      <c r="O17"/>
    </row>
    <row r="18" spans="1:15" ht="24" hidden="1" customHeight="1" x14ac:dyDescent="0.25">
      <c r="A18" s="121" t="s">
        <v>35</v>
      </c>
      <c r="B18" s="8" t="e">
        <f>+AVERAGE(B15:B17)</f>
        <v>#DIV/0!</v>
      </c>
      <c r="C18" s="8" t="e">
        <f>+AVERAGE(C15:C17)</f>
        <v>#DIV/0!</v>
      </c>
      <c r="D18" s="16" t="e">
        <f t="shared" si="1"/>
        <v>#DIV/0!</v>
      </c>
      <c r="E18" s="8" t="e">
        <f>+AVERAGE(E15:E17)</f>
        <v>#DIV/0!</v>
      </c>
      <c r="F18" s="16" t="e">
        <f t="shared" si="0"/>
        <v>#DIV/0!</v>
      </c>
      <c r="G18" s="16"/>
      <c r="H18"/>
      <c r="I18"/>
      <c r="J18"/>
      <c r="K18"/>
      <c r="L18" s="180"/>
      <c r="M18"/>
      <c r="N18"/>
      <c r="O18"/>
    </row>
    <row r="19" spans="1:15" hidden="1" x14ac:dyDescent="0.25">
      <c r="A19" s="179" t="s">
        <v>13</v>
      </c>
      <c r="B19" s="120"/>
      <c r="C19" s="120"/>
      <c r="D19" s="178" t="e">
        <f t="shared" si="1"/>
        <v>#DIV/0!</v>
      </c>
      <c r="E19" s="120"/>
      <c r="F19" s="178" t="e">
        <f t="shared" si="0"/>
        <v>#DIV/0!</v>
      </c>
      <c r="G19" s="178"/>
      <c r="H19"/>
      <c r="I19"/>
      <c r="J19"/>
      <c r="K19" s="74"/>
      <c r="L19" s="74"/>
      <c r="M19"/>
      <c r="N19"/>
      <c r="O19"/>
    </row>
    <row r="20" spans="1:15" hidden="1" x14ac:dyDescent="0.25">
      <c r="A20" s="181" t="s">
        <v>12</v>
      </c>
      <c r="B20" s="120"/>
      <c r="C20" s="120"/>
      <c r="D20" s="178" t="e">
        <f t="shared" si="1"/>
        <v>#DIV/0!</v>
      </c>
      <c r="E20" s="120"/>
      <c r="F20" s="178" t="e">
        <f t="shared" si="0"/>
        <v>#DIV/0!</v>
      </c>
      <c r="G20" s="178"/>
      <c r="H20"/>
      <c r="I20"/>
      <c r="J20"/>
      <c r="K20"/>
      <c r="L20" s="74"/>
      <c r="M20"/>
      <c r="N20"/>
      <c r="O20"/>
    </row>
    <row r="21" spans="1:15" hidden="1" x14ac:dyDescent="0.25">
      <c r="A21" s="181" t="s">
        <v>11</v>
      </c>
      <c r="B21" s="120"/>
      <c r="C21" s="120"/>
      <c r="D21" s="178" t="e">
        <f t="shared" si="1"/>
        <v>#DIV/0!</v>
      </c>
      <c r="E21" s="120"/>
      <c r="F21" s="178" t="e">
        <f t="shared" si="0"/>
        <v>#DIV/0!</v>
      </c>
      <c r="G21" s="178"/>
      <c r="H21"/>
      <c r="I21"/>
      <c r="J21"/>
      <c r="K21"/>
      <c r="L21"/>
      <c r="M21"/>
      <c r="N21"/>
      <c r="O21"/>
    </row>
    <row r="22" spans="1:15" ht="24" hidden="1" customHeight="1" x14ac:dyDescent="0.25">
      <c r="A22" s="121" t="s">
        <v>36</v>
      </c>
      <c r="B22" s="8" t="e">
        <f>+AVERAGE(B19:B21)</f>
        <v>#DIV/0!</v>
      </c>
      <c r="C22" s="8" t="e">
        <f>+AVERAGE(C19:C21)</f>
        <v>#DIV/0!</v>
      </c>
      <c r="D22" s="16" t="e">
        <f t="shared" si="1"/>
        <v>#DIV/0!</v>
      </c>
      <c r="E22" s="8" t="e">
        <f>+AVERAGE(E19:E21)</f>
        <v>#DIV/0!</v>
      </c>
      <c r="F22" s="16" t="e">
        <f t="shared" si="0"/>
        <v>#DIV/0!</v>
      </c>
      <c r="G22" s="16"/>
      <c r="H22"/>
      <c r="I22"/>
      <c r="J22"/>
      <c r="K22"/>
      <c r="L22" s="180"/>
      <c r="M22"/>
      <c r="N22"/>
      <c r="O22"/>
    </row>
    <row r="23" spans="1:15" hidden="1" x14ac:dyDescent="0.25">
      <c r="A23" s="28" t="s">
        <v>23</v>
      </c>
      <c r="B23" s="10" t="e">
        <f>+AVERAGE(B10,B14,B18,B22)</f>
        <v>#DIV/0!</v>
      </c>
      <c r="C23" s="10" t="e">
        <f>+AVERAGE(C10,C14,C18,C22)</f>
        <v>#DIV/0!</v>
      </c>
      <c r="D23" s="17" t="e">
        <f t="shared" si="1"/>
        <v>#DIV/0!</v>
      </c>
      <c r="E23" s="10" t="e">
        <f>+AVERAGE(E10,E14,E18,E22,)</f>
        <v>#DIV/0!</v>
      </c>
      <c r="F23" s="17" t="e">
        <f t="shared" si="0"/>
        <v>#DIV/0!</v>
      </c>
      <c r="G23" s="17"/>
      <c r="H23"/>
      <c r="I23"/>
      <c r="J23"/>
      <c r="K23"/>
      <c r="L23" s="180"/>
      <c r="M23"/>
      <c r="N23"/>
      <c r="O23"/>
    </row>
    <row r="24" spans="1:15" ht="11.25" customHeight="1" x14ac:dyDescent="0.25">
      <c r="A24" s="187" t="s">
        <v>241</v>
      </c>
      <c r="B24" s="173"/>
      <c r="C24"/>
      <c r="D24" s="180"/>
      <c r="E24"/>
      <c r="F24" s="180"/>
      <c r="G24" s="180"/>
      <c r="H24"/>
      <c r="I24"/>
      <c r="J24"/>
      <c r="K24"/>
      <c r="L24" s="180"/>
      <c r="M24"/>
      <c r="N24"/>
      <c r="O24"/>
    </row>
    <row r="25" spans="1:15" x14ac:dyDescent="0.25">
      <c r="A25" s="187" t="s">
        <v>37</v>
      </c>
      <c r="B25" s="120"/>
      <c r="C25" s="120"/>
      <c r="D25" s="178"/>
      <c r="E25" s="120"/>
      <c r="F25" s="178"/>
      <c r="G25" s="178"/>
      <c r="H25"/>
      <c r="I25"/>
      <c r="J25"/>
      <c r="K25"/>
      <c r="L25" s="180"/>
      <c r="M25"/>
      <c r="N25"/>
      <c r="O25"/>
    </row>
    <row r="26" spans="1:15" x14ac:dyDescent="0.25">
      <c r="A26" s="179"/>
      <c r="B26" s="120"/>
      <c r="C26" s="120"/>
      <c r="D26" s="178"/>
      <c r="E26" s="120"/>
      <c r="F26" s="178"/>
      <c r="G26" s="178"/>
      <c r="H26"/>
      <c r="I26"/>
      <c r="J26"/>
      <c r="K26"/>
      <c r="L26"/>
      <c r="M26"/>
      <c r="N26"/>
      <c r="O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38</v>
      </c>
      <c r="O42"/>
    </row>
    <row r="43" spans="1: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57" spans="2:3" x14ac:dyDescent="0.25">
      <c r="B57"/>
      <c r="C57" s="183"/>
    </row>
    <row r="58" spans="2:3" x14ac:dyDescent="0.25">
      <c r="B58"/>
      <c r="C58" s="18"/>
    </row>
    <row r="73" spans="5:9" x14ac:dyDescent="0.25">
      <c r="E73"/>
      <c r="F73"/>
      <c r="G73"/>
      <c r="H73"/>
      <c r="I73"/>
    </row>
    <row r="74" spans="5:9" x14ac:dyDescent="0.25">
      <c r="E74"/>
      <c r="F74"/>
      <c r="G74"/>
      <c r="H74"/>
      <c r="I74"/>
    </row>
    <row r="75" spans="5:9" x14ac:dyDescent="0.25">
      <c r="E75"/>
      <c r="F75"/>
      <c r="G75"/>
      <c r="H75"/>
      <c r="I75"/>
    </row>
    <row r="76" spans="5:9" x14ac:dyDescent="0.25">
      <c r="E76"/>
      <c r="F76"/>
      <c r="G76"/>
      <c r="H76"/>
      <c r="I76"/>
    </row>
    <row r="77" spans="5:9" x14ac:dyDescent="0.25">
      <c r="E77"/>
      <c r="F77"/>
      <c r="G77"/>
      <c r="H77"/>
      <c r="I77"/>
    </row>
    <row r="78" spans="5:9" x14ac:dyDescent="0.25">
      <c r="E78"/>
      <c r="F78"/>
      <c r="G78"/>
      <c r="H78"/>
      <c r="I78"/>
    </row>
    <row r="79" spans="5:9" x14ac:dyDescent="0.25">
      <c r="E79"/>
      <c r="F79"/>
      <c r="G79"/>
      <c r="H79"/>
      <c r="I79"/>
    </row>
    <row r="80" spans="5:9" x14ac:dyDescent="0.25">
      <c r="E80"/>
      <c r="F80"/>
      <c r="G80"/>
      <c r="H80"/>
      <c r="I80"/>
    </row>
    <row r="81" spans="5:9" x14ac:dyDescent="0.25">
      <c r="E81"/>
      <c r="F81"/>
      <c r="G81"/>
      <c r="H81"/>
      <c r="I81"/>
    </row>
    <row r="82" spans="5:9" x14ac:dyDescent="0.25">
      <c r="E82"/>
      <c r="F82"/>
      <c r="G82"/>
      <c r="H82"/>
      <c r="I82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52" orientation="portrait" r:id="rId1"/>
  <ignoredErrors>
    <ignoredError sqref="D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45"/>
  <sheetViews>
    <sheetView showGridLines="0" zoomScale="115" zoomScaleNormal="115" workbookViewId="0">
      <selection activeCell="P30" sqref="P30"/>
    </sheetView>
  </sheetViews>
  <sheetFormatPr baseColWidth="10" defaultColWidth="11.42578125" defaultRowHeight="15" x14ac:dyDescent="0.25"/>
  <cols>
    <col min="1" max="1" width="12.42578125" style="1" customWidth="1"/>
    <col min="2" max="2" width="14.42578125" style="1" customWidth="1"/>
    <col min="3" max="11" width="11.42578125" style="1"/>
    <col min="12" max="12" width="0" style="1" hidden="1" customWidth="1"/>
    <col min="13" max="13" width="12.7109375" style="1" hidden="1" customWidth="1"/>
    <col min="14" max="15" width="0" style="1" hidden="1" customWidth="1"/>
    <col min="16" max="16384" width="11.42578125" style="1"/>
  </cols>
  <sheetData>
    <row r="1" spans="1:16" x14ac:dyDescent="0.25">
      <c r="A1" s="308" t="s">
        <v>0</v>
      </c>
      <c r="B1" s="308"/>
      <c r="C1" s="308"/>
      <c r="D1" s="308"/>
      <c r="E1" s="308"/>
      <c r="F1" s="308"/>
    </row>
    <row r="2" spans="1:16" x14ac:dyDescent="0.25">
      <c r="A2" s="308" t="s">
        <v>25</v>
      </c>
      <c r="B2" s="308"/>
      <c r="C2" s="308"/>
      <c r="D2" s="308"/>
      <c r="E2" s="308"/>
      <c r="F2" s="308"/>
    </row>
    <row r="3" spans="1:16" x14ac:dyDescent="0.25">
      <c r="A3" s="308" t="s">
        <v>39</v>
      </c>
      <c r="B3" s="308"/>
      <c r="C3" s="308"/>
      <c r="D3" s="308"/>
      <c r="E3" s="308"/>
      <c r="F3" s="308"/>
    </row>
    <row r="4" spans="1:16" x14ac:dyDescent="0.25">
      <c r="A4" s="308" t="s">
        <v>238</v>
      </c>
      <c r="B4" s="308"/>
      <c r="C4" s="308"/>
      <c r="D4" s="308"/>
      <c r="E4" s="308"/>
      <c r="F4" s="308"/>
      <c r="P4" s="1" t="s">
        <v>253</v>
      </c>
    </row>
    <row r="5" spans="1:16" x14ac:dyDescent="0.25">
      <c r="A5" s="308" t="s">
        <v>233</v>
      </c>
      <c r="B5" s="308"/>
      <c r="C5" s="308"/>
      <c r="D5" s="308"/>
      <c r="E5" s="308"/>
      <c r="F5" s="308"/>
    </row>
    <row r="6" spans="1:16" ht="30.75" customHeight="1" x14ac:dyDescent="0.25">
      <c r="A6" s="309" t="s">
        <v>40</v>
      </c>
      <c r="B6" s="309"/>
      <c r="C6" s="309"/>
      <c r="D6" s="309"/>
      <c r="E6" s="309"/>
      <c r="F6" s="309"/>
      <c r="G6"/>
      <c r="H6"/>
      <c r="I6"/>
      <c r="J6"/>
      <c r="K6"/>
    </row>
    <row r="7" spans="1:16" ht="15" customHeight="1" x14ac:dyDescent="0.25">
      <c r="A7" s="123"/>
      <c r="B7" s="124" t="s">
        <v>41</v>
      </c>
      <c r="C7" s="124" t="s">
        <v>42</v>
      </c>
      <c r="D7" s="124" t="s">
        <v>23</v>
      </c>
      <c r="E7" s="124" t="s">
        <v>43</v>
      </c>
      <c r="F7" s="124" t="s">
        <v>44</v>
      </c>
      <c r="G7"/>
      <c r="H7"/>
      <c r="I7"/>
      <c r="J7"/>
      <c r="K7"/>
      <c r="L7" s="1" t="s">
        <v>45</v>
      </c>
    </row>
    <row r="8" spans="1:16" x14ac:dyDescent="0.25">
      <c r="A8" s="181" t="s">
        <v>11</v>
      </c>
      <c r="B8" s="169">
        <v>21212</v>
      </c>
      <c r="C8" s="169">
        <v>5081</v>
      </c>
      <c r="D8" s="139">
        <f>+B8+C8</f>
        <v>26293</v>
      </c>
      <c r="E8" s="278">
        <f>B8/D8</f>
        <v>0.8067546495264899</v>
      </c>
      <c r="F8" s="278">
        <f>+C8/D8</f>
        <v>0.19324535047351005</v>
      </c>
      <c r="G8"/>
      <c r="H8"/>
      <c r="I8"/>
      <c r="J8"/>
      <c r="K8"/>
      <c r="L8" s="14">
        <v>29288</v>
      </c>
    </row>
    <row r="9" spans="1:16" x14ac:dyDescent="0.25">
      <c r="A9" s="181" t="s">
        <v>239</v>
      </c>
      <c r="B9" s="169">
        <v>20593</v>
      </c>
      <c r="C9" s="169">
        <v>4831</v>
      </c>
      <c r="D9" s="139">
        <f t="shared" ref="D9:D22" si="0">+B9+C9</f>
        <v>25424</v>
      </c>
      <c r="E9" s="278">
        <f>B9/D9</f>
        <v>0.80998269351793584</v>
      </c>
      <c r="F9" s="278">
        <f>+C9/D9</f>
        <v>0.19001730648206419</v>
      </c>
      <c r="G9"/>
      <c r="H9"/>
      <c r="I9"/>
      <c r="J9"/>
      <c r="K9"/>
      <c r="L9" s="14">
        <v>29900</v>
      </c>
      <c r="O9" s="14">
        <f>+D9-D8</f>
        <v>-869</v>
      </c>
    </row>
    <row r="10" spans="1:16" x14ac:dyDescent="0.25">
      <c r="A10" s="179" t="s">
        <v>13</v>
      </c>
      <c r="B10" s="169">
        <v>21551</v>
      </c>
      <c r="C10" s="169">
        <v>5056</v>
      </c>
      <c r="D10" s="139">
        <f>+B10+C10</f>
        <v>26607</v>
      </c>
      <c r="E10" s="278">
        <f>B10/D10</f>
        <v>0.80997481865674448</v>
      </c>
      <c r="F10" s="278">
        <f>+C10/D10</f>
        <v>0.19002518134325552</v>
      </c>
      <c r="G10"/>
      <c r="H10"/>
      <c r="I10"/>
      <c r="J10"/>
      <c r="K10"/>
      <c r="L10" s="14">
        <v>30160</v>
      </c>
      <c r="O10" s="14">
        <f>+D10-D9</f>
        <v>1183</v>
      </c>
    </row>
    <row r="11" spans="1:16" ht="25.5" x14ac:dyDescent="0.25">
      <c r="A11" s="121" t="s">
        <v>36</v>
      </c>
      <c r="B11" s="188">
        <f>AVERAGE(B8:B10)</f>
        <v>21118.666666666668</v>
      </c>
      <c r="C11" s="188">
        <f>AVERAGE(C8:C10)</f>
        <v>4989.333333333333</v>
      </c>
      <c r="D11" s="188">
        <f>AVERAGE(D8:D10)</f>
        <v>26108</v>
      </c>
      <c r="E11" s="277">
        <f>+AVERAGE(E8:E10)</f>
        <v>0.80890405390039011</v>
      </c>
      <c r="F11" s="277">
        <f>+AVERAGE(F8:F10)</f>
        <v>0.19109594609960992</v>
      </c>
      <c r="G11"/>
      <c r="H11"/>
      <c r="I11"/>
      <c r="J11"/>
      <c r="K11"/>
      <c r="L11" s="14">
        <v>29782.666666666668</v>
      </c>
      <c r="M11" s="75">
        <f>+(D11-L11)/D11*100</f>
        <v>-14.074868494969618</v>
      </c>
      <c r="O11" s="14">
        <f>+D11-L11</f>
        <v>-3674.6666666666679</v>
      </c>
    </row>
    <row r="12" spans="1:16" hidden="1" x14ac:dyDescent="0.25">
      <c r="A12" s="53" t="s">
        <v>15</v>
      </c>
      <c r="B12" s="120"/>
      <c r="C12" s="120"/>
      <c r="D12" s="19">
        <f>+B12+C12</f>
        <v>0</v>
      </c>
      <c r="E12" s="20" t="e">
        <f>+B12/D12</f>
        <v>#DIV/0!</v>
      </c>
      <c r="F12" s="20" t="e">
        <f>+C12/D12</f>
        <v>#DIV/0!</v>
      </c>
      <c r="G12"/>
      <c r="H12"/>
      <c r="I12"/>
      <c r="J12"/>
      <c r="K12"/>
    </row>
    <row r="13" spans="1:16" hidden="1" x14ac:dyDescent="0.25">
      <c r="A13" s="53" t="s">
        <v>16</v>
      </c>
      <c r="B13" s="120"/>
      <c r="C13" s="120"/>
      <c r="D13" s="19">
        <f t="shared" si="0"/>
        <v>0</v>
      </c>
      <c r="E13" s="20" t="e">
        <f>+B13/D13</f>
        <v>#DIV/0!</v>
      </c>
      <c r="F13" s="20" t="e">
        <f>+C13/D13</f>
        <v>#DIV/0!</v>
      </c>
      <c r="G13"/>
      <c r="H13"/>
      <c r="I13"/>
      <c r="J13"/>
      <c r="K13"/>
    </row>
    <row r="14" spans="1:16" hidden="1" x14ac:dyDescent="0.25">
      <c r="A14" s="53" t="s">
        <v>17</v>
      </c>
      <c r="B14" s="120"/>
      <c r="C14" s="120"/>
      <c r="D14" s="19">
        <f t="shared" si="0"/>
        <v>0</v>
      </c>
      <c r="E14" s="20" t="e">
        <f>+B14/D14</f>
        <v>#DIV/0!</v>
      </c>
      <c r="F14" s="20" t="e">
        <f>+C14/D14</f>
        <v>#DIV/0!</v>
      </c>
      <c r="G14"/>
      <c r="H14"/>
      <c r="I14"/>
      <c r="J14"/>
      <c r="K14"/>
    </row>
    <row r="15" spans="1:16" ht="25.5" hidden="1" x14ac:dyDescent="0.25">
      <c r="A15" s="121" t="s">
        <v>33</v>
      </c>
      <c r="B15" s="8" t="e">
        <f>AVERAGE(B12:B14)</f>
        <v>#DIV/0!</v>
      </c>
      <c r="C15" s="8" t="e">
        <f>AVERAGE(C12:C14)</f>
        <v>#DIV/0!</v>
      </c>
      <c r="D15" s="8">
        <f>AVERAGE(D12:D14)</f>
        <v>0</v>
      </c>
      <c r="E15" s="16" t="e">
        <f>+AVERAGE(E12:E14)</f>
        <v>#DIV/0!</v>
      </c>
      <c r="F15" s="16" t="e">
        <f>+AVERAGE(F12:F14)</f>
        <v>#DIV/0!</v>
      </c>
      <c r="G15"/>
      <c r="H15"/>
      <c r="I15"/>
      <c r="J15"/>
      <c r="K15"/>
    </row>
    <row r="16" spans="1:16" hidden="1" x14ac:dyDescent="0.25">
      <c r="A16" s="53" t="s">
        <v>34</v>
      </c>
      <c r="B16" s="120"/>
      <c r="C16" s="120"/>
      <c r="D16" s="19">
        <f t="shared" si="0"/>
        <v>0</v>
      </c>
      <c r="E16" s="20" t="e">
        <f>+B16/D16</f>
        <v>#DIV/0!</v>
      </c>
      <c r="F16" s="20" t="e">
        <f>+C16/D16</f>
        <v>#DIV/0!</v>
      </c>
      <c r="G16"/>
      <c r="H16"/>
      <c r="I16"/>
      <c r="J16"/>
      <c r="K16"/>
    </row>
    <row r="17" spans="1:12" hidden="1" x14ac:dyDescent="0.25">
      <c r="A17" s="53" t="s">
        <v>20</v>
      </c>
      <c r="B17" s="120"/>
      <c r="C17" s="120"/>
      <c r="D17" s="19">
        <f t="shared" si="0"/>
        <v>0</v>
      </c>
      <c r="E17" s="20" t="e">
        <f>+B17/D17</f>
        <v>#DIV/0!</v>
      </c>
      <c r="F17" s="20" t="e">
        <f>+C17/D17</f>
        <v>#DIV/0!</v>
      </c>
      <c r="G17"/>
      <c r="H17"/>
      <c r="I17"/>
      <c r="J17"/>
      <c r="K17"/>
    </row>
    <row r="18" spans="1:12" hidden="1" x14ac:dyDescent="0.25">
      <c r="A18" s="53" t="s">
        <v>21</v>
      </c>
      <c r="B18" s="120"/>
      <c r="C18" s="120"/>
      <c r="D18" s="19">
        <f t="shared" si="0"/>
        <v>0</v>
      </c>
      <c r="E18" s="20" t="e">
        <f>+B18/D18</f>
        <v>#DIV/0!</v>
      </c>
      <c r="F18" s="20" t="e">
        <f>+C18/D18</f>
        <v>#DIV/0!</v>
      </c>
      <c r="G18"/>
      <c r="H18"/>
      <c r="I18"/>
      <c r="J18"/>
      <c r="K18"/>
    </row>
    <row r="19" spans="1:12" ht="25.5" hidden="1" x14ac:dyDescent="0.25">
      <c r="A19" s="121" t="s">
        <v>35</v>
      </c>
      <c r="B19" s="8" t="e">
        <f>AVERAGE(B16:B18)</f>
        <v>#DIV/0!</v>
      </c>
      <c r="C19" s="8" t="e">
        <f>AVERAGE(C16:C18)</f>
        <v>#DIV/0!</v>
      </c>
      <c r="D19" s="8">
        <f>AVERAGE(D16:D18)</f>
        <v>0</v>
      </c>
      <c r="E19" s="16" t="e">
        <f>+AVERAGE(E16:E18)</f>
        <v>#DIV/0!</v>
      </c>
      <c r="F19" s="16" t="e">
        <f>+AVERAGE(F16:F18)</f>
        <v>#DIV/0!</v>
      </c>
      <c r="G19"/>
      <c r="H19"/>
      <c r="I19"/>
      <c r="J19"/>
      <c r="K19"/>
    </row>
    <row r="20" spans="1:12" hidden="1" x14ac:dyDescent="0.25">
      <c r="A20" s="53" t="s">
        <v>13</v>
      </c>
      <c r="B20" s="120"/>
      <c r="C20" s="120"/>
      <c r="D20" s="19">
        <f t="shared" si="0"/>
        <v>0</v>
      </c>
      <c r="E20" s="20" t="e">
        <f>+B20/D20</f>
        <v>#DIV/0!</v>
      </c>
      <c r="F20" s="20" t="e">
        <f>+C20/D20</f>
        <v>#DIV/0!</v>
      </c>
      <c r="G20"/>
      <c r="H20"/>
      <c r="I20"/>
      <c r="J20"/>
      <c r="K20"/>
    </row>
    <row r="21" spans="1:12" hidden="1" x14ac:dyDescent="0.25">
      <c r="A21" s="53" t="s">
        <v>12</v>
      </c>
      <c r="B21" s="120"/>
      <c r="C21" s="120"/>
      <c r="D21" s="19">
        <f t="shared" si="0"/>
        <v>0</v>
      </c>
      <c r="E21" s="20" t="e">
        <f>+B21/D21</f>
        <v>#DIV/0!</v>
      </c>
      <c r="F21" s="20" t="e">
        <f>+C21/D21</f>
        <v>#DIV/0!</v>
      </c>
      <c r="G21"/>
      <c r="H21"/>
      <c r="I21"/>
      <c r="J21"/>
      <c r="K21"/>
    </row>
    <row r="22" spans="1:12" hidden="1" x14ac:dyDescent="0.25">
      <c r="A22" s="53" t="s">
        <v>11</v>
      </c>
      <c r="B22" s="120"/>
      <c r="C22" s="120"/>
      <c r="D22" s="19">
        <f t="shared" si="0"/>
        <v>0</v>
      </c>
      <c r="E22" s="20" t="e">
        <f>+B22/D22</f>
        <v>#DIV/0!</v>
      </c>
      <c r="F22" s="20" t="e">
        <f>+C22/D22</f>
        <v>#DIV/0!</v>
      </c>
      <c r="G22"/>
      <c r="H22"/>
      <c r="I22"/>
      <c r="J22"/>
      <c r="K22"/>
    </row>
    <row r="23" spans="1:12" ht="25.5" hidden="1" x14ac:dyDescent="0.25">
      <c r="A23" s="121" t="s">
        <v>36</v>
      </c>
      <c r="B23" s="8" t="e">
        <f t="shared" ref="B23:D24" si="1">AVERAGE(B20:B22)</f>
        <v>#DIV/0!</v>
      </c>
      <c r="C23" s="8" t="e">
        <f t="shared" si="1"/>
        <v>#DIV/0!</v>
      </c>
      <c r="D23" s="8">
        <f t="shared" si="1"/>
        <v>0</v>
      </c>
      <c r="E23" s="16" t="e">
        <f>+AVERAGE(E20:E22)</f>
        <v>#DIV/0!</v>
      </c>
      <c r="F23" s="16" t="e">
        <f>+AVERAGE(F20:F22)</f>
        <v>#DIV/0!</v>
      </c>
      <c r="G23"/>
      <c r="H23"/>
      <c r="I23"/>
      <c r="J23"/>
      <c r="K23"/>
    </row>
    <row r="24" spans="1:12" hidden="1" x14ac:dyDescent="0.25">
      <c r="A24" s="28" t="s">
        <v>23</v>
      </c>
      <c r="B24" s="10" t="e">
        <f t="shared" si="1"/>
        <v>#DIV/0!</v>
      </c>
      <c r="C24" s="10" t="e">
        <f t="shared" si="1"/>
        <v>#DIV/0!</v>
      </c>
      <c r="D24" s="17">
        <f t="shared" si="1"/>
        <v>0</v>
      </c>
      <c r="E24" s="10" t="e">
        <f>+AVERAGE(E21:E23)</f>
        <v>#DIV/0!</v>
      </c>
      <c r="F24" s="17" t="e">
        <f>+AVERAGE(F21:F23)</f>
        <v>#DIV/0!</v>
      </c>
      <c r="G24"/>
      <c r="H24"/>
      <c r="I24" s="74"/>
      <c r="J24" s="74"/>
      <c r="K24" s="74"/>
    </row>
    <row r="25" spans="1:12" x14ac:dyDescent="0.25">
      <c r="A25" s="187" t="s">
        <v>46</v>
      </c>
      <c r="B25"/>
      <c r="C25"/>
      <c r="D25"/>
      <c r="E25"/>
      <c r="F25"/>
      <c r="G25"/>
      <c r="H25"/>
      <c r="I25"/>
      <c r="J25"/>
      <c r="K25"/>
      <c r="L25" s="18"/>
    </row>
    <row r="26" spans="1:12" x14ac:dyDescent="0.25">
      <c r="A26" s="187"/>
      <c r="B26"/>
      <c r="C26"/>
      <c r="D26"/>
      <c r="E26"/>
      <c r="F26"/>
      <c r="G26"/>
      <c r="H26"/>
      <c r="I26"/>
      <c r="J26"/>
      <c r="K26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</row>
    <row r="28" spans="1:12" x14ac:dyDescent="0.25">
      <c r="A28"/>
      <c r="B28"/>
      <c r="C28"/>
      <c r="D28"/>
      <c r="E28"/>
      <c r="F28"/>
      <c r="G28"/>
      <c r="H28"/>
      <c r="I28"/>
      <c r="J28"/>
      <c r="K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44" spans="1:11" x14ac:dyDescent="0.25">
      <c r="A44" s="53"/>
      <c r="B44" s="120"/>
      <c r="C44" s="120"/>
      <c r="D44" s="19"/>
      <c r="E44" s="20"/>
      <c r="F44" s="20"/>
    </row>
    <row r="45" spans="1:11" x14ac:dyDescent="0.25">
      <c r="A45" s="53"/>
      <c r="B45" s="120"/>
      <c r="C45" s="120"/>
      <c r="D45" s="19"/>
      <c r="E45" s="20"/>
      <c r="F45" s="20"/>
    </row>
  </sheetData>
  <mergeCells count="6">
    <mergeCell ref="A6:F6"/>
    <mergeCell ref="A1:F1"/>
    <mergeCell ref="A2:F2"/>
    <mergeCell ref="A3:F3"/>
    <mergeCell ref="A5:F5"/>
    <mergeCell ref="A4:F4"/>
  </mergeCells>
  <pageMargins left="0.7" right="0.7" top="0.75" bottom="0.75" header="0.3" footer="0.3"/>
  <pageSetup paperSize="9" scale="67" orientation="portrait" r:id="rId1"/>
  <ignoredErrors>
    <ignoredError sqref="F11 D1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K41"/>
  <sheetViews>
    <sheetView showGridLines="0" zoomScale="115" zoomScaleNormal="115" workbookViewId="0">
      <selection activeCell="D29" sqref="D29"/>
    </sheetView>
  </sheetViews>
  <sheetFormatPr baseColWidth="10" defaultColWidth="11.42578125" defaultRowHeight="15" x14ac:dyDescent="0.25"/>
  <cols>
    <col min="1" max="1" width="11.7109375" style="1" customWidth="1"/>
    <col min="2" max="2" width="16.5703125" style="1" customWidth="1"/>
    <col min="3" max="3" width="19.7109375" style="1" customWidth="1"/>
    <col min="4" max="4" width="20" style="1" customWidth="1"/>
    <col min="5" max="16384" width="11.42578125" style="1"/>
  </cols>
  <sheetData>
    <row r="1" spans="1:11" x14ac:dyDescent="0.25">
      <c r="A1" s="308" t="s">
        <v>0</v>
      </c>
      <c r="B1" s="308"/>
      <c r="C1" s="308"/>
      <c r="D1" s="308"/>
      <c r="E1" s="21"/>
      <c r="F1" s="21"/>
    </row>
    <row r="2" spans="1:11" x14ac:dyDescent="0.25">
      <c r="A2" s="308" t="s">
        <v>25</v>
      </c>
      <c r="B2" s="308"/>
      <c r="C2" s="308"/>
      <c r="D2" s="308"/>
      <c r="E2" s="22"/>
      <c r="F2" s="22"/>
    </row>
    <row r="3" spans="1:11" x14ac:dyDescent="0.25">
      <c r="A3" s="308" t="s">
        <v>47</v>
      </c>
      <c r="B3" s="308"/>
      <c r="C3" s="308"/>
      <c r="D3" s="308"/>
      <c r="E3" s="22"/>
      <c r="F3" s="22"/>
    </row>
    <row r="4" spans="1:11" x14ac:dyDescent="0.25">
      <c r="A4" s="308" t="s">
        <v>238</v>
      </c>
      <c r="B4" s="308"/>
      <c r="C4" s="308"/>
      <c r="D4" s="308"/>
      <c r="E4" s="21"/>
      <c r="F4" s="21"/>
    </row>
    <row r="5" spans="1:11" x14ac:dyDescent="0.25">
      <c r="A5" s="308" t="s">
        <v>233</v>
      </c>
      <c r="B5" s="308"/>
      <c r="C5" s="308"/>
      <c r="D5" s="308"/>
      <c r="E5" s="22"/>
      <c r="F5" s="22"/>
    </row>
    <row r="6" spans="1:11" x14ac:dyDescent="0.25">
      <c r="A6" s="309" t="s">
        <v>48</v>
      </c>
      <c r="B6" s="309"/>
      <c r="C6" s="309"/>
      <c r="D6" s="309"/>
      <c r="E6"/>
      <c r="F6"/>
      <c r="G6"/>
      <c r="H6"/>
      <c r="I6"/>
      <c r="J6"/>
      <c r="K6"/>
    </row>
    <row r="7" spans="1:11" x14ac:dyDescent="0.25">
      <c r="A7" s="123"/>
      <c r="B7" s="110" t="s">
        <v>49</v>
      </c>
      <c r="C7" s="124" t="s">
        <v>50</v>
      </c>
      <c r="D7" s="124" t="s">
        <v>51</v>
      </c>
      <c r="E7"/>
      <c r="F7"/>
      <c r="G7"/>
      <c r="H7"/>
      <c r="I7"/>
      <c r="J7"/>
      <c r="K7"/>
    </row>
    <row r="8" spans="1:11" x14ac:dyDescent="0.25">
      <c r="A8" s="181" t="s">
        <v>11</v>
      </c>
      <c r="B8" s="195">
        <v>85536495.430000007</v>
      </c>
      <c r="C8" s="195">
        <v>11664067.560000001</v>
      </c>
      <c r="D8" s="256">
        <f>+B8+C8</f>
        <v>97200562.99000001</v>
      </c>
      <c r="E8"/>
      <c r="F8" s="126"/>
      <c r="G8" s="126"/>
      <c r="H8"/>
      <c r="I8"/>
      <c r="J8"/>
      <c r="K8"/>
    </row>
    <row r="9" spans="1:11" x14ac:dyDescent="0.25">
      <c r="A9" s="181" t="s">
        <v>239</v>
      </c>
      <c r="B9" s="195">
        <v>83109585.859999999</v>
      </c>
      <c r="C9" s="195">
        <v>11333125.34</v>
      </c>
      <c r="D9" s="256">
        <f>+B9+C9</f>
        <v>94442711.200000003</v>
      </c>
      <c r="E9"/>
      <c r="F9"/>
      <c r="G9"/>
      <c r="H9"/>
      <c r="I9"/>
      <c r="J9"/>
      <c r="K9"/>
    </row>
    <row r="10" spans="1:11" x14ac:dyDescent="0.25">
      <c r="A10" s="179" t="s">
        <v>13</v>
      </c>
      <c r="B10" s="195">
        <v>88601830.129999995</v>
      </c>
      <c r="C10" s="195">
        <v>12082067.74</v>
      </c>
      <c r="D10" s="256">
        <f>+B10+C10</f>
        <v>100683897.86999999</v>
      </c>
      <c r="E10"/>
      <c r="F10"/>
      <c r="G10"/>
      <c r="H10"/>
      <c r="I10"/>
      <c r="J10"/>
      <c r="K10"/>
    </row>
    <row r="11" spans="1:11" x14ac:dyDescent="0.25">
      <c r="A11" s="27" t="s">
        <v>14</v>
      </c>
      <c r="B11" s="285">
        <f>SUM(B8:B10)</f>
        <v>257247911.42000002</v>
      </c>
      <c r="C11" s="285">
        <f>SUM(C8:C10)</f>
        <v>35079260.640000001</v>
      </c>
      <c r="D11" s="285">
        <f>SUM(D8:D10)</f>
        <v>292327172.06</v>
      </c>
      <c r="E11"/>
      <c r="F11"/>
      <c r="G11"/>
      <c r="H11"/>
      <c r="I11"/>
      <c r="J11"/>
      <c r="K11"/>
    </row>
    <row r="12" spans="1:11" hidden="1" x14ac:dyDescent="0.25">
      <c r="A12" s="190" t="s">
        <v>15</v>
      </c>
      <c r="B12" s="125"/>
      <c r="C12" s="125"/>
      <c r="D12" s="26">
        <f>+B12+C12</f>
        <v>0</v>
      </c>
      <c r="E12"/>
      <c r="F12" s="126"/>
      <c r="G12" s="126"/>
      <c r="H12"/>
      <c r="I12"/>
      <c r="J12"/>
      <c r="K12"/>
    </row>
    <row r="13" spans="1:11" hidden="1" x14ac:dyDescent="0.25">
      <c r="A13" s="190" t="s">
        <v>16</v>
      </c>
      <c r="B13" s="125"/>
      <c r="C13" s="125"/>
      <c r="D13" s="26">
        <f>+B13+C13</f>
        <v>0</v>
      </c>
      <c r="E13"/>
      <c r="F13"/>
      <c r="G13"/>
      <c r="H13"/>
      <c r="I13"/>
      <c r="J13"/>
      <c r="K13"/>
    </row>
    <row r="14" spans="1:11" hidden="1" x14ac:dyDescent="0.25">
      <c r="A14" s="190" t="s">
        <v>17</v>
      </c>
      <c r="B14" s="125"/>
      <c r="C14" s="125"/>
      <c r="D14" s="26">
        <f>+B14+C14</f>
        <v>0</v>
      </c>
      <c r="E14"/>
      <c r="F14"/>
      <c r="G14"/>
      <c r="H14"/>
      <c r="I14"/>
      <c r="J14"/>
      <c r="K14"/>
    </row>
    <row r="15" spans="1:11" hidden="1" x14ac:dyDescent="0.25">
      <c r="A15" s="27" t="s">
        <v>18</v>
      </c>
      <c r="B15" s="8">
        <f>SUM(B12:B14)</f>
        <v>0</v>
      </c>
      <c r="C15" s="8">
        <f>SUM(C12:C14)</f>
        <v>0</v>
      </c>
      <c r="D15" s="8">
        <f>SUM(D12:D14)</f>
        <v>0</v>
      </c>
      <c r="E15"/>
      <c r="F15"/>
      <c r="G15"/>
      <c r="H15"/>
      <c r="I15"/>
      <c r="J15"/>
      <c r="K15"/>
    </row>
    <row r="16" spans="1:11" hidden="1" x14ac:dyDescent="0.25">
      <c r="A16" s="190" t="s">
        <v>34</v>
      </c>
      <c r="B16" s="125"/>
      <c r="C16" s="125"/>
      <c r="D16" s="26">
        <f>+B16+C16</f>
        <v>0</v>
      </c>
      <c r="E16"/>
      <c r="F16" s="126"/>
      <c r="G16" s="126"/>
      <c r="H16"/>
      <c r="I16"/>
      <c r="J16"/>
      <c r="K16"/>
    </row>
    <row r="17" spans="1:11" hidden="1" x14ac:dyDescent="0.25">
      <c r="A17" s="190" t="s">
        <v>20</v>
      </c>
      <c r="B17" s="125"/>
      <c r="C17" s="125"/>
      <c r="D17" s="26">
        <f>+B17+C17</f>
        <v>0</v>
      </c>
      <c r="E17"/>
      <c r="F17"/>
      <c r="G17"/>
      <c r="H17"/>
      <c r="I17"/>
      <c r="J17"/>
      <c r="K17"/>
    </row>
    <row r="18" spans="1:11" hidden="1" x14ac:dyDescent="0.25">
      <c r="A18" s="190" t="s">
        <v>21</v>
      </c>
      <c r="B18" s="125"/>
      <c r="C18" s="125"/>
      <c r="D18" s="26">
        <f>+B18+C18</f>
        <v>0</v>
      </c>
      <c r="E18"/>
      <c r="F18"/>
      <c r="G18"/>
      <c r="H18"/>
      <c r="I18"/>
      <c r="J18"/>
      <c r="K18"/>
    </row>
    <row r="19" spans="1:11" hidden="1" x14ac:dyDescent="0.25">
      <c r="A19" s="27" t="s">
        <v>22</v>
      </c>
      <c r="B19" s="8">
        <f>SUM(B16:B18)</f>
        <v>0</v>
      </c>
      <c r="C19" s="8">
        <f>SUM(C16:C18)</f>
        <v>0</v>
      </c>
      <c r="D19" s="8">
        <f>SUM(D16:D18)</f>
        <v>0</v>
      </c>
      <c r="E19"/>
      <c r="F19"/>
      <c r="G19"/>
      <c r="H19"/>
      <c r="I19"/>
      <c r="J19"/>
      <c r="K19"/>
    </row>
    <row r="20" spans="1:11" hidden="1" x14ac:dyDescent="0.25">
      <c r="A20" s="190" t="s">
        <v>13</v>
      </c>
      <c r="B20" s="125"/>
      <c r="C20" s="125"/>
      <c r="D20" s="26">
        <f>+B20+C20</f>
        <v>0</v>
      </c>
      <c r="E20"/>
      <c r="F20" s="126"/>
      <c r="G20" s="126"/>
      <c r="H20"/>
      <c r="I20"/>
      <c r="J20"/>
      <c r="K20"/>
    </row>
    <row r="21" spans="1:11" hidden="1" x14ac:dyDescent="0.25">
      <c r="A21" s="190" t="s">
        <v>12</v>
      </c>
      <c r="B21" s="125"/>
      <c r="C21" s="125"/>
      <c r="D21" s="26">
        <f>+B21+C21</f>
        <v>0</v>
      </c>
      <c r="E21"/>
      <c r="F21"/>
      <c r="G21"/>
      <c r="H21"/>
      <c r="I21"/>
      <c r="J21"/>
      <c r="K21"/>
    </row>
    <row r="22" spans="1:11" hidden="1" x14ac:dyDescent="0.25">
      <c r="A22" s="190" t="s">
        <v>11</v>
      </c>
      <c r="B22" s="125"/>
      <c r="C22" s="125"/>
      <c r="D22" s="26">
        <f>+B22+C22</f>
        <v>0</v>
      </c>
      <c r="E22"/>
      <c r="F22"/>
      <c r="G22"/>
      <c r="H22"/>
      <c r="I22"/>
      <c r="J22"/>
      <c r="K22"/>
    </row>
    <row r="23" spans="1:11" hidden="1" x14ac:dyDescent="0.25">
      <c r="A23" s="27" t="s">
        <v>14</v>
      </c>
      <c r="B23" s="8">
        <f>SUM(B20:B22)</f>
        <v>0</v>
      </c>
      <c r="C23" s="8">
        <f>SUM(C20:C22)</f>
        <v>0</v>
      </c>
      <c r="D23" s="8">
        <f>SUM(D20:D22)</f>
        <v>0</v>
      </c>
      <c r="E23"/>
      <c r="F23"/>
      <c r="G23"/>
      <c r="H23"/>
      <c r="I23"/>
      <c r="J23"/>
      <c r="K23"/>
    </row>
    <row r="24" spans="1:11" hidden="1" x14ac:dyDescent="0.25">
      <c r="A24" s="28" t="s">
        <v>23</v>
      </c>
      <c r="B24" s="23">
        <f>+B11+B15+B19+B23</f>
        <v>257247911.42000002</v>
      </c>
      <c r="C24" s="23">
        <f>+C11+C15+C19+C23</f>
        <v>35079260.640000001</v>
      </c>
      <c r="D24" s="23">
        <f>+D11+D15+D19+D23</f>
        <v>292327172.06</v>
      </c>
      <c r="E24"/>
      <c r="F24"/>
      <c r="G24"/>
      <c r="H24"/>
      <c r="I24"/>
      <c r="J24"/>
      <c r="K24"/>
    </row>
    <row r="25" spans="1:11" x14ac:dyDescent="0.25">
      <c r="A25" s="191" t="s">
        <v>52</v>
      </c>
      <c r="B25" s="192">
        <f>B11/D11</f>
        <v>0.88000000002462997</v>
      </c>
      <c r="C25" s="192">
        <f>C11/D11</f>
        <v>0.11999999997537006</v>
      </c>
      <c r="D25" s="193"/>
      <c r="E25"/>
      <c r="F25"/>
      <c r="G25"/>
      <c r="H25"/>
      <c r="I25"/>
      <c r="J25"/>
      <c r="K25"/>
    </row>
    <row r="26" spans="1:11" x14ac:dyDescent="0.25">
      <c r="A26" s="187" t="s">
        <v>46</v>
      </c>
      <c r="B26" s="173"/>
      <c r="C26"/>
      <c r="D26"/>
      <c r="E26"/>
      <c r="F26"/>
      <c r="G26"/>
      <c r="H26"/>
      <c r="I26"/>
      <c r="J26"/>
      <c r="K26"/>
    </row>
    <row r="27" spans="1:11" x14ac:dyDescent="0.25">
      <c r="A27" s="18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 s="128"/>
      <c r="H33" s="128"/>
      <c r="I33" s="128"/>
      <c r="J33" s="128"/>
      <c r="K33" s="119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 s="53"/>
      <c r="B40" s="125"/>
      <c r="C40" s="125"/>
      <c r="D40" s="26"/>
    </row>
    <row r="41" spans="1:11" x14ac:dyDescent="0.25">
      <c r="A41" s="53"/>
      <c r="B41" s="125"/>
      <c r="C41" s="125"/>
      <c r="D41" s="26"/>
    </row>
  </sheetData>
  <mergeCells count="6">
    <mergeCell ref="A6:D6"/>
    <mergeCell ref="A1:D1"/>
    <mergeCell ref="A2:D2"/>
    <mergeCell ref="A3:D3"/>
    <mergeCell ref="A5:D5"/>
    <mergeCell ref="A4:D4"/>
  </mergeCells>
  <pageMargins left="0.7" right="0.7" top="0.75" bottom="0.75" header="0.3" footer="0.3"/>
  <pageSetup paperSize="9" scale="64" orientation="portrait" r:id="rId1"/>
  <colBreaks count="1" manualBreakCount="1">
    <brk id="12" max="1048575" man="1"/>
  </colBreaks>
  <ignoredErrors>
    <ignoredError sqref="D1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J41"/>
  <sheetViews>
    <sheetView showGridLines="0" zoomScale="130" zoomScaleNormal="130" zoomScaleSheetLayoutView="115" workbookViewId="0">
      <selection activeCell="E29" sqref="E29"/>
    </sheetView>
  </sheetViews>
  <sheetFormatPr baseColWidth="10" defaultColWidth="11.42578125" defaultRowHeight="15" x14ac:dyDescent="0.25"/>
  <cols>
    <col min="1" max="1" width="21.42578125" style="1" customWidth="1"/>
    <col min="2" max="2" width="15.7109375" style="1" customWidth="1"/>
    <col min="3" max="3" width="21.140625" style="1" customWidth="1"/>
    <col min="4" max="4" width="16.7109375" style="1" customWidth="1"/>
    <col min="5" max="16384" width="11.42578125" style="1"/>
  </cols>
  <sheetData>
    <row r="1" spans="1:7" x14ac:dyDescent="0.25">
      <c r="A1" s="308" t="s">
        <v>0</v>
      </c>
      <c r="B1" s="308"/>
      <c r="C1" s="308"/>
      <c r="D1" s="308"/>
    </row>
    <row r="2" spans="1:7" x14ac:dyDescent="0.25">
      <c r="A2" s="308" t="s">
        <v>25</v>
      </c>
      <c r="B2" s="308"/>
      <c r="C2" s="308"/>
      <c r="D2" s="308"/>
    </row>
    <row r="3" spans="1:7" x14ac:dyDescent="0.25">
      <c r="A3" s="308" t="s">
        <v>53</v>
      </c>
      <c r="B3" s="308"/>
      <c r="C3" s="308"/>
      <c r="D3" s="308"/>
    </row>
    <row r="4" spans="1:7" x14ac:dyDescent="0.25">
      <c r="A4" s="308" t="s">
        <v>238</v>
      </c>
      <c r="B4" s="308"/>
      <c r="C4" s="308"/>
      <c r="D4" s="308"/>
    </row>
    <row r="5" spans="1:7" x14ac:dyDescent="0.25">
      <c r="A5" s="308" t="s">
        <v>233</v>
      </c>
      <c r="B5" s="308"/>
      <c r="C5" s="308"/>
      <c r="D5" s="308"/>
    </row>
    <row r="6" spans="1:7" x14ac:dyDescent="0.25">
      <c r="A6" s="309" t="s">
        <v>53</v>
      </c>
      <c r="B6" s="309"/>
      <c r="C6" s="309"/>
      <c r="D6" s="309"/>
      <c r="E6"/>
      <c r="F6"/>
      <c r="G6"/>
    </row>
    <row r="7" spans="1:7" x14ac:dyDescent="0.25">
      <c r="A7" s="123"/>
      <c r="B7" s="124" t="s">
        <v>54</v>
      </c>
      <c r="C7" s="124" t="s">
        <v>55</v>
      </c>
      <c r="D7" s="124" t="s">
        <v>56</v>
      </c>
      <c r="E7"/>
      <c r="F7"/>
      <c r="G7"/>
    </row>
    <row r="8" spans="1:7" x14ac:dyDescent="0.25">
      <c r="A8" s="181" t="s">
        <v>11</v>
      </c>
      <c r="B8" s="279">
        <v>27683</v>
      </c>
      <c r="C8" s="139">
        <f>+B8-B9</f>
        <v>972</v>
      </c>
      <c r="D8" s="280">
        <f>C8/B9</f>
        <v>3.6389502452173261E-2</v>
      </c>
      <c r="E8"/>
      <c r="F8"/>
      <c r="G8"/>
    </row>
    <row r="9" spans="1:7" x14ac:dyDescent="0.25">
      <c r="A9" s="181" t="s">
        <v>239</v>
      </c>
      <c r="B9" s="279">
        <v>26711</v>
      </c>
      <c r="C9" s="139">
        <f>+B9-B10</f>
        <v>-1300</v>
      </c>
      <c r="D9" s="278">
        <f>C9/B10</f>
        <v>-4.6410338795473204E-2</v>
      </c>
      <c r="E9"/>
      <c r="F9"/>
      <c r="G9"/>
    </row>
    <row r="10" spans="1:7" x14ac:dyDescent="0.25">
      <c r="A10" s="179" t="s">
        <v>13</v>
      </c>
      <c r="B10" s="279">
        <v>28011</v>
      </c>
      <c r="C10" s="139">
        <f>+B10-26949</f>
        <v>1062</v>
      </c>
      <c r="D10" s="278">
        <f>C10/31800</f>
        <v>3.3396226415094342E-2</v>
      </c>
      <c r="E10"/>
      <c r="F10"/>
      <c r="G10"/>
    </row>
    <row r="11" spans="1:7" x14ac:dyDescent="0.25">
      <c r="A11" s="27" t="s">
        <v>14</v>
      </c>
      <c r="B11" s="188">
        <f>SUM(B8:B10)</f>
        <v>82405</v>
      </c>
      <c r="C11" s="188">
        <f>+B11-82471</f>
        <v>-66</v>
      </c>
      <c r="D11" s="284">
        <f>C11/96646</f>
        <v>-6.8290462098793536E-4</v>
      </c>
      <c r="E11"/>
      <c r="F11" s="74"/>
      <c r="G11" s="126"/>
    </row>
    <row r="12" spans="1:7" hidden="1" x14ac:dyDescent="0.25">
      <c r="A12" s="53" t="s">
        <v>15</v>
      </c>
      <c r="B12" s="114"/>
      <c r="C12" s="130">
        <f>+B12-B10</f>
        <v>-28011</v>
      </c>
      <c r="D12"/>
      <c r="E12"/>
      <c r="F12"/>
      <c r="G12"/>
    </row>
    <row r="13" spans="1:7" hidden="1" x14ac:dyDescent="0.25">
      <c r="A13" s="53" t="s">
        <v>16</v>
      </c>
      <c r="B13" s="114"/>
      <c r="C13" s="130">
        <f>+B13-B12</f>
        <v>0</v>
      </c>
      <c r="D13"/>
      <c r="E13"/>
      <c r="F13"/>
      <c r="G13"/>
    </row>
    <row r="14" spans="1:7" hidden="1" x14ac:dyDescent="0.25">
      <c r="A14" s="53" t="s">
        <v>17</v>
      </c>
      <c r="B14" s="114"/>
      <c r="C14" s="130">
        <f>+B14-B13</f>
        <v>0</v>
      </c>
      <c r="D14"/>
      <c r="E14"/>
      <c r="F14"/>
      <c r="G14"/>
    </row>
    <row r="15" spans="1:7" hidden="1" x14ac:dyDescent="0.25">
      <c r="A15" s="27" t="s">
        <v>18</v>
      </c>
      <c r="B15" s="8">
        <f>SUM(B12:B14)</f>
        <v>0</v>
      </c>
      <c r="C15" s="73">
        <f>+B15-B11</f>
        <v>-82405</v>
      </c>
      <c r="D15" s="16">
        <f>+(B15-B11)/B11</f>
        <v>-1</v>
      </c>
      <c r="E15"/>
      <c r="F15" s="74"/>
      <c r="G15"/>
    </row>
    <row r="16" spans="1:7" hidden="1" x14ac:dyDescent="0.25">
      <c r="A16" s="53" t="s">
        <v>34</v>
      </c>
      <c r="B16" s="114"/>
      <c r="C16" s="130">
        <f>+B16-B14</f>
        <v>0</v>
      </c>
      <c r="D16"/>
      <c r="E16"/>
      <c r="F16"/>
      <c r="G16"/>
    </row>
    <row r="17" spans="1:10" hidden="1" x14ac:dyDescent="0.25">
      <c r="A17" s="53" t="s">
        <v>20</v>
      </c>
      <c r="B17" s="114"/>
      <c r="C17" s="130">
        <f>+B17-B16</f>
        <v>0</v>
      </c>
      <c r="D17"/>
      <c r="E17"/>
      <c r="F17"/>
      <c r="G17"/>
    </row>
    <row r="18" spans="1:10" hidden="1" x14ac:dyDescent="0.25">
      <c r="A18" s="53" t="s">
        <v>21</v>
      </c>
      <c r="B18" s="114"/>
      <c r="C18" s="130">
        <f>+B18-B17</f>
        <v>0</v>
      </c>
      <c r="D18"/>
      <c r="E18"/>
      <c r="F18"/>
      <c r="G18"/>
    </row>
    <row r="19" spans="1:10" hidden="1" x14ac:dyDescent="0.25">
      <c r="A19" s="27" t="s">
        <v>22</v>
      </c>
      <c r="B19" s="8">
        <f>SUM(B16:B18)</f>
        <v>0</v>
      </c>
      <c r="C19" s="73">
        <f>+B19-B15</f>
        <v>0</v>
      </c>
      <c r="D19" s="73" t="e">
        <f>+(B19-B15)/B15</f>
        <v>#DIV/0!</v>
      </c>
      <c r="E19"/>
      <c r="F19" s="74"/>
      <c r="G19"/>
    </row>
    <row r="20" spans="1:10" hidden="1" x14ac:dyDescent="0.25">
      <c r="A20" s="53" t="s">
        <v>13</v>
      </c>
      <c r="B20" s="114"/>
      <c r="C20" s="130">
        <f>+B20-B18</f>
        <v>0</v>
      </c>
      <c r="D20"/>
      <c r="E20"/>
      <c r="F20"/>
      <c r="G20"/>
    </row>
    <row r="21" spans="1:10" hidden="1" x14ac:dyDescent="0.25">
      <c r="A21" s="53" t="s">
        <v>12</v>
      </c>
      <c r="B21" s="114"/>
      <c r="C21" s="130">
        <f>+B21-B20</f>
        <v>0</v>
      </c>
      <c r="D21"/>
      <c r="E21"/>
      <c r="F21"/>
      <c r="G21"/>
    </row>
    <row r="22" spans="1:10" hidden="1" x14ac:dyDescent="0.25">
      <c r="A22" s="53" t="s">
        <v>11</v>
      </c>
      <c r="B22" s="114"/>
      <c r="C22" s="130">
        <f>+B22-B21</f>
        <v>0</v>
      </c>
      <c r="D22"/>
      <c r="E22"/>
      <c r="F22"/>
      <c r="G22"/>
    </row>
    <row r="23" spans="1:10" hidden="1" x14ac:dyDescent="0.25">
      <c r="A23" s="27" t="s">
        <v>14</v>
      </c>
      <c r="B23" s="8">
        <f>SUM(B20:B22)</f>
        <v>0</v>
      </c>
      <c r="C23" s="73">
        <f>+B23-B19</f>
        <v>0</v>
      </c>
      <c r="D23" s="73" t="e">
        <f>+(B23-B19)/B19</f>
        <v>#DIV/0!</v>
      </c>
      <c r="E23"/>
      <c r="F23" s="74"/>
      <c r="G23"/>
    </row>
    <row r="24" spans="1:10" hidden="1" x14ac:dyDescent="0.25">
      <c r="A24" s="28" t="s">
        <v>23</v>
      </c>
      <c r="B24" s="29">
        <f>+B11+B15+B19+B23</f>
        <v>82405</v>
      </c>
      <c r="C24" s="29"/>
      <c r="D24" s="29"/>
      <c r="E24"/>
      <c r="F24"/>
      <c r="G24"/>
    </row>
    <row r="25" spans="1:10" ht="13.5" customHeight="1" x14ac:dyDescent="0.25">
      <c r="A25" s="187" t="s">
        <v>241</v>
      </c>
      <c r="B25" s="119"/>
      <c r="C25" s="119"/>
      <c r="D25" s="119"/>
      <c r="E25" s="119"/>
      <c r="F25" s="119"/>
      <c r="G25"/>
    </row>
    <row r="26" spans="1:10" x14ac:dyDescent="0.25">
      <c r="A26" s="187" t="s">
        <v>237</v>
      </c>
      <c r="B26"/>
      <c r="C26"/>
      <c r="D26"/>
      <c r="E26"/>
      <c r="F26"/>
      <c r="G26"/>
    </row>
    <row r="27" spans="1:10" x14ac:dyDescent="0.25">
      <c r="A27"/>
      <c r="B27"/>
      <c r="C27"/>
      <c r="D27"/>
      <c r="E27"/>
      <c r="F27"/>
      <c r="G27"/>
    </row>
    <row r="28" spans="1:10" x14ac:dyDescent="0.25">
      <c r="A28"/>
      <c r="B28"/>
      <c r="C28"/>
      <c r="D28"/>
      <c r="E28"/>
      <c r="F28"/>
      <c r="G28"/>
      <c r="J28" s="33"/>
    </row>
    <row r="29" spans="1:10" x14ac:dyDescent="0.25">
      <c r="A29"/>
      <c r="B29"/>
      <c r="C29"/>
      <c r="D29"/>
      <c r="E29"/>
      <c r="F29"/>
      <c r="G29"/>
    </row>
    <row r="30" spans="1:10" x14ac:dyDescent="0.25">
      <c r="A30"/>
      <c r="B30"/>
      <c r="C30"/>
      <c r="D30"/>
      <c r="E30"/>
      <c r="F30"/>
      <c r="G30"/>
    </row>
    <row r="31" spans="1:10" x14ac:dyDescent="0.25">
      <c r="A31"/>
      <c r="B31"/>
      <c r="C31"/>
      <c r="D31"/>
      <c r="E31"/>
      <c r="F31"/>
      <c r="G31"/>
    </row>
    <row r="32" spans="1:10" x14ac:dyDescent="0.25">
      <c r="A32"/>
      <c r="B32"/>
      <c r="C32"/>
      <c r="D32"/>
      <c r="E32"/>
      <c r="F32"/>
      <c r="G32"/>
    </row>
    <row r="33" spans="1:7" x14ac:dyDescent="0.25">
      <c r="A33"/>
      <c r="B33"/>
      <c r="C33"/>
      <c r="D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40" spans="1:7" x14ac:dyDescent="0.25">
      <c r="A40" s="53"/>
      <c r="B40" s="114"/>
      <c r="C40" s="120"/>
      <c r="D40" s="129"/>
    </row>
    <row r="41" spans="1:7" x14ac:dyDescent="0.25">
      <c r="A41" s="53"/>
      <c r="B41" s="114"/>
      <c r="C41" s="120"/>
      <c r="D41" s="20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G44"/>
  <sheetViews>
    <sheetView showGridLines="0" zoomScale="145" zoomScaleNormal="145" zoomScaleSheetLayoutView="130" workbookViewId="0">
      <selection activeCell="F2" sqref="F2"/>
    </sheetView>
  </sheetViews>
  <sheetFormatPr baseColWidth="10" defaultColWidth="11.42578125" defaultRowHeight="15" x14ac:dyDescent="0.25"/>
  <cols>
    <col min="1" max="1" width="15" style="1" customWidth="1"/>
    <col min="2" max="2" width="22" style="1" customWidth="1"/>
    <col min="3" max="4" width="20.42578125" style="1" customWidth="1"/>
    <col min="5" max="16384" width="11.42578125" style="1"/>
  </cols>
  <sheetData>
    <row r="1" spans="1:7" x14ac:dyDescent="0.25">
      <c r="A1" s="310" t="s">
        <v>0</v>
      </c>
      <c r="B1" s="310"/>
      <c r="C1" s="310"/>
      <c r="D1" s="310"/>
      <c r="E1" s="22"/>
      <c r="F1" s="22"/>
      <c r="G1" s="22"/>
    </row>
    <row r="2" spans="1:7" x14ac:dyDescent="0.25">
      <c r="A2" s="308" t="s">
        <v>25</v>
      </c>
      <c r="B2" s="308"/>
      <c r="C2" s="308"/>
      <c r="D2" s="308"/>
      <c r="E2" s="22"/>
      <c r="F2" s="22"/>
      <c r="G2" s="22"/>
    </row>
    <row r="3" spans="1:7" x14ac:dyDescent="0.25">
      <c r="A3" s="308" t="s">
        <v>58</v>
      </c>
      <c r="B3" s="308"/>
      <c r="C3" s="308"/>
      <c r="D3" s="308"/>
      <c r="E3" s="22"/>
      <c r="F3" s="22"/>
      <c r="G3" s="22"/>
    </row>
    <row r="4" spans="1:7" x14ac:dyDescent="0.25">
      <c r="A4" s="310" t="s">
        <v>238</v>
      </c>
      <c r="B4" s="310"/>
      <c r="C4" s="310"/>
      <c r="D4" s="310"/>
      <c r="E4" s="21"/>
      <c r="F4" s="22"/>
      <c r="G4" s="22"/>
    </row>
    <row r="5" spans="1:7" x14ac:dyDescent="0.25">
      <c r="A5" s="308" t="s">
        <v>233</v>
      </c>
      <c r="B5" s="308"/>
      <c r="C5" s="308"/>
      <c r="D5" s="308"/>
      <c r="E5" s="22"/>
      <c r="F5" s="22"/>
      <c r="G5" s="22"/>
    </row>
    <row r="6" spans="1:7" ht="15" customHeight="1" x14ac:dyDescent="0.25">
      <c r="A6" s="309" t="s">
        <v>58</v>
      </c>
      <c r="B6" s="309"/>
      <c r="C6" s="309"/>
      <c r="D6" s="309"/>
      <c r="E6"/>
      <c r="F6"/>
      <c r="G6" s="1" t="s">
        <v>253</v>
      </c>
    </row>
    <row r="7" spans="1:7" x14ac:dyDescent="0.25">
      <c r="A7" s="123" t="s">
        <v>3</v>
      </c>
      <c r="B7" s="110" t="s">
        <v>59</v>
      </c>
      <c r="C7" s="110" t="s">
        <v>60</v>
      </c>
      <c r="D7" s="110" t="s">
        <v>61</v>
      </c>
      <c r="E7"/>
      <c r="F7"/>
    </row>
    <row r="8" spans="1:7" x14ac:dyDescent="0.25">
      <c r="A8" s="181" t="s">
        <v>11</v>
      </c>
      <c r="B8" s="131">
        <v>125</v>
      </c>
      <c r="C8" s="131">
        <v>0</v>
      </c>
      <c r="D8" s="243">
        <v>143963850.53999999</v>
      </c>
      <c r="E8"/>
      <c r="F8"/>
    </row>
    <row r="9" spans="1:7" x14ac:dyDescent="0.25">
      <c r="A9" s="181" t="s">
        <v>239</v>
      </c>
      <c r="B9" s="131">
        <v>195</v>
      </c>
      <c r="C9" s="131">
        <v>3</v>
      </c>
      <c r="D9" s="243">
        <v>240147725.66999999</v>
      </c>
      <c r="E9"/>
      <c r="F9"/>
      <c r="G9" s="53"/>
    </row>
    <row r="10" spans="1:7" x14ac:dyDescent="0.25">
      <c r="A10" s="179" t="s">
        <v>13</v>
      </c>
      <c r="B10" s="131">
        <v>200</v>
      </c>
      <c r="C10" s="131">
        <v>9</v>
      </c>
      <c r="D10" s="243">
        <v>256046064.52000001</v>
      </c>
      <c r="E10"/>
      <c r="F10"/>
      <c r="G10" s="53"/>
    </row>
    <row r="11" spans="1:7" x14ac:dyDescent="0.25">
      <c r="A11" s="27" t="s">
        <v>14</v>
      </c>
      <c r="B11" s="282">
        <f>SUM(B8:B10)</f>
        <v>520</v>
      </c>
      <c r="C11" s="283">
        <f>SUM(C8:C10)</f>
        <v>12</v>
      </c>
      <c r="D11" s="281">
        <f>SUM(D8:D10)</f>
        <v>640157640.73000002</v>
      </c>
      <c r="E11"/>
      <c r="F11"/>
      <c r="G11" s="53"/>
    </row>
    <row r="12" spans="1:7" hidden="1" x14ac:dyDescent="0.25">
      <c r="A12" s="53" t="s">
        <v>15</v>
      </c>
      <c r="B12" s="131"/>
      <c r="C12" s="131"/>
      <c r="D12" s="131"/>
      <c r="E12"/>
      <c r="F12"/>
    </row>
    <row r="13" spans="1:7" hidden="1" x14ac:dyDescent="0.25">
      <c r="A13" s="53" t="s">
        <v>16</v>
      </c>
      <c r="B13" s="131"/>
      <c r="C13" s="131"/>
      <c r="D13" s="131"/>
      <c r="E13"/>
      <c r="F13"/>
    </row>
    <row r="14" spans="1:7" hidden="1" x14ac:dyDescent="0.25">
      <c r="A14" s="53" t="s">
        <v>17</v>
      </c>
      <c r="B14" s="131"/>
      <c r="C14" s="131"/>
      <c r="D14" s="131"/>
      <c r="E14"/>
      <c r="F14"/>
    </row>
    <row r="15" spans="1:7" hidden="1" x14ac:dyDescent="0.25">
      <c r="A15" s="27" t="s">
        <v>62</v>
      </c>
      <c r="B15" s="8">
        <f>SUM(B12:B14)</f>
        <v>0</v>
      </c>
      <c r="C15" s="8">
        <f>SUM(C12:C14)</f>
        <v>0</v>
      </c>
      <c r="D15" s="8"/>
      <c r="E15"/>
      <c r="F15"/>
    </row>
    <row r="16" spans="1:7" hidden="1" x14ac:dyDescent="0.25">
      <c r="A16" s="53" t="s">
        <v>34</v>
      </c>
      <c r="B16" s="131"/>
      <c r="C16" s="131"/>
      <c r="D16" s="131"/>
      <c r="E16"/>
      <c r="F16"/>
    </row>
    <row r="17" spans="1:6" hidden="1" x14ac:dyDescent="0.25">
      <c r="A17" s="53" t="s">
        <v>20</v>
      </c>
      <c r="B17" s="131"/>
      <c r="C17" s="131"/>
      <c r="D17" s="131"/>
      <c r="E17"/>
      <c r="F17"/>
    </row>
    <row r="18" spans="1:6" hidden="1" x14ac:dyDescent="0.25">
      <c r="A18" s="53" t="s">
        <v>21</v>
      </c>
      <c r="B18" s="131"/>
      <c r="C18" s="131"/>
      <c r="D18" s="131"/>
      <c r="E18"/>
      <c r="F18"/>
    </row>
    <row r="19" spans="1:6" hidden="1" x14ac:dyDescent="0.25">
      <c r="A19" s="27" t="s">
        <v>63</v>
      </c>
      <c r="B19" s="8">
        <f>SUM(B16:B18)</f>
        <v>0</v>
      </c>
      <c r="C19" s="8">
        <f>SUM(C16:C18)</f>
        <v>0</v>
      </c>
      <c r="D19" s="8"/>
      <c r="E19"/>
      <c r="F19"/>
    </row>
    <row r="20" spans="1:6" hidden="1" x14ac:dyDescent="0.25">
      <c r="A20" s="53" t="s">
        <v>13</v>
      </c>
      <c r="B20" s="131"/>
      <c r="C20" s="131"/>
      <c r="D20" s="131"/>
      <c r="E20"/>
      <c r="F20"/>
    </row>
    <row r="21" spans="1:6" hidden="1" x14ac:dyDescent="0.25">
      <c r="A21" s="53" t="s">
        <v>12</v>
      </c>
      <c r="B21" s="131"/>
      <c r="C21" s="131"/>
      <c r="D21" s="131"/>
      <c r="E21"/>
      <c r="F21"/>
    </row>
    <row r="22" spans="1:6" hidden="1" x14ac:dyDescent="0.25">
      <c r="A22" s="53" t="s">
        <v>11</v>
      </c>
      <c r="B22" s="131"/>
      <c r="C22" s="131"/>
      <c r="D22" s="131"/>
      <c r="E22"/>
      <c r="F22"/>
    </row>
    <row r="23" spans="1:6" hidden="1" x14ac:dyDescent="0.25">
      <c r="A23" s="27" t="s">
        <v>64</v>
      </c>
      <c r="B23" s="8">
        <f>SUM(B20:B22)</f>
        <v>0</v>
      </c>
      <c r="C23" s="8">
        <f>SUM(C20:C22)</f>
        <v>0</v>
      </c>
      <c r="D23" s="8"/>
      <c r="E23"/>
      <c r="F23"/>
    </row>
    <row r="24" spans="1:6" hidden="1" x14ac:dyDescent="0.25">
      <c r="A24" s="28" t="s">
        <v>23</v>
      </c>
      <c r="B24" s="30"/>
      <c r="C24" s="30"/>
      <c r="D24" s="30"/>
      <c r="E24"/>
      <c r="F24"/>
    </row>
    <row r="25" spans="1:6" ht="3.75" customHeight="1" x14ac:dyDescent="0.25">
      <c r="A25" s="187"/>
      <c r="B25" s="187"/>
      <c r="C25" s="187"/>
      <c r="D25" s="187"/>
      <c r="E25"/>
      <c r="F25"/>
    </row>
    <row r="26" spans="1:6" s="187" customFormat="1" ht="12" customHeight="1" x14ac:dyDescent="0.2">
      <c r="A26" s="187" t="s">
        <v>57</v>
      </c>
    </row>
    <row r="27" spans="1:6" x14ac:dyDescent="0.25">
      <c r="A27" s="18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 s="53"/>
      <c r="F33" s="110"/>
    </row>
    <row r="34" spans="1:6" x14ac:dyDescent="0.25">
      <c r="A34"/>
      <c r="B34"/>
      <c r="C34"/>
      <c r="D34"/>
      <c r="E34" s="53"/>
      <c r="F34" s="125"/>
    </row>
    <row r="35" spans="1:6" x14ac:dyDescent="0.25">
      <c r="A35"/>
      <c r="B35"/>
      <c r="C35"/>
      <c r="D35"/>
      <c r="E35" s="53"/>
      <c r="F35" s="125"/>
    </row>
    <row r="36" spans="1:6" x14ac:dyDescent="0.25">
      <c r="A36"/>
      <c r="B36"/>
      <c r="C36"/>
      <c r="D36"/>
      <c r="E36"/>
      <c r="F36" s="125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3" spans="1:6" x14ac:dyDescent="0.25">
      <c r="A43" s="53"/>
      <c r="B43" s="131"/>
      <c r="C43" s="131"/>
      <c r="D43" s="131"/>
    </row>
    <row r="44" spans="1:6" x14ac:dyDescent="0.25">
      <c r="A44" s="53"/>
      <c r="B44" s="131"/>
      <c r="C44" s="131"/>
      <c r="D44" s="131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M57"/>
  <sheetViews>
    <sheetView showGridLines="0" zoomScale="120" zoomScaleNormal="120" workbookViewId="0">
      <selection activeCell="I41" sqref="I41"/>
    </sheetView>
  </sheetViews>
  <sheetFormatPr baseColWidth="10" defaultColWidth="11.42578125" defaultRowHeight="15" x14ac:dyDescent="0.25"/>
  <cols>
    <col min="1" max="1" width="12" style="1" customWidth="1"/>
    <col min="2" max="4" width="18.140625" style="1" customWidth="1"/>
    <col min="5" max="5" width="17.140625" style="1" customWidth="1"/>
    <col min="6" max="6" width="11.42578125" style="1"/>
    <col min="7" max="7" width="19" style="1" customWidth="1"/>
    <col min="8" max="8" width="15.5703125" style="1" customWidth="1"/>
    <col min="9" max="9" width="18.140625" style="1" customWidth="1"/>
    <col min="10" max="10" width="19.85546875" style="1" customWidth="1"/>
    <col min="11" max="11" width="11.42578125" style="1"/>
    <col min="12" max="12" width="15" style="1" bestFit="1" customWidth="1"/>
    <col min="13" max="13" width="16.85546875" style="1" bestFit="1" customWidth="1"/>
    <col min="14" max="16384" width="11.42578125" style="1"/>
  </cols>
  <sheetData>
    <row r="1" spans="1:13" x14ac:dyDescent="0.25">
      <c r="A1" s="304" t="s">
        <v>0</v>
      </c>
      <c r="B1" s="304"/>
      <c r="C1" s="304"/>
      <c r="D1" s="304"/>
      <c r="E1" s="304"/>
      <c r="F1" s="304"/>
      <c r="G1" s="304"/>
      <c r="H1" s="304"/>
    </row>
    <row r="2" spans="1:13" x14ac:dyDescent="0.25">
      <c r="A2" s="304" t="s">
        <v>65</v>
      </c>
      <c r="B2" s="304"/>
      <c r="C2" s="304"/>
      <c r="D2" s="304"/>
      <c r="E2" s="304"/>
      <c r="F2" s="304"/>
      <c r="G2" s="304"/>
      <c r="H2" s="304"/>
    </row>
    <row r="3" spans="1:13" x14ac:dyDescent="0.25">
      <c r="A3" s="304" t="s">
        <v>66</v>
      </c>
      <c r="B3" s="304"/>
      <c r="C3" s="304"/>
      <c r="D3" s="304"/>
      <c r="E3" s="304"/>
      <c r="F3" s="304"/>
      <c r="G3" s="304"/>
      <c r="H3" s="304"/>
    </row>
    <row r="4" spans="1:13" x14ac:dyDescent="0.25">
      <c r="A4" s="304" t="s">
        <v>238</v>
      </c>
      <c r="B4" s="304"/>
      <c r="C4" s="304"/>
      <c r="D4" s="304"/>
      <c r="E4" s="304"/>
      <c r="F4" s="304"/>
      <c r="G4" s="304"/>
      <c r="H4" s="304"/>
    </row>
    <row r="5" spans="1:13" x14ac:dyDescent="0.25">
      <c r="A5" s="304" t="s">
        <v>233</v>
      </c>
      <c r="B5" s="304"/>
      <c r="C5" s="304"/>
      <c r="D5" s="304"/>
      <c r="E5" s="304"/>
      <c r="F5" s="304"/>
      <c r="G5" s="304"/>
      <c r="H5" s="304"/>
    </row>
    <row r="6" spans="1:13" x14ac:dyDescent="0.25">
      <c r="A6" s="132"/>
      <c r="B6" s="317" t="s">
        <v>67</v>
      </c>
      <c r="C6" s="317"/>
      <c r="D6" s="317"/>
      <c r="E6" s="317" t="s">
        <v>68</v>
      </c>
      <c r="F6" s="317"/>
      <c r="G6" s="317"/>
      <c r="H6" s="317"/>
    </row>
    <row r="7" spans="1:13" ht="15" customHeight="1" x14ac:dyDescent="0.25">
      <c r="A7" s="316" t="s">
        <v>3</v>
      </c>
      <c r="B7" s="309" t="s">
        <v>69</v>
      </c>
      <c r="C7" s="309" t="s">
        <v>70</v>
      </c>
      <c r="D7" s="309" t="s">
        <v>71</v>
      </c>
      <c r="E7" s="309" t="s">
        <v>72</v>
      </c>
      <c r="F7" s="309"/>
      <c r="G7" s="309" t="s">
        <v>6</v>
      </c>
      <c r="H7" s="309"/>
      <c r="I7" s="14"/>
    </row>
    <row r="8" spans="1:13" x14ac:dyDescent="0.25">
      <c r="A8" s="316"/>
      <c r="B8" s="309"/>
      <c r="C8" s="309"/>
      <c r="D8" s="309"/>
      <c r="E8" s="309"/>
      <c r="F8" s="309"/>
      <c r="G8" s="309"/>
      <c r="H8" s="309"/>
      <c r="I8" s="14"/>
      <c r="J8" s="1" t="s">
        <v>253</v>
      </c>
    </row>
    <row r="9" spans="1:13" x14ac:dyDescent="0.25">
      <c r="A9" s="133"/>
      <c r="B9" s="110" t="s">
        <v>7</v>
      </c>
      <c r="C9" s="110" t="s">
        <v>7</v>
      </c>
      <c r="D9" s="110" t="s">
        <v>7</v>
      </c>
      <c r="E9" s="110" t="s">
        <v>8</v>
      </c>
      <c r="F9" s="110" t="s">
        <v>9</v>
      </c>
      <c r="G9" s="110" t="s">
        <v>8</v>
      </c>
      <c r="H9" s="110" t="s">
        <v>9</v>
      </c>
    </row>
    <row r="10" spans="1:13" x14ac:dyDescent="0.25">
      <c r="A10" s="156" t="s">
        <v>10</v>
      </c>
      <c r="B10" s="196">
        <v>3712996135.8299999</v>
      </c>
      <c r="C10" s="196">
        <v>0</v>
      </c>
      <c r="D10" s="197">
        <v>4065022821.4800014</v>
      </c>
      <c r="E10" s="198">
        <v>3575892933.0099998</v>
      </c>
      <c r="F10" s="206">
        <v>0.8796735196945541</v>
      </c>
      <c r="G10" s="199">
        <v>489129888.4700017</v>
      </c>
      <c r="H10" s="210">
        <v>0.12032648030544595</v>
      </c>
    </row>
    <row r="11" spans="1:13" x14ac:dyDescent="0.25">
      <c r="A11" s="156" t="s">
        <v>11</v>
      </c>
      <c r="B11" s="200">
        <v>3870190028.5599999</v>
      </c>
      <c r="C11" s="200">
        <v>5667935.25</v>
      </c>
      <c r="D11" s="200">
        <v>4364987852.2800016</v>
      </c>
      <c r="E11" s="201">
        <v>3820870804.9400001</v>
      </c>
      <c r="F11" s="207">
        <v>0.87518304283785908</v>
      </c>
      <c r="G11" s="199">
        <v>544117047.34000158</v>
      </c>
      <c r="H11" s="211">
        <v>0.12465488238547749</v>
      </c>
      <c r="I11" s="14"/>
    </row>
    <row r="12" spans="1:13" x14ac:dyDescent="0.25">
      <c r="A12" s="156" t="s">
        <v>239</v>
      </c>
      <c r="B12" s="200">
        <v>3811409417.6700001</v>
      </c>
      <c r="C12" s="203">
        <v>1180680.7499999998</v>
      </c>
      <c r="D12" s="200">
        <v>4099281069.5100017</v>
      </c>
      <c r="E12" s="198">
        <v>3747254383.8600001</v>
      </c>
      <c r="F12" s="207">
        <v>0.91410003361178827</v>
      </c>
      <c r="G12" s="199">
        <v>352026685.65000153</v>
      </c>
      <c r="H12" s="211">
        <v>8.5875225358011439E-2</v>
      </c>
      <c r="K12" s="14"/>
      <c r="M12" s="104"/>
    </row>
    <row r="13" spans="1:13" x14ac:dyDescent="0.25">
      <c r="A13" s="156" t="s">
        <v>13</v>
      </c>
      <c r="B13" s="200">
        <v>3756497359.1300001</v>
      </c>
      <c r="C13" s="203">
        <v>2136868.89</v>
      </c>
      <c r="D13" s="200">
        <v>4000422693.9600015</v>
      </c>
      <c r="E13" s="204">
        <v>3713731722.8699999</v>
      </c>
      <c r="F13" s="207">
        <v>0.92829652915447136</v>
      </c>
      <c r="G13" s="205">
        <v>286690971.09000158</v>
      </c>
      <c r="H13" s="211">
        <v>7.1665169663910538E-2</v>
      </c>
    </row>
    <row r="14" spans="1:13" x14ac:dyDescent="0.25">
      <c r="A14" s="27" t="s">
        <v>248</v>
      </c>
      <c r="B14" s="208">
        <f>SUM(B10:B13)</f>
        <v>15151092941.189999</v>
      </c>
      <c r="C14" s="209">
        <f>SUM(C10:C13)</f>
        <v>8985484.8900000006</v>
      </c>
      <c r="D14" s="209">
        <f>SUM(D10:D13)</f>
        <v>16529714437.230005</v>
      </c>
      <c r="E14" s="209">
        <f>SUM(E10:E13)</f>
        <v>14857749844.68</v>
      </c>
      <c r="F14" s="213">
        <f>+E14/(B14+C14+241788465.94)+N("El monto de los 241 millones incluidos en la suma corresponden a el total de restantes absolutos de la ejecución presupuestaria del T3")</f>
        <v>0.96467200689664989</v>
      </c>
      <c r="G14" s="208">
        <f>(241788465.94+B14+C14)-E14</f>
        <v>544117047.33999825</v>
      </c>
      <c r="H14" s="212">
        <f>G14/(B14+C14)</f>
        <v>3.5891440139514681E-2</v>
      </c>
      <c r="I14" s="18"/>
    </row>
    <row r="15" spans="1:13" hidden="1" x14ac:dyDescent="0.25">
      <c r="A15" s="84" t="s">
        <v>15</v>
      </c>
      <c r="B15" s="114">
        <v>1913412632.9166667</v>
      </c>
      <c r="C15" s="114"/>
      <c r="D15" s="114"/>
      <c r="E15" s="115"/>
      <c r="F15" s="2">
        <f t="shared" ref="F15:F28" si="0">(E15/B15)</f>
        <v>0</v>
      </c>
      <c r="G15" s="72">
        <f>+B15-E15</f>
        <v>1913412632.9166667</v>
      </c>
      <c r="H15" s="4">
        <f t="shared" ref="H15:H27" si="1">(G15/B15)</f>
        <v>1</v>
      </c>
    </row>
    <row r="16" spans="1:13" hidden="1" x14ac:dyDescent="0.25">
      <c r="A16" s="84" t="s">
        <v>16</v>
      </c>
      <c r="B16" s="114">
        <v>1913412632.9166667</v>
      </c>
      <c r="C16" s="114"/>
      <c r="D16" s="114"/>
      <c r="E16" s="115"/>
      <c r="F16" s="2">
        <f t="shared" si="0"/>
        <v>0</v>
      </c>
      <c r="G16" s="72">
        <f>+B16-E16</f>
        <v>1913412632.9166667</v>
      </c>
      <c r="H16" s="4">
        <f t="shared" si="1"/>
        <v>1</v>
      </c>
    </row>
    <row r="17" spans="1:12" hidden="1" x14ac:dyDescent="0.25">
      <c r="A17" s="84" t="s">
        <v>17</v>
      </c>
      <c r="B17" s="114">
        <v>1913412632.9166667</v>
      </c>
      <c r="C17" s="114"/>
      <c r="D17" s="114"/>
      <c r="E17" s="115"/>
      <c r="F17" s="2">
        <f t="shared" si="0"/>
        <v>0</v>
      </c>
      <c r="G17" s="72">
        <f>+B17-E17</f>
        <v>1913412632.9166667</v>
      </c>
      <c r="H17" s="4">
        <f t="shared" si="1"/>
        <v>1</v>
      </c>
    </row>
    <row r="18" spans="1:12" hidden="1" x14ac:dyDescent="0.25">
      <c r="A18" s="27" t="s">
        <v>18</v>
      </c>
      <c r="B18" s="8">
        <f>SUM(B15:B17)</f>
        <v>5740237898.75</v>
      </c>
      <c r="C18" s="8"/>
      <c r="D18" s="8"/>
      <c r="E18" s="8">
        <f>SUM(E15:E17)</f>
        <v>0</v>
      </c>
      <c r="F18" s="3">
        <f t="shared" si="0"/>
        <v>0</v>
      </c>
      <c r="G18" s="13">
        <f>SUM(G10:G13)</f>
        <v>1671964592.5500064</v>
      </c>
      <c r="H18" s="5">
        <f t="shared" si="1"/>
        <v>0.29127095811030673</v>
      </c>
    </row>
    <row r="19" spans="1:12" hidden="1" x14ac:dyDescent="0.25">
      <c r="A19" s="84" t="s">
        <v>19</v>
      </c>
      <c r="B19" s="114">
        <v>1913412632.9166667</v>
      </c>
      <c r="C19" s="114"/>
      <c r="D19" s="114"/>
      <c r="E19" s="115"/>
      <c r="F19" s="2">
        <f t="shared" si="0"/>
        <v>0</v>
      </c>
      <c r="G19" s="72">
        <f>+B19-E19</f>
        <v>1913412632.9166667</v>
      </c>
      <c r="H19" s="4">
        <f t="shared" si="1"/>
        <v>1</v>
      </c>
    </row>
    <row r="20" spans="1:12" hidden="1" x14ac:dyDescent="0.25">
      <c r="A20" s="84" t="s">
        <v>20</v>
      </c>
      <c r="B20" s="114">
        <v>1913412632.9166667</v>
      </c>
      <c r="C20" s="114"/>
      <c r="D20" s="114"/>
      <c r="E20" s="115"/>
      <c r="F20" s="2">
        <f t="shared" si="0"/>
        <v>0</v>
      </c>
      <c r="G20" s="72">
        <f>+B20-E20</f>
        <v>1913412632.9166667</v>
      </c>
      <c r="H20" s="4">
        <f t="shared" si="1"/>
        <v>1</v>
      </c>
    </row>
    <row r="21" spans="1:12" hidden="1" x14ac:dyDescent="0.25">
      <c r="A21" s="84" t="s">
        <v>21</v>
      </c>
      <c r="B21" s="114">
        <v>1913412632.9166667</v>
      </c>
      <c r="C21" s="114"/>
      <c r="D21" s="114"/>
      <c r="E21" s="115"/>
      <c r="F21" s="2">
        <f t="shared" si="0"/>
        <v>0</v>
      </c>
      <c r="G21" s="72">
        <f>+B21-E21</f>
        <v>1913412632.9166667</v>
      </c>
      <c r="H21" s="4">
        <f t="shared" si="1"/>
        <v>1</v>
      </c>
    </row>
    <row r="22" spans="1:12" hidden="1" x14ac:dyDescent="0.25">
      <c r="A22" s="27" t="s">
        <v>22</v>
      </c>
      <c r="B22" s="8">
        <f>SUM(B19:B21)</f>
        <v>5740237898.75</v>
      </c>
      <c r="C22" s="8"/>
      <c r="D22" s="8"/>
      <c r="E22" s="8">
        <f>SUM(E19:E21)</f>
        <v>0</v>
      </c>
      <c r="F22" s="3">
        <f t="shared" si="0"/>
        <v>0</v>
      </c>
      <c r="G22" s="13">
        <f>SUM(G19:G21)</f>
        <v>5740237898.75</v>
      </c>
      <c r="H22" s="5">
        <f t="shared" si="1"/>
        <v>1</v>
      </c>
    </row>
    <row r="23" spans="1:12" hidden="1" x14ac:dyDescent="0.25">
      <c r="A23" s="84" t="s">
        <v>13</v>
      </c>
      <c r="B23" s="114">
        <v>1913412632.9166667</v>
      </c>
      <c r="C23" s="114"/>
      <c r="D23" s="114"/>
      <c r="E23" s="115"/>
      <c r="F23" s="2">
        <f t="shared" si="0"/>
        <v>0</v>
      </c>
      <c r="G23" s="72">
        <f>+B23-E23</f>
        <v>1913412632.9166667</v>
      </c>
      <c r="H23" s="4">
        <f t="shared" si="1"/>
        <v>1</v>
      </c>
    </row>
    <row r="24" spans="1:12" hidden="1" x14ac:dyDescent="0.25">
      <c r="A24" s="84" t="s">
        <v>12</v>
      </c>
      <c r="B24" s="114">
        <v>1913412632.9166667</v>
      </c>
      <c r="C24" s="114"/>
      <c r="D24" s="114"/>
      <c r="E24" s="115"/>
      <c r="F24" s="2">
        <f t="shared" si="0"/>
        <v>0</v>
      </c>
      <c r="G24" s="72">
        <f>+B24-E24</f>
        <v>1913412632.9166667</v>
      </c>
      <c r="H24" s="4">
        <f t="shared" si="1"/>
        <v>1</v>
      </c>
    </row>
    <row r="25" spans="1:12" hidden="1" x14ac:dyDescent="0.25">
      <c r="A25" s="84" t="s">
        <v>11</v>
      </c>
      <c r="B25" s="114">
        <v>1843710155</v>
      </c>
      <c r="C25" s="114"/>
      <c r="D25" s="114"/>
      <c r="E25" s="115"/>
      <c r="F25" s="2">
        <f t="shared" si="0"/>
        <v>0</v>
      </c>
      <c r="G25" s="72">
        <f>+B25-E25</f>
        <v>1843710155</v>
      </c>
      <c r="H25" s="4">
        <f t="shared" si="1"/>
        <v>1</v>
      </c>
    </row>
    <row r="26" spans="1:12" hidden="1" x14ac:dyDescent="0.25">
      <c r="A26" s="84" t="s">
        <v>10</v>
      </c>
      <c r="B26" s="114">
        <v>1913412632.9166667</v>
      </c>
      <c r="C26" s="114"/>
      <c r="D26" s="114"/>
      <c r="E26" s="115"/>
      <c r="F26" s="2">
        <f t="shared" si="0"/>
        <v>0</v>
      </c>
      <c r="G26" s="72">
        <f>+B26-E26</f>
        <v>1913412632.9166667</v>
      </c>
      <c r="H26" s="4">
        <f t="shared" si="1"/>
        <v>1</v>
      </c>
    </row>
    <row r="27" spans="1:12" hidden="1" x14ac:dyDescent="0.25">
      <c r="A27" s="27" t="s">
        <v>14</v>
      </c>
      <c r="B27" s="8">
        <f>SUM(B23:B26)</f>
        <v>7583948053.750001</v>
      </c>
      <c r="C27" s="8"/>
      <c r="D27" s="8"/>
      <c r="E27" s="8">
        <f>SUM(E23:E26)</f>
        <v>0</v>
      </c>
      <c r="F27" s="3">
        <f t="shared" si="0"/>
        <v>0</v>
      </c>
      <c r="G27" s="13">
        <f>SUM(G23:G26)</f>
        <v>7583948053.750001</v>
      </c>
      <c r="H27" s="5">
        <f t="shared" si="1"/>
        <v>1</v>
      </c>
    </row>
    <row r="28" spans="1:12" hidden="1" x14ac:dyDescent="0.25">
      <c r="A28" s="117" t="s">
        <v>23</v>
      </c>
      <c r="B28" s="10">
        <f>+B14+B18+B22+B27</f>
        <v>34215516792.439999</v>
      </c>
      <c r="C28" s="10"/>
      <c r="D28" s="10"/>
      <c r="E28" s="10">
        <f>+E14+E18+E22+E27</f>
        <v>14857749844.68</v>
      </c>
      <c r="F28" s="17">
        <f t="shared" si="0"/>
        <v>0.43424011201733059</v>
      </c>
      <c r="G28" s="11">
        <f>+G14+G18+G22+G27</f>
        <v>15540267592.390007</v>
      </c>
      <c r="H28" s="17">
        <v>1</v>
      </c>
    </row>
    <row r="29" spans="1:12" ht="26.25" customHeight="1" x14ac:dyDescent="0.25">
      <c r="A29" s="314" t="s">
        <v>73</v>
      </c>
      <c r="B29" s="314"/>
      <c r="C29" s="314"/>
      <c r="D29" s="314"/>
      <c r="E29" s="314"/>
      <c r="F29" s="314"/>
      <c r="G29" s="314"/>
      <c r="H29" s="314"/>
    </row>
    <row r="30" spans="1:12" ht="13.5" customHeight="1" x14ac:dyDescent="0.25">
      <c r="A30" s="315" t="s">
        <v>247</v>
      </c>
      <c r="B30" s="315"/>
      <c r="C30" s="315"/>
      <c r="D30" s="315"/>
      <c r="E30" s="315"/>
      <c r="F30" s="315"/>
      <c r="G30" s="315"/>
      <c r="H30" s="315"/>
      <c r="I30" s="14"/>
      <c r="J30" s="104"/>
    </row>
    <row r="31" spans="1:12" ht="24.75" customHeight="1" x14ac:dyDescent="0.25">
      <c r="A31" s="311" t="s">
        <v>256</v>
      </c>
      <c r="B31" s="312"/>
      <c r="C31" s="312"/>
      <c r="D31" s="312"/>
      <c r="E31" s="312"/>
      <c r="F31" s="312"/>
      <c r="G31" s="312"/>
      <c r="H31" s="312"/>
      <c r="I31" s="14"/>
      <c r="J31" s="104"/>
      <c r="L31" s="36"/>
    </row>
    <row r="32" spans="1:12" ht="12.75" customHeight="1" x14ac:dyDescent="0.25">
      <c r="A32" s="313" t="s">
        <v>74</v>
      </c>
      <c r="B32" s="313"/>
      <c r="C32" s="313"/>
      <c r="D32" s="313"/>
      <c r="E32" s="313"/>
      <c r="F32" s="313"/>
      <c r="G32" s="313"/>
      <c r="H32" s="313"/>
      <c r="J32" s="33"/>
      <c r="L32" s="14"/>
    </row>
    <row r="33" spans="1:13" x14ac:dyDescent="0.25">
      <c r="A33" s="174"/>
      <c r="B33" s="173"/>
      <c r="C33"/>
      <c r="D33"/>
      <c r="E33"/>
      <c r="F33"/>
      <c r="G33"/>
      <c r="H33"/>
      <c r="I33" s="14"/>
    </row>
    <row r="34" spans="1:13" x14ac:dyDescent="0.25">
      <c r="A34"/>
      <c r="B34"/>
      <c r="C34"/>
      <c r="D34"/>
      <c r="E34"/>
      <c r="F34"/>
      <c r="G34"/>
      <c r="H34"/>
    </row>
    <row r="35" spans="1:13" x14ac:dyDescent="0.25">
      <c r="A35"/>
      <c r="B35"/>
      <c r="C35"/>
      <c r="D35"/>
      <c r="E35"/>
      <c r="F35"/>
      <c r="G35"/>
      <c r="H35"/>
    </row>
    <row r="36" spans="1:13" x14ac:dyDescent="0.25">
      <c r="A36"/>
      <c r="B36"/>
      <c r="C36"/>
      <c r="D36"/>
      <c r="E36"/>
      <c r="F36"/>
      <c r="G36"/>
      <c r="H36"/>
      <c r="M36" s="82"/>
    </row>
    <row r="37" spans="1:13" x14ac:dyDescent="0.25">
      <c r="A37"/>
      <c r="B37"/>
      <c r="C37"/>
      <c r="D37"/>
      <c r="E37"/>
      <c r="F37"/>
      <c r="G37"/>
      <c r="H37"/>
    </row>
    <row r="38" spans="1:13" x14ac:dyDescent="0.25">
      <c r="A38"/>
      <c r="B38"/>
      <c r="C38"/>
      <c r="D38"/>
      <c r="E38"/>
      <c r="F38"/>
      <c r="G38"/>
      <c r="H38"/>
    </row>
    <row r="39" spans="1:13" x14ac:dyDescent="0.25">
      <c r="A39"/>
      <c r="B39"/>
      <c r="C39"/>
      <c r="D39"/>
      <c r="E39"/>
      <c r="F39"/>
      <c r="G39"/>
      <c r="H39"/>
    </row>
    <row r="40" spans="1:13" x14ac:dyDescent="0.25">
      <c r="A40"/>
      <c r="B40"/>
      <c r="C40"/>
      <c r="D40"/>
      <c r="E40"/>
      <c r="F40"/>
      <c r="G40"/>
      <c r="H40"/>
    </row>
    <row r="41" spans="1:13" x14ac:dyDescent="0.25">
      <c r="A41"/>
      <c r="B41"/>
      <c r="C41"/>
      <c r="D41"/>
      <c r="E41"/>
      <c r="F41"/>
      <c r="G41"/>
      <c r="H41"/>
    </row>
    <row r="42" spans="1:13" x14ac:dyDescent="0.25">
      <c r="A42"/>
      <c r="B42"/>
      <c r="C42"/>
      <c r="D42"/>
      <c r="E42"/>
      <c r="F42"/>
      <c r="G42"/>
      <c r="H42"/>
    </row>
    <row r="43" spans="1:13" x14ac:dyDescent="0.25">
      <c r="A43"/>
      <c r="B43"/>
      <c r="C43"/>
      <c r="D43"/>
      <c r="E43"/>
      <c r="F43"/>
      <c r="G43"/>
      <c r="H43"/>
    </row>
    <row r="44" spans="1:13" x14ac:dyDescent="0.25">
      <c r="A44"/>
      <c r="B44"/>
      <c r="C44"/>
      <c r="D44"/>
      <c r="E44"/>
      <c r="F44"/>
      <c r="G44"/>
      <c r="H44"/>
    </row>
    <row r="45" spans="1:13" x14ac:dyDescent="0.25">
      <c r="A45"/>
      <c r="B45"/>
      <c r="C45"/>
      <c r="D45"/>
      <c r="E45"/>
      <c r="F45"/>
      <c r="G45"/>
      <c r="H45"/>
    </row>
    <row r="46" spans="1:13" x14ac:dyDescent="0.25">
      <c r="A46"/>
      <c r="B46"/>
      <c r="C46"/>
      <c r="D46"/>
      <c r="E46"/>
      <c r="F46"/>
      <c r="G46"/>
      <c r="H46"/>
    </row>
    <row r="47" spans="1:13" x14ac:dyDescent="0.25">
      <c r="A47"/>
      <c r="B47"/>
      <c r="C47"/>
      <c r="D47"/>
      <c r="E47"/>
      <c r="F47"/>
      <c r="G47"/>
      <c r="H47"/>
    </row>
    <row r="48" spans="1:13" x14ac:dyDescent="0.25">
      <c r="A48"/>
      <c r="B48"/>
      <c r="C48"/>
      <c r="D48"/>
      <c r="E48"/>
      <c r="F48"/>
      <c r="G48"/>
      <c r="H48"/>
    </row>
    <row r="49" spans="1:9" x14ac:dyDescent="0.25">
      <c r="A49"/>
      <c r="B49"/>
      <c r="C49"/>
      <c r="D49"/>
      <c r="E49"/>
      <c r="F49"/>
      <c r="G49"/>
      <c r="H49"/>
    </row>
    <row r="50" spans="1:9" x14ac:dyDescent="0.25">
      <c r="A50"/>
      <c r="B50"/>
      <c r="C50"/>
      <c r="D50"/>
      <c r="E50"/>
      <c r="F50"/>
      <c r="G50"/>
      <c r="H50"/>
    </row>
    <row r="51" spans="1:9" x14ac:dyDescent="0.25">
      <c r="A51"/>
      <c r="B51"/>
      <c r="C51"/>
      <c r="D51"/>
      <c r="E51"/>
      <c r="F51"/>
      <c r="G51"/>
      <c r="H51"/>
    </row>
    <row r="52" spans="1:9" x14ac:dyDescent="0.25">
      <c r="A52"/>
      <c r="B52"/>
      <c r="C52"/>
      <c r="D52"/>
      <c r="E52"/>
      <c r="F52"/>
      <c r="G52"/>
      <c r="H52"/>
    </row>
    <row r="53" spans="1:9" x14ac:dyDescent="0.25">
      <c r="A53"/>
      <c r="B53"/>
      <c r="C53"/>
      <c r="D53"/>
      <c r="E53"/>
      <c r="F53"/>
      <c r="G53"/>
      <c r="H53"/>
    </row>
    <row r="54" spans="1:9" x14ac:dyDescent="0.25">
      <c r="A54"/>
      <c r="B54"/>
      <c r="C54"/>
      <c r="D54"/>
      <c r="E54"/>
      <c r="F54"/>
      <c r="G54"/>
      <c r="H54"/>
    </row>
    <row r="55" spans="1:9" x14ac:dyDescent="0.25">
      <c r="B55" s="84"/>
      <c r="C55" s="114"/>
      <c r="D55" s="134"/>
      <c r="E55" s="114"/>
      <c r="F55" s="115"/>
      <c r="G55" s="2"/>
      <c r="H55" s="72"/>
      <c r="I55" s="4"/>
    </row>
    <row r="57" spans="1:9" x14ac:dyDescent="0.25">
      <c r="B57" s="84"/>
      <c r="C57" s="134"/>
      <c r="D57" s="114"/>
      <c r="E57" s="114"/>
      <c r="F57" s="115"/>
      <c r="G57" s="2"/>
      <c r="H57" s="107"/>
      <c r="I57" s="4"/>
    </row>
  </sheetData>
  <mergeCells count="17">
    <mergeCell ref="E6:H6"/>
    <mergeCell ref="A31:H31"/>
    <mergeCell ref="A32:H32"/>
    <mergeCell ref="A29:H29"/>
    <mergeCell ref="A30:H30"/>
    <mergeCell ref="A1:H1"/>
    <mergeCell ref="A2:H2"/>
    <mergeCell ref="A3:H3"/>
    <mergeCell ref="A5:H5"/>
    <mergeCell ref="E7:F8"/>
    <mergeCell ref="G7:H8"/>
    <mergeCell ref="B7:B8"/>
    <mergeCell ref="A7:A8"/>
    <mergeCell ref="A4:H4"/>
    <mergeCell ref="C7:C8"/>
    <mergeCell ref="D7:D8"/>
    <mergeCell ref="B6:D6"/>
  </mergeCells>
  <pageMargins left="0.7" right="0.7" top="0.75" bottom="0.75" header="0.3" footer="0.3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W67"/>
  <sheetViews>
    <sheetView showGridLines="0" topLeftCell="A9" zoomScaleNormal="100" zoomScaleSheetLayoutView="130" workbookViewId="0">
      <selection activeCell="AB33" sqref="AB33"/>
    </sheetView>
  </sheetViews>
  <sheetFormatPr baseColWidth="10" defaultColWidth="11.42578125" defaultRowHeight="15" x14ac:dyDescent="0.25"/>
  <cols>
    <col min="1" max="1" width="12.28515625" style="1" customWidth="1"/>
    <col min="2" max="2" width="11" style="1" customWidth="1"/>
    <col min="3" max="3" width="11.42578125" style="1" customWidth="1"/>
    <col min="4" max="4" width="17.5703125" style="1" customWidth="1"/>
    <col min="5" max="5" width="11" style="1" customWidth="1"/>
    <col min="6" max="6" width="10.140625" style="1" customWidth="1"/>
    <col min="7" max="7" width="21.140625" style="1" customWidth="1"/>
    <col min="8" max="8" width="10.7109375" style="1" bestFit="1" customWidth="1"/>
    <col min="9" max="9" width="11.7109375" style="1" customWidth="1"/>
    <col min="10" max="10" width="17.140625" style="1" customWidth="1"/>
    <col min="11" max="11" width="10.7109375" style="1" customWidth="1"/>
    <col min="12" max="12" width="10.28515625" style="1" customWidth="1"/>
    <col min="13" max="13" width="17.7109375" style="1" bestFit="1" customWidth="1"/>
    <col min="14" max="14" width="11" style="1" customWidth="1"/>
    <col min="15" max="15" width="15.42578125" style="1" hidden="1" customWidth="1"/>
    <col min="16" max="16" width="16.42578125" style="1" hidden="1" customWidth="1"/>
    <col min="17" max="17" width="14.7109375" style="1" hidden="1" customWidth="1"/>
    <col min="18" max="18" width="17.7109375" style="1" hidden="1" customWidth="1"/>
    <col min="19" max="19" width="16.7109375" style="1" hidden="1" customWidth="1"/>
    <col min="20" max="20" width="12.28515625" style="1" hidden="1" customWidth="1"/>
    <col min="21" max="21" width="17.7109375" style="1" hidden="1" customWidth="1"/>
    <col min="22" max="22" width="0" style="1" hidden="1" customWidth="1"/>
    <col min="23" max="16384" width="11.42578125" style="1"/>
  </cols>
  <sheetData>
    <row r="1" spans="1:23" x14ac:dyDescent="0.25">
      <c r="A1" s="304" t="s">
        <v>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22"/>
    </row>
    <row r="2" spans="1:23" x14ac:dyDescent="0.25">
      <c r="A2" s="304" t="s">
        <v>65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23" x14ac:dyDescent="0.25">
      <c r="A3" s="304" t="s">
        <v>75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</row>
    <row r="4" spans="1:23" x14ac:dyDescent="0.25">
      <c r="A4" s="304" t="s">
        <v>238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</row>
    <row r="5" spans="1:23" x14ac:dyDescent="0.25">
      <c r="A5" s="304" t="s">
        <v>233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</row>
    <row r="6" spans="1:23" x14ac:dyDescent="0.25">
      <c r="A6"/>
      <c r="B6" s="319" t="s">
        <v>76</v>
      </c>
      <c r="C6" s="319"/>
      <c r="D6" s="319"/>
      <c r="E6" s="322" t="s">
        <v>77</v>
      </c>
      <c r="F6" s="322"/>
      <c r="G6" s="322"/>
      <c r="H6" s="320" t="s">
        <v>78</v>
      </c>
      <c r="I6" s="320"/>
      <c r="J6" s="320"/>
      <c r="K6" s="321" t="s">
        <v>79</v>
      </c>
      <c r="L6" s="321"/>
      <c r="M6" s="321"/>
    </row>
    <row r="7" spans="1:23" ht="25.5" x14ac:dyDescent="0.25">
      <c r="A7" s="43" t="s">
        <v>3</v>
      </c>
      <c r="B7" s="45" t="s">
        <v>80</v>
      </c>
      <c r="C7" s="45" t="s">
        <v>81</v>
      </c>
      <c r="D7" s="45" t="s">
        <v>7</v>
      </c>
      <c r="E7" s="45" t="s">
        <v>80</v>
      </c>
      <c r="F7" s="45" t="s">
        <v>81</v>
      </c>
      <c r="G7" s="45" t="s">
        <v>7</v>
      </c>
      <c r="H7" s="45" t="s">
        <v>80</v>
      </c>
      <c r="I7" s="45" t="s">
        <v>81</v>
      </c>
      <c r="J7" s="45" t="s">
        <v>7</v>
      </c>
      <c r="K7" s="45" t="s">
        <v>80</v>
      </c>
      <c r="L7" s="45" t="s">
        <v>81</v>
      </c>
      <c r="M7" s="45" t="s">
        <v>7</v>
      </c>
      <c r="W7" s="35"/>
    </row>
    <row r="8" spans="1:23" s="160" customFormat="1" x14ac:dyDescent="0.25">
      <c r="A8" s="161" t="s">
        <v>10</v>
      </c>
      <c r="B8" s="162">
        <v>150455</v>
      </c>
      <c r="C8" s="159">
        <v>163068</v>
      </c>
      <c r="D8" s="214">
        <v>2551878210.3299999</v>
      </c>
      <c r="E8" s="158">
        <v>49477</v>
      </c>
      <c r="F8" s="158">
        <v>49477</v>
      </c>
      <c r="G8" s="215">
        <v>282618000</v>
      </c>
      <c r="H8" s="157">
        <v>25425</v>
      </c>
      <c r="I8" s="158">
        <v>25515</v>
      </c>
      <c r="J8" s="215">
        <v>741396722.67999995</v>
      </c>
      <c r="K8" s="163">
        <f>+H8+E8+B8</f>
        <v>225357</v>
      </c>
      <c r="L8" s="163">
        <f>+C8+F8+I8</f>
        <v>238060</v>
      </c>
      <c r="M8" s="216">
        <f>+D8+G8+J8</f>
        <v>3575892933.0099998</v>
      </c>
    </row>
    <row r="9" spans="1:23" x14ac:dyDescent="0.25">
      <c r="A9" s="156" t="s">
        <v>11</v>
      </c>
      <c r="B9" s="185">
        <v>152482</v>
      </c>
      <c r="C9" s="32">
        <v>165233</v>
      </c>
      <c r="D9" s="215">
        <v>2689659337.73</v>
      </c>
      <c r="E9" s="158">
        <v>51921</v>
      </c>
      <c r="F9" s="158">
        <v>51921</v>
      </c>
      <c r="G9" s="215">
        <v>311526000</v>
      </c>
      <c r="H9" s="158">
        <v>25431</v>
      </c>
      <c r="I9" s="158">
        <v>25526</v>
      </c>
      <c r="J9" s="215">
        <v>757721861.35000002</v>
      </c>
      <c r="K9" s="37">
        <f>+B9+H9+E9</f>
        <v>229834</v>
      </c>
      <c r="L9" s="38">
        <f t="shared" ref="L9" si="0">+C9+I9+F9</f>
        <v>242680</v>
      </c>
      <c r="M9" s="65">
        <f t="shared" ref="M9" si="1">+D9+J9+G9</f>
        <v>3758907199.0799999</v>
      </c>
      <c r="U9" s="99">
        <f>+U31/1000000</f>
        <v>8724.1083524300029</v>
      </c>
    </row>
    <row r="10" spans="1:23" x14ac:dyDescent="0.25">
      <c r="A10" s="156" t="s">
        <v>239</v>
      </c>
      <c r="B10" s="185">
        <v>151928</v>
      </c>
      <c r="C10" s="164">
        <v>164669</v>
      </c>
      <c r="D10" s="60">
        <v>2681199807.5300002</v>
      </c>
      <c r="E10" s="32">
        <v>51658</v>
      </c>
      <c r="F10" s="32">
        <v>51658</v>
      </c>
      <c r="G10" s="60">
        <v>309948000</v>
      </c>
      <c r="H10" s="32">
        <v>25390</v>
      </c>
      <c r="I10" s="32">
        <v>25484</v>
      </c>
      <c r="J10" s="60">
        <v>756106576.33000004</v>
      </c>
      <c r="K10" s="37">
        <f t="shared" ref="K10:M10" si="2">+B10+H10+E10</f>
        <v>228976</v>
      </c>
      <c r="L10" s="38">
        <f t="shared" si="2"/>
        <v>241811</v>
      </c>
      <c r="M10" s="65">
        <f t="shared" si="2"/>
        <v>3747254383.8600001</v>
      </c>
      <c r="Q10" s="35">
        <f>+L11-L10</f>
        <v>-2759</v>
      </c>
    </row>
    <row r="11" spans="1:23" x14ac:dyDescent="0.25">
      <c r="A11" s="156" t="s">
        <v>13</v>
      </c>
      <c r="B11" s="185">
        <v>151005</v>
      </c>
      <c r="C11" s="32">
        <v>163747</v>
      </c>
      <c r="D11" s="60">
        <v>2658092586.5799999</v>
      </c>
      <c r="E11" s="32">
        <v>49723</v>
      </c>
      <c r="F11" s="32">
        <v>49723</v>
      </c>
      <c r="G11" s="60">
        <v>298338000</v>
      </c>
      <c r="H11" s="32">
        <v>25391</v>
      </c>
      <c r="I11" s="32">
        <v>25582</v>
      </c>
      <c r="J11" s="60">
        <v>755752388.52999997</v>
      </c>
      <c r="K11" s="37">
        <f>+B11+H11+E11</f>
        <v>226119</v>
      </c>
      <c r="L11" s="38">
        <f t="shared" ref="L11" si="3">+C11+I11+F11</f>
        <v>239052</v>
      </c>
      <c r="M11" s="218">
        <f t="shared" ref="M11" si="4">+D11+J11+G11</f>
        <v>3712182975.1099997</v>
      </c>
      <c r="S11" s="33"/>
      <c r="V11" s="1">
        <f>+U31/1000000</f>
        <v>8724.1083524300029</v>
      </c>
    </row>
    <row r="12" spans="1:23" x14ac:dyDescent="0.25">
      <c r="A12" s="27" t="s">
        <v>249</v>
      </c>
      <c r="B12" s="39">
        <f>+B9</f>
        <v>152482</v>
      </c>
      <c r="C12" s="39">
        <f>+C9</f>
        <v>165233</v>
      </c>
      <c r="D12" s="219">
        <f>SUM(D8:D11)</f>
        <v>10580829942.17</v>
      </c>
      <c r="E12" s="39">
        <f>+E9</f>
        <v>51921</v>
      </c>
      <c r="F12" s="39">
        <f>+F9</f>
        <v>51921</v>
      </c>
      <c r="G12" s="219">
        <f>SUM(G8:G11)</f>
        <v>1202430000</v>
      </c>
      <c r="H12" s="39">
        <f>+H9</f>
        <v>25431</v>
      </c>
      <c r="I12" s="39">
        <f>+I9</f>
        <v>25526</v>
      </c>
      <c r="J12" s="220">
        <f>SUM(J8:J11)</f>
        <v>3010977548.8900003</v>
      </c>
      <c r="K12" s="39">
        <f>+K9</f>
        <v>229834</v>
      </c>
      <c r="L12" s="39">
        <f>+L9</f>
        <v>242680</v>
      </c>
      <c r="M12" s="220">
        <f>SUM(M8:M11)</f>
        <v>14794237491.060001</v>
      </c>
      <c r="S12" s="318" t="s">
        <v>45</v>
      </c>
      <c r="T12" s="318"/>
      <c r="U12" s="318"/>
      <c r="W12" s="36"/>
    </row>
    <row r="13" spans="1:23" hidden="1" x14ac:dyDescent="0.25">
      <c r="A13" s="44" t="s">
        <v>15</v>
      </c>
      <c r="B13" s="135"/>
      <c r="C13" s="106"/>
      <c r="D13" s="106">
        <f>SUM(D8:D11)</f>
        <v>10580829942.17</v>
      </c>
      <c r="E13" s="106"/>
      <c r="F13" s="106"/>
      <c r="G13" s="106">
        <f>SUM(G8:G11)</f>
        <v>1202430000</v>
      </c>
      <c r="H13" s="106"/>
      <c r="I13" s="106"/>
      <c r="J13" s="106">
        <f>SUM(J8:J11)</f>
        <v>3010977548.8900003</v>
      </c>
      <c r="K13" s="37">
        <f t="shared" ref="K13:M15" si="5">+B13+H13+E13</f>
        <v>0</v>
      </c>
      <c r="L13" s="38">
        <f t="shared" si="5"/>
        <v>0</v>
      </c>
      <c r="M13" s="37">
        <f t="shared" si="5"/>
        <v>14794237491.060001</v>
      </c>
    </row>
    <row r="14" spans="1:23" hidden="1" x14ac:dyDescent="0.25">
      <c r="A14" s="44" t="s">
        <v>16</v>
      </c>
      <c r="B14" s="135"/>
      <c r="C14" s="136"/>
      <c r="D14" s="106"/>
      <c r="E14" s="106"/>
      <c r="F14" s="106"/>
      <c r="G14" s="106"/>
      <c r="H14" s="106"/>
      <c r="I14" s="106"/>
      <c r="J14" s="106"/>
      <c r="K14" s="37">
        <f t="shared" si="5"/>
        <v>0</v>
      </c>
      <c r="L14" s="38">
        <f t="shared" si="5"/>
        <v>0</v>
      </c>
      <c r="M14" s="37">
        <f t="shared" si="5"/>
        <v>0</v>
      </c>
    </row>
    <row r="15" spans="1:23" hidden="1" x14ac:dyDescent="0.25">
      <c r="A15" s="44" t="s">
        <v>17</v>
      </c>
      <c r="B15" s="135"/>
      <c r="C15" s="106"/>
      <c r="D15" s="106"/>
      <c r="E15" s="106"/>
      <c r="F15" s="106"/>
      <c r="G15" s="106"/>
      <c r="H15" s="106"/>
      <c r="I15" s="106"/>
      <c r="J15" s="106"/>
      <c r="K15" s="37">
        <f t="shared" si="5"/>
        <v>0</v>
      </c>
      <c r="L15" s="38">
        <f t="shared" si="5"/>
        <v>0</v>
      </c>
      <c r="M15" s="37">
        <f t="shared" si="5"/>
        <v>0</v>
      </c>
      <c r="Q15" s="35">
        <f>+M11-M10</f>
        <v>-35071408.750000477</v>
      </c>
      <c r="S15" s="33"/>
    </row>
    <row r="16" spans="1:23" hidden="1" x14ac:dyDescent="0.25">
      <c r="A16" s="27" t="s">
        <v>18</v>
      </c>
      <c r="B16" s="39">
        <f>+B15</f>
        <v>0</v>
      </c>
      <c r="C16" s="39">
        <f>+C15</f>
        <v>0</v>
      </c>
      <c r="D16" s="39">
        <f>+SUM(D13:D15)</f>
        <v>10580829942.17</v>
      </c>
      <c r="E16" s="39">
        <f>+E15</f>
        <v>0</v>
      </c>
      <c r="F16" s="39">
        <f>+F15</f>
        <v>0</v>
      </c>
      <c r="G16" s="39">
        <f>+SUM(G13:G15)</f>
        <v>1202430000</v>
      </c>
      <c r="H16" s="39">
        <f>+H15</f>
        <v>0</v>
      </c>
      <c r="I16" s="39">
        <f>+I15</f>
        <v>0</v>
      </c>
      <c r="J16" s="39">
        <f>+SUM(J13:J15)</f>
        <v>3010977548.8900003</v>
      </c>
      <c r="K16" s="39">
        <f>+K15</f>
        <v>0</v>
      </c>
      <c r="L16" s="40">
        <f>+L15</f>
        <v>0</v>
      </c>
      <c r="M16" s="39">
        <f>+SUM(M13:M15)</f>
        <v>14794237491.060001</v>
      </c>
    </row>
    <row r="17" spans="1:21" hidden="1" x14ac:dyDescent="0.25">
      <c r="A17" s="44" t="s">
        <v>34</v>
      </c>
      <c r="B17" s="135"/>
      <c r="C17" s="106"/>
      <c r="D17" s="106"/>
      <c r="E17" s="106"/>
      <c r="F17" s="106"/>
      <c r="G17" s="106"/>
      <c r="H17" s="106"/>
      <c r="I17" s="106"/>
      <c r="J17" s="106"/>
      <c r="K17" s="37">
        <f t="shared" ref="K17:M19" si="6">+B17+H17+E17</f>
        <v>0</v>
      </c>
      <c r="L17" s="38">
        <f t="shared" si="6"/>
        <v>0</v>
      </c>
      <c r="M17" s="37">
        <f t="shared" si="6"/>
        <v>0</v>
      </c>
    </row>
    <row r="18" spans="1:21" hidden="1" x14ac:dyDescent="0.25">
      <c r="A18" s="44" t="s">
        <v>20</v>
      </c>
      <c r="B18" s="135"/>
      <c r="C18" s="136"/>
      <c r="D18" s="106"/>
      <c r="E18" s="106"/>
      <c r="F18" s="106"/>
      <c r="G18" s="106"/>
      <c r="H18" s="106"/>
      <c r="I18" s="106"/>
      <c r="J18" s="106"/>
      <c r="K18" s="37">
        <f t="shared" si="6"/>
        <v>0</v>
      </c>
      <c r="L18" s="38">
        <f t="shared" si="6"/>
        <v>0</v>
      </c>
      <c r="M18" s="37">
        <f t="shared" si="6"/>
        <v>0</v>
      </c>
    </row>
    <row r="19" spans="1:21" hidden="1" x14ac:dyDescent="0.25">
      <c r="A19" s="44" t="s">
        <v>21</v>
      </c>
      <c r="B19" s="135"/>
      <c r="C19" s="106"/>
      <c r="D19" s="106"/>
      <c r="E19" s="106"/>
      <c r="F19" s="106"/>
      <c r="G19" s="106"/>
      <c r="H19" s="106"/>
      <c r="I19" s="106"/>
      <c r="J19" s="106"/>
      <c r="K19" s="37">
        <f t="shared" si="6"/>
        <v>0</v>
      </c>
      <c r="L19" s="38">
        <f t="shared" si="6"/>
        <v>0</v>
      </c>
      <c r="M19" s="37">
        <f t="shared" si="6"/>
        <v>0</v>
      </c>
      <c r="S19" s="33"/>
    </row>
    <row r="20" spans="1:21" hidden="1" x14ac:dyDescent="0.25">
      <c r="A20" s="27" t="s">
        <v>22</v>
      </c>
      <c r="B20" s="39">
        <f>+B19</f>
        <v>0</v>
      </c>
      <c r="C20" s="39">
        <f>+C19</f>
        <v>0</v>
      </c>
      <c r="D20" s="39">
        <f>+SUM(D17:D19)</f>
        <v>0</v>
      </c>
      <c r="E20" s="39">
        <f>+E19</f>
        <v>0</v>
      </c>
      <c r="F20" s="39">
        <f>+F19</f>
        <v>0</v>
      </c>
      <c r="G20" s="39">
        <f>+SUM(G17:G19)</f>
        <v>0</v>
      </c>
      <c r="H20" s="39">
        <f>+H19</f>
        <v>0</v>
      </c>
      <c r="I20" s="39">
        <f>+I19</f>
        <v>0</v>
      </c>
      <c r="J20" s="39">
        <f>+SUM(J17:J19)</f>
        <v>0</v>
      </c>
      <c r="K20" s="39">
        <f>+K19</f>
        <v>0</v>
      </c>
      <c r="L20" s="40">
        <f>+L19</f>
        <v>0</v>
      </c>
      <c r="M20" s="39">
        <f>+SUM(M17:M19)</f>
        <v>0</v>
      </c>
    </row>
    <row r="21" spans="1:21" hidden="1" x14ac:dyDescent="0.25">
      <c r="A21" s="44" t="s">
        <v>13</v>
      </c>
      <c r="B21" s="135"/>
      <c r="C21" s="106"/>
      <c r="D21" s="106"/>
      <c r="E21" s="106"/>
      <c r="F21" s="106"/>
      <c r="G21" s="106"/>
      <c r="H21" s="106"/>
      <c r="I21" s="106"/>
      <c r="J21" s="106"/>
      <c r="K21" s="37">
        <f t="shared" ref="K21:M24" si="7">+B21+H21+E21</f>
        <v>0</v>
      </c>
      <c r="L21" s="38">
        <f t="shared" si="7"/>
        <v>0</v>
      </c>
      <c r="M21" s="37">
        <f t="shared" si="7"/>
        <v>0</v>
      </c>
    </row>
    <row r="22" spans="1:21" hidden="1" x14ac:dyDescent="0.25">
      <c r="A22" s="44" t="s">
        <v>12</v>
      </c>
      <c r="B22" s="135"/>
      <c r="C22" s="136"/>
      <c r="D22" s="106"/>
      <c r="E22" s="106"/>
      <c r="F22" s="106"/>
      <c r="G22" s="106"/>
      <c r="H22" s="106"/>
      <c r="I22" s="106"/>
      <c r="J22" s="106"/>
      <c r="K22" s="37">
        <f t="shared" si="7"/>
        <v>0</v>
      </c>
      <c r="L22" s="38">
        <f t="shared" si="7"/>
        <v>0</v>
      </c>
      <c r="M22" s="37">
        <f t="shared" si="7"/>
        <v>0</v>
      </c>
    </row>
    <row r="23" spans="1:21" hidden="1" x14ac:dyDescent="0.25">
      <c r="A23" s="44" t="s">
        <v>11</v>
      </c>
      <c r="B23" s="135"/>
      <c r="C23" s="106"/>
      <c r="D23" s="106"/>
      <c r="E23" s="106"/>
      <c r="F23" s="106"/>
      <c r="G23" s="106"/>
      <c r="H23" s="106"/>
      <c r="I23" s="106"/>
      <c r="J23" s="106"/>
      <c r="K23" s="37">
        <f t="shared" si="7"/>
        <v>0</v>
      </c>
      <c r="L23" s="38">
        <f t="shared" si="7"/>
        <v>0</v>
      </c>
      <c r="M23" s="37">
        <f t="shared" si="7"/>
        <v>0</v>
      </c>
      <c r="S23" s="33"/>
    </row>
    <row r="24" spans="1:21" hidden="1" x14ac:dyDescent="0.25">
      <c r="A24" s="44" t="s">
        <v>10</v>
      </c>
      <c r="B24" s="135"/>
      <c r="C24" s="106"/>
      <c r="D24" s="106"/>
      <c r="E24" s="106"/>
      <c r="F24" s="106"/>
      <c r="G24" s="106"/>
      <c r="H24" s="106"/>
      <c r="I24" s="106"/>
      <c r="J24" s="106"/>
      <c r="K24" s="37">
        <f t="shared" si="7"/>
        <v>0</v>
      </c>
      <c r="L24" s="38">
        <f t="shared" si="7"/>
        <v>0</v>
      </c>
      <c r="M24" s="37">
        <f t="shared" si="7"/>
        <v>0</v>
      </c>
    </row>
    <row r="25" spans="1:21" hidden="1" x14ac:dyDescent="0.25">
      <c r="A25" s="27" t="s">
        <v>14</v>
      </c>
      <c r="B25" s="39">
        <f>+B24</f>
        <v>0</v>
      </c>
      <c r="C25" s="39">
        <f>+C24</f>
        <v>0</v>
      </c>
      <c r="D25" s="39">
        <f>+SUM(D21:D24)</f>
        <v>0</v>
      </c>
      <c r="E25" s="39">
        <f>+E24</f>
        <v>0</v>
      </c>
      <c r="F25" s="39">
        <f>+F24</f>
        <v>0</v>
      </c>
      <c r="G25" s="39">
        <f>+SUM(G21:G24)</f>
        <v>0</v>
      </c>
      <c r="H25" s="39">
        <f>+H24</f>
        <v>0</v>
      </c>
      <c r="I25" s="39">
        <f>+I24</f>
        <v>0</v>
      </c>
      <c r="J25" s="39">
        <f>+SUM(J21:J24)</f>
        <v>0</v>
      </c>
      <c r="K25" s="39">
        <f>+K24</f>
        <v>0</v>
      </c>
      <c r="L25" s="40">
        <f>+L24</f>
        <v>0</v>
      </c>
      <c r="M25" s="39">
        <f>+SUM(M21:M24)</f>
        <v>0</v>
      </c>
    </row>
    <row r="26" spans="1:21" hidden="1" x14ac:dyDescent="0.25">
      <c r="A26" s="28" t="s">
        <v>23</v>
      </c>
      <c r="B26" s="41">
        <f>+B25</f>
        <v>0</v>
      </c>
      <c r="C26" s="41">
        <f>+C25</f>
        <v>0</v>
      </c>
      <c r="D26" s="41">
        <f>+D12+D16+D20+D25</f>
        <v>21161659884.34</v>
      </c>
      <c r="E26" s="41">
        <f>+E25</f>
        <v>0</v>
      </c>
      <c r="F26" s="41">
        <f>+F25</f>
        <v>0</v>
      </c>
      <c r="G26" s="41">
        <f>+G12+G16+G20+G25</f>
        <v>2404860000</v>
      </c>
      <c r="H26" s="41">
        <f>+H25</f>
        <v>0</v>
      </c>
      <c r="I26" s="41">
        <f>+I25</f>
        <v>0</v>
      </c>
      <c r="J26" s="41">
        <f>+J12+J16+J20+J25</f>
        <v>6021955097.7800007</v>
      </c>
      <c r="K26" s="41">
        <f>+K25</f>
        <v>0</v>
      </c>
      <c r="L26" s="42">
        <f>+L25</f>
        <v>0</v>
      </c>
      <c r="M26" s="41">
        <f>+M12+M16+M20+M25</f>
        <v>29588474982.120003</v>
      </c>
    </row>
    <row r="27" spans="1:21" hidden="1" x14ac:dyDescent="0.25">
      <c r="A27" t="s">
        <v>14</v>
      </c>
      <c r="B27" s="131"/>
      <c r="C27" s="131"/>
      <c r="D27" s="137">
        <f>+D12/M12</f>
        <v>0.71519941116018193</v>
      </c>
      <c r="E27" s="54"/>
      <c r="F27" s="54"/>
      <c r="G27" s="137">
        <f>+G12/M12</f>
        <v>8.1276916145669259E-2</v>
      </c>
      <c r="H27" s="54"/>
      <c r="I27" s="54"/>
      <c r="J27" s="137">
        <f>+J12/M12</f>
        <v>0.20352367269414876</v>
      </c>
      <c r="K27" s="131"/>
      <c r="L27" s="131"/>
      <c r="M27" s="131"/>
      <c r="R27" s="35"/>
    </row>
    <row r="28" spans="1:21" x14ac:dyDescent="0.25">
      <c r="A28" s="119" t="s">
        <v>83</v>
      </c>
      <c r="B28"/>
      <c r="C28"/>
      <c r="D28" s="270">
        <f>+D12/M12</f>
        <v>0.71519941116018193</v>
      </c>
      <c r="E28" s="271"/>
      <c r="F28" s="271"/>
      <c r="G28" s="270">
        <f>+G12/$M$12</f>
        <v>8.1276916145669259E-2</v>
      </c>
      <c r="H28" s="271"/>
      <c r="I28" s="271"/>
      <c r="J28" s="270">
        <f>+J12/$M$12</f>
        <v>0.20352367269414876</v>
      </c>
      <c r="K28" s="96"/>
      <c r="L28"/>
      <c r="M28" s="144"/>
      <c r="Q28" s="1" t="s">
        <v>82</v>
      </c>
      <c r="S28" s="81"/>
    </row>
    <row r="29" spans="1:21" x14ac:dyDescent="0.25">
      <c r="A29" s="119"/>
      <c r="B29" s="173"/>
      <c r="C29"/>
      <c r="D29"/>
      <c r="E29"/>
      <c r="F29"/>
      <c r="G29"/>
      <c r="H29"/>
      <c r="I29"/>
      <c r="J29" s="126"/>
      <c r="K29"/>
      <c r="L29"/>
      <c r="M29"/>
      <c r="P29" s="1" t="s">
        <v>84</v>
      </c>
      <c r="Q29" s="34" t="s">
        <v>85</v>
      </c>
      <c r="R29" s="76" t="s">
        <v>7</v>
      </c>
      <c r="S29" s="34" t="s">
        <v>86</v>
      </c>
      <c r="T29" s="76" t="s">
        <v>85</v>
      </c>
      <c r="U29" s="1" t="s">
        <v>7</v>
      </c>
    </row>
    <row r="30" spans="1:2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Q30" s="74"/>
      <c r="R30" s="36"/>
      <c r="S30" s="75">
        <v>145883</v>
      </c>
      <c r="T30" s="14">
        <v>158341</v>
      </c>
      <c r="U30" s="14">
        <v>6070129138.6299992</v>
      </c>
    </row>
    <row r="31" spans="1:2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Q31" s="80"/>
      <c r="R31" s="80"/>
      <c r="S31" s="35">
        <f>+K12-S30</f>
        <v>83951</v>
      </c>
      <c r="T31" s="35">
        <f>+L12-T30</f>
        <v>84339</v>
      </c>
      <c r="U31" s="35">
        <f>+M12-U30</f>
        <v>8724108352.4300022</v>
      </c>
    </row>
    <row r="32" spans="1:2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R32" s="36"/>
    </row>
    <row r="33" spans="1:2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2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S34" s="82">
        <f>+(K12-S30)/S30</f>
        <v>0.57546801203704334</v>
      </c>
      <c r="T34" s="82">
        <f>+(L12-T30)/T30</f>
        <v>0.53264157735520179</v>
      </c>
      <c r="U34" s="82">
        <f>+(M12-U30)/U30</f>
        <v>1.4372195637338605</v>
      </c>
    </row>
    <row r="35" spans="1:2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21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2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S37" s="1" t="s">
        <v>87</v>
      </c>
    </row>
    <row r="38" spans="1:2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S38" s="104" t="s">
        <v>86</v>
      </c>
      <c r="T38" s="104" t="s">
        <v>85</v>
      </c>
      <c r="U38" s="104" t="s">
        <v>7</v>
      </c>
    </row>
    <row r="39" spans="1:2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S39" s="104">
        <v>139458</v>
      </c>
      <c r="T39" s="104">
        <v>151810</v>
      </c>
      <c r="U39" s="104">
        <v>5844095640.5</v>
      </c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S40" s="104">
        <f>K12-S39</f>
        <v>90376</v>
      </c>
      <c r="T40" s="104">
        <f t="shared" ref="T40:U40" si="8">L12-T39</f>
        <v>90870</v>
      </c>
      <c r="U40" s="104">
        <f t="shared" si="8"/>
        <v>8950141850.5600014</v>
      </c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S41" s="104"/>
      <c r="T41" s="104"/>
      <c r="U41" s="104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S42" s="104"/>
      <c r="T42" s="104"/>
      <c r="U42" s="104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S43" s="82">
        <f>+(K12-S39)/S39</f>
        <v>0.6480517431771573</v>
      </c>
      <c r="T43" s="82">
        <f t="shared" ref="T43:U43" si="9">+(L12-T39)/T39</f>
        <v>0.59857716882945788</v>
      </c>
      <c r="U43" s="82">
        <f t="shared" si="9"/>
        <v>1.5314844932610068</v>
      </c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5" spans="2:14" x14ac:dyDescent="0.25">
      <c r="B65" s="44"/>
      <c r="C65" s="135"/>
      <c r="D65" s="106"/>
      <c r="E65" s="106"/>
      <c r="F65" s="106"/>
      <c r="G65" s="106"/>
      <c r="H65" s="106"/>
      <c r="I65" s="106"/>
      <c r="J65" s="106"/>
      <c r="K65" s="106"/>
      <c r="L65" s="37"/>
      <c r="M65" s="38"/>
      <c r="N65" s="37"/>
    </row>
    <row r="67" spans="2:14" x14ac:dyDescent="0.25">
      <c r="B67" s="44"/>
      <c r="C67" s="135"/>
      <c r="D67" s="106"/>
      <c r="E67" s="106"/>
      <c r="F67" s="106"/>
      <c r="G67" s="106"/>
      <c r="H67" s="106"/>
      <c r="I67" s="106"/>
      <c r="J67" s="106"/>
      <c r="K67" s="106"/>
      <c r="L67" s="37"/>
      <c r="M67" s="38"/>
      <c r="N67" s="108"/>
    </row>
  </sheetData>
  <mergeCells count="10">
    <mergeCell ref="S12:U12"/>
    <mergeCell ref="A1:M1"/>
    <mergeCell ref="A2:M2"/>
    <mergeCell ref="A3:M3"/>
    <mergeCell ref="A5:M5"/>
    <mergeCell ref="B6:D6"/>
    <mergeCell ref="H6:J6"/>
    <mergeCell ref="K6:M6"/>
    <mergeCell ref="A4:M4"/>
    <mergeCell ref="E6:G6"/>
  </mergeCells>
  <pageMargins left="0.7" right="0.7" top="0.75" bottom="0.75" header="0.3" footer="0.3"/>
  <pageSetup paperSize="9" scale="53" orientation="portrait" r:id="rId1"/>
  <colBreaks count="1" manualBreakCount="1">
    <brk id="14" max="1048575" man="1"/>
  </colBreaks>
  <ignoredErrors>
    <ignoredError sqref="J12:K12 L12:M12 G12 D12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R40"/>
  <sheetViews>
    <sheetView showGridLines="0" topLeftCell="A32" zoomScale="110" zoomScaleNormal="110" workbookViewId="0">
      <selection activeCell="M37" sqref="M37"/>
    </sheetView>
  </sheetViews>
  <sheetFormatPr baseColWidth="10" defaultColWidth="11.42578125" defaultRowHeight="15" x14ac:dyDescent="0.25"/>
  <cols>
    <col min="1" max="1" width="12.28515625" style="1" customWidth="1"/>
    <col min="2" max="2" width="10.7109375" style="1" customWidth="1"/>
    <col min="3" max="3" width="12.28515625" style="1" customWidth="1"/>
    <col min="4" max="4" width="12.140625" style="1" customWidth="1"/>
    <col min="5" max="5" width="15.140625" style="1" customWidth="1"/>
    <col min="6" max="6" width="12.5703125" style="1" customWidth="1"/>
    <col min="7" max="10" width="10.5703125" style="1" customWidth="1"/>
    <col min="11" max="11" width="10.7109375" style="1" customWidth="1"/>
    <col min="12" max="12" width="17.7109375" style="1" customWidth="1"/>
    <col min="13" max="13" width="18" style="1" customWidth="1"/>
    <col min="14" max="14" width="14.7109375" style="1" customWidth="1"/>
    <col min="15" max="15" width="15.5703125" style="1" customWidth="1"/>
    <col min="16" max="16" width="13.5703125" style="1" customWidth="1"/>
    <col min="17" max="17" width="12.85546875" style="1" customWidth="1"/>
    <col min="18" max="18" width="17" style="1" customWidth="1"/>
    <col min="19" max="16384" width="11.42578125" style="1"/>
  </cols>
  <sheetData>
    <row r="1" spans="1:18" x14ac:dyDescent="0.25">
      <c r="A1" s="304" t="s">
        <v>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22"/>
    </row>
    <row r="2" spans="1:18" x14ac:dyDescent="0.25">
      <c r="A2" s="304" t="s">
        <v>65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22"/>
    </row>
    <row r="3" spans="1:18" x14ac:dyDescent="0.25">
      <c r="A3" s="304" t="s">
        <v>88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22"/>
    </row>
    <row r="4" spans="1:18" x14ac:dyDescent="0.25">
      <c r="A4" s="304" t="s">
        <v>238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22"/>
    </row>
    <row r="5" spans="1:18" x14ac:dyDescent="0.25">
      <c r="A5" s="304" t="s">
        <v>233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22"/>
    </row>
    <row r="6" spans="1:18" ht="30" customHeight="1" x14ac:dyDescent="0.25">
      <c r="A6" s="22"/>
      <c r="B6" s="331" t="s">
        <v>89</v>
      </c>
      <c r="C6" s="331"/>
      <c r="D6" s="331"/>
      <c r="E6" s="331"/>
      <c r="F6" s="331"/>
      <c r="G6" s="334" t="s">
        <v>90</v>
      </c>
      <c r="H6" s="334"/>
      <c r="I6" s="334"/>
      <c r="J6" s="334"/>
      <c r="K6" s="334"/>
      <c r="L6" s="332" t="s">
        <v>91</v>
      </c>
      <c r="M6" s="332"/>
      <c r="N6" s="333" t="s">
        <v>92</v>
      </c>
      <c r="O6" s="333"/>
      <c r="P6" s="327" t="s">
        <v>79</v>
      </c>
      <c r="Q6" s="327"/>
      <c r="R6" s="22"/>
    </row>
    <row r="7" spans="1:18" ht="24" customHeight="1" x14ac:dyDescent="0.25">
      <c r="A7" s="45" t="s">
        <v>3</v>
      </c>
      <c r="B7" s="45" t="s">
        <v>93</v>
      </c>
      <c r="C7" s="45" t="s">
        <v>94</v>
      </c>
      <c r="D7" s="45" t="s">
        <v>95</v>
      </c>
      <c r="E7" s="45" t="s">
        <v>96</v>
      </c>
      <c r="F7" s="45" t="s">
        <v>97</v>
      </c>
      <c r="G7" s="45" t="s">
        <v>93</v>
      </c>
      <c r="H7" s="45" t="s">
        <v>94</v>
      </c>
      <c r="I7" s="45" t="s">
        <v>95</v>
      </c>
      <c r="J7" s="45" t="s">
        <v>96</v>
      </c>
      <c r="K7" s="45" t="s">
        <v>97</v>
      </c>
      <c r="L7" s="45" t="s">
        <v>93</v>
      </c>
      <c r="M7" s="45" t="s">
        <v>94</v>
      </c>
      <c r="N7" s="45" t="s">
        <v>93</v>
      </c>
      <c r="O7" s="45" t="s">
        <v>98</v>
      </c>
      <c r="P7" s="45" t="s">
        <v>93</v>
      </c>
      <c r="Q7" s="45" t="s">
        <v>94</v>
      </c>
    </row>
    <row r="8" spans="1:18" x14ac:dyDescent="0.25">
      <c r="A8" s="44" t="s">
        <v>10</v>
      </c>
      <c r="B8" s="186">
        <v>229</v>
      </c>
      <c r="C8" s="221">
        <v>2440041.2999999998</v>
      </c>
      <c r="D8" s="221"/>
      <c r="E8" s="221"/>
      <c r="F8" s="221">
        <v>2440041.2999999998</v>
      </c>
      <c r="G8" s="186">
        <v>2</v>
      </c>
      <c r="H8" s="221">
        <v>25000</v>
      </c>
      <c r="I8" s="221"/>
      <c r="J8" s="221"/>
      <c r="K8" s="221">
        <v>25000</v>
      </c>
      <c r="L8" s="186">
        <v>645</v>
      </c>
      <c r="M8" s="221">
        <v>10821755.68</v>
      </c>
      <c r="N8" s="186">
        <v>910</v>
      </c>
      <c r="O8" s="221">
        <v>10883548.369999999</v>
      </c>
      <c r="P8" s="186">
        <f>B8+G8+L8+N8</f>
        <v>1786</v>
      </c>
      <c r="Q8" s="221">
        <f>C8+H8+M8+O8</f>
        <v>24170345.350000001</v>
      </c>
    </row>
    <row r="9" spans="1:18" ht="13.5" customHeight="1" x14ac:dyDescent="0.25">
      <c r="A9" s="156" t="s">
        <v>11</v>
      </c>
      <c r="B9" s="186">
        <v>210</v>
      </c>
      <c r="C9" s="221">
        <v>2326867.5</v>
      </c>
      <c r="D9" s="221">
        <v>231988.68</v>
      </c>
      <c r="E9" s="221">
        <v>69806.02</v>
      </c>
      <c r="F9" s="221">
        <v>2025072.8</v>
      </c>
      <c r="G9" s="186">
        <v>2</v>
      </c>
      <c r="H9" s="221">
        <v>25000</v>
      </c>
      <c r="I9" s="221">
        <v>2492.5</v>
      </c>
      <c r="J9" s="221">
        <v>750</v>
      </c>
      <c r="K9" s="221">
        <v>21757.5</v>
      </c>
      <c r="L9" s="186">
        <v>609</v>
      </c>
      <c r="M9" s="221">
        <v>10870548.59</v>
      </c>
      <c r="N9" s="186">
        <v>898</v>
      </c>
      <c r="O9" s="221">
        <v>11005234.949999999</v>
      </c>
      <c r="P9" s="171">
        <f t="shared" ref="P9:Q11" si="0">+L9+N9+B9+G9</f>
        <v>1719</v>
      </c>
      <c r="Q9" s="224">
        <f t="shared" si="0"/>
        <v>24227651.039999999</v>
      </c>
    </row>
    <row r="10" spans="1:18" x14ac:dyDescent="0.25">
      <c r="A10" s="156" t="s">
        <v>239</v>
      </c>
      <c r="B10" s="186">
        <v>209</v>
      </c>
      <c r="C10" s="221">
        <v>2326405.41</v>
      </c>
      <c r="D10" s="221">
        <v>2311942.61</v>
      </c>
      <c r="E10" s="221">
        <v>69792.160000000003</v>
      </c>
      <c r="F10" s="221">
        <v>2024670.64</v>
      </c>
      <c r="G10" s="186">
        <v>2</v>
      </c>
      <c r="H10" s="221">
        <v>25000</v>
      </c>
      <c r="I10" s="221">
        <v>2492.5</v>
      </c>
      <c r="J10" s="221">
        <v>750</v>
      </c>
      <c r="K10" s="221">
        <v>21757.5</v>
      </c>
      <c r="L10" s="186">
        <v>605</v>
      </c>
      <c r="M10" s="221">
        <v>10751751.109999999</v>
      </c>
      <c r="N10" s="186">
        <v>889</v>
      </c>
      <c r="O10" s="221">
        <v>10905696.960000001</v>
      </c>
      <c r="P10" s="171">
        <f t="shared" si="0"/>
        <v>1705</v>
      </c>
      <c r="Q10" s="224">
        <f t="shared" si="0"/>
        <v>24008853.48</v>
      </c>
    </row>
    <row r="11" spans="1:18" x14ac:dyDescent="0.25">
      <c r="A11" s="156" t="s">
        <v>13</v>
      </c>
      <c r="B11" s="186">
        <v>212</v>
      </c>
      <c r="C11" s="221">
        <v>2353264.12</v>
      </c>
      <c r="D11" s="221">
        <v>234620.43</v>
      </c>
      <c r="E11" s="221">
        <v>70597.919999999998</v>
      </c>
      <c r="F11" s="221">
        <v>2048045.77</v>
      </c>
      <c r="G11" s="186">
        <v>2</v>
      </c>
      <c r="H11" s="221">
        <v>25000</v>
      </c>
      <c r="I11" s="221">
        <v>2492.5</v>
      </c>
      <c r="J11" s="221">
        <v>750</v>
      </c>
      <c r="K11" s="221">
        <v>21757.5</v>
      </c>
      <c r="L11" s="186">
        <v>606</v>
      </c>
      <c r="M11" s="221">
        <v>10715554.92</v>
      </c>
      <c r="N11" s="186">
        <v>879</v>
      </c>
      <c r="O11" s="221">
        <v>10518793.01</v>
      </c>
      <c r="P11" s="171">
        <f t="shared" si="0"/>
        <v>1699</v>
      </c>
      <c r="Q11" s="224">
        <f t="shared" si="0"/>
        <v>23612612.050000001</v>
      </c>
    </row>
    <row r="12" spans="1:18" x14ac:dyDescent="0.25">
      <c r="A12" s="27" t="s">
        <v>14</v>
      </c>
      <c r="B12" s="170">
        <f>+B9</f>
        <v>210</v>
      </c>
      <c r="C12" s="222">
        <f>+SUM(C8:C11)</f>
        <v>9446578.3300000001</v>
      </c>
      <c r="D12" s="223">
        <f>+SUM(D9:D11)</f>
        <v>2778551.72</v>
      </c>
      <c r="E12" s="223">
        <f>+SUM(E9:E11)</f>
        <v>210196.09999999998</v>
      </c>
      <c r="F12" s="223">
        <f>+SUM(F8:F11)</f>
        <v>8537830.5099999998</v>
      </c>
      <c r="G12" s="170">
        <f>+G9</f>
        <v>2</v>
      </c>
      <c r="H12" s="223">
        <f>+SUM(H8:H11)</f>
        <v>100000</v>
      </c>
      <c r="I12" s="223">
        <f>SUM(I9:I11)</f>
        <v>7477.5</v>
      </c>
      <c r="J12" s="223">
        <f>SUM(J9:J11)</f>
        <v>2250</v>
      </c>
      <c r="K12" s="223">
        <f>SUM(K8:K11)</f>
        <v>90272.5</v>
      </c>
      <c r="L12" s="170">
        <f>+L9</f>
        <v>609</v>
      </c>
      <c r="M12" s="223">
        <f>+SUM(M8:M11)</f>
        <v>43159610.299999997</v>
      </c>
      <c r="N12" s="170">
        <f>+N9</f>
        <v>898</v>
      </c>
      <c r="O12" s="223">
        <f>+SUM(O8:O11)</f>
        <v>43313273.289999999</v>
      </c>
      <c r="P12" s="170">
        <f>+P9</f>
        <v>1719</v>
      </c>
      <c r="Q12" s="223">
        <f>SUM(Q8:Q11)</f>
        <v>96019461.920000002</v>
      </c>
    </row>
    <row r="13" spans="1:18" x14ac:dyDescent="0.25">
      <c r="A13" s="176" t="s">
        <v>254</v>
      </c>
      <c r="C13" s="272">
        <f>+C12/Q12</f>
        <v>9.8381912802953983E-2</v>
      </c>
      <c r="D13" s="262"/>
      <c r="E13" s="262"/>
      <c r="F13" s="262"/>
      <c r="G13" s="262"/>
      <c r="H13" s="272">
        <f>ROUNDDOWN(+H12/Q12,4)</f>
        <v>1E-3</v>
      </c>
      <c r="I13" s="262"/>
      <c r="J13" s="262"/>
      <c r="K13" s="262"/>
      <c r="L13" s="262"/>
      <c r="M13" s="272">
        <f>+M12/Q12</f>
        <v>0.44948814997483583</v>
      </c>
      <c r="N13" s="262"/>
      <c r="O13" s="272">
        <f>+O12/Q12</f>
        <v>0.45108848168808818</v>
      </c>
      <c r="P13" s="262"/>
    </row>
    <row r="14" spans="1:18" x14ac:dyDescent="0.25">
      <c r="P14" s="36"/>
    </row>
    <row r="15" spans="1:18" x14ac:dyDescent="0.25">
      <c r="C15" s="35"/>
      <c r="D15"/>
      <c r="E15"/>
      <c r="F15"/>
      <c r="G15"/>
      <c r="H15"/>
      <c r="I15"/>
      <c r="J15"/>
      <c r="K15"/>
      <c r="L15"/>
      <c r="M15"/>
      <c r="N15"/>
      <c r="O15"/>
      <c r="Q15" s="35"/>
    </row>
    <row r="17" spans="1:14" x14ac:dyDescent="0.25">
      <c r="B17" s="14"/>
    </row>
    <row r="18" spans="1:14" x14ac:dyDescent="0.25">
      <c r="M18" s="1" t="s">
        <v>99</v>
      </c>
    </row>
    <row r="27" spans="1:14" x14ac:dyDescent="0.25">
      <c r="E27" s="172"/>
    </row>
    <row r="30" spans="1:14" ht="4.5" hidden="1" customHeight="1" x14ac:dyDescent="0.25"/>
    <row r="31" spans="1:14" ht="45" customHeight="1" x14ac:dyDescent="0.25">
      <c r="A31"/>
      <c r="B31" s="325" t="s">
        <v>100</v>
      </c>
      <c r="C31" s="325"/>
      <c r="D31" s="326" t="s">
        <v>101</v>
      </c>
      <c r="E31" s="326"/>
      <c r="F31" s="329" t="s">
        <v>234</v>
      </c>
      <c r="G31" s="329"/>
      <c r="H31" s="329"/>
      <c r="I31" s="329"/>
      <c r="J31" s="328" t="s">
        <v>102</v>
      </c>
      <c r="K31" s="328"/>
      <c r="L31" s="328"/>
      <c r="M31" s="327" t="s">
        <v>79</v>
      </c>
      <c r="N31" s="327"/>
    </row>
    <row r="32" spans="1:14" ht="38.25" customHeight="1" x14ac:dyDescent="0.25">
      <c r="A32" s="182" t="s">
        <v>3</v>
      </c>
      <c r="B32" s="182" t="s">
        <v>93</v>
      </c>
      <c r="C32" s="182" t="s">
        <v>94</v>
      </c>
      <c r="D32" s="182" t="s">
        <v>93</v>
      </c>
      <c r="E32" s="182" t="s">
        <v>94</v>
      </c>
      <c r="F32" s="337" t="s">
        <v>93</v>
      </c>
      <c r="G32" s="337"/>
      <c r="H32" s="309" t="s">
        <v>94</v>
      </c>
      <c r="I32" s="309"/>
      <c r="J32" s="324" t="s">
        <v>93</v>
      </c>
      <c r="K32" s="324"/>
      <c r="L32" s="182" t="s">
        <v>7</v>
      </c>
      <c r="M32" s="182" t="s">
        <v>93</v>
      </c>
      <c r="N32" s="182" t="s">
        <v>94</v>
      </c>
    </row>
    <row r="33" spans="1:14" x14ac:dyDescent="0.25">
      <c r="A33" s="44" t="s">
        <v>10</v>
      </c>
      <c r="B33" s="292" t="s">
        <v>103</v>
      </c>
      <c r="C33" s="166" t="s">
        <v>103</v>
      </c>
      <c r="D33" s="293" t="s">
        <v>103</v>
      </c>
      <c r="E33" s="166" t="s">
        <v>103</v>
      </c>
      <c r="F33" s="341" t="s">
        <v>103</v>
      </c>
      <c r="G33" s="341"/>
      <c r="H33" s="330" t="s">
        <v>103</v>
      </c>
      <c r="I33" s="330"/>
      <c r="J33" s="336" t="s">
        <v>103</v>
      </c>
      <c r="K33" s="336"/>
      <c r="L33" s="294" t="s">
        <v>103</v>
      </c>
      <c r="M33" s="293" t="s">
        <v>103</v>
      </c>
      <c r="N33" s="293" t="s">
        <v>103</v>
      </c>
    </row>
    <row r="34" spans="1:14" x14ac:dyDescent="0.25">
      <c r="A34" s="156" t="s">
        <v>11</v>
      </c>
      <c r="B34" s="291">
        <v>3</v>
      </c>
      <c r="C34" s="291">
        <v>544137.4</v>
      </c>
      <c r="D34" s="268">
        <v>12</v>
      </c>
      <c r="E34" s="265">
        <v>2080672.9</v>
      </c>
      <c r="F34" s="338">
        <v>0</v>
      </c>
      <c r="G34" s="338"/>
      <c r="H34" s="338">
        <v>0</v>
      </c>
      <c r="I34" s="338"/>
      <c r="J34" s="323">
        <v>14</v>
      </c>
      <c r="K34" s="323"/>
      <c r="L34" s="265">
        <v>4137200.1</v>
      </c>
      <c r="M34" s="171">
        <f>B34+D34+J34</f>
        <v>29</v>
      </c>
      <c r="N34" s="224">
        <f>C34+E34+L34</f>
        <v>6762010.4000000004</v>
      </c>
    </row>
    <row r="35" spans="1:14" x14ac:dyDescent="0.25">
      <c r="A35" s="156" t="s">
        <v>239</v>
      </c>
      <c r="B35" s="291">
        <v>1</v>
      </c>
      <c r="C35" s="291">
        <v>626964</v>
      </c>
      <c r="D35" s="303">
        <v>5</v>
      </c>
      <c r="E35" s="265">
        <v>1157252.3</v>
      </c>
      <c r="F35" s="338">
        <v>0</v>
      </c>
      <c r="G35" s="338"/>
      <c r="H35" s="338">
        <v>0</v>
      </c>
      <c r="I35" s="338"/>
      <c r="J35" s="323">
        <v>16</v>
      </c>
      <c r="K35" s="323"/>
      <c r="L35" s="265">
        <v>4143249</v>
      </c>
      <c r="M35" s="171">
        <f>B35+D35+J35</f>
        <v>22</v>
      </c>
      <c r="N35" s="224">
        <f>C35+E35+L35</f>
        <v>5927465.2999999998</v>
      </c>
    </row>
    <row r="36" spans="1:14" x14ac:dyDescent="0.25">
      <c r="A36" s="156" t="s">
        <v>13</v>
      </c>
      <c r="B36" s="291">
        <v>1</v>
      </c>
      <c r="C36" s="291">
        <v>309384</v>
      </c>
      <c r="D36" s="268">
        <v>13</v>
      </c>
      <c r="E36" s="265">
        <v>4143611.4</v>
      </c>
      <c r="F36" s="338">
        <v>0</v>
      </c>
      <c r="G36" s="338"/>
      <c r="H36" s="338">
        <v>0</v>
      </c>
      <c r="I36" s="338"/>
      <c r="J36" s="323">
        <v>6</v>
      </c>
      <c r="K36" s="323"/>
      <c r="L36" s="265">
        <v>1681966.1</v>
      </c>
      <c r="M36" s="171">
        <f>B36+D36+J36</f>
        <v>20</v>
      </c>
      <c r="N36" s="224">
        <f>C36+E36+L36</f>
        <v>6134961.5</v>
      </c>
    </row>
    <row r="37" spans="1:14" x14ac:dyDescent="0.25">
      <c r="A37" s="27" t="s">
        <v>14</v>
      </c>
      <c r="B37" s="300">
        <f>SUM(B34:B36)</f>
        <v>5</v>
      </c>
      <c r="C37" s="266">
        <f>+SUM(C34:C36)</f>
        <v>1480485.4</v>
      </c>
      <c r="D37" s="301">
        <f>SUM(D34:D36)</f>
        <v>30</v>
      </c>
      <c r="E37" s="266">
        <f>+SUM(E34:E36)</f>
        <v>7381536.5999999996</v>
      </c>
      <c r="F37" s="339">
        <f>SUM(F34:F36)</f>
        <v>0</v>
      </c>
      <c r="G37" s="339"/>
      <c r="H37" s="340">
        <f>SUM(H34:H36)</f>
        <v>0</v>
      </c>
      <c r="I37" s="340"/>
      <c r="J37" s="335">
        <f>SUM(J34:J36)</f>
        <v>36</v>
      </c>
      <c r="K37" s="335"/>
      <c r="L37" s="267">
        <f>+SUM(L34:L36)</f>
        <v>9962415.1999999993</v>
      </c>
      <c r="M37" s="170">
        <f>SUM(M34:M36)</f>
        <v>71</v>
      </c>
      <c r="N37" s="223">
        <f>SUM(N34:N36)</f>
        <v>18824437.199999999</v>
      </c>
    </row>
    <row r="38" spans="1:14" x14ac:dyDescent="0.25">
      <c r="A38" s="176" t="s">
        <v>104</v>
      </c>
    </row>
    <row r="39" spans="1:14" x14ac:dyDescent="0.25">
      <c r="E39" s="302"/>
    </row>
    <row r="40" spans="1:14" ht="15" customHeight="1" x14ac:dyDescent="0.25"/>
  </sheetData>
  <mergeCells count="33">
    <mergeCell ref="A1:Q1"/>
    <mergeCell ref="J35:K35"/>
    <mergeCell ref="J36:K36"/>
    <mergeCell ref="J37:K37"/>
    <mergeCell ref="J33:K33"/>
    <mergeCell ref="F32:G32"/>
    <mergeCell ref="H32:I32"/>
    <mergeCell ref="F34:G34"/>
    <mergeCell ref="F37:G37"/>
    <mergeCell ref="H37:I37"/>
    <mergeCell ref="F35:G35"/>
    <mergeCell ref="F36:G36"/>
    <mergeCell ref="H34:I34"/>
    <mergeCell ref="H35:I35"/>
    <mergeCell ref="H36:I36"/>
    <mergeCell ref="F33:G33"/>
    <mergeCell ref="A2:Q2"/>
    <mergeCell ref="A3:Q3"/>
    <mergeCell ref="A4:Q4"/>
    <mergeCell ref="A5:Q5"/>
    <mergeCell ref="B6:F6"/>
    <mergeCell ref="L6:M6"/>
    <mergeCell ref="N6:O6"/>
    <mergeCell ref="P6:Q6"/>
    <mergeCell ref="G6:K6"/>
    <mergeCell ref="J34:K34"/>
    <mergeCell ref="J32:K32"/>
    <mergeCell ref="B31:C31"/>
    <mergeCell ref="D31:E31"/>
    <mergeCell ref="M31:N31"/>
    <mergeCell ref="J31:L31"/>
    <mergeCell ref="F31:I31"/>
    <mergeCell ref="H33:I33"/>
  </mergeCells>
  <pageMargins left="0.7" right="0.7" top="0.75" bottom="0.75" header="0.3" footer="0.3"/>
  <pageSetup paperSize="9" scale="50" orientation="landscape" r:id="rId1"/>
  <ignoredErrors>
    <ignoredError sqref="N37 B12 D12 E12 P8:P11 Q8:Q12 F12 H12:J12 K12:L12 N34:N36 M34:M37 L37 J37 H37 F37 B37 C13 H13 M13 O13" unlockedFormula="1"/>
    <ignoredError sqref="G12 M12 N12:O12 C37 D37:E37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12</vt:i4>
      </vt:variant>
    </vt:vector>
  </HeadingPairs>
  <TitlesOfParts>
    <vt:vector size="30" baseType="lpstr">
      <vt:lpstr>Presupuesto Adm.</vt:lpstr>
      <vt:lpstr>Afiliados y Cotizantes</vt:lpstr>
      <vt:lpstr>Cotizantes</vt:lpstr>
      <vt:lpstr>Empleador</vt:lpstr>
      <vt:lpstr>Aportes</vt:lpstr>
      <vt:lpstr>Traspaso</vt:lpstr>
      <vt:lpstr>Presupuesto de Pensiones</vt:lpstr>
      <vt:lpstr>Nómina</vt:lpstr>
      <vt:lpstr>Autoseguro</vt:lpstr>
      <vt:lpstr>Movimientos</vt:lpstr>
      <vt:lpstr>Hoja1</vt:lpstr>
      <vt:lpstr>Modalidad</vt:lpstr>
      <vt:lpstr>Retroactivos</vt:lpstr>
      <vt:lpstr>Reintegros</vt:lpstr>
      <vt:lpstr>Créditos Rechazados</vt:lpstr>
      <vt:lpstr>PUC</vt:lpstr>
      <vt:lpstr>Recuperación Fondos</vt:lpstr>
      <vt:lpstr>Servicios</vt:lpstr>
      <vt:lpstr>'Afiliados y Cotizantes'!Área_de_impresión</vt:lpstr>
      <vt:lpstr>Aportes!Área_de_impresión</vt:lpstr>
      <vt:lpstr>Autoseguro!Área_de_impresión</vt:lpstr>
      <vt:lpstr>Cotizantes!Área_de_impresión</vt:lpstr>
      <vt:lpstr>Modalidad!Área_de_impresión</vt:lpstr>
      <vt:lpstr>Movimientos!Área_de_impresión</vt:lpstr>
      <vt:lpstr>Nómina!Área_de_impresión</vt:lpstr>
      <vt:lpstr>'Presupuesto de Pensiones'!Área_de_impresión</vt:lpstr>
      <vt:lpstr>'Recuperación Fondos'!Área_de_impresión</vt:lpstr>
      <vt:lpstr>Retroactivos!Área_de_impresión</vt:lpstr>
      <vt:lpstr>Servicios!Área_de_impresión</vt:lpstr>
      <vt:lpstr>Traspaso!Área_de_impresión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Cesar Roa</dc:creator>
  <cp:keywords/>
  <dc:description/>
  <cp:lastModifiedBy>Elangel Graciel Peña Cuello</cp:lastModifiedBy>
  <cp:revision/>
  <dcterms:created xsi:type="dcterms:W3CDTF">2019-06-03T16:17:46Z</dcterms:created>
  <dcterms:modified xsi:type="dcterms:W3CDTF">2025-01-10T18:41:04Z</dcterms:modified>
  <cp:category/>
  <cp:contentStatus/>
</cp:coreProperties>
</file>