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10.xml" ContentType="application/vnd.openxmlformats-officedocument.drawingml.chart+xml"/>
  <Override PartName="/xl/drawings/drawing8.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drawings/drawing11.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xml"/>
  <Override PartName="/xl/charts/chart1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3.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4.xml" ContentType="application/vnd.openxmlformats-officedocument.drawing+xml"/>
  <Override PartName="/xl/charts/chart21.xml" ContentType="application/vnd.openxmlformats-officedocument.drawingml.chart+xml"/>
  <Override PartName="/xl/charts/style8.xml" ContentType="application/vnd.ms-office.chartstyle+xml"/>
  <Override PartName="/xl/charts/colors8.xml" ContentType="application/vnd.ms-office.chartcolorstyle+xml"/>
  <Override PartName="/xl/charts/chart22.xml" ContentType="application/vnd.openxmlformats-officedocument.drawingml.chart+xml"/>
  <Override PartName="/xl/charts/style9.xml" ContentType="application/vnd.ms-office.chartstyle+xml"/>
  <Override PartName="/xl/charts/colors9.xml" ContentType="application/vnd.ms-office.chartcolorstyle+xml"/>
  <Override PartName="/xl/charts/chart23.xml" ContentType="application/vnd.openxmlformats-officedocument.drawingml.chart+xml"/>
  <Override PartName="/xl/charts/style10.xml" ContentType="application/vnd.ms-office.chartstyle+xml"/>
  <Override PartName="/xl/charts/colors10.xml" ContentType="application/vnd.ms-office.chartcolorstyle+xml"/>
  <Override PartName="/xl/charts/chart24.xml" ContentType="application/vnd.openxmlformats-officedocument.drawingml.chart+xml"/>
  <Override PartName="/xl/charts/style11.xml" ContentType="application/vnd.ms-office.chartstyle+xml"/>
  <Override PartName="/xl/charts/colors11.xml" ContentType="application/vnd.ms-office.chartcolorstyle+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charts/chart26.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5.xml" ContentType="application/vnd.openxmlformats-officedocument.drawing+xml"/>
  <Override PartName="/xl/charts/chart27.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xml"/>
  <Override PartName="/xl/comments1.xml" ContentType="application/vnd.openxmlformats-officedocument.spreadsheetml.comments+xml"/>
  <Override PartName="/xl/charts/chart28.xml" ContentType="application/vnd.openxmlformats-officedocument.drawingml.chart+xml"/>
  <Override PartName="/xl/drawings/drawing17.xml" ContentType="application/vnd.openxmlformats-officedocument.drawing+xml"/>
  <Override PartName="/xl/charts/chart29.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8.xml" ContentType="application/vnd.openxmlformats-officedocument.drawing+xml"/>
  <Override PartName="/xl/charts/chart30.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31.xml" ContentType="application/vnd.openxmlformats-officedocument.drawingml.chart+xml"/>
  <Override PartName="/xl/drawings/drawing21.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sefsadfs1\PLANIFICACION Y DESARROLLO\PLANIFICACION\7. Estadísticas\Boletín Estadístico 2024\T3\"/>
    </mc:Choice>
  </mc:AlternateContent>
  <xr:revisionPtr revIDLastSave="0" documentId="13_ncr:1_{125CE7BD-8937-4B12-B36B-C32F85DA3495}" xr6:coauthVersionLast="47" xr6:coauthVersionMax="47" xr10:uidLastSave="{00000000-0000-0000-0000-000000000000}"/>
  <bookViews>
    <workbookView xWindow="28680" yWindow="-120" windowWidth="29040" windowHeight="16440" tabRatio="990" xr2:uid="{00000000-000D-0000-FFFF-FFFF00000000}"/>
  </bookViews>
  <sheets>
    <sheet name="Presupuesto Adm." sheetId="1" r:id="rId1"/>
    <sheet name="Afiliados y Cotizantes" sheetId="21" r:id="rId2"/>
    <sheet name="Cotizantes" sheetId="4" r:id="rId3"/>
    <sheet name="Empleador" sheetId="7" r:id="rId4"/>
    <sheet name="Aportes" sheetId="5" r:id="rId5"/>
    <sheet name="Traspaso" sheetId="6" r:id="rId6"/>
    <sheet name="Presupuesto de Pensiones" sheetId="2" r:id="rId7"/>
    <sheet name="Nómina" sheetId="8" r:id="rId8"/>
    <sheet name="Autoseguro" sheetId="22" r:id="rId9"/>
    <sheet name="Movimientos" sheetId="25" r:id="rId10"/>
    <sheet name="Hoja1" sheetId="18" state="hidden" r:id="rId11"/>
    <sheet name="Tipo de Pension" sheetId="12" r:id="rId12"/>
    <sheet name="Modalidad" sheetId="10" r:id="rId13"/>
    <sheet name="Retroactivos" sheetId="11" r:id="rId14"/>
    <sheet name="Reintegros" sheetId="16" state="hidden" r:id="rId15"/>
    <sheet name="Créditos Rechazados" sheetId="17" state="hidden" r:id="rId16"/>
    <sheet name="PUC" sheetId="24" r:id="rId17"/>
    <sheet name="Recuperación Fondos" sheetId="15" r:id="rId18"/>
    <sheet name="Servicios" sheetId="13" r:id="rId19"/>
  </sheets>
  <definedNames>
    <definedName name="_xlnm.Print_Area" localSheetId="1">'Afiliados y Cotizantes'!$A$1:$N$56</definedName>
    <definedName name="_xlnm.Print_Area" localSheetId="4">Aportes!$A$1:$D$38</definedName>
    <definedName name="_xlnm.Print_Area" localSheetId="8">Autoseguro!$A$1:$R$64</definedName>
    <definedName name="_xlnm.Print_Area" localSheetId="2">Cotizantes!$A$1:$K$38</definedName>
    <definedName name="_xlnm.Print_Area" localSheetId="12">Modalidad!$A$1:$Q$44</definedName>
    <definedName name="_xlnm.Print_Area" localSheetId="9">Movimientos!$A$1:$Q$40</definedName>
    <definedName name="_xlnm.Print_Area" localSheetId="7">Nómina!$A$1:$O$57</definedName>
    <definedName name="_xlnm.Print_Area" localSheetId="6">'Presupuesto de Pensiones'!$A$1:$H$52</definedName>
    <definedName name="_xlnm.Print_Area" localSheetId="17">'Recuperación Fondos'!$A$1:$G$56</definedName>
    <definedName name="_xlnm.Print_Area" localSheetId="13">Retroactivos!$A$1:$M$44</definedName>
    <definedName name="_xlnm.Print_Area" localSheetId="18">Servicios!$A$1:$W$56</definedName>
    <definedName name="_xlnm.Print_Area" localSheetId="11">'Tipo de Pension'!$A$1:$AH$72</definedName>
    <definedName name="_xlnm.Print_Area" localSheetId="5">Traspaso!$A$1:$I$41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1" l="1"/>
  <c r="F12" i="11"/>
  <c r="E16" i="11"/>
  <c r="F16" i="11"/>
  <c r="E20" i="11"/>
  <c r="F20" i="11"/>
  <c r="E24" i="11"/>
  <c r="F24" i="11"/>
  <c r="E25" i="11"/>
  <c r="F25" i="11"/>
  <c r="G12" i="11"/>
  <c r="G16" i="11"/>
  <c r="G20" i="11"/>
  <c r="G24" i="11"/>
  <c r="G25" i="11" l="1"/>
  <c r="D13" i="10" l="1"/>
  <c r="H13" i="22" l="1"/>
  <c r="H12" i="22"/>
  <c r="G14" i="2"/>
  <c r="F14" i="2"/>
  <c r="C10" i="5" l="1"/>
  <c r="M24" i="25" l="1"/>
  <c r="L24" i="25"/>
  <c r="K24" i="25"/>
  <c r="J24" i="25"/>
  <c r="I24" i="25"/>
  <c r="H24" i="25"/>
  <c r="C24" i="25"/>
  <c r="B24" i="25"/>
  <c r="O23" i="25"/>
  <c r="N23" i="25"/>
  <c r="O22" i="25"/>
  <c r="O24" i="25" s="1"/>
  <c r="N22" i="25"/>
  <c r="O21" i="25"/>
  <c r="N21" i="25"/>
  <c r="M20" i="25"/>
  <c r="L20" i="25"/>
  <c r="K20" i="25"/>
  <c r="J20" i="25"/>
  <c r="I20" i="25"/>
  <c r="H20" i="25"/>
  <c r="C20" i="25"/>
  <c r="B20" i="25"/>
  <c r="O19" i="25"/>
  <c r="N19" i="25"/>
  <c r="O18" i="25"/>
  <c r="N18" i="25"/>
  <c r="O17" i="25"/>
  <c r="N17" i="25"/>
  <c r="N20" i="25" s="1"/>
  <c r="M16" i="25"/>
  <c r="L16" i="25"/>
  <c r="K16" i="25"/>
  <c r="J16" i="25"/>
  <c r="I16" i="25"/>
  <c r="H16" i="25"/>
  <c r="C16" i="25"/>
  <c r="B16" i="25"/>
  <c r="O15" i="25"/>
  <c r="N15" i="25"/>
  <c r="O14" i="25"/>
  <c r="N14" i="25"/>
  <c r="O13" i="25"/>
  <c r="N13" i="25"/>
  <c r="M12" i="25"/>
  <c r="M25" i="25" s="1"/>
  <c r="L12" i="25"/>
  <c r="L25" i="25" s="1"/>
  <c r="K12" i="25"/>
  <c r="K25" i="25" s="1"/>
  <c r="J12" i="25"/>
  <c r="I12" i="25"/>
  <c r="H12" i="25"/>
  <c r="H25" i="25" s="1"/>
  <c r="G12" i="25"/>
  <c r="F12" i="25"/>
  <c r="E12" i="25"/>
  <c r="D12" i="25"/>
  <c r="C12" i="25"/>
  <c r="C25" i="25" s="1"/>
  <c r="B12" i="25"/>
  <c r="O11" i="25"/>
  <c r="N11" i="25"/>
  <c r="O10" i="25"/>
  <c r="N10" i="25"/>
  <c r="O9" i="25"/>
  <c r="N9" i="25"/>
  <c r="H67" i="12"/>
  <c r="J25" i="25" l="1"/>
  <c r="I25" i="25"/>
  <c r="O12" i="25"/>
  <c r="N12" i="25"/>
  <c r="B25" i="25"/>
  <c r="O16" i="25"/>
  <c r="N24" i="25"/>
  <c r="N16" i="25"/>
  <c r="O20" i="25"/>
  <c r="M69" i="13"/>
  <c r="L69" i="13"/>
  <c r="N25" i="25" l="1"/>
  <c r="O25" i="25"/>
  <c r="J69" i="13"/>
  <c r="I69" i="13"/>
  <c r="G69" i="13"/>
  <c r="F69" i="13"/>
  <c r="D69" i="13"/>
  <c r="C69" i="13"/>
  <c r="K68" i="13"/>
  <c r="H68" i="13"/>
  <c r="E68" i="13"/>
  <c r="K67" i="13"/>
  <c r="H67" i="13"/>
  <c r="E67" i="13"/>
  <c r="K66" i="13"/>
  <c r="H66" i="13"/>
  <c r="E66" i="13"/>
  <c r="K65" i="13"/>
  <c r="H65" i="13"/>
  <c r="E65" i="13"/>
  <c r="H69" i="13" l="1"/>
  <c r="K69" i="13"/>
  <c r="E69" i="13"/>
  <c r="N22" i="13"/>
  <c r="C12" i="24"/>
  <c r="D12" i="24"/>
  <c r="G12" i="24"/>
  <c r="F12" i="24"/>
  <c r="E12" i="24"/>
  <c r="B12" i="24"/>
  <c r="J8" i="24"/>
  <c r="J9" i="24"/>
  <c r="J10" i="24"/>
  <c r="J11" i="24"/>
  <c r="I8" i="24"/>
  <c r="I9" i="24"/>
  <c r="I10" i="24"/>
  <c r="I11" i="24"/>
  <c r="H9" i="24"/>
  <c r="H10" i="24"/>
  <c r="H11" i="24"/>
  <c r="H8" i="24"/>
  <c r="H12" i="24" l="1"/>
  <c r="I12" i="24"/>
  <c r="J12" i="24"/>
  <c r="K8" i="11" l="1"/>
  <c r="L8" i="11"/>
  <c r="M8" i="11"/>
  <c r="N35" i="22" l="1"/>
  <c r="N36" i="22"/>
  <c r="N34" i="22"/>
  <c r="M35" i="22"/>
  <c r="M36" i="22"/>
  <c r="M34" i="22"/>
  <c r="J12" i="22"/>
  <c r="J37" i="22"/>
  <c r="G12" i="22"/>
  <c r="I12" i="22"/>
  <c r="D10" i="5" l="1"/>
  <c r="L13" i="10" l="1"/>
  <c r="H13" i="10"/>
  <c r="C13" i="1" l="1"/>
  <c r="B13" i="1"/>
  <c r="E9" i="1"/>
  <c r="F9" i="1" s="1"/>
  <c r="D9" i="1"/>
  <c r="M13" i="10" l="1"/>
  <c r="K13" i="10"/>
  <c r="I13" i="10"/>
  <c r="G13" i="10"/>
  <c r="E13" i="10"/>
  <c r="C13" i="10"/>
  <c r="Q8" i="22"/>
  <c r="P8" i="22"/>
  <c r="O12" i="22"/>
  <c r="M12" i="22"/>
  <c r="K12" i="22"/>
  <c r="F12" i="22"/>
  <c r="C12" i="22"/>
  <c r="J12" i="8"/>
  <c r="G12" i="8"/>
  <c r="D12" i="8"/>
  <c r="D14" i="2"/>
  <c r="E14" i="2"/>
  <c r="C14" i="2"/>
  <c r="B14" i="2"/>
  <c r="H14" i="2" l="1"/>
  <c r="F67" i="12"/>
  <c r="H19" i="12" l="1"/>
  <c r="G11" i="2"/>
  <c r="G13" i="2" l="1"/>
  <c r="L56" i="12" l="1"/>
  <c r="J56" i="12"/>
  <c r="F37" i="22" l="1"/>
  <c r="D37" i="22"/>
  <c r="B37" i="22"/>
  <c r="M37" i="22" l="1"/>
  <c r="H37" i="22"/>
  <c r="Q10" i="22" l="1"/>
  <c r="Q9" i="22"/>
  <c r="P9" i="22"/>
  <c r="P10" i="22"/>
  <c r="P11" i="22"/>
  <c r="Q11" i="22"/>
  <c r="Q12" i="22" l="1"/>
  <c r="B10" i="21" l="1"/>
  <c r="K40" i="13" l="1"/>
  <c r="H40" i="13"/>
  <c r="E40" i="13"/>
  <c r="K19" i="13"/>
  <c r="K15" i="13"/>
  <c r="H19" i="13"/>
  <c r="H15" i="13"/>
  <c r="E19" i="13"/>
  <c r="E15" i="13" l="1"/>
  <c r="E11" i="13"/>
  <c r="H11" i="13"/>
  <c r="E12" i="13"/>
  <c r="H12" i="13"/>
  <c r="E13" i="13"/>
  <c r="H13" i="13"/>
  <c r="E14" i="13"/>
  <c r="H14" i="13"/>
  <c r="E16" i="13"/>
  <c r="H16" i="13"/>
  <c r="E17" i="13"/>
  <c r="H17" i="13"/>
  <c r="E18" i="13"/>
  <c r="H18" i="13"/>
  <c r="E20" i="13"/>
  <c r="H20" i="13"/>
  <c r="E21" i="13"/>
  <c r="H21" i="13"/>
  <c r="E23" i="13"/>
  <c r="H23" i="13"/>
  <c r="D46" i="12"/>
  <c r="H46" i="12"/>
  <c r="L37" i="22" l="1"/>
  <c r="E37" i="22"/>
  <c r="C37" i="22"/>
  <c r="N12" i="22"/>
  <c r="L12" i="22"/>
  <c r="E12" i="22"/>
  <c r="D12" i="22"/>
  <c r="B12" i="22"/>
  <c r="P12" i="22"/>
  <c r="N37" i="22" l="1"/>
  <c r="C13" i="22" l="1"/>
  <c r="M13" i="22"/>
  <c r="O13" i="22"/>
  <c r="D11" i="6"/>
  <c r="D7" i="21"/>
  <c r="F7" i="21"/>
  <c r="D8" i="21"/>
  <c r="F8" i="21"/>
  <c r="D9" i="21"/>
  <c r="F9" i="21"/>
  <c r="C10" i="21"/>
  <c r="E10" i="21"/>
  <c r="G10" i="21"/>
  <c r="D11" i="21"/>
  <c r="F11" i="21"/>
  <c r="D12" i="21"/>
  <c r="F12" i="21"/>
  <c r="D13" i="21"/>
  <c r="F13" i="21"/>
  <c r="B14" i="21"/>
  <c r="B23" i="21" s="1"/>
  <c r="C14" i="21"/>
  <c r="E14" i="21"/>
  <c r="D15" i="21"/>
  <c r="F15" i="21"/>
  <c r="D16" i="21"/>
  <c r="F16" i="21"/>
  <c r="D17" i="21"/>
  <c r="F17" i="21"/>
  <c r="B18" i="21"/>
  <c r="C18" i="21"/>
  <c r="E18" i="21"/>
  <c r="D19" i="21"/>
  <c r="F19" i="21"/>
  <c r="D20" i="21"/>
  <c r="F20" i="21"/>
  <c r="D21" i="21"/>
  <c r="F21" i="21"/>
  <c r="B22" i="21"/>
  <c r="C22" i="21"/>
  <c r="E22" i="21"/>
  <c r="D18" i="21" l="1"/>
  <c r="D14" i="21"/>
  <c r="F14" i="21"/>
  <c r="C23" i="21"/>
  <c r="D23" i="21" s="1"/>
  <c r="F22" i="21"/>
  <c r="D22" i="21"/>
  <c r="F18" i="21"/>
  <c r="E23" i="21"/>
  <c r="F23" i="21" s="1"/>
  <c r="F10" i="21"/>
  <c r="D10" i="21"/>
  <c r="M24" i="13"/>
  <c r="F7" i="15"/>
  <c r="G7" i="15" s="1"/>
  <c r="L34" i="12" l="1"/>
  <c r="M58" i="12"/>
  <c r="M59" i="12"/>
  <c r="M60" i="12"/>
  <c r="M61" i="12"/>
  <c r="M62" i="12"/>
  <c r="M63" i="12"/>
  <c r="M64" i="12"/>
  <c r="M65" i="12"/>
  <c r="M66" i="12"/>
  <c r="M57" i="12"/>
  <c r="L58" i="12"/>
  <c r="L59" i="12"/>
  <c r="L60" i="12"/>
  <c r="L61" i="12"/>
  <c r="L62" i="12"/>
  <c r="L63" i="12"/>
  <c r="L64" i="12"/>
  <c r="L65" i="12"/>
  <c r="L66" i="12"/>
  <c r="L57" i="12"/>
  <c r="K58" i="12"/>
  <c r="K59" i="12"/>
  <c r="K60" i="12"/>
  <c r="K61" i="12"/>
  <c r="K62" i="12"/>
  <c r="K63" i="12"/>
  <c r="K64" i="12"/>
  <c r="K65" i="12"/>
  <c r="K66" i="12"/>
  <c r="K57" i="12"/>
  <c r="J58" i="12"/>
  <c r="J59" i="12"/>
  <c r="J60" i="12"/>
  <c r="J61" i="12"/>
  <c r="J62" i="12"/>
  <c r="J63" i="12"/>
  <c r="J64" i="12"/>
  <c r="J65" i="12"/>
  <c r="J66" i="12"/>
  <c r="J57" i="12"/>
  <c r="M34" i="12"/>
  <c r="M35" i="12"/>
  <c r="M36" i="12"/>
  <c r="M37" i="12"/>
  <c r="M38" i="12"/>
  <c r="M39" i="12"/>
  <c r="M40" i="12"/>
  <c r="M41" i="12"/>
  <c r="M42" i="12"/>
  <c r="M43" i="12"/>
  <c r="M44" i="12"/>
  <c r="M45" i="12"/>
  <c r="M33" i="12"/>
  <c r="L35" i="12"/>
  <c r="L36" i="12"/>
  <c r="L37" i="12"/>
  <c r="L38" i="12"/>
  <c r="L39" i="12"/>
  <c r="L40" i="12"/>
  <c r="L41" i="12"/>
  <c r="L42" i="12"/>
  <c r="L43" i="12"/>
  <c r="L44" i="12"/>
  <c r="L45" i="12"/>
  <c r="L33" i="12"/>
  <c r="K34" i="12"/>
  <c r="K35" i="12"/>
  <c r="K36" i="12"/>
  <c r="K37" i="12"/>
  <c r="K38" i="12"/>
  <c r="K39" i="12"/>
  <c r="K40" i="12"/>
  <c r="K41" i="12"/>
  <c r="K42" i="12"/>
  <c r="K43" i="12"/>
  <c r="K44" i="12"/>
  <c r="K45" i="12"/>
  <c r="K33" i="12"/>
  <c r="J34" i="12"/>
  <c r="J35" i="12"/>
  <c r="J36" i="12"/>
  <c r="J37" i="12"/>
  <c r="J38" i="12"/>
  <c r="J39" i="12"/>
  <c r="J40" i="12"/>
  <c r="J41" i="12"/>
  <c r="J42" i="12"/>
  <c r="J43" i="12"/>
  <c r="J44" i="12"/>
  <c r="J45" i="12"/>
  <c r="J33" i="12"/>
  <c r="J10" i="12"/>
  <c r="K10" i="12"/>
  <c r="L10" i="12"/>
  <c r="M10" i="12"/>
  <c r="B46" i="12"/>
  <c r="E34" i="12"/>
  <c r="F46" i="12"/>
  <c r="I35" i="12"/>
  <c r="L15" i="12"/>
  <c r="C39" i="12" l="1"/>
  <c r="C34" i="12"/>
  <c r="C35" i="12"/>
  <c r="C41" i="12"/>
  <c r="C43" i="12"/>
  <c r="C45" i="12"/>
  <c r="C40" i="12"/>
  <c r="C33" i="12"/>
  <c r="C36" i="12"/>
  <c r="C42" i="12"/>
  <c r="C44" i="12"/>
  <c r="C37" i="12"/>
  <c r="C38" i="12"/>
  <c r="K46" i="12"/>
  <c r="L46" i="12"/>
  <c r="J46" i="12"/>
  <c r="M46" i="12"/>
  <c r="G41" i="12"/>
  <c r="G38" i="12"/>
  <c r="G44" i="12"/>
  <c r="G35" i="12"/>
  <c r="E41" i="12"/>
  <c r="E38" i="12"/>
  <c r="E35" i="12"/>
  <c r="E45" i="12"/>
  <c r="E36" i="12"/>
  <c r="E44" i="12"/>
  <c r="E39" i="12"/>
  <c r="E42" i="12"/>
  <c r="E33" i="12"/>
  <c r="I45" i="12"/>
  <c r="I42" i="12"/>
  <c r="I39" i="12"/>
  <c r="I36" i="12"/>
  <c r="I33" i="12"/>
  <c r="G45" i="12"/>
  <c r="G42" i="12"/>
  <c r="G39" i="12"/>
  <c r="G36" i="12"/>
  <c r="G33" i="12"/>
  <c r="I43" i="12"/>
  <c r="I40" i="12"/>
  <c r="I37" i="12"/>
  <c r="I34" i="12"/>
  <c r="G43" i="12"/>
  <c r="G40" i="12"/>
  <c r="G37" i="12"/>
  <c r="G34" i="12"/>
  <c r="I44" i="12"/>
  <c r="E43" i="12"/>
  <c r="I41" i="12"/>
  <c r="E40" i="12"/>
  <c r="I38" i="12"/>
  <c r="E37" i="12"/>
  <c r="E46" i="12" l="1"/>
  <c r="C46" i="12"/>
  <c r="G46" i="12"/>
  <c r="I46" i="12"/>
  <c r="M11" i="12" l="1"/>
  <c r="M12" i="12"/>
  <c r="M13" i="12"/>
  <c r="M14" i="12"/>
  <c r="M15" i="12"/>
  <c r="M16" i="12"/>
  <c r="M17" i="12"/>
  <c r="M18" i="12"/>
  <c r="L11" i="12"/>
  <c r="L12" i="12"/>
  <c r="L13" i="12"/>
  <c r="L14" i="12"/>
  <c r="L16" i="12"/>
  <c r="L17" i="12"/>
  <c r="L18" i="12"/>
  <c r="K11" i="12"/>
  <c r="K12" i="12"/>
  <c r="K13" i="12"/>
  <c r="K14" i="12"/>
  <c r="K15" i="12"/>
  <c r="K16" i="12"/>
  <c r="K17" i="12"/>
  <c r="K18" i="12"/>
  <c r="J11" i="12"/>
  <c r="J12" i="12"/>
  <c r="J13" i="12"/>
  <c r="J14" i="12"/>
  <c r="J15" i="12"/>
  <c r="J16" i="12"/>
  <c r="J17" i="12"/>
  <c r="J18" i="12"/>
  <c r="B19" i="12" l="1"/>
  <c r="C10" i="12" s="1"/>
  <c r="D19" i="12"/>
  <c r="E11" i="12" s="1"/>
  <c r="F19" i="12"/>
  <c r="G10" i="12" s="1"/>
  <c r="I14" i="12"/>
  <c r="I16" i="12" l="1"/>
  <c r="G11" i="12"/>
  <c r="K19" i="12"/>
  <c r="J19" i="12"/>
  <c r="I12" i="12"/>
  <c r="L19" i="12"/>
  <c r="M19" i="12"/>
  <c r="I11" i="12"/>
  <c r="E12" i="12"/>
  <c r="E15" i="12"/>
  <c r="C12" i="12"/>
  <c r="E18" i="12"/>
  <c r="C15" i="12"/>
  <c r="C18" i="12"/>
  <c r="C11" i="12"/>
  <c r="I17" i="12"/>
  <c r="C14" i="12"/>
  <c r="I10" i="12"/>
  <c r="C17" i="12"/>
  <c r="I13" i="12"/>
  <c r="G18" i="12"/>
  <c r="G15" i="12"/>
  <c r="G12" i="12"/>
  <c r="G16" i="12"/>
  <c r="G13" i="12"/>
  <c r="E16" i="12"/>
  <c r="E13" i="12"/>
  <c r="E10" i="12"/>
  <c r="G17" i="12"/>
  <c r="C16" i="12"/>
  <c r="G14" i="12"/>
  <c r="C13" i="12"/>
  <c r="I18" i="12"/>
  <c r="E17" i="12"/>
  <c r="I15" i="12"/>
  <c r="E14" i="12"/>
  <c r="I19" i="12" l="1"/>
  <c r="C19" i="12"/>
  <c r="E19" i="12"/>
  <c r="G19" i="12"/>
  <c r="J12" i="11" l="1"/>
  <c r="I12" i="11"/>
  <c r="H12" i="11"/>
  <c r="D12" i="11"/>
  <c r="C12" i="11"/>
  <c r="B12" i="11"/>
  <c r="K8" i="8"/>
  <c r="L8" i="8"/>
  <c r="M8" i="8"/>
  <c r="F10" i="2"/>
  <c r="F15" i="2"/>
  <c r="G15" i="2"/>
  <c r="H15" i="2" s="1"/>
  <c r="F16" i="2"/>
  <c r="G16" i="2"/>
  <c r="H16" i="2" s="1"/>
  <c r="G10" i="2" l="1"/>
  <c r="H10" i="2" l="1"/>
  <c r="D67" i="12"/>
  <c r="E62" i="12" s="1"/>
  <c r="Q12" i="10" l="1"/>
  <c r="Q9" i="10" l="1"/>
  <c r="P9" i="10"/>
  <c r="O9" i="10"/>
  <c r="N9" i="10"/>
  <c r="I12" i="8" l="1"/>
  <c r="H12" i="8"/>
  <c r="E12" i="8"/>
  <c r="D13" i="8"/>
  <c r="G13" i="8"/>
  <c r="J13" i="8"/>
  <c r="D10" i="1" l="1"/>
  <c r="H14" i="10" l="1"/>
  <c r="F9" i="15"/>
  <c r="G9" i="15" s="1"/>
  <c r="M11" i="11"/>
  <c r="L11" i="11"/>
  <c r="K11" i="11"/>
  <c r="M9" i="11"/>
  <c r="L9" i="11"/>
  <c r="K9" i="11"/>
  <c r="J13" i="10"/>
  <c r="F13" i="10"/>
  <c r="B13" i="10"/>
  <c r="P12" i="10"/>
  <c r="O12" i="10"/>
  <c r="N12" i="10"/>
  <c r="Q10" i="10"/>
  <c r="P10" i="10"/>
  <c r="P13" i="10" s="1"/>
  <c r="O10" i="10"/>
  <c r="N10" i="10"/>
  <c r="F12" i="8"/>
  <c r="C12" i="8"/>
  <c r="B12" i="8"/>
  <c r="M9" i="8"/>
  <c r="L9" i="8"/>
  <c r="L12" i="8" s="1"/>
  <c r="K9" i="8"/>
  <c r="K12" i="8" s="1"/>
  <c r="M11" i="8"/>
  <c r="L11" i="8"/>
  <c r="K11" i="8"/>
  <c r="H13" i="2"/>
  <c r="C8" i="5"/>
  <c r="D8" i="5" s="1"/>
  <c r="N13" i="10" l="1"/>
  <c r="R13" i="10"/>
  <c r="F13" i="2"/>
  <c r="F11" i="2"/>
  <c r="H11" i="2" l="1"/>
  <c r="C9" i="5"/>
  <c r="D9" i="5" s="1"/>
  <c r="D10" i="7"/>
  <c r="D8" i="7"/>
  <c r="D10" i="4"/>
  <c r="F10" i="4" s="1"/>
  <c r="D8" i="4"/>
  <c r="F8" i="4" s="1"/>
  <c r="E10" i="1"/>
  <c r="E12" i="1"/>
  <c r="D12" i="1"/>
  <c r="F17" i="2"/>
  <c r="G17" i="2"/>
  <c r="H17" i="2" s="1"/>
  <c r="B18" i="2"/>
  <c r="E18" i="2"/>
  <c r="F19" i="2"/>
  <c r="G19" i="2"/>
  <c r="H19" i="2" s="1"/>
  <c r="F20" i="2"/>
  <c r="G20" i="2"/>
  <c r="F21" i="2"/>
  <c r="G21" i="2"/>
  <c r="H21" i="2" s="1"/>
  <c r="B22" i="2"/>
  <c r="E22" i="2"/>
  <c r="F23" i="2"/>
  <c r="G23" i="2"/>
  <c r="H23" i="2" s="1"/>
  <c r="F24" i="2"/>
  <c r="G24" i="2"/>
  <c r="H24" i="2" s="1"/>
  <c r="F25" i="2"/>
  <c r="G25" i="2"/>
  <c r="H25" i="2" s="1"/>
  <c r="F26" i="2"/>
  <c r="G26" i="2"/>
  <c r="H26" i="2" s="1"/>
  <c r="B27" i="2"/>
  <c r="E27" i="2"/>
  <c r="F10" i="1" l="1"/>
  <c r="F12" i="1"/>
  <c r="G12" i="2"/>
  <c r="F18" i="2"/>
  <c r="G22" i="2"/>
  <c r="H22" i="2" s="1"/>
  <c r="F27" i="2"/>
  <c r="F22" i="2"/>
  <c r="B28" i="2"/>
  <c r="H20" i="2"/>
  <c r="F12" i="2"/>
  <c r="E10" i="4"/>
  <c r="E8" i="4"/>
  <c r="G27" i="2"/>
  <c r="H27" i="2" s="1"/>
  <c r="E28" i="2"/>
  <c r="G18" i="2" l="1"/>
  <c r="H18" i="2" s="1"/>
  <c r="H12" i="2"/>
  <c r="F28" i="2"/>
  <c r="G28" i="2" l="1"/>
  <c r="C72" i="18" l="1"/>
  <c r="D69" i="18" s="1"/>
  <c r="A72" i="18"/>
  <c r="B71" i="18"/>
  <c r="B70" i="18"/>
  <c r="B69" i="18"/>
  <c r="B68" i="18"/>
  <c r="B67" i="18"/>
  <c r="B66" i="18"/>
  <c r="B65" i="18"/>
  <c r="B64" i="18"/>
  <c r="B63" i="18"/>
  <c r="D71" i="18" l="1"/>
  <c r="D65" i="18"/>
  <c r="D68" i="18"/>
  <c r="D66" i="18"/>
  <c r="B72" i="18"/>
  <c r="D63" i="18"/>
  <c r="D70" i="18"/>
  <c r="D64" i="18"/>
  <c r="D67" i="18"/>
  <c r="D72" i="18" l="1"/>
  <c r="G56" i="12" l="1"/>
  <c r="G62" i="12" l="1"/>
  <c r="G63" i="12"/>
  <c r="G61" i="12"/>
  <c r="G9" i="16"/>
  <c r="F9" i="16"/>
  <c r="C9" i="16"/>
  <c r="B9" i="16"/>
  <c r="L55" i="12" l="1"/>
  <c r="J55" i="12"/>
  <c r="B67" i="12" l="1"/>
  <c r="C56" i="12" s="1"/>
  <c r="C62" i="12" l="1"/>
  <c r="C65" i="12"/>
  <c r="C60" i="12"/>
  <c r="C66" i="12"/>
  <c r="C63" i="12"/>
  <c r="C58" i="12"/>
  <c r="C64" i="12"/>
  <c r="C59" i="12"/>
  <c r="C57" i="12"/>
  <c r="C61" i="12"/>
  <c r="K67" i="12"/>
  <c r="J67" i="12"/>
  <c r="K56" i="12" s="1"/>
  <c r="E55" i="12"/>
  <c r="E64" i="12"/>
  <c r="E61" i="12"/>
  <c r="E66" i="12"/>
  <c r="E57" i="12"/>
  <c r="E65" i="12"/>
  <c r="E59" i="12"/>
  <c r="E58" i="12"/>
  <c r="E60" i="12"/>
  <c r="E63" i="12"/>
  <c r="E67" i="12" l="1"/>
  <c r="N19" i="13"/>
  <c r="N15" i="13"/>
  <c r="P39" i="17" l="1"/>
  <c r="N39" i="17"/>
  <c r="P38" i="17"/>
  <c r="N38" i="17"/>
  <c r="P37" i="17"/>
  <c r="N37" i="17"/>
  <c r="P36" i="17"/>
  <c r="N36" i="17"/>
  <c r="P35" i="17"/>
  <c r="N35" i="17"/>
  <c r="P34" i="17"/>
  <c r="N34" i="17"/>
  <c r="P33" i="17"/>
  <c r="N33" i="17"/>
  <c r="P32" i="17"/>
  <c r="N32" i="17"/>
  <c r="G23" i="17"/>
  <c r="F23" i="17"/>
  <c r="E23" i="17"/>
  <c r="D23" i="17"/>
  <c r="C23" i="17"/>
  <c r="B23" i="17"/>
  <c r="I22" i="17"/>
  <c r="H22" i="17"/>
  <c r="I21" i="17"/>
  <c r="H21" i="17"/>
  <c r="I20" i="17"/>
  <c r="H20" i="17"/>
  <c r="G19" i="17"/>
  <c r="F19" i="17"/>
  <c r="E19" i="17"/>
  <c r="D19" i="17"/>
  <c r="C19" i="17"/>
  <c r="B19" i="17"/>
  <c r="I18" i="17"/>
  <c r="H18" i="17"/>
  <c r="I17" i="17"/>
  <c r="H17" i="17"/>
  <c r="I16" i="17"/>
  <c r="H16" i="17"/>
  <c r="G15" i="17"/>
  <c r="F15" i="17"/>
  <c r="E15" i="17"/>
  <c r="D15" i="17"/>
  <c r="C15" i="17"/>
  <c r="B15" i="17"/>
  <c r="I14" i="17"/>
  <c r="H14" i="17"/>
  <c r="I13" i="17"/>
  <c r="H13" i="17"/>
  <c r="I12" i="17"/>
  <c r="H12" i="17"/>
  <c r="G11" i="17"/>
  <c r="G24" i="17" s="1"/>
  <c r="F11" i="17"/>
  <c r="E11" i="17"/>
  <c r="E24" i="17" s="1"/>
  <c r="D11" i="17"/>
  <c r="C11" i="17"/>
  <c r="B11" i="17"/>
  <c r="I10" i="17"/>
  <c r="H10" i="17"/>
  <c r="I9" i="17"/>
  <c r="H9" i="17"/>
  <c r="I8" i="17"/>
  <c r="H8" i="17"/>
  <c r="P39" i="16"/>
  <c r="N39" i="16"/>
  <c r="P38" i="16"/>
  <c r="N38" i="16"/>
  <c r="P37" i="16"/>
  <c r="N37" i="16"/>
  <c r="P36" i="16"/>
  <c r="N36" i="16"/>
  <c r="P35" i="16"/>
  <c r="N35" i="16"/>
  <c r="P34" i="16"/>
  <c r="N34" i="16"/>
  <c r="P33" i="16"/>
  <c r="N33" i="16"/>
  <c r="P32" i="16"/>
  <c r="N32" i="16"/>
  <c r="G23" i="16"/>
  <c r="F23" i="16"/>
  <c r="E23" i="16"/>
  <c r="D23" i="16"/>
  <c r="C23" i="16"/>
  <c r="B23" i="16"/>
  <c r="I22" i="16"/>
  <c r="H22" i="16"/>
  <c r="I21" i="16"/>
  <c r="H21" i="16"/>
  <c r="I20" i="16"/>
  <c r="H20" i="16"/>
  <c r="G19" i="16"/>
  <c r="F19" i="16"/>
  <c r="E19" i="16"/>
  <c r="D19" i="16"/>
  <c r="C19" i="16"/>
  <c r="B19" i="16"/>
  <c r="I18" i="16"/>
  <c r="H18" i="16"/>
  <c r="I17" i="16"/>
  <c r="H17" i="16"/>
  <c r="I16" i="16"/>
  <c r="H16" i="16"/>
  <c r="G15" i="16"/>
  <c r="F15" i="16"/>
  <c r="E15" i="16"/>
  <c r="D15" i="16"/>
  <c r="C15" i="16"/>
  <c r="B15" i="16"/>
  <c r="I14" i="16"/>
  <c r="H14" i="16"/>
  <c r="I13" i="16"/>
  <c r="H13" i="16"/>
  <c r="I12" i="16"/>
  <c r="H12" i="16"/>
  <c r="G11" i="16"/>
  <c r="G24" i="16" s="1"/>
  <c r="F11" i="16"/>
  <c r="E11" i="16"/>
  <c r="E24" i="16" s="1"/>
  <c r="D11" i="16"/>
  <c r="C11" i="16"/>
  <c r="B11" i="16"/>
  <c r="I10" i="16"/>
  <c r="H10" i="16"/>
  <c r="I9" i="16"/>
  <c r="H9" i="16"/>
  <c r="I8" i="16"/>
  <c r="H8" i="16"/>
  <c r="F24" i="16" l="1"/>
  <c r="B24" i="16"/>
  <c r="F24" i="17"/>
  <c r="D24" i="17"/>
  <c r="H15" i="16"/>
  <c r="H11" i="17"/>
  <c r="H15" i="17"/>
  <c r="H19" i="17"/>
  <c r="D24" i="16"/>
  <c r="I11" i="16"/>
  <c r="B24" i="17"/>
  <c r="H23" i="17"/>
  <c r="I11" i="17"/>
  <c r="C24" i="17"/>
  <c r="H11" i="16"/>
  <c r="H19" i="16"/>
  <c r="H23" i="16"/>
  <c r="C24" i="16"/>
  <c r="I19" i="17"/>
  <c r="I15" i="17"/>
  <c r="I23" i="17"/>
  <c r="I15" i="16"/>
  <c r="I23" i="16"/>
  <c r="I19" i="16"/>
  <c r="H24" i="17" l="1"/>
  <c r="I24" i="16"/>
  <c r="I24" i="17"/>
  <c r="H24" i="16"/>
  <c r="B11" i="4"/>
  <c r="E11" i="1" l="1"/>
  <c r="E13" i="1" s="1"/>
  <c r="C11" i="4" l="1"/>
  <c r="C10" i="15" l="1"/>
  <c r="E10" i="15" l="1"/>
  <c r="D10" i="15"/>
  <c r="B10" i="15"/>
  <c r="C11" i="6"/>
  <c r="B11" i="6"/>
  <c r="B11" i="5"/>
  <c r="C11" i="5" s="1"/>
  <c r="C11" i="7"/>
  <c r="B11" i="7"/>
  <c r="D11" i="5" l="1"/>
  <c r="C55" i="12"/>
  <c r="C67" i="12" s="1"/>
  <c r="G57" i="12"/>
  <c r="G64" i="12"/>
  <c r="G59" i="12"/>
  <c r="G60" i="12"/>
  <c r="G66" i="12"/>
  <c r="G58" i="12"/>
  <c r="G65" i="12"/>
  <c r="D13" i="1"/>
  <c r="L47" i="13" l="1"/>
  <c r="J47" i="13"/>
  <c r="I47" i="13"/>
  <c r="G47" i="13"/>
  <c r="F47" i="13"/>
  <c r="D47" i="13"/>
  <c r="C47" i="13"/>
  <c r="K46" i="13"/>
  <c r="H46" i="13"/>
  <c r="E46" i="13"/>
  <c r="K45" i="13"/>
  <c r="H45" i="13"/>
  <c r="E45" i="13"/>
  <c r="K44" i="13"/>
  <c r="H44" i="13"/>
  <c r="E44" i="13"/>
  <c r="K43" i="13"/>
  <c r="H43" i="13"/>
  <c r="E43" i="13"/>
  <c r="K42" i="13"/>
  <c r="H42" i="13"/>
  <c r="E42" i="13"/>
  <c r="K41" i="13"/>
  <c r="H41" i="13"/>
  <c r="E41" i="13"/>
  <c r="K35" i="13"/>
  <c r="H35" i="13"/>
  <c r="E35" i="13"/>
  <c r="K34" i="13"/>
  <c r="H34" i="13"/>
  <c r="E34" i="13"/>
  <c r="K33" i="13"/>
  <c r="H33" i="13"/>
  <c r="E33" i="13"/>
  <c r="J24" i="13"/>
  <c r="I24" i="13"/>
  <c r="G24" i="13"/>
  <c r="F24" i="13"/>
  <c r="D24" i="13"/>
  <c r="C24" i="13"/>
  <c r="N23" i="13"/>
  <c r="K23" i="13"/>
  <c r="N21" i="13"/>
  <c r="K21" i="13"/>
  <c r="N20" i="13"/>
  <c r="K20" i="13"/>
  <c r="N18" i="13"/>
  <c r="K18" i="13"/>
  <c r="N17" i="13"/>
  <c r="K17" i="13"/>
  <c r="N16" i="13"/>
  <c r="K16" i="13"/>
  <c r="K14" i="13"/>
  <c r="K13" i="13"/>
  <c r="N12" i="13"/>
  <c r="K12" i="13"/>
  <c r="N11" i="13"/>
  <c r="K11" i="13"/>
  <c r="E22" i="15"/>
  <c r="D22" i="15"/>
  <c r="C22" i="15"/>
  <c r="B22" i="15"/>
  <c r="F21" i="15"/>
  <c r="G21" i="15" s="1"/>
  <c r="F20" i="15"/>
  <c r="G20" i="15" s="1"/>
  <c r="F19" i="15"/>
  <c r="G19" i="15" s="1"/>
  <c r="E18" i="15"/>
  <c r="D18" i="15"/>
  <c r="C18" i="15"/>
  <c r="B18" i="15"/>
  <c r="F17" i="15"/>
  <c r="G17" i="15" s="1"/>
  <c r="F16" i="15"/>
  <c r="G16" i="15" s="1"/>
  <c r="F15" i="15"/>
  <c r="G15" i="15" s="1"/>
  <c r="E14" i="15"/>
  <c r="D14" i="15"/>
  <c r="C14" i="15"/>
  <c r="B14" i="15"/>
  <c r="F13" i="15"/>
  <c r="G13" i="15" s="1"/>
  <c r="F12" i="15"/>
  <c r="G12" i="15" s="1"/>
  <c r="F11" i="15"/>
  <c r="G11" i="15" s="1"/>
  <c r="F8" i="15"/>
  <c r="G8" i="15" s="1"/>
  <c r="J24" i="11"/>
  <c r="I24" i="11"/>
  <c r="H24" i="11"/>
  <c r="D24" i="11"/>
  <c r="C24" i="11"/>
  <c r="B24" i="11"/>
  <c r="M23" i="11"/>
  <c r="L23" i="11"/>
  <c r="K23" i="11"/>
  <c r="M22" i="11"/>
  <c r="L22" i="11"/>
  <c r="K22" i="11"/>
  <c r="M21" i="11"/>
  <c r="L21" i="11"/>
  <c r="K21" i="11"/>
  <c r="J20" i="11"/>
  <c r="I20" i="11"/>
  <c r="H20" i="11"/>
  <c r="D20" i="11"/>
  <c r="C20" i="11"/>
  <c r="B20" i="11"/>
  <c r="M19" i="11"/>
  <c r="L19" i="11"/>
  <c r="K19" i="11"/>
  <c r="M18" i="11"/>
  <c r="L18" i="11"/>
  <c r="K18" i="11"/>
  <c r="M17" i="11"/>
  <c r="L17" i="11"/>
  <c r="K17" i="11"/>
  <c r="J16" i="11"/>
  <c r="I16" i="11"/>
  <c r="H16" i="11"/>
  <c r="D16" i="11"/>
  <c r="C16" i="11"/>
  <c r="B16" i="11"/>
  <c r="M15" i="11"/>
  <c r="L15" i="11"/>
  <c r="K15" i="11"/>
  <c r="M14" i="11"/>
  <c r="L14" i="11"/>
  <c r="K14" i="11"/>
  <c r="M13" i="11"/>
  <c r="L13" i="11"/>
  <c r="K13" i="11"/>
  <c r="M10" i="11"/>
  <c r="M12" i="11" s="1"/>
  <c r="L10" i="11"/>
  <c r="L12" i="11" s="1"/>
  <c r="K10" i="11"/>
  <c r="K12" i="11" s="1"/>
  <c r="I26" i="10"/>
  <c r="H26" i="10"/>
  <c r="H27" i="10" s="1"/>
  <c r="G26" i="10"/>
  <c r="F26" i="10"/>
  <c r="F27" i="10" s="1"/>
  <c r="M26" i="10"/>
  <c r="L26" i="10"/>
  <c r="L27" i="10" s="1"/>
  <c r="K26" i="10"/>
  <c r="J26" i="10"/>
  <c r="J27" i="10" s="1"/>
  <c r="E26" i="10"/>
  <c r="D26" i="10"/>
  <c r="D27" i="10" s="1"/>
  <c r="C26" i="10"/>
  <c r="B26" i="10"/>
  <c r="B27" i="10" s="1"/>
  <c r="Q25" i="10"/>
  <c r="P25" i="10"/>
  <c r="O25" i="10"/>
  <c r="N25" i="10"/>
  <c r="Q24" i="10"/>
  <c r="P24" i="10"/>
  <c r="P26" i="10" s="1"/>
  <c r="P27" i="10" s="1"/>
  <c r="O24" i="10"/>
  <c r="N24" i="10"/>
  <c r="N26" i="10" s="1"/>
  <c r="N27" i="10" s="1"/>
  <c r="Q23" i="10"/>
  <c r="P23" i="10"/>
  <c r="O23" i="10"/>
  <c r="N23" i="10"/>
  <c r="Q22" i="10"/>
  <c r="P22" i="10"/>
  <c r="O22" i="10"/>
  <c r="N22" i="10"/>
  <c r="I21" i="10"/>
  <c r="H21" i="10"/>
  <c r="G21" i="10"/>
  <c r="F21" i="10"/>
  <c r="M21" i="10"/>
  <c r="L21" i="10"/>
  <c r="K21" i="10"/>
  <c r="J21" i="10"/>
  <c r="E21" i="10"/>
  <c r="D21" i="10"/>
  <c r="C21" i="10"/>
  <c r="B21" i="10"/>
  <c r="Q20" i="10"/>
  <c r="P20" i="10"/>
  <c r="P21" i="10" s="1"/>
  <c r="O20" i="10"/>
  <c r="N20" i="10"/>
  <c r="N21" i="10" s="1"/>
  <c r="Q19" i="10"/>
  <c r="P19" i="10"/>
  <c r="O19" i="10"/>
  <c r="N19" i="10"/>
  <c r="Q18" i="10"/>
  <c r="P18" i="10"/>
  <c r="O18" i="10"/>
  <c r="N18" i="10"/>
  <c r="I17" i="10"/>
  <c r="H17" i="10"/>
  <c r="G17" i="10"/>
  <c r="F17" i="10"/>
  <c r="M17" i="10"/>
  <c r="L17" i="10"/>
  <c r="K17" i="10"/>
  <c r="J17" i="10"/>
  <c r="E17" i="10"/>
  <c r="D17" i="10"/>
  <c r="C17" i="10"/>
  <c r="B17" i="10"/>
  <c r="Q16" i="10"/>
  <c r="P16" i="10"/>
  <c r="P17" i="10" s="1"/>
  <c r="O16" i="10"/>
  <c r="N16" i="10"/>
  <c r="N17" i="10" s="1"/>
  <c r="Q15" i="10"/>
  <c r="P15" i="10"/>
  <c r="O15" i="10"/>
  <c r="N15" i="10"/>
  <c r="Q14" i="10"/>
  <c r="P14" i="10"/>
  <c r="O14" i="10"/>
  <c r="N14" i="10"/>
  <c r="Q11" i="10"/>
  <c r="Q13" i="10" s="1"/>
  <c r="P11" i="10"/>
  <c r="O11" i="10"/>
  <c r="O13" i="10" s="1"/>
  <c r="N11" i="10"/>
  <c r="I56" i="12"/>
  <c r="G55" i="12"/>
  <c r="G25" i="8"/>
  <c r="F25" i="8"/>
  <c r="F26" i="8" s="1"/>
  <c r="E25" i="8"/>
  <c r="E26" i="8" s="1"/>
  <c r="J25" i="8"/>
  <c r="I25" i="8"/>
  <c r="I26" i="8" s="1"/>
  <c r="H25" i="8"/>
  <c r="H26" i="8" s="1"/>
  <c r="D25" i="8"/>
  <c r="C25" i="8"/>
  <c r="C26" i="8" s="1"/>
  <c r="B25" i="8"/>
  <c r="B26" i="8" s="1"/>
  <c r="M24" i="8"/>
  <c r="L24" i="8"/>
  <c r="L25" i="8" s="1"/>
  <c r="L26" i="8" s="1"/>
  <c r="K24" i="8"/>
  <c r="K25" i="8" s="1"/>
  <c r="K26" i="8" s="1"/>
  <c r="M23" i="8"/>
  <c r="L23" i="8"/>
  <c r="K23" i="8"/>
  <c r="M22" i="8"/>
  <c r="L22" i="8"/>
  <c r="K22" i="8"/>
  <c r="M21" i="8"/>
  <c r="L21" i="8"/>
  <c r="K21" i="8"/>
  <c r="G20" i="8"/>
  <c r="F20" i="8"/>
  <c r="E20" i="8"/>
  <c r="J20" i="8"/>
  <c r="I20" i="8"/>
  <c r="H20" i="8"/>
  <c r="D20" i="8"/>
  <c r="C20" i="8"/>
  <c r="B20" i="8"/>
  <c r="M19" i="8"/>
  <c r="L19" i="8"/>
  <c r="L20" i="8" s="1"/>
  <c r="K19" i="8"/>
  <c r="K20" i="8" s="1"/>
  <c r="M18" i="8"/>
  <c r="L18" i="8"/>
  <c r="K18" i="8"/>
  <c r="M17" i="8"/>
  <c r="L17" i="8"/>
  <c r="K17" i="8"/>
  <c r="G16" i="8"/>
  <c r="F16" i="8"/>
  <c r="E16" i="8"/>
  <c r="J16" i="8"/>
  <c r="I16" i="8"/>
  <c r="H16" i="8"/>
  <c r="D16" i="8"/>
  <c r="C16" i="8"/>
  <c r="B16" i="8"/>
  <c r="M15" i="8"/>
  <c r="L15" i="8"/>
  <c r="L16" i="8" s="1"/>
  <c r="K15" i="8"/>
  <c r="K16" i="8" s="1"/>
  <c r="M14" i="8"/>
  <c r="L14" i="8"/>
  <c r="K14" i="8"/>
  <c r="M13" i="8"/>
  <c r="L13" i="8"/>
  <c r="K13" i="8"/>
  <c r="M10" i="8"/>
  <c r="M12" i="8" s="1"/>
  <c r="L10" i="8"/>
  <c r="K10" i="8"/>
  <c r="C23" i="6"/>
  <c r="B23" i="6"/>
  <c r="C19" i="6"/>
  <c r="B19" i="6"/>
  <c r="C15" i="6"/>
  <c r="B15" i="6"/>
  <c r="B23" i="5"/>
  <c r="C22" i="5"/>
  <c r="C21" i="5"/>
  <c r="C20" i="5"/>
  <c r="B19" i="5"/>
  <c r="C18" i="5"/>
  <c r="C17" i="5"/>
  <c r="C16" i="5"/>
  <c r="B15" i="5"/>
  <c r="D15" i="5" s="1"/>
  <c r="C14" i="5"/>
  <c r="C13" i="5"/>
  <c r="C12" i="5"/>
  <c r="C23" i="7"/>
  <c r="B23" i="7"/>
  <c r="D22" i="7"/>
  <c r="D21" i="7"/>
  <c r="D20" i="7"/>
  <c r="C19" i="7"/>
  <c r="B19" i="7"/>
  <c r="D18" i="7"/>
  <c r="D17" i="7"/>
  <c r="D16" i="7"/>
  <c r="C15" i="7"/>
  <c r="B15" i="7"/>
  <c r="D14" i="7"/>
  <c r="D13" i="7"/>
  <c r="D12" i="7"/>
  <c r="D9" i="7"/>
  <c r="C23" i="4"/>
  <c r="C24" i="4" s="1"/>
  <c r="B23" i="4"/>
  <c r="B24" i="4" s="1"/>
  <c r="D22" i="4"/>
  <c r="F22" i="4" s="1"/>
  <c r="D21" i="4"/>
  <c r="D20" i="4"/>
  <c r="F20" i="4" s="1"/>
  <c r="F23" i="4" s="1"/>
  <c r="C19" i="4"/>
  <c r="B19" i="4"/>
  <c r="D18" i="4"/>
  <c r="F18" i="4" s="1"/>
  <c r="D17" i="4"/>
  <c r="F17" i="4" s="1"/>
  <c r="D16" i="4"/>
  <c r="F16" i="4" s="1"/>
  <c r="F19" i="4" s="1"/>
  <c r="C15" i="4"/>
  <c r="B15" i="4"/>
  <c r="D14" i="4"/>
  <c r="E14" i="4" s="1"/>
  <c r="D13" i="4"/>
  <c r="E13" i="4" s="1"/>
  <c r="D12" i="4"/>
  <c r="F12" i="4" s="1"/>
  <c r="F15" i="4" s="1"/>
  <c r="D9" i="4"/>
  <c r="O10" i="4" s="1"/>
  <c r="E26" i="1"/>
  <c r="C26" i="1"/>
  <c r="B26" i="1"/>
  <c r="F25" i="1"/>
  <c r="D25" i="1"/>
  <c r="F24" i="1"/>
  <c r="D24" i="1"/>
  <c r="F23" i="1"/>
  <c r="D23" i="1"/>
  <c r="F22" i="1"/>
  <c r="D22" i="1"/>
  <c r="E21" i="1"/>
  <c r="C21" i="1"/>
  <c r="B21" i="1"/>
  <c r="F20" i="1"/>
  <c r="D20" i="1"/>
  <c r="F19" i="1"/>
  <c r="D19" i="1"/>
  <c r="F18" i="1"/>
  <c r="D18" i="1"/>
  <c r="E17" i="1"/>
  <c r="C17" i="1"/>
  <c r="B17" i="1"/>
  <c r="F16" i="1"/>
  <c r="D16" i="1"/>
  <c r="F15" i="1"/>
  <c r="D15" i="1"/>
  <c r="F14" i="1"/>
  <c r="D14" i="1"/>
  <c r="F11" i="1"/>
  <c r="D11" i="1"/>
  <c r="S13" i="10" l="1"/>
  <c r="H24" i="13"/>
  <c r="M67" i="12"/>
  <c r="L67" i="12"/>
  <c r="M56" i="12" s="1"/>
  <c r="D23" i="5"/>
  <c r="C27" i="1"/>
  <c r="B23" i="15"/>
  <c r="D23" i="15"/>
  <c r="K24" i="13"/>
  <c r="E47" i="13"/>
  <c r="K47" i="13"/>
  <c r="F13" i="4"/>
  <c r="D26" i="1"/>
  <c r="H47" i="13"/>
  <c r="C24" i="7"/>
  <c r="L16" i="11"/>
  <c r="B24" i="7"/>
  <c r="C23" i="15"/>
  <c r="D21" i="1"/>
  <c r="C23" i="5"/>
  <c r="I66" i="12"/>
  <c r="J25" i="11"/>
  <c r="M20" i="11"/>
  <c r="E24" i="13"/>
  <c r="F21" i="1"/>
  <c r="F26" i="1"/>
  <c r="D23" i="7"/>
  <c r="E12" i="4"/>
  <c r="E15" i="4" s="1"/>
  <c r="E20" i="4"/>
  <c r="E23" i="4" s="1"/>
  <c r="D19" i="7"/>
  <c r="F14" i="4"/>
  <c r="D11" i="4"/>
  <c r="D15" i="4"/>
  <c r="T43" i="8"/>
  <c r="T40" i="8"/>
  <c r="K27" i="10"/>
  <c r="B27" i="1"/>
  <c r="D23" i="4"/>
  <c r="D24" i="4" s="1"/>
  <c r="E22" i="4"/>
  <c r="E23" i="15"/>
  <c r="D15" i="7"/>
  <c r="S31" i="8"/>
  <c r="S43" i="8"/>
  <c r="S40" i="8"/>
  <c r="K20" i="11"/>
  <c r="D11" i="7"/>
  <c r="E17" i="4"/>
  <c r="F14" i="15"/>
  <c r="G14" i="15" s="1"/>
  <c r="F18" i="15"/>
  <c r="G18" i="15" s="1"/>
  <c r="F22" i="15"/>
  <c r="G22" i="15" s="1"/>
  <c r="D17" i="1"/>
  <c r="D19" i="4"/>
  <c r="C19" i="5"/>
  <c r="O17" i="10"/>
  <c r="O9" i="4"/>
  <c r="F17" i="1"/>
  <c r="E21" i="4"/>
  <c r="E24" i="4" s="1"/>
  <c r="D19" i="5"/>
  <c r="I27" i="10"/>
  <c r="E16" i="4"/>
  <c r="E19" i="4" s="1"/>
  <c r="E18" i="4"/>
  <c r="F21" i="4"/>
  <c r="F24" i="4" s="1"/>
  <c r="I25" i="11"/>
  <c r="K16" i="11"/>
  <c r="L20" i="11"/>
  <c r="K24" i="11"/>
  <c r="M24" i="11"/>
  <c r="M27" i="10"/>
  <c r="O26" i="10"/>
  <c r="L24" i="11"/>
  <c r="D25" i="11"/>
  <c r="M16" i="11"/>
  <c r="H25" i="11"/>
  <c r="B25" i="11"/>
  <c r="C25" i="11"/>
  <c r="I55" i="12"/>
  <c r="I58" i="12"/>
  <c r="I59" i="12"/>
  <c r="S34" i="8"/>
  <c r="E9" i="4"/>
  <c r="E11" i="4" s="1"/>
  <c r="F9" i="4"/>
  <c r="I62" i="12"/>
  <c r="Q21" i="10"/>
  <c r="G27" i="10"/>
  <c r="Q26" i="10"/>
  <c r="Q17" i="10"/>
  <c r="O21" i="10"/>
  <c r="E27" i="10"/>
  <c r="F10" i="15"/>
  <c r="Q15" i="8"/>
  <c r="M16" i="8"/>
  <c r="J26" i="8"/>
  <c r="M20" i="8"/>
  <c r="M25" i="8"/>
  <c r="Q10" i="8"/>
  <c r="F13" i="1"/>
  <c r="G67" i="12"/>
  <c r="I61" i="12"/>
  <c r="I65" i="12"/>
  <c r="I64" i="12"/>
  <c r="I57" i="12"/>
  <c r="I60" i="12"/>
  <c r="I63" i="12"/>
  <c r="T34" i="8"/>
  <c r="T31" i="8"/>
  <c r="D26" i="8"/>
  <c r="G26" i="8"/>
  <c r="B24" i="5"/>
  <c r="C15" i="5"/>
  <c r="D27" i="1" l="1"/>
  <c r="L25" i="11"/>
  <c r="Q28" i="10"/>
  <c r="U43" i="8"/>
  <c r="U40" i="8"/>
  <c r="D28" i="8"/>
  <c r="M11" i="4"/>
  <c r="O11" i="4"/>
  <c r="U34" i="8"/>
  <c r="U31" i="8"/>
  <c r="G28" i="8"/>
  <c r="G27" i="8"/>
  <c r="M26" i="8"/>
  <c r="K25" i="11"/>
  <c r="O27" i="10"/>
  <c r="J27" i="8"/>
  <c r="M25" i="11"/>
  <c r="Q27" i="10"/>
  <c r="J28" i="8"/>
  <c r="B25" i="7"/>
  <c r="C25" i="7"/>
  <c r="D24" i="7"/>
  <c r="F11" i="4"/>
  <c r="D27" i="8"/>
  <c r="I67" i="12"/>
  <c r="E27" i="1"/>
  <c r="F27" i="1" s="1"/>
  <c r="G10" i="15"/>
  <c r="F23" i="15"/>
  <c r="G23" i="15" s="1"/>
  <c r="N14" i="13"/>
  <c r="N13" i="13"/>
  <c r="L24" i="13"/>
  <c r="O28" i="10" l="1"/>
  <c r="U9" i="8"/>
  <c r="V11" i="8"/>
  <c r="N24" i="13"/>
  <c r="C27"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Isabel Jaquez Adames</author>
  </authors>
  <commentList>
    <comment ref="E6" authorId="0" shapeId="0" xr:uid="{00000000-0006-0000-0D00-000001000000}">
      <text>
        <r>
          <rPr>
            <b/>
            <sz val="9"/>
            <color indexed="81"/>
            <rFont val="Tahoma"/>
            <family val="2"/>
          </rPr>
          <t>Isabel Jaquez Adames:</t>
        </r>
        <r>
          <rPr>
            <sz val="9"/>
            <color indexed="81"/>
            <rFont val="Tahoma"/>
            <family val="2"/>
          </rPr>
          <t xml:space="preserve">
Estas columnas se pueden eliminar</t>
        </r>
      </text>
    </comment>
  </commentList>
</comments>
</file>

<file path=xl/sharedStrings.xml><?xml version="1.0" encoding="utf-8"?>
<sst xmlns="http://schemas.openxmlformats.org/spreadsheetml/2006/main" count="870" uniqueCount="294">
  <si>
    <t>Dirección General de Jubilaciones y Pensiones a Cargo del Estado</t>
  </si>
  <si>
    <t>Departamento Administrativo y Financiero</t>
  </si>
  <si>
    <t>Ejecución Presupuesto Administrativo</t>
  </si>
  <si>
    <t>Mes</t>
  </si>
  <si>
    <t>Presupuesto Programado</t>
  </si>
  <si>
    <t>Presupuesto Ejecutado</t>
  </si>
  <si>
    <t>Restante</t>
  </si>
  <si>
    <t>Monto</t>
  </si>
  <si>
    <t>Absoluto (RD$)</t>
  </si>
  <si>
    <t>Relativo</t>
  </si>
  <si>
    <t>Regalía</t>
  </si>
  <si>
    <t>Diciembre</t>
  </si>
  <si>
    <t>Noviembre</t>
  </si>
  <si>
    <t>Octubre</t>
  </si>
  <si>
    <t>4to Trimestre</t>
  </si>
  <si>
    <t>Abril</t>
  </si>
  <si>
    <t>Mayo</t>
  </si>
  <si>
    <t>Junio</t>
  </si>
  <si>
    <t>2do Trimestre</t>
  </si>
  <si>
    <t xml:space="preserve">Julio </t>
  </si>
  <si>
    <t>Agosto</t>
  </si>
  <si>
    <t>Septiembre</t>
  </si>
  <si>
    <t>3er Trimestre</t>
  </si>
  <si>
    <t>Total</t>
  </si>
  <si>
    <t>Nota:</t>
  </si>
  <si>
    <t>División de Seguimiento al Sistema de Reparto</t>
  </si>
  <si>
    <t>Afiliados y Cotizantes</t>
  </si>
  <si>
    <t>Afiliados al Sistema de Reparto</t>
  </si>
  <si>
    <t>Cotizantes</t>
  </si>
  <si>
    <t>% Cotizantes</t>
  </si>
  <si>
    <t>No Cotizantes</t>
  </si>
  <si>
    <t>% No Cotizantes</t>
  </si>
  <si>
    <t>Afiliados Policia Nacional</t>
  </si>
  <si>
    <t>Promedio
2do Trimestre</t>
  </si>
  <si>
    <t>Julio</t>
  </si>
  <si>
    <t>Promedio
3er Trimestre</t>
  </si>
  <si>
    <t>Promedio
4to Trimestre</t>
  </si>
  <si>
    <r>
      <rPr>
        <b/>
        <sz val="8"/>
        <color indexed="8"/>
        <rFont val="Calibri"/>
        <family val="2"/>
      </rPr>
      <t>Fuente:</t>
    </r>
    <r>
      <rPr>
        <sz val="8"/>
        <color indexed="8"/>
        <rFont val="Calibri"/>
        <family val="2"/>
      </rPr>
      <t xml:space="preserve"> Datos recolectados en la DGJP, analizados por la División de Seguimiento al Sistema de Reparto</t>
    </r>
  </si>
  <si>
    <t xml:space="preserve"> </t>
  </si>
  <si>
    <t>Distribución de Cotizantes por Tipo de Empleador</t>
  </si>
  <si>
    <t>Cantidad de Cotizantes por Tipo de Empleador</t>
  </si>
  <si>
    <t xml:space="preserve">Público 
</t>
  </si>
  <si>
    <t>Privado</t>
  </si>
  <si>
    <t>% Público</t>
  </si>
  <si>
    <t>% Privado</t>
  </si>
  <si>
    <t>Enero-Abril 2021</t>
  </si>
  <si>
    <r>
      <rPr>
        <b/>
        <sz val="8"/>
        <color rgb="FF000000"/>
        <rFont val="Calibri"/>
        <family val="2"/>
      </rPr>
      <t>Fuente:</t>
    </r>
    <r>
      <rPr>
        <sz val="8"/>
        <color indexed="8"/>
        <rFont val="Calibri"/>
        <family val="2"/>
      </rPr>
      <t xml:space="preserve"> Data extraída de UNIPAGO, analizada por la División de Seguimiento al Sistema de Reparto</t>
    </r>
  </si>
  <si>
    <t>Individualización por tipo de Empleador</t>
  </si>
  <si>
    <t>Individualización de aportes por tipo de Empleador</t>
  </si>
  <si>
    <t>Público (RD$)</t>
  </si>
  <si>
    <t>Privado (RD$)</t>
  </si>
  <si>
    <t>Total (RD$)</t>
  </si>
  <si>
    <t>Porcentaje</t>
  </si>
  <si>
    <t>Distribución de Aportes</t>
  </si>
  <si>
    <t>Cantidad de Aportes</t>
  </si>
  <si>
    <t>Δ Absoluta</t>
  </si>
  <si>
    <t>Δ Relativa</t>
  </si>
  <si>
    <r>
      <rPr>
        <b/>
        <sz val="8"/>
        <color indexed="8"/>
        <rFont val="Calibri"/>
        <family val="2"/>
      </rPr>
      <t>Fuente:</t>
    </r>
    <r>
      <rPr>
        <sz val="8"/>
        <color indexed="8"/>
        <rFont val="Calibri"/>
        <family val="2"/>
      </rPr>
      <t xml:space="preserve"> Data extraída de UNIPAGO, analizada por la División de Seguimiento al Sistema de Reparto</t>
    </r>
  </si>
  <si>
    <t>Cantidad de Traspasos</t>
  </si>
  <si>
    <t>Recibidos (SCI a Reparto)</t>
  </si>
  <si>
    <t>Cedidos (Reparto a SCI)</t>
  </si>
  <si>
    <t>Monto Traspasado (RD$)</t>
  </si>
  <si>
    <t>T2</t>
  </si>
  <si>
    <t>T3</t>
  </si>
  <si>
    <t>T4</t>
  </si>
  <si>
    <t>Departamento de Gestión Financiera de Pensiones</t>
  </si>
  <si>
    <t>Ejecución Presupuesto Pensionados</t>
  </si>
  <si>
    <t>Programación Presupuestaria</t>
  </si>
  <si>
    <t>Ejecución Presupuestaria</t>
  </si>
  <si>
    <t>Programación Ordinaria (RD$)</t>
  </si>
  <si>
    <t>Ajuste de Partidas Devengadas</t>
  </si>
  <si>
    <t>Programación Total</t>
  </si>
  <si>
    <t xml:space="preserve"> Ejecutado</t>
  </si>
  <si>
    <r>
      <t xml:space="preserve">Nota 1: </t>
    </r>
    <r>
      <rPr>
        <sz val="8"/>
        <rFont val="Calibri"/>
        <family val="2"/>
        <scheme val="minor"/>
      </rPr>
      <t>El monto de ajuste de partidas devengadas, corresponde a los rechazos en transferencia, reintegro de cheques, recuperaciones y devoluciones de pensiones de las diferentes nominas (civil, policia, solidaria y adicionales)</t>
    </r>
  </si>
  <si>
    <r>
      <rPr>
        <b/>
        <sz val="8"/>
        <rFont val="Calibri"/>
        <family val="2"/>
        <scheme val="minor"/>
      </rPr>
      <t>Nota 2</t>
    </r>
    <r>
      <rPr>
        <sz val="8"/>
        <rFont val="Calibri"/>
        <family val="2"/>
        <scheme val="minor"/>
      </rPr>
      <t>: Se presenta la información en base a los trámites gestionados dentro del mes por las distintas Divisiones del Departamento de Gestión Financiera</t>
    </r>
  </si>
  <si>
    <r>
      <rPr>
        <b/>
        <sz val="8"/>
        <color theme="1"/>
        <rFont val="Calibri"/>
        <family val="2"/>
        <scheme val="minor"/>
      </rPr>
      <t>Fuente:</t>
    </r>
    <r>
      <rPr>
        <sz val="8"/>
        <color theme="1"/>
        <rFont val="Calibri"/>
        <family val="2"/>
        <scheme val="minor"/>
      </rPr>
      <t xml:space="preserve"> SIGEF, División de Presupuesto de Pensiones</t>
    </r>
  </si>
  <si>
    <t>Nómina de Pensionados</t>
  </si>
  <si>
    <t>Pensiones Civiles</t>
  </si>
  <si>
    <t>Pensiones Solidarias</t>
  </si>
  <si>
    <t>PN</t>
  </si>
  <si>
    <t>TOTAL</t>
  </si>
  <si>
    <t>Cantidad Pensionados</t>
  </si>
  <si>
    <t>Cantidad Pensiones</t>
  </si>
  <si>
    <t>Abril-Junio 2019</t>
  </si>
  <si>
    <r>
      <rPr>
        <b/>
        <sz val="8"/>
        <color theme="1"/>
        <rFont val="Calibri"/>
        <family val="2"/>
        <scheme val="minor"/>
      </rPr>
      <t>Fuente:</t>
    </r>
    <r>
      <rPr>
        <sz val="8"/>
        <color theme="1"/>
        <rFont val="Calibri"/>
        <family val="2"/>
        <scheme val="minor"/>
      </rPr>
      <t xml:space="preserve"> SIJUPEN</t>
    </r>
  </si>
  <si>
    <t>Variaciones</t>
  </si>
  <si>
    <t>Pensiones</t>
  </si>
  <si>
    <t>Pensionados</t>
  </si>
  <si>
    <t>Abril-Junio 2020</t>
  </si>
  <si>
    <t>Nóminas Autoseguro</t>
  </si>
  <si>
    <t>Nómina Mensual Discapacidad Civil</t>
  </si>
  <si>
    <t>Nómina Mensual Discapacidad Policía Nacional</t>
  </si>
  <si>
    <t>Nómina Mensual Sobrevivencia Civil</t>
  </si>
  <si>
    <t>Nómina Mensual Sobrevivencia Policía</t>
  </si>
  <si>
    <t>Cantidad Beneficiarios</t>
  </si>
  <si>
    <t>Monto Bruto
(RD$)</t>
  </si>
  <si>
    <t>AFP
(RD$)</t>
  </si>
  <si>
    <t>SFS
(RD$)</t>
  </si>
  <si>
    <t>Monto Neto
(RD$)</t>
  </si>
  <si>
    <t>Monto
(RD$)</t>
  </si>
  <si>
    <t>Fuente: EasyNómina</t>
  </si>
  <si>
    <t xml:space="preserve">                                                                                                                                                                                                                                                                                                          </t>
  </si>
  <si>
    <t>Nómina Deuda Retroactiva 
Discapacidad Civil</t>
  </si>
  <si>
    <t>Nómina Deuda Retroactiva
Sobrevivencia Civil</t>
  </si>
  <si>
    <t>Nómina Deuda Retroactiva
Sobrevivencia Policía Nacional</t>
  </si>
  <si>
    <t>-</t>
  </si>
  <si>
    <r>
      <rPr>
        <b/>
        <sz val="8"/>
        <color theme="1"/>
        <rFont val="Calibri"/>
        <family val="2"/>
        <scheme val="minor"/>
      </rPr>
      <t>Fuente:</t>
    </r>
    <r>
      <rPr>
        <sz val="8"/>
        <color theme="1"/>
        <rFont val="Calibri"/>
        <family val="2"/>
        <scheme val="minor"/>
      </rPr>
      <t xml:space="preserve"> División de Nómina</t>
    </r>
  </si>
  <si>
    <t>Movimientos en Nómina</t>
  </si>
  <si>
    <t>TOTAL GENERAL</t>
  </si>
  <si>
    <t>Inclusiones</t>
  </si>
  <si>
    <t>Pensiones por Sobrevivencia</t>
  </si>
  <si>
    <t>Reactivaciones &amp; Reinclusiones</t>
  </si>
  <si>
    <t>Ajustes Monto Pensiones</t>
  </si>
  <si>
    <t>Exclusiones</t>
  </si>
  <si>
    <t>Suspensiones</t>
  </si>
  <si>
    <t>Cantidad</t>
  </si>
  <si>
    <t>Tipo Cantidad Porcentaje Monto Porcentaje</t>
  </si>
  <si>
    <t>PENSIÓN</t>
  </si>
  <si>
    <t>CIVIL</t>
  </si>
  <si>
    <t>IDSS</t>
  </si>
  <si>
    <t>GLORIAS</t>
  </si>
  <si>
    <t>DEL</t>
  </si>
  <si>
    <t>DEPORTE</t>
  </si>
  <si>
    <t>PABELLÓN</t>
  </si>
  <si>
    <t>DE</t>
  </si>
  <si>
    <t>LA</t>
  </si>
  <si>
    <t>FAMA</t>
  </si>
  <si>
    <t>PODER</t>
  </si>
  <si>
    <t>LEGISLATIVO</t>
  </si>
  <si>
    <t>EJECUTIVO</t>
  </si>
  <si>
    <t>POLICÍA</t>
  </si>
  <si>
    <t>NACIONAL</t>
  </si>
  <si>
    <t>SOLIDARIA</t>
  </si>
  <si>
    <t>PENSION</t>
  </si>
  <si>
    <t>POR</t>
  </si>
  <si>
    <t>SOBREVIVENCIA</t>
  </si>
  <si>
    <t>Rango</t>
  </si>
  <si>
    <t>Cantidad*</t>
  </si>
  <si>
    <t>Monto*</t>
  </si>
  <si>
    <t>Menos</t>
  </si>
  <si>
    <t>de</t>
  </si>
  <si>
    <t>RD$5117.50</t>
  </si>
  <si>
    <t>Igual</t>
  </si>
  <si>
    <t>a</t>
  </si>
  <si>
    <t>RD$5117.51</t>
  </si>
  <si>
    <t>&gt;=100,000.00</t>
  </si>
  <si>
    <t>18-30</t>
  </si>
  <si>
    <t>30-40</t>
  </si>
  <si>
    <t>40-50</t>
  </si>
  <si>
    <t>50-60</t>
  </si>
  <si>
    <t>60-70</t>
  </si>
  <si>
    <t>70-80</t>
  </si>
  <si>
    <t>80-90</t>
  </si>
  <si>
    <t>90-100</t>
  </si>
  <si>
    <t>con</t>
  </si>
  <si>
    <t>Nacimiento</t>
  </si>
  <si>
    <t>Trimestre Abril-Junio
Al 30 de Junio 2021</t>
  </si>
  <si>
    <t xml:space="preserve">Cantidad </t>
  </si>
  <si>
    <t>Distribución de Pensiones por Tipo y por Montos. Pensionados por edad.</t>
  </si>
  <si>
    <t xml:space="preserve">Tipo de Pensión </t>
  </si>
  <si>
    <t xml:space="preserve">Tipo  </t>
  </si>
  <si>
    <t>Cantidad 
(Var Absoluta)</t>
  </si>
  <si>
    <t>Porcentaje
(Var Porcentual)</t>
  </si>
  <si>
    <t>Monto
(Var Absoluta)</t>
  </si>
  <si>
    <t>PENSIÓN CIVIL</t>
  </si>
  <si>
    <t>GLORIAS DEL DEPORTE</t>
  </si>
  <si>
    <t>PABELLÓN DE LA FAMA</t>
  </si>
  <si>
    <t>PODER LEGISLATIVO</t>
  </si>
  <si>
    <t>PODER EJECUTIVO</t>
  </si>
  <si>
    <t>POLICÍA NACIONAL</t>
  </si>
  <si>
    <t>PENSIÓN SOLIDARIA</t>
  </si>
  <si>
    <t>PENSION POR SOBREVIVENCIA</t>
  </si>
  <si>
    <t>TOTALES:</t>
  </si>
  <si>
    <r>
      <rPr>
        <b/>
        <sz val="8"/>
        <color theme="1"/>
        <rFont val="Calibri"/>
        <family val="2"/>
        <scheme val="minor"/>
      </rPr>
      <t>Fuente:</t>
    </r>
    <r>
      <rPr>
        <sz val="8"/>
        <color theme="1"/>
        <rFont val="Calibri"/>
        <family val="2"/>
        <scheme val="minor"/>
      </rPr>
      <t xml:space="preserve"> Departamento de Gestión Financiera de Pensiones.</t>
    </r>
  </si>
  <si>
    <t>Pensiones por Monto</t>
  </si>
  <si>
    <t>Menos de RD$5117.50</t>
  </si>
  <si>
    <t>Igual a RD$5117.51</t>
  </si>
  <si>
    <t>5,117.50 - 10,000.00</t>
  </si>
  <si>
    <t>10,000.00 - 20,000.00</t>
  </si>
  <si>
    <t>20,000.00 - 30,000.00</t>
  </si>
  <si>
    <t>30,000.00 - 40,000.00</t>
  </si>
  <si>
    <t>40,000.00 - 50,000.00</t>
  </si>
  <si>
    <t>50,000.00 - 60,000.00</t>
  </si>
  <si>
    <t>60,000.00 - 70,000.00</t>
  </si>
  <si>
    <t>70,000.00 - 80,000.00</t>
  </si>
  <si>
    <t>80,000.00 - 90,000.00</t>
  </si>
  <si>
    <t>90,000.00 - 100,000.00</t>
  </si>
  <si>
    <r>
      <rPr>
        <b/>
        <sz val="8"/>
        <rFont val="Calibri"/>
        <family val="2"/>
        <scheme val="minor"/>
      </rPr>
      <t>Nota 2</t>
    </r>
    <r>
      <rPr>
        <sz val="8"/>
        <rFont val="Calibri"/>
        <family val="2"/>
        <scheme val="minor"/>
      </rPr>
      <t>: Incluye los montos y cantidad de Pensiones Solidarias.</t>
    </r>
  </si>
  <si>
    <r>
      <rPr>
        <b/>
        <sz val="8"/>
        <color theme="1"/>
        <rFont val="Calibri"/>
        <family val="2"/>
        <scheme val="minor"/>
      </rPr>
      <t xml:space="preserve">Fuente: </t>
    </r>
    <r>
      <rPr>
        <sz val="8"/>
        <color theme="1"/>
        <rFont val="Calibri"/>
        <family val="2"/>
        <scheme val="minor"/>
      </rPr>
      <t>SIJUPEN.</t>
    </r>
  </si>
  <si>
    <t>Pensiones por Edad</t>
  </si>
  <si>
    <t xml:space="preserve">Cantidad* </t>
  </si>
  <si>
    <t>Menos 18 años</t>
  </si>
  <si>
    <t>0-18</t>
  </si>
  <si>
    <t>Sin fecha de nacimiento</t>
  </si>
  <si>
    <r>
      <rPr>
        <b/>
        <sz val="8"/>
        <color rgb="FF000000"/>
        <rFont val="Calibri"/>
        <family val="2"/>
        <scheme val="minor"/>
      </rPr>
      <t>Nota 2:</t>
    </r>
    <r>
      <rPr>
        <sz val="8"/>
        <color rgb="FF000000"/>
        <rFont val="Calibri"/>
        <family val="2"/>
        <scheme val="minor"/>
      </rPr>
      <t xml:space="preserve"> No incluye los pensionados de la Policía Nacional ni los pensionados por pensión solidaria.</t>
    </r>
  </si>
  <si>
    <t>Modalidad de Pago</t>
  </si>
  <si>
    <t>Electrónico</t>
  </si>
  <si>
    <t>Cheque</t>
  </si>
  <si>
    <t xml:space="preserve">Electrónico </t>
  </si>
  <si>
    <t>Cantidad de Pensiones</t>
  </si>
  <si>
    <t>Cantidad  Pensiones</t>
  </si>
  <si>
    <t>Cantidad Electrónico</t>
  </si>
  <si>
    <t>Cantidad Cheque</t>
  </si>
  <si>
    <r>
      <rPr>
        <b/>
        <sz val="8"/>
        <color theme="1"/>
        <rFont val="Calibri"/>
        <family val="2"/>
        <scheme val="minor"/>
      </rPr>
      <t xml:space="preserve">Fuente: </t>
    </r>
    <r>
      <rPr>
        <sz val="8"/>
        <color theme="1"/>
        <rFont val="Calibri"/>
        <family val="2"/>
        <scheme val="minor"/>
      </rPr>
      <t>SIJUPEN</t>
    </r>
  </si>
  <si>
    <t>Pago de Retroactivos</t>
  </si>
  <si>
    <t>Cantidad 
Pensionados</t>
  </si>
  <si>
    <t>Cantidad 
Pensiones</t>
  </si>
  <si>
    <t>Regalia</t>
  </si>
  <si>
    <t>Diciembre**</t>
  </si>
  <si>
    <t xml:space="preserve"> **Estos totales incluyen las nóminas adicionales de regalía de pensionados inactivos.</t>
  </si>
  <si>
    <r>
      <rPr>
        <b/>
        <sz val="8"/>
        <color theme="1"/>
        <rFont val="Calibri"/>
        <family val="2"/>
        <scheme val="minor"/>
      </rPr>
      <t xml:space="preserve">Fuente: </t>
    </r>
    <r>
      <rPr>
        <sz val="8"/>
        <color theme="1"/>
        <rFont val="Calibri"/>
        <family val="2"/>
        <scheme val="minor"/>
      </rPr>
      <t>Departamento de Gestión Financiera de Pensiones.</t>
    </r>
  </si>
  <si>
    <t>Direccion General de Jubilaciones y Pensiones a Cargo del Estado</t>
  </si>
  <si>
    <t>Reintegro de Cheques</t>
  </si>
  <si>
    <t>Estadíticas Trimestre Abril-Junio</t>
  </si>
  <si>
    <t>Año 2021</t>
  </si>
  <si>
    <t>DGJP</t>
  </si>
  <si>
    <t>Cantidad 
de Cheques</t>
  </si>
  <si>
    <t xml:space="preserve"> *Estos totales incluyen las nóminas adicionales de regalía de pensionados inactivos.</t>
  </si>
  <si>
    <t>Fuente: SIJUPEN</t>
  </si>
  <si>
    <t>Créditos Rechazados</t>
  </si>
  <si>
    <t>Estadíticas Trimestre Enero-Marzo</t>
  </si>
  <si>
    <t xml:space="preserve">Cantidad 
</t>
  </si>
  <si>
    <t>Pagos Únicos Compensatorios</t>
  </si>
  <si>
    <t>Recuperación de Fondos</t>
  </si>
  <si>
    <t>Cantidad 
Solicitudes</t>
  </si>
  <si>
    <t>Monto 
Solicitado</t>
  </si>
  <si>
    <t>Monto Recuperado 
Años Anteriores</t>
  </si>
  <si>
    <t>Monto Recuperado 
Año en Curso</t>
  </si>
  <si>
    <t>Total 
Recuperado</t>
  </si>
  <si>
    <t>% Recuperado</t>
  </si>
  <si>
    <t>Dirección de Servicios y Trámite de Pensiones</t>
  </si>
  <si>
    <t>Gestión de Servicios a Pensionados</t>
  </si>
  <si>
    <t>Solicitudes Recibidas</t>
  </si>
  <si>
    <t xml:space="preserve">Descripción </t>
  </si>
  <si>
    <t>Recibidas</t>
  </si>
  <si>
    <t>Procesadas</t>
  </si>
  <si>
    <t>% Eficiencia</t>
  </si>
  <si>
    <t>Modificación Datos Críticos</t>
  </si>
  <si>
    <t>Pensión por sobrevivencia</t>
  </si>
  <si>
    <t>Registro de Poderes</t>
  </si>
  <si>
    <t>Solicitud Aplicación/Suspensión de Descuento 2%</t>
  </si>
  <si>
    <t>Solicitud de actualización de datos  Pensionados</t>
  </si>
  <si>
    <t>Solicitud de Exclusión</t>
  </si>
  <si>
    <t>Solicitud de Inclusión a Nómina</t>
  </si>
  <si>
    <t>Solicitud de Reajuste de Pensión</t>
  </si>
  <si>
    <t>Solicitud de Reclamación de Deuda</t>
  </si>
  <si>
    <t>Solicitud Pago Único Compensatorio</t>
  </si>
  <si>
    <t>Solicitud Pensión</t>
  </si>
  <si>
    <t>Solicitud Re-activación/Re-inclusión Pensión</t>
  </si>
  <si>
    <t>Solicitud Traspaso</t>
  </si>
  <si>
    <t>Total:</t>
  </si>
  <si>
    <r>
      <rPr>
        <b/>
        <sz val="8"/>
        <rFont val="Calibri"/>
        <family val="2"/>
        <scheme val="minor"/>
      </rPr>
      <t>Fuente:</t>
    </r>
    <r>
      <rPr>
        <sz val="8"/>
        <rFont val="Calibri"/>
        <family val="2"/>
        <scheme val="minor"/>
      </rPr>
      <t xml:space="preserve"> Metabase DAP</t>
    </r>
  </si>
  <si>
    <t>Aprobadas</t>
  </si>
  <si>
    <t>Pensión por Sobrevivencia Concubina</t>
  </si>
  <si>
    <t>Pensión por Sobrevivencia Conyugue</t>
  </si>
  <si>
    <t>Pension por Sobrevivencia Estudiante PN</t>
  </si>
  <si>
    <t>Pensión por Sobrevivencia Menor</t>
  </si>
  <si>
    <t>Pensión por Sobrevivencia Padres</t>
  </si>
  <si>
    <t>Reactivacion</t>
  </si>
  <si>
    <t>Reembolso - RE</t>
  </si>
  <si>
    <t>Reinclusion</t>
  </si>
  <si>
    <t>Retroactivo – RT</t>
  </si>
  <si>
    <t>Retroactivo – RTI</t>
  </si>
  <si>
    <t>Solicitud de aplicacion de Descuento ADL</t>
  </si>
  <si>
    <t>Solicitud de Suspension de Descuento SDL</t>
  </si>
  <si>
    <t>Solicitud Modificación Monto Pensión</t>
  </si>
  <si>
    <r>
      <rPr>
        <b/>
        <sz val="8"/>
        <rFont val="Calibri"/>
        <family val="2"/>
        <scheme val="minor"/>
      </rPr>
      <t xml:space="preserve">Fuente: </t>
    </r>
    <r>
      <rPr>
        <sz val="8"/>
        <rFont val="Calibri"/>
        <family val="2"/>
        <scheme val="minor"/>
      </rPr>
      <t>Metabase DMP.</t>
    </r>
  </si>
  <si>
    <t>Solicitudes Recibidas y otorgadas</t>
  </si>
  <si>
    <t>Otorgadas</t>
  </si>
  <si>
    <t>Sobrevivencia Civil</t>
  </si>
  <si>
    <t>Sobrevivencia Policía Nacional</t>
  </si>
  <si>
    <t>Discapacidad Civil</t>
  </si>
  <si>
    <t>Discapacidad Policía Nacional</t>
  </si>
  <si>
    <r>
      <rPr>
        <b/>
        <sz val="8"/>
        <rFont val="Calibri"/>
        <family val="2"/>
        <scheme val="minor"/>
      </rPr>
      <t xml:space="preserve">Fuente: </t>
    </r>
    <r>
      <rPr>
        <sz val="8"/>
        <rFont val="Calibri"/>
        <family val="2"/>
        <scheme val="minor"/>
      </rPr>
      <t>Departamento de Autoseguro</t>
    </r>
  </si>
  <si>
    <t>Año 2024</t>
  </si>
  <si>
    <t>Promedio 3er Trimestre</t>
  </si>
  <si>
    <t>Estadísticas Trimestre Julio-Septiembre</t>
  </si>
  <si>
    <t>Trimestre Julio-Septiembre</t>
  </si>
  <si>
    <t>Trimestre Julio-Septiembre
Al 30 de Septiembre 2023</t>
  </si>
  <si>
    <t>Trimestre Julio-Septiembre
Al 30 de septiembre 2024</t>
  </si>
  <si>
    <t>Trimestre Julio-Septiembre
Al 30 de septiembre 2023</t>
  </si>
  <si>
    <t>Estadíticas Trimestre Julio-Septiembre</t>
  </si>
  <si>
    <t>Cantidad de solicitudes aprobadas por tipo T3-2024</t>
  </si>
  <si>
    <r>
      <rPr>
        <b/>
        <sz val="8"/>
        <color indexed="8"/>
        <rFont val="Calibri"/>
        <family val="2"/>
      </rPr>
      <t>Nota:</t>
    </r>
    <r>
      <rPr>
        <sz val="8"/>
        <color indexed="8"/>
        <rFont val="Calibri"/>
        <family val="2"/>
      </rPr>
      <t xml:space="preserve"> Mes de septiembre proyectado.</t>
    </r>
  </si>
  <si>
    <r>
      <t xml:space="preserve">Nota: </t>
    </r>
    <r>
      <rPr>
        <sz val="7"/>
        <rFont val="Calibri"/>
        <family val="2"/>
        <scheme val="minor"/>
      </rPr>
      <t>El monto ejecutado por encima de lo programado, RD$519,495.62, se debe a un aumento en los servicios básicos, tales como energía eléctrica y telefonía local.</t>
    </r>
  </si>
  <si>
    <r>
      <t>Nota 3:</t>
    </r>
    <r>
      <rPr>
        <sz val="8"/>
        <rFont val="Calibri"/>
        <family val="2"/>
        <scheme val="minor"/>
      </rPr>
      <t xml:space="preserve"> El restante absoluto de la ejecución presupuestaria del periodo T2 es de RD$59,372,550.34; este se suma al total de la programación ordinaria y los ajustes de partidas devengadas para poder calcular los valores relativos presentados en el cuadro.</t>
    </r>
  </si>
  <si>
    <t>Nómina Deuda Retroactiva 
Discapacidad Policía Nacional</t>
  </si>
  <si>
    <r>
      <rPr>
        <b/>
        <sz val="8"/>
        <color theme="1"/>
        <rFont val="Calibri"/>
        <family val="2"/>
        <scheme val="minor"/>
      </rPr>
      <t xml:space="preserve">Nota: </t>
    </r>
    <r>
      <rPr>
        <sz val="8"/>
        <color theme="1"/>
        <rFont val="Calibri"/>
        <family val="2"/>
        <scheme val="minor"/>
      </rPr>
      <t>No se registraron pagos retroactivos en el mes de Julio.</t>
    </r>
  </si>
  <si>
    <r>
      <rPr>
        <b/>
        <sz val="8"/>
        <color theme="1"/>
        <rFont val="Calibri"/>
        <family val="2"/>
        <scheme val="minor"/>
      </rPr>
      <t xml:space="preserve">Nota: </t>
    </r>
    <r>
      <rPr>
        <sz val="8"/>
        <color theme="1"/>
        <rFont val="Calibri"/>
        <family val="2"/>
        <scheme val="minor"/>
      </rPr>
      <t>No se registraron PUC en el mes de Julio.</t>
    </r>
  </si>
  <si>
    <r>
      <t xml:space="preserve">Fuente: </t>
    </r>
    <r>
      <rPr>
        <sz val="7"/>
        <rFont val="Calibri"/>
        <family val="2"/>
        <scheme val="minor"/>
      </rPr>
      <t>SIGEF</t>
    </r>
    <r>
      <rPr>
        <b/>
        <sz val="7"/>
        <rFont val="Calibri"/>
        <family val="2"/>
        <scheme val="minor"/>
      </rPr>
      <t xml:space="preserve">, </t>
    </r>
    <r>
      <rPr>
        <sz val="7"/>
        <rFont val="Calibri"/>
        <family val="2"/>
        <scheme val="minor"/>
      </rPr>
      <t>Departamento Financiero</t>
    </r>
  </si>
  <si>
    <t>Descripción</t>
  </si>
  <si>
    <r>
      <rPr>
        <b/>
        <sz val="8"/>
        <color indexed="8"/>
        <rFont val="Calibri"/>
        <family val="2"/>
      </rPr>
      <t>Fuente:</t>
    </r>
    <r>
      <rPr>
        <sz val="8"/>
        <color indexed="8"/>
        <rFont val="Calibri"/>
        <family val="2"/>
      </rPr>
      <t xml:space="preserve"> Data extraída de UNIPAGO, analizada por la División de Seguimiento al Sistema de Reparto.</t>
    </r>
  </si>
  <si>
    <r>
      <rPr>
        <b/>
        <sz val="8"/>
        <rFont val="Calibri"/>
        <family val="2"/>
        <scheme val="minor"/>
      </rPr>
      <t>Nota 1:</t>
    </r>
    <r>
      <rPr>
        <sz val="8"/>
        <rFont val="Calibri"/>
        <family val="2"/>
        <scheme val="minor"/>
      </rPr>
      <t xml:space="preserve"> Data descontinuada ya que el sistema que la genera ha sido deshabilitado. Se presenta de manera simbólica, mientras se realizan los trabajos de actualización de estructura de boletines estadísticos de la institución en el 2025. </t>
    </r>
  </si>
  <si>
    <r>
      <rPr>
        <b/>
        <sz val="8"/>
        <color theme="1"/>
        <rFont val="Calibri"/>
        <family val="2"/>
        <scheme val="minor"/>
      </rPr>
      <t xml:space="preserve">Nota 1: </t>
    </r>
    <r>
      <rPr>
        <sz val="8"/>
        <color theme="1"/>
        <rFont val="Calibri"/>
        <family val="2"/>
        <scheme val="minor"/>
      </rPr>
      <t xml:space="preserve">Data descontinuada ya que el sistema que la genera ha sido deshabilitado. Se presenta de manera simbólica, mientras se realizan los trabajos de actualización de estructura de boletines estadísticos de la institución en el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</si>
</sst>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0.0%"/>
    <numFmt numFmtId="165" formatCode="_(* #,##0_);_(* \(#,##0\);_(* &quot;-&quot;??_);_(@_)"/>
    <numFmt numFmtId="166" formatCode="&quot;RD$&quot;#,##0.00"/>
    <numFmt numFmtId="167" formatCode="&quot;$&quot;#,##0.00"/>
    <numFmt numFmtId="168" formatCode="_(* #,##0.0_);_(* \(#,##0.0\);_(* &quot;-&quot;??_);_(@_)"/>
  </numFmts>
  <fonts count="39"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b/>
      <i/>
      <sz val="10"/>
      <color rgb="FF000000"/>
      <name val="Calibri"/>
      <family val="2"/>
      <scheme val="minor"/>
    </font>
    <font>
      <b/>
      <sz val="10"/>
      <color rgb="FF000000"/>
      <name val="Calibri"/>
      <family val="2"/>
      <scheme val="minor"/>
    </font>
    <font>
      <sz val="10"/>
      <color indexed="8"/>
      <name val="Arial"/>
      <family val="2"/>
    </font>
    <font>
      <b/>
      <sz val="11"/>
      <color rgb="FFFF0000"/>
      <name val="Calibri"/>
      <family val="2"/>
      <scheme val="minor"/>
    </font>
    <font>
      <b/>
      <sz val="12"/>
      <color theme="1"/>
      <name val="Calibri"/>
      <family val="2"/>
      <scheme val="minor"/>
    </font>
    <font>
      <sz val="8"/>
      <color rgb="FF000000"/>
      <name val="Calibri"/>
      <family val="2"/>
      <scheme val="minor"/>
    </font>
    <font>
      <b/>
      <i/>
      <sz val="10"/>
      <color theme="1"/>
      <name val="Calibri"/>
      <family val="2"/>
      <scheme val="minor"/>
    </font>
    <font>
      <b/>
      <sz val="9"/>
      <color theme="1"/>
      <name val="Calibri"/>
      <family val="2"/>
      <scheme val="minor"/>
    </font>
    <font>
      <sz val="8"/>
      <color theme="1"/>
      <name val="Calibri"/>
      <family val="2"/>
      <scheme val="minor"/>
    </font>
    <font>
      <b/>
      <sz val="8"/>
      <color theme="1"/>
      <name val="Calibri"/>
      <family val="2"/>
      <scheme val="minor"/>
    </font>
    <font>
      <b/>
      <sz val="10"/>
      <name val="Calibri"/>
      <family val="2"/>
      <scheme val="minor"/>
    </font>
    <font>
      <b/>
      <i/>
      <sz val="10"/>
      <name val="Calibri"/>
      <family val="2"/>
      <scheme val="minor"/>
    </font>
    <font>
      <b/>
      <sz val="8"/>
      <color rgb="FF000000"/>
      <name val="Calibri"/>
      <family val="2"/>
      <scheme val="minor"/>
    </font>
    <font>
      <sz val="11"/>
      <color rgb="FF000000"/>
      <name val="Calibri"/>
      <family val="2"/>
      <scheme val="minor"/>
    </font>
    <font>
      <sz val="8"/>
      <color rgb="FFFF0000"/>
      <name val="Calibri"/>
      <family val="2"/>
      <scheme val="minor"/>
    </font>
    <font>
      <sz val="9"/>
      <color indexed="81"/>
      <name val="Tahoma"/>
      <family val="2"/>
    </font>
    <font>
      <b/>
      <sz val="9"/>
      <color indexed="81"/>
      <name val="Tahoma"/>
      <family val="2"/>
    </font>
    <font>
      <sz val="8"/>
      <name val="Calibri"/>
      <family val="2"/>
      <scheme val="minor"/>
    </font>
    <font>
      <sz val="10"/>
      <name val="Calibri"/>
      <family val="2"/>
      <scheme val="minor"/>
    </font>
    <font>
      <b/>
      <sz val="8"/>
      <name val="Calibri"/>
      <family val="2"/>
      <scheme val="minor"/>
    </font>
    <font>
      <sz val="11"/>
      <name val="Calibri"/>
      <family val="2"/>
      <scheme val="minor"/>
    </font>
    <font>
      <sz val="7"/>
      <color theme="1"/>
      <name val="Calibri"/>
      <family val="2"/>
      <scheme val="minor"/>
    </font>
    <font>
      <sz val="11"/>
      <color theme="0"/>
      <name val="Calibri"/>
      <family val="2"/>
      <scheme val="minor"/>
    </font>
    <font>
      <i/>
      <sz val="10"/>
      <name val="Calibri"/>
      <family val="2"/>
      <scheme val="minor"/>
    </font>
    <font>
      <b/>
      <i/>
      <sz val="9"/>
      <color rgb="FF000000"/>
      <name val="Calibri"/>
      <family val="2"/>
      <scheme val="minor"/>
    </font>
    <font>
      <b/>
      <sz val="8"/>
      <color indexed="8"/>
      <name val="Calibri"/>
      <family val="2"/>
    </font>
    <font>
      <sz val="8"/>
      <color indexed="8"/>
      <name val="Calibri"/>
      <family val="2"/>
    </font>
    <font>
      <sz val="7"/>
      <name val="Calibri"/>
      <family val="2"/>
      <scheme val="minor"/>
    </font>
    <font>
      <b/>
      <sz val="7"/>
      <name val="Calibri"/>
      <family val="2"/>
      <scheme val="minor"/>
    </font>
    <font>
      <b/>
      <sz val="8"/>
      <color rgb="FF000000"/>
      <name val="Calibri"/>
      <family val="2"/>
    </font>
    <font>
      <b/>
      <sz val="11"/>
      <color theme="0"/>
      <name val="Calibri"/>
      <family val="2"/>
      <scheme val="minor"/>
    </font>
    <font>
      <b/>
      <sz val="10"/>
      <color rgb="FF000000"/>
      <name val="Calibri"/>
      <family val="2"/>
    </font>
    <font>
      <sz val="10"/>
      <color rgb="FF000000"/>
      <name val="Calibri"/>
      <family val="2"/>
    </font>
  </fonts>
  <fills count="20">
    <fill>
      <patternFill patternType="none"/>
    </fill>
    <fill>
      <patternFill patternType="gray125"/>
    </fill>
    <fill>
      <patternFill patternType="solid">
        <fgColor theme="6"/>
        <bgColor indexed="64"/>
      </patternFill>
    </fill>
    <fill>
      <patternFill patternType="solid">
        <fgColor theme="4"/>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00"/>
        <bgColor indexed="64"/>
      </patternFill>
    </fill>
    <fill>
      <patternFill patternType="solid">
        <fgColor rgb="FF00B0F0"/>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9"/>
        <bgColor indexed="64"/>
      </patternFill>
    </fill>
    <fill>
      <patternFill patternType="solid">
        <fgColor theme="8" tint="-0.249977111117893"/>
        <bgColor indexed="64"/>
      </patternFill>
    </fill>
    <fill>
      <patternFill patternType="solid">
        <fgColor theme="0" tint="-0.34998626667073579"/>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8" fillId="0" borderId="0">
      <alignment vertical="top"/>
    </xf>
  </cellStyleXfs>
  <cellXfs count="389">
    <xf numFmtId="0" fontId="0" fillId="0" borderId="0" xfId="0"/>
    <xf numFmtId="0" fontId="0" fillId="0" borderId="0" xfId="0" applyProtection="1">
      <protection locked="0"/>
    </xf>
    <xf numFmtId="9" fontId="5" fillId="0" borderId="0" xfId="0" applyNumberFormat="1" applyFont="1" applyAlignment="1">
      <alignment horizontal="center" vertical="center"/>
    </xf>
    <xf numFmtId="9" fontId="7" fillId="7" borderId="0" xfId="0" applyNumberFormat="1" applyFont="1" applyFill="1" applyAlignment="1">
      <alignment horizontal="center" vertical="center"/>
    </xf>
    <xf numFmtId="9" fontId="4" fillId="0" borderId="0" xfId="0" applyNumberFormat="1" applyFont="1" applyAlignment="1">
      <alignment horizontal="center" vertical="center"/>
    </xf>
    <xf numFmtId="9" fontId="3" fillId="7" borderId="0" xfId="0" applyNumberFormat="1" applyFont="1" applyFill="1" applyAlignment="1">
      <alignment horizontal="center" vertical="center"/>
    </xf>
    <xf numFmtId="9" fontId="3" fillId="10" borderId="0" xfId="0" applyNumberFormat="1" applyFont="1" applyFill="1" applyAlignment="1">
      <alignment horizontal="center" vertical="center"/>
    </xf>
    <xf numFmtId="9" fontId="7" fillId="10" borderId="0" xfId="0" applyNumberFormat="1" applyFont="1" applyFill="1" applyAlignment="1">
      <alignment horizontal="center" vertical="center"/>
    </xf>
    <xf numFmtId="3" fontId="6" fillId="7" borderId="0" xfId="0" applyNumberFormat="1" applyFont="1" applyFill="1" applyAlignment="1">
      <alignment horizontal="center" vertical="center"/>
    </xf>
    <xf numFmtId="165" fontId="6" fillId="7" borderId="0" xfId="2" applyNumberFormat="1" applyFont="1" applyFill="1" applyBorder="1" applyAlignment="1" applyProtection="1">
      <alignment horizontal="center" vertical="center"/>
    </xf>
    <xf numFmtId="3" fontId="6" fillId="10" borderId="0" xfId="0" applyNumberFormat="1" applyFont="1" applyFill="1" applyAlignment="1">
      <alignment horizontal="center" vertical="center"/>
    </xf>
    <xf numFmtId="165" fontId="6" fillId="10" borderId="0" xfId="2" applyNumberFormat="1" applyFont="1" applyFill="1" applyBorder="1" applyAlignment="1" applyProtection="1">
      <alignment horizontal="center" vertical="center"/>
    </xf>
    <xf numFmtId="0" fontId="6" fillId="7" borderId="0" xfId="0" applyFont="1" applyFill="1" applyAlignment="1" applyProtection="1">
      <alignment horizontal="left" vertical="center"/>
      <protection locked="0"/>
    </xf>
    <xf numFmtId="165" fontId="6" fillId="7" borderId="0" xfId="0" applyNumberFormat="1" applyFont="1" applyFill="1" applyAlignment="1">
      <alignment horizontal="center" vertical="center"/>
    </xf>
    <xf numFmtId="3" fontId="0" fillId="0" borderId="0" xfId="0" applyNumberFormat="1" applyProtection="1">
      <protection locked="0"/>
    </xf>
    <xf numFmtId="0" fontId="14" fillId="0" borderId="0" xfId="0" applyFont="1" applyProtection="1">
      <protection locked="0"/>
    </xf>
    <xf numFmtId="9" fontId="6" fillId="7" borderId="0" xfId="1" applyFont="1" applyFill="1" applyBorder="1" applyAlignment="1" applyProtection="1">
      <alignment horizontal="center" vertical="center"/>
    </xf>
    <xf numFmtId="9" fontId="6" fillId="10" borderId="0" xfId="1" applyFont="1" applyFill="1" applyBorder="1" applyAlignment="1" applyProtection="1">
      <alignment horizontal="center" vertical="center"/>
    </xf>
    <xf numFmtId="9" fontId="0" fillId="0" borderId="0" xfId="1" applyFont="1" applyProtection="1">
      <protection locked="0"/>
    </xf>
    <xf numFmtId="3" fontId="2" fillId="0" borderId="0" xfId="0" applyNumberFormat="1" applyFont="1" applyAlignment="1">
      <alignment horizontal="center" vertical="center"/>
    </xf>
    <xf numFmtId="9" fontId="0" fillId="0" borderId="0" xfId="1" applyFont="1" applyAlignment="1" applyProtection="1">
      <alignment horizontal="center" vertical="center"/>
    </xf>
    <xf numFmtId="0" fontId="3" fillId="0" borderId="0" xfId="0" applyFont="1" applyProtection="1">
      <protection locked="0"/>
    </xf>
    <xf numFmtId="0" fontId="2" fillId="0" borderId="0" xfId="0" applyFont="1" applyProtection="1">
      <protection locked="0"/>
    </xf>
    <xf numFmtId="3" fontId="6" fillId="10" borderId="0" xfId="0" applyNumberFormat="1" applyFont="1" applyFill="1" applyAlignment="1">
      <alignment horizontal="left" vertical="center" wrapText="1"/>
    </xf>
    <xf numFmtId="9" fontId="2" fillId="9" borderId="0" xfId="1" applyFont="1" applyFill="1" applyAlignment="1" applyProtection="1">
      <alignment horizontal="center"/>
    </xf>
    <xf numFmtId="0" fontId="2" fillId="9" borderId="0" xfId="0" applyFont="1" applyFill="1"/>
    <xf numFmtId="3" fontId="3" fillId="0" borderId="0" xfId="0" applyNumberFormat="1" applyFont="1" applyAlignment="1">
      <alignment horizontal="center"/>
    </xf>
    <xf numFmtId="0" fontId="6" fillId="7" borderId="0" xfId="0" applyFont="1" applyFill="1" applyAlignment="1">
      <alignment horizontal="left" vertical="center"/>
    </xf>
    <xf numFmtId="0" fontId="6" fillId="10" borderId="0" xfId="0" applyFont="1" applyFill="1" applyAlignment="1">
      <alignment horizontal="left" vertical="center" wrapText="1"/>
    </xf>
    <xf numFmtId="0" fontId="6" fillId="10" borderId="0" xfId="0" applyFont="1" applyFill="1" applyAlignment="1">
      <alignment horizontal="center" vertical="center" wrapText="1"/>
    </xf>
    <xf numFmtId="0" fontId="0" fillId="10" borderId="0" xfId="0" applyFill="1"/>
    <xf numFmtId="0" fontId="4" fillId="0" borderId="0" xfId="0" applyFont="1" applyAlignment="1" applyProtection="1">
      <alignment horizontal="left" vertical="center"/>
      <protection locked="0"/>
    </xf>
    <xf numFmtId="165" fontId="4" fillId="0" borderId="0" xfId="2" applyNumberFormat="1" applyFont="1" applyBorder="1" applyAlignment="1" applyProtection="1">
      <alignment horizontal="center"/>
      <protection locked="0"/>
    </xf>
    <xf numFmtId="2" fontId="0" fillId="0" borderId="0" xfId="0" applyNumberFormat="1" applyProtection="1">
      <protection locked="0"/>
    </xf>
    <xf numFmtId="0" fontId="0" fillId="0" borderId="0" xfId="0" applyAlignment="1" applyProtection="1">
      <alignment horizontal="center"/>
      <protection locked="0"/>
    </xf>
    <xf numFmtId="165" fontId="0" fillId="0" borderId="0" xfId="0" applyNumberFormat="1" applyProtection="1">
      <protection locked="0"/>
    </xf>
    <xf numFmtId="43" fontId="0" fillId="0" borderId="0" xfId="0" applyNumberFormat="1" applyProtection="1">
      <protection locked="0"/>
    </xf>
    <xf numFmtId="165" fontId="3" fillId="0" borderId="0" xfId="2" applyNumberFormat="1" applyFont="1" applyFill="1" applyBorder="1" applyAlignment="1" applyProtection="1">
      <alignment horizontal="center"/>
    </xf>
    <xf numFmtId="165" fontId="3" fillId="0" borderId="0" xfId="2" applyNumberFormat="1" applyFont="1" applyFill="1" applyBorder="1" applyAlignment="1" applyProtection="1">
      <alignment horizontal="center" vertical="center"/>
    </xf>
    <xf numFmtId="165" fontId="12" fillId="7" borderId="0" xfId="2" applyNumberFormat="1" applyFont="1" applyFill="1" applyBorder="1" applyAlignment="1" applyProtection="1">
      <alignment horizontal="center"/>
    </xf>
    <xf numFmtId="165" fontId="12" fillId="7" borderId="0" xfId="2" applyNumberFormat="1" applyFont="1" applyFill="1" applyBorder="1" applyAlignment="1" applyProtection="1">
      <alignment horizontal="center" vertical="center"/>
    </xf>
    <xf numFmtId="165" fontId="12" fillId="10" borderId="0" xfId="2" applyNumberFormat="1" applyFont="1" applyFill="1" applyBorder="1" applyAlignment="1" applyProtection="1">
      <alignment horizontal="center"/>
    </xf>
    <xf numFmtId="165" fontId="12" fillId="10" borderId="0" xfId="2" applyNumberFormat="1" applyFont="1" applyFill="1" applyBorder="1" applyAlignment="1" applyProtection="1">
      <alignment horizontal="center" vertical="center"/>
    </xf>
    <xf numFmtId="0" fontId="3" fillId="5" borderId="0" xfId="0" applyFont="1" applyFill="1" applyAlignment="1">
      <alignment horizontal="left" vertical="center" wrapText="1"/>
    </xf>
    <xf numFmtId="0" fontId="4" fillId="0" borderId="0" xfId="0" applyFont="1" applyAlignment="1">
      <alignment horizontal="left" vertical="center"/>
    </xf>
    <xf numFmtId="0" fontId="3" fillId="5" borderId="0" xfId="0" applyFont="1" applyFill="1" applyAlignment="1">
      <alignment horizontal="center" vertical="center" wrapText="1"/>
    </xf>
    <xf numFmtId="0" fontId="6" fillId="7" borderId="0" xfId="0" applyFont="1" applyFill="1" applyAlignment="1">
      <alignment horizontal="center" vertical="center"/>
    </xf>
    <xf numFmtId="3" fontId="3" fillId="0" borderId="0" xfId="0" applyNumberFormat="1" applyFont="1" applyAlignment="1">
      <alignment horizontal="center" vertical="center"/>
    </xf>
    <xf numFmtId="165" fontId="6" fillId="10" borderId="0" xfId="2" applyNumberFormat="1" applyFont="1" applyFill="1" applyBorder="1" applyAlignment="1" applyProtection="1">
      <alignment horizontal="center"/>
    </xf>
    <xf numFmtId="0" fontId="6" fillId="10" borderId="0" xfId="0" applyFont="1" applyFill="1" applyAlignment="1">
      <alignment horizontal="center" vertical="center"/>
    </xf>
    <xf numFmtId="165" fontId="6" fillId="10" borderId="0" xfId="2" applyNumberFormat="1" applyFont="1" applyFill="1" applyBorder="1" applyAlignment="1" applyProtection="1">
      <alignment horizontal="left" vertical="center"/>
    </xf>
    <xf numFmtId="3" fontId="8" fillId="0" borderId="0" xfId="0" applyNumberFormat="1" applyFont="1" applyAlignment="1" applyProtection="1">
      <alignment horizontal="center" vertical="top"/>
      <protection locked="0"/>
    </xf>
    <xf numFmtId="4" fontId="8" fillId="0" borderId="0" xfId="0" applyNumberFormat="1" applyFont="1" applyAlignment="1" applyProtection="1">
      <alignment horizontal="center" vertical="top"/>
      <protection locked="0"/>
    </xf>
    <xf numFmtId="0" fontId="2" fillId="0" borderId="0" xfId="0" applyFont="1" applyAlignment="1">
      <alignment horizontal="left"/>
    </xf>
    <xf numFmtId="0" fontId="2" fillId="0" borderId="0" xfId="0" applyFont="1" applyAlignment="1">
      <alignment horizontal="center"/>
    </xf>
    <xf numFmtId="165" fontId="12" fillId="7" borderId="0" xfId="2" applyNumberFormat="1" applyFont="1" applyFill="1" applyBorder="1" applyAlignment="1" applyProtection="1">
      <alignment vertical="center"/>
    </xf>
    <xf numFmtId="37" fontId="12" fillId="7" borderId="0" xfId="2" applyNumberFormat="1" applyFont="1" applyFill="1" applyBorder="1" applyAlignment="1" applyProtection="1">
      <alignment horizontal="right" vertical="center"/>
    </xf>
    <xf numFmtId="43" fontId="3" fillId="0" borderId="0" xfId="2" applyFont="1" applyFill="1" applyBorder="1" applyAlignment="1" applyProtection="1">
      <alignment horizontal="center" vertical="center"/>
    </xf>
    <xf numFmtId="165" fontId="12" fillId="10" borderId="0" xfId="2" applyNumberFormat="1" applyFont="1" applyFill="1" applyBorder="1" applyAlignment="1" applyProtection="1">
      <alignment vertical="center"/>
    </xf>
    <xf numFmtId="37" fontId="12" fillId="10" borderId="0" xfId="2" applyNumberFormat="1" applyFont="1" applyFill="1" applyBorder="1" applyAlignment="1" applyProtection="1">
      <alignment horizontal="right" vertical="center"/>
    </xf>
    <xf numFmtId="43" fontId="4" fillId="0" borderId="0" xfId="2" applyFont="1" applyBorder="1" applyAlignment="1" applyProtection="1">
      <alignment horizontal="center"/>
      <protection locked="0"/>
    </xf>
    <xf numFmtId="0" fontId="6" fillId="10" borderId="0" xfId="0" applyFont="1" applyFill="1" applyAlignment="1" applyProtection="1">
      <alignment horizontal="left" vertical="center"/>
      <protection locked="0"/>
    </xf>
    <xf numFmtId="0" fontId="14" fillId="0" borderId="0" xfId="0" applyFont="1" applyAlignment="1" applyProtection="1">
      <alignment horizontal="left" vertical="center"/>
      <protection locked="0"/>
    </xf>
    <xf numFmtId="2" fontId="8" fillId="0" borderId="0" xfId="0" applyNumberFormat="1" applyFont="1" applyAlignment="1" applyProtection="1">
      <alignment horizontal="center" vertical="top"/>
      <protection locked="0"/>
    </xf>
    <xf numFmtId="2" fontId="0" fillId="0" borderId="0" xfId="0" applyNumberFormat="1" applyAlignment="1" applyProtection="1">
      <alignment horizontal="center"/>
      <protection locked="0"/>
    </xf>
    <xf numFmtId="43" fontId="3" fillId="0" borderId="0" xfId="2" applyFont="1" applyFill="1" applyBorder="1" applyAlignment="1" applyProtection="1">
      <alignment horizontal="center"/>
    </xf>
    <xf numFmtId="3" fontId="3" fillId="0" borderId="0" xfId="0" applyNumberFormat="1" applyFont="1"/>
    <xf numFmtId="9" fontId="4" fillId="0" borderId="0" xfId="1" applyFont="1" applyBorder="1" applyAlignment="1" applyProtection="1">
      <alignment horizontal="center"/>
    </xf>
    <xf numFmtId="165" fontId="3" fillId="0" borderId="0" xfId="2" applyNumberFormat="1" applyFont="1" applyBorder="1" applyAlignment="1" applyProtection="1"/>
    <xf numFmtId="3" fontId="6" fillId="7" borderId="0" xfId="0" applyNumberFormat="1" applyFont="1" applyFill="1" applyAlignment="1">
      <alignment horizontal="right" vertical="center"/>
    </xf>
    <xf numFmtId="0" fontId="4" fillId="0" borderId="0" xfId="0" applyFont="1" applyAlignment="1">
      <alignment horizontal="left"/>
    </xf>
    <xf numFmtId="0" fontId="6" fillId="10" borderId="0" xfId="0" applyFont="1" applyFill="1" applyAlignment="1">
      <alignment horizontal="left" vertical="center"/>
    </xf>
    <xf numFmtId="165" fontId="5" fillId="0" borderId="0" xfId="2" applyNumberFormat="1" applyFont="1" applyFill="1" applyBorder="1" applyAlignment="1" applyProtection="1">
      <alignment horizontal="center" vertical="center"/>
    </xf>
    <xf numFmtId="43" fontId="6" fillId="7" borderId="0" xfId="2" applyFont="1" applyFill="1" applyBorder="1" applyAlignment="1" applyProtection="1">
      <alignment horizontal="center" vertical="center"/>
    </xf>
    <xf numFmtId="3" fontId="0" fillId="0" borderId="0" xfId="0" applyNumberFormat="1"/>
    <xf numFmtId="4" fontId="0" fillId="0" borderId="0" xfId="0" applyNumberFormat="1" applyProtection="1">
      <protection locked="0"/>
    </xf>
    <xf numFmtId="165" fontId="0" fillId="0" borderId="0" xfId="0" applyNumberFormat="1" applyAlignment="1" applyProtection="1">
      <alignment horizontal="center"/>
      <protection locked="0"/>
    </xf>
    <xf numFmtId="9" fontId="8" fillId="0" borderId="0" xfId="1" applyFont="1" applyBorder="1" applyAlignment="1" applyProtection="1">
      <alignment horizontal="center" vertical="top"/>
    </xf>
    <xf numFmtId="164" fontId="8" fillId="0" borderId="0" xfId="1" applyNumberFormat="1" applyFont="1" applyBorder="1" applyAlignment="1" applyProtection="1">
      <alignment horizontal="center" vertical="top"/>
    </xf>
    <xf numFmtId="3" fontId="16" fillId="0" borderId="0" xfId="0" applyNumberFormat="1" applyFont="1" applyAlignment="1">
      <alignment horizontal="center" vertical="center"/>
    </xf>
    <xf numFmtId="3" fontId="17" fillId="7" borderId="0" xfId="0" applyNumberFormat="1" applyFont="1" applyFill="1" applyAlignment="1">
      <alignment horizontal="center" vertical="center"/>
    </xf>
    <xf numFmtId="165" fontId="0" fillId="12" borderId="0" xfId="0" applyNumberFormat="1" applyFill="1" applyProtection="1">
      <protection locked="0"/>
    </xf>
    <xf numFmtId="0" fontId="0" fillId="13" borderId="0" xfId="0" applyFill="1" applyProtection="1">
      <protection locked="0"/>
    </xf>
    <xf numFmtId="10" fontId="8" fillId="0" borderId="0" xfId="1" applyNumberFormat="1" applyFont="1" applyBorder="1" applyAlignment="1" applyProtection="1">
      <alignment horizontal="center" vertical="top"/>
    </xf>
    <xf numFmtId="10" fontId="8" fillId="12" borderId="0" xfId="1" applyNumberFormat="1" applyFont="1" applyFill="1" applyBorder="1" applyAlignment="1" applyProtection="1">
      <alignment horizontal="center" vertical="top"/>
    </xf>
    <xf numFmtId="10" fontId="8" fillId="0" borderId="0" xfId="1" applyNumberFormat="1" applyFont="1" applyFill="1" applyBorder="1" applyAlignment="1" applyProtection="1">
      <alignment horizontal="center" vertical="top"/>
    </xf>
    <xf numFmtId="10" fontId="0" fillId="0" borderId="0" xfId="1" applyNumberFormat="1" applyFont="1" applyProtection="1">
      <protection locked="0"/>
    </xf>
    <xf numFmtId="0" fontId="5" fillId="0" borderId="0" xfId="0" applyFont="1" applyAlignment="1">
      <alignment vertical="center"/>
    </xf>
    <xf numFmtId="0" fontId="5" fillId="0" borderId="0" xfId="0" applyFont="1" applyAlignment="1">
      <alignment horizontal="left" vertical="center"/>
    </xf>
    <xf numFmtId="0" fontId="4" fillId="0" borderId="0" xfId="0" applyFont="1"/>
    <xf numFmtId="0" fontId="3" fillId="5" borderId="0" xfId="0" applyFont="1" applyFill="1" applyAlignment="1">
      <alignment horizontal="left" vertical="center"/>
    </xf>
    <xf numFmtId="10" fontId="6" fillId="7" borderId="0" xfId="1" applyNumberFormat="1" applyFont="1" applyFill="1" applyBorder="1" applyAlignment="1" applyProtection="1">
      <alignment horizontal="center" vertical="center"/>
    </xf>
    <xf numFmtId="0" fontId="2" fillId="0" borderId="5" xfId="0" applyFont="1" applyBorder="1" applyAlignment="1">
      <alignment horizontal="center"/>
    </xf>
    <xf numFmtId="3" fontId="8" fillId="0" borderId="4" xfId="0" applyNumberFormat="1" applyFont="1" applyBorder="1" applyAlignment="1" applyProtection="1">
      <alignment horizontal="center" vertical="top"/>
      <protection locked="0"/>
    </xf>
    <xf numFmtId="9" fontId="0" fillId="0" borderId="5" xfId="1" applyFont="1" applyBorder="1" applyAlignment="1" applyProtection="1">
      <alignment horizontal="center"/>
    </xf>
    <xf numFmtId="164" fontId="0" fillId="0" borderId="5" xfId="1" applyNumberFormat="1" applyFont="1" applyBorder="1" applyAlignment="1" applyProtection="1">
      <alignment horizontal="center"/>
    </xf>
    <xf numFmtId="3" fontId="6" fillId="7" borderId="6" xfId="0" applyNumberFormat="1" applyFont="1" applyFill="1" applyBorder="1" applyAlignment="1">
      <alignment horizontal="center" vertical="center"/>
    </xf>
    <xf numFmtId="9" fontId="6" fillId="7" borderId="7" xfId="1" applyFont="1" applyFill="1" applyBorder="1" applyAlignment="1" applyProtection="1">
      <alignment horizontal="center" vertical="center"/>
    </xf>
    <xf numFmtId="3" fontId="6" fillId="7" borderId="7" xfId="0" applyNumberFormat="1" applyFont="1" applyFill="1" applyBorder="1" applyAlignment="1">
      <alignment horizontal="center" vertical="center"/>
    </xf>
    <xf numFmtId="9" fontId="6" fillId="7" borderId="8" xfId="1" applyFont="1" applyFill="1" applyBorder="1" applyAlignment="1" applyProtection="1">
      <alignment horizontal="center" vertical="center"/>
    </xf>
    <xf numFmtId="0" fontId="2" fillId="0" borderId="10" xfId="0" applyFont="1" applyBorder="1" applyAlignment="1">
      <alignment horizontal="left" vertical="top"/>
    </xf>
    <xf numFmtId="0" fontId="2" fillId="0" borderId="10" xfId="0" applyFont="1" applyBorder="1" applyAlignment="1">
      <alignment vertical="top"/>
    </xf>
    <xf numFmtId="0" fontId="6" fillId="7" borderId="11" xfId="0" applyFont="1" applyFill="1" applyBorder="1" applyAlignment="1">
      <alignment horizontal="center" vertical="center"/>
    </xf>
    <xf numFmtId="9" fontId="0" fillId="0" borderId="0" xfId="0" applyNumberFormat="1"/>
    <xf numFmtId="10" fontId="0" fillId="0" borderId="0" xfId="0" applyNumberFormat="1"/>
    <xf numFmtId="4" fontId="0" fillId="0" borderId="0" xfId="0" applyNumberFormat="1"/>
    <xf numFmtId="0" fontId="2" fillId="0" borderId="10" xfId="0" applyFont="1" applyBorder="1" applyAlignment="1">
      <alignment vertical="center"/>
    </xf>
    <xf numFmtId="166" fontId="2" fillId="0" borderId="10" xfId="0" applyNumberFormat="1" applyFont="1" applyBorder="1" applyAlignment="1">
      <alignment horizontal="left" vertical="center"/>
    </xf>
    <xf numFmtId="0" fontId="2" fillId="0" borderId="10" xfId="0" applyFont="1" applyBorder="1" applyAlignment="1">
      <alignment horizontal="left" vertical="center"/>
    </xf>
    <xf numFmtId="10" fontId="0" fillId="0" borderId="5" xfId="1" applyNumberFormat="1" applyFont="1" applyBorder="1" applyAlignment="1" applyProtection="1">
      <alignment horizontal="center"/>
    </xf>
    <xf numFmtId="10" fontId="0" fillId="0" borderId="5" xfId="1" applyNumberFormat="1" applyFont="1" applyFill="1" applyBorder="1" applyAlignment="1" applyProtection="1">
      <alignment horizontal="center"/>
    </xf>
    <xf numFmtId="14" fontId="0" fillId="0" borderId="0" xfId="0" applyNumberFormat="1"/>
    <xf numFmtId="0" fontId="2" fillId="0" borderId="10" xfId="0" applyFont="1" applyBorder="1" applyAlignment="1">
      <alignment horizontal="center" vertical="center"/>
    </xf>
    <xf numFmtId="166" fontId="2" fillId="12" borderId="10" xfId="0" applyNumberFormat="1" applyFont="1" applyFill="1" applyBorder="1" applyAlignment="1">
      <alignment vertical="center"/>
    </xf>
    <xf numFmtId="9" fontId="0" fillId="12" borderId="5" xfId="1" applyFont="1" applyFill="1" applyBorder="1" applyAlignment="1" applyProtection="1">
      <alignment horizontal="center"/>
    </xf>
    <xf numFmtId="167" fontId="0" fillId="0" borderId="0" xfId="0" applyNumberFormat="1" applyProtection="1">
      <protection locked="0"/>
    </xf>
    <xf numFmtId="0" fontId="2" fillId="0" borderId="4"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pplyProtection="1">
      <alignment horizontal="center" vertical="center"/>
      <protection locked="0"/>
    </xf>
    <xf numFmtId="0" fontId="2" fillId="0" borderId="5" xfId="0" applyFont="1" applyBorder="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10" fontId="8" fillId="0" borderId="5" xfId="1" applyNumberFormat="1" applyFont="1" applyBorder="1" applyAlignment="1" applyProtection="1">
      <alignment horizontal="center" vertical="top"/>
    </xf>
    <xf numFmtId="10" fontId="8" fillId="0" borderId="5" xfId="1" applyNumberFormat="1" applyFont="1" applyFill="1" applyBorder="1" applyAlignment="1" applyProtection="1">
      <alignment horizontal="center" vertical="top"/>
    </xf>
    <xf numFmtId="43" fontId="0" fillId="0" borderId="0" xfId="2" applyFont="1" applyProtection="1">
      <protection locked="0"/>
    </xf>
    <xf numFmtId="164" fontId="0" fillId="0" borderId="0" xfId="1" applyNumberFormat="1" applyFont="1" applyBorder="1" applyAlignment="1" applyProtection="1">
      <alignment horizontal="center"/>
    </xf>
    <xf numFmtId="165" fontId="4" fillId="0" borderId="0" xfId="2" applyNumberFormat="1" applyFont="1" applyBorder="1" applyAlignment="1" applyProtection="1">
      <alignment horizontal="center"/>
    </xf>
    <xf numFmtId="165" fontId="24" fillId="0" borderId="0" xfId="2" applyNumberFormat="1" applyFont="1" applyFill="1" applyBorder="1" applyAlignment="1" applyProtection="1">
      <alignment horizontal="center" vertical="center"/>
    </xf>
    <xf numFmtId="165" fontId="16" fillId="0" borderId="0" xfId="2" applyNumberFormat="1" applyFont="1" applyFill="1" applyBorder="1" applyAlignment="1" applyProtection="1">
      <alignment horizontal="center"/>
    </xf>
    <xf numFmtId="0" fontId="3" fillId="0" borderId="0" xfId="0" applyFont="1" applyAlignment="1">
      <alignment vertical="center" wrapText="1"/>
    </xf>
    <xf numFmtId="0" fontId="3" fillId="0" borderId="0" xfId="0" applyFont="1" applyAlignment="1">
      <alignment horizontal="center" vertical="center" wrapText="1"/>
    </xf>
    <xf numFmtId="3" fontId="19" fillId="0" borderId="0" xfId="0" applyNumberFormat="1" applyFont="1" applyAlignment="1">
      <alignment horizontal="center" vertical="center"/>
    </xf>
    <xf numFmtId="168" fontId="5" fillId="0" borderId="0" xfId="2" applyNumberFormat="1" applyFont="1" applyFill="1" applyBorder="1" applyAlignment="1" applyProtection="1">
      <alignment vertical="center"/>
    </xf>
    <xf numFmtId="0" fontId="6" fillId="7" borderId="0" xfId="0" applyFont="1" applyFill="1" applyAlignment="1">
      <alignment vertical="center"/>
    </xf>
    <xf numFmtId="3" fontId="0" fillId="0" borderId="0" xfId="0" applyNumberFormat="1" applyAlignment="1">
      <alignment horizontal="center"/>
    </xf>
    <xf numFmtId="3" fontId="5" fillId="0" borderId="0" xfId="0" applyNumberFormat="1" applyFont="1" applyAlignment="1">
      <alignment horizontal="center" vertical="center"/>
    </xf>
    <xf numFmtId="43" fontId="5" fillId="0" borderId="0" xfId="2" applyFont="1" applyFill="1" applyBorder="1" applyAlignment="1" applyProtection="1">
      <alignment horizontal="center" vertical="center"/>
    </xf>
    <xf numFmtId="0" fontId="6" fillId="10" borderId="0" xfId="0" applyFont="1" applyFill="1" applyAlignment="1">
      <alignment vertical="center"/>
    </xf>
    <xf numFmtId="0" fontId="27" fillId="0" borderId="0" xfId="0" applyFont="1"/>
    <xf numFmtId="0" fontId="14" fillId="0" borderId="0" xfId="0" applyFont="1"/>
    <xf numFmtId="3" fontId="0" fillId="0" borderId="0" xfId="0" applyNumberFormat="1" applyAlignment="1">
      <alignment horizontal="center" vertical="center"/>
    </xf>
    <xf numFmtId="0" fontId="6" fillId="7" borderId="0" xfId="0" applyFont="1" applyFill="1" applyAlignment="1">
      <alignment horizontal="left" vertical="center" wrapText="1"/>
    </xf>
    <xf numFmtId="0" fontId="23" fillId="0" borderId="0" xfId="0" applyFont="1"/>
    <xf numFmtId="0" fontId="3" fillId="0" borderId="0" xfId="0" applyFont="1" applyAlignment="1">
      <alignment horizontal="left" vertical="center"/>
    </xf>
    <xf numFmtId="0" fontId="3" fillId="0" borderId="0" xfId="0" applyFont="1" applyAlignment="1">
      <alignment horizontal="center" vertical="center"/>
    </xf>
    <xf numFmtId="3" fontId="4" fillId="0" borderId="0" xfId="0" applyNumberFormat="1" applyFont="1" applyAlignment="1">
      <alignment horizontal="center"/>
    </xf>
    <xf numFmtId="9" fontId="0" fillId="0" borderId="0" xfId="1" applyFont="1" applyProtection="1"/>
    <xf numFmtId="0" fontId="2" fillId="9" borderId="0" xfId="0" applyFont="1" applyFill="1" applyAlignment="1">
      <alignment horizontal="left"/>
    </xf>
    <xf numFmtId="0" fontId="20" fillId="0" borderId="0" xfId="0" applyFont="1"/>
    <xf numFmtId="10" fontId="0" fillId="0" borderId="0" xfId="1" applyNumberFormat="1" applyFont="1" applyAlignment="1" applyProtection="1">
      <alignment horizontal="center" vertical="center"/>
    </xf>
    <xf numFmtId="43" fontId="0" fillId="0" borderId="0" xfId="2" applyFont="1" applyBorder="1" applyAlignment="1" applyProtection="1">
      <alignment horizontal="center"/>
    </xf>
    <xf numFmtId="0" fontId="0" fillId="0" borderId="0" xfId="0" applyAlignment="1">
      <alignment horizontal="center"/>
    </xf>
    <xf numFmtId="0" fontId="2" fillId="5" borderId="0" xfId="0" applyFont="1" applyFill="1" applyAlignment="1">
      <alignment horizontal="center"/>
    </xf>
    <xf numFmtId="0" fontId="3" fillId="0" borderId="0" xfId="0" applyFont="1" applyAlignment="1">
      <alignment horizontal="left" vertical="center" wrapText="1"/>
    </xf>
    <xf numFmtId="3" fontId="26" fillId="0" borderId="0" xfId="0" applyNumberFormat="1" applyFont="1" applyAlignment="1">
      <alignment horizontal="center"/>
    </xf>
    <xf numFmtId="165" fontId="4" fillId="0" borderId="0" xfId="2" applyNumberFormat="1" applyFont="1" applyBorder="1" applyAlignment="1" applyProtection="1"/>
    <xf numFmtId="165" fontId="4" fillId="0" borderId="0" xfId="2" applyNumberFormat="1" applyFont="1" applyBorder="1" applyAlignment="1" applyProtection="1">
      <alignment horizontal="center" vertical="center"/>
    </xf>
    <xf numFmtId="9" fontId="2" fillId="0" borderId="0" xfId="1" applyFont="1" applyAlignment="1" applyProtection="1">
      <alignment horizontal="center"/>
    </xf>
    <xf numFmtId="0" fontId="4" fillId="5" borderId="0" xfId="0" applyFont="1" applyFill="1"/>
    <xf numFmtId="3" fontId="4" fillId="0" borderId="0" xfId="0" applyNumberFormat="1" applyFont="1" applyAlignment="1">
      <alignment horizontal="center" vertical="center"/>
    </xf>
    <xf numFmtId="0" fontId="3" fillId="6" borderId="9" xfId="0" applyFont="1" applyFill="1" applyBorder="1" applyAlignment="1">
      <alignment vertical="center"/>
    </xf>
    <xf numFmtId="0" fontId="3" fillId="0" borderId="0" xfId="0" applyFont="1" applyAlignment="1">
      <alignment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3" fontId="8" fillId="0" borderId="4" xfId="0" applyNumberFormat="1" applyFont="1" applyBorder="1" applyAlignment="1">
      <alignment horizontal="center" vertical="top"/>
    </xf>
    <xf numFmtId="3" fontId="8" fillId="0" borderId="0" xfId="0" applyNumberFormat="1" applyFont="1" applyAlignment="1">
      <alignment horizontal="center" vertical="top"/>
    </xf>
    <xf numFmtId="0" fontId="0" fillId="0" borderId="4" xfId="0" applyBorder="1"/>
    <xf numFmtId="0" fontId="14" fillId="0" borderId="0" xfId="0" applyFont="1" applyAlignment="1">
      <alignment horizontal="left" vertical="top" wrapText="1"/>
    </xf>
    <xf numFmtId="0" fontId="2" fillId="0" borderId="4" xfId="0" applyFont="1" applyBorder="1" applyAlignment="1">
      <alignment horizontal="center"/>
    </xf>
    <xf numFmtId="4" fontId="8" fillId="0" borderId="0" xfId="0" applyNumberFormat="1" applyFont="1" applyAlignment="1">
      <alignment horizontal="center" vertical="top"/>
    </xf>
    <xf numFmtId="0" fontId="23" fillId="0" borderId="0" xfId="0" applyFont="1" applyAlignment="1">
      <alignment horizontal="left" vertical="center"/>
    </xf>
    <xf numFmtId="0" fontId="11" fillId="0" borderId="0" xfId="0" applyFont="1" applyAlignment="1">
      <alignment horizontal="left" vertical="center"/>
    </xf>
    <xf numFmtId="165" fontId="3" fillId="0" borderId="0" xfId="0" applyNumberFormat="1" applyFont="1" applyAlignment="1">
      <alignment horizontal="center" vertical="center"/>
    </xf>
    <xf numFmtId="39" fontId="4" fillId="0" borderId="0" xfId="2" applyNumberFormat="1" applyFont="1" applyBorder="1" applyAlignment="1" applyProtection="1">
      <alignment horizontal="center" vertical="center"/>
    </xf>
    <xf numFmtId="43" fontId="4" fillId="0" borderId="0" xfId="2" applyFont="1" applyBorder="1" applyAlignment="1" applyProtection="1">
      <alignment horizontal="center" vertical="center"/>
    </xf>
    <xf numFmtId="10" fontId="2" fillId="9" borderId="0" xfId="1" applyNumberFormat="1" applyFont="1" applyFill="1" applyBorder="1" applyAlignment="1" applyProtection="1">
      <alignment horizontal="center"/>
    </xf>
    <xf numFmtId="165" fontId="0" fillId="0" borderId="0" xfId="0" applyNumberFormat="1"/>
    <xf numFmtId="43" fontId="4" fillId="0" borderId="0" xfId="2" applyFont="1" applyBorder="1" applyAlignment="1" applyProtection="1">
      <alignment horizontal="center"/>
    </xf>
    <xf numFmtId="0" fontId="4" fillId="0" borderId="0" xfId="2" applyNumberFormat="1" applyFont="1" applyBorder="1" applyAlignment="1" applyProtection="1">
      <alignment horizontal="center" vertical="center"/>
    </xf>
    <xf numFmtId="0" fontId="4" fillId="0" borderId="0" xfId="2" applyNumberFormat="1" applyFont="1" applyBorder="1" applyAlignment="1" applyProtection="1">
      <alignment horizontal="center"/>
    </xf>
    <xf numFmtId="0" fontId="14" fillId="0" borderId="0" xfId="0" applyFont="1" applyAlignment="1">
      <alignment horizontal="left" vertical="center"/>
    </xf>
    <xf numFmtId="0" fontId="3" fillId="5" borderId="0" xfId="0" applyFont="1" applyFill="1" applyAlignment="1">
      <alignment horizontal="center" vertical="center"/>
    </xf>
    <xf numFmtId="0" fontId="4" fillId="0" borderId="0" xfId="0" applyFont="1" applyAlignment="1">
      <alignment horizontal="center"/>
    </xf>
    <xf numFmtId="3" fontId="24" fillId="0" borderId="0" xfId="2" applyNumberFormat="1" applyFont="1" applyBorder="1" applyAlignment="1" applyProtection="1"/>
    <xf numFmtId="3" fontId="4" fillId="0" borderId="0" xfId="2" applyNumberFormat="1" applyFont="1" applyBorder="1" applyAlignment="1" applyProtection="1"/>
    <xf numFmtId="0" fontId="24" fillId="0" borderId="0" xfId="0" applyFont="1" applyAlignment="1">
      <alignment horizontal="center"/>
    </xf>
    <xf numFmtId="0" fontId="9" fillId="5" borderId="0" xfId="0" applyFont="1" applyFill="1"/>
    <xf numFmtId="0" fontId="4" fillId="0" borderId="0" xfId="0" applyFont="1" applyAlignment="1">
      <alignment vertical="center" wrapText="1"/>
    </xf>
    <xf numFmtId="164" fontId="0" fillId="0" borderId="0" xfId="1" applyNumberFormat="1" applyFont="1" applyAlignment="1" applyProtection="1">
      <alignment horizontal="center" vertical="center"/>
    </xf>
    <xf numFmtId="3" fontId="0" fillId="0" borderId="0" xfId="0" applyNumberFormat="1" applyAlignment="1" applyProtection="1">
      <alignment horizontal="center"/>
      <protection locked="0"/>
    </xf>
    <xf numFmtId="0" fontId="4" fillId="0" borderId="0" xfId="0" applyFont="1" applyAlignment="1">
      <alignment horizontal="left" vertical="center" wrapText="1"/>
    </xf>
    <xf numFmtId="165" fontId="29" fillId="0" borderId="0" xfId="2" applyNumberFormat="1" applyFont="1" applyBorder="1" applyAlignment="1" applyProtection="1">
      <protection locked="0"/>
    </xf>
    <xf numFmtId="165" fontId="29" fillId="0" borderId="0" xfId="2" applyNumberFormat="1" applyFont="1" applyBorder="1" applyAlignment="1" applyProtection="1">
      <alignment horizontal="center"/>
      <protection locked="0"/>
    </xf>
    <xf numFmtId="165" fontId="24" fillId="0" borderId="0" xfId="2" applyNumberFormat="1" applyFont="1" applyBorder="1" applyAlignment="1" applyProtection="1">
      <alignment horizontal="center"/>
      <protection locked="0"/>
    </xf>
    <xf numFmtId="0" fontId="28" fillId="14" borderId="0" xfId="0" applyFont="1" applyFill="1" applyProtection="1">
      <protection locked="0"/>
    </xf>
    <xf numFmtId="0" fontId="24" fillId="14" borderId="0" xfId="0" applyFont="1" applyFill="1" applyAlignment="1">
      <alignment horizontal="left" vertical="center" wrapText="1"/>
    </xf>
    <xf numFmtId="165" fontId="24" fillId="0" borderId="0" xfId="2" applyNumberFormat="1" applyFont="1" applyBorder="1" applyAlignment="1" applyProtection="1">
      <protection locked="0"/>
    </xf>
    <xf numFmtId="165" fontId="16" fillId="14" borderId="0" xfId="0" applyNumberFormat="1" applyFont="1" applyFill="1" applyAlignment="1">
      <alignment horizontal="center" vertical="center" wrapText="1"/>
    </xf>
    <xf numFmtId="3" fontId="8" fillId="0" borderId="4" xfId="0" applyNumberFormat="1" applyFont="1" applyBorder="1" applyAlignment="1">
      <alignment horizontal="center"/>
    </xf>
    <xf numFmtId="165" fontId="4" fillId="0" borderId="0" xfId="2" applyNumberFormat="1" applyFont="1" applyBorder="1" applyAlignment="1" applyProtection="1">
      <alignment horizontal="center" vertical="center"/>
      <protection locked="0"/>
    </xf>
    <xf numFmtId="165" fontId="3" fillId="0" borderId="0" xfId="0" applyNumberFormat="1" applyFont="1" applyAlignment="1">
      <alignment horizontal="center" vertical="center" wrapText="1"/>
    </xf>
    <xf numFmtId="165" fontId="4" fillId="0" borderId="0" xfId="2" applyNumberFormat="1" applyFont="1" applyBorder="1" applyAlignment="1" applyProtection="1">
      <alignment horizontal="right"/>
      <protection locked="0"/>
    </xf>
    <xf numFmtId="10" fontId="2" fillId="12" borderId="0" xfId="1" applyNumberFormat="1" applyFont="1" applyFill="1" applyAlignment="1" applyProtection="1">
      <alignment horizontal="center"/>
    </xf>
    <xf numFmtId="0" fontId="3" fillId="14" borderId="0" xfId="0" applyFont="1" applyFill="1" applyAlignment="1">
      <alignment horizontal="center" vertical="center" wrapText="1"/>
    </xf>
    <xf numFmtId="165" fontId="12" fillId="7" borderId="0" xfId="2" applyNumberFormat="1" applyFont="1" applyFill="1" applyBorder="1" applyAlignment="1" applyProtection="1">
      <alignment horizontal="right"/>
    </xf>
    <xf numFmtId="3" fontId="0" fillId="0" borderId="0" xfId="0" applyNumberFormat="1" applyAlignment="1" applyProtection="1">
      <alignment horizontal="center" vertical="center"/>
      <protection locked="0"/>
    </xf>
    <xf numFmtId="3" fontId="4" fillId="0" borderId="0" xfId="0" applyNumberFormat="1" applyFont="1" applyAlignment="1" applyProtection="1">
      <alignment horizontal="center" vertical="center"/>
      <protection locked="0"/>
    </xf>
    <xf numFmtId="3" fontId="12" fillId="7" borderId="0" xfId="0" applyNumberFormat="1" applyFont="1" applyFill="1" applyAlignment="1" applyProtection="1">
      <alignment horizontal="center" vertical="center"/>
      <protection locked="0"/>
    </xf>
    <xf numFmtId="3" fontId="12" fillId="14" borderId="0" xfId="0" applyNumberFormat="1" applyFont="1" applyFill="1" applyAlignment="1" applyProtection="1">
      <alignment horizontal="center" vertical="center"/>
      <protection locked="0"/>
    </xf>
    <xf numFmtId="9" fontId="0" fillId="0" borderId="0" xfId="0" applyNumberFormat="1" applyProtection="1">
      <protection locked="0"/>
    </xf>
    <xf numFmtId="0" fontId="0" fillId="14" borderId="0" xfId="0" applyFill="1"/>
    <xf numFmtId="0" fontId="4" fillId="14" borderId="0" xfId="0" applyFont="1" applyFill="1"/>
    <xf numFmtId="0" fontId="14" fillId="14" borderId="0" xfId="0" applyFont="1" applyFill="1"/>
    <xf numFmtId="0" fontId="14" fillId="14" borderId="0" xfId="0" applyFont="1" applyFill="1" applyProtection="1">
      <protection locked="0"/>
    </xf>
    <xf numFmtId="0" fontId="23" fillId="14" borderId="0" xfId="0" applyFont="1" applyFill="1"/>
    <xf numFmtId="9" fontId="0" fillId="0" borderId="0" xfId="1" applyFont="1" applyFill="1" applyBorder="1" applyAlignment="1" applyProtection="1">
      <alignment horizontal="center" vertical="center"/>
    </xf>
    <xf numFmtId="3" fontId="0" fillId="0" borderId="0" xfId="0" applyNumberFormat="1" applyAlignment="1">
      <alignment horizontal="left" vertical="center"/>
    </xf>
    <xf numFmtId="164" fontId="0" fillId="0" borderId="0" xfId="0" applyNumberFormat="1"/>
    <xf numFmtId="0" fontId="0" fillId="0" borderId="0" xfId="0" applyAlignment="1">
      <alignment horizontal="left"/>
    </xf>
    <xf numFmtId="0" fontId="13" fillId="5" borderId="0" xfId="0" applyFont="1" applyFill="1" applyAlignment="1">
      <alignment horizontal="center" vertical="center" wrapText="1"/>
    </xf>
    <xf numFmtId="1" fontId="0" fillId="0" borderId="0" xfId="0" applyNumberFormat="1" applyProtection="1">
      <protection locked="0"/>
    </xf>
    <xf numFmtId="0" fontId="30" fillId="7" borderId="0" xfId="0" applyFont="1" applyFill="1" applyAlignment="1">
      <alignment horizontal="left" vertical="center" wrapText="1"/>
    </xf>
    <xf numFmtId="165" fontId="4" fillId="0" borderId="0" xfId="2" applyNumberFormat="1" applyFont="1" applyBorder="1" applyAlignment="1" applyProtection="1">
      <protection locked="0"/>
    </xf>
    <xf numFmtId="3" fontId="4" fillId="0" borderId="0" xfId="2" applyNumberFormat="1" applyFont="1" applyBorder="1" applyAlignment="1" applyProtection="1">
      <alignment horizontal="center"/>
      <protection locked="0"/>
    </xf>
    <xf numFmtId="3" fontId="8" fillId="0" borderId="0" xfId="0" applyNumberFormat="1" applyFont="1" applyAlignment="1">
      <alignment horizontal="center"/>
    </xf>
    <xf numFmtId="3" fontId="17" fillId="7" borderId="7" xfId="0" applyNumberFormat="1" applyFont="1" applyFill="1" applyBorder="1" applyAlignment="1">
      <alignment horizontal="center" vertical="center"/>
    </xf>
    <xf numFmtId="0" fontId="32" fillId="0" borderId="0" xfId="0" applyFont="1"/>
    <xf numFmtId="166" fontId="2" fillId="0" borderId="10" xfId="0" applyNumberFormat="1" applyFont="1" applyBorder="1" applyAlignment="1">
      <alignment vertical="center"/>
    </xf>
    <xf numFmtId="9" fontId="0" fillId="0" borderId="5" xfId="1" applyFont="1" applyFill="1" applyBorder="1" applyAlignment="1" applyProtection="1">
      <alignment horizontal="center"/>
    </xf>
    <xf numFmtId="10" fontId="0" fillId="0" borderId="0" xfId="1" applyNumberFormat="1" applyFont="1" applyBorder="1" applyAlignment="1" applyProtection="1">
      <alignment horizontal="center"/>
    </xf>
    <xf numFmtId="3" fontId="16" fillId="7" borderId="0" xfId="0" applyNumberFormat="1" applyFont="1" applyFill="1" applyAlignment="1">
      <alignment horizontal="center" vertical="center"/>
    </xf>
    <xf numFmtId="0" fontId="2" fillId="0" borderId="0" xfId="0" applyFont="1" applyAlignment="1" applyProtection="1">
      <alignment horizontal="center"/>
      <protection locked="0"/>
    </xf>
    <xf numFmtId="0" fontId="3" fillId="0" borderId="0" xfId="0" applyFont="1" applyAlignment="1">
      <alignment horizontal="left"/>
    </xf>
    <xf numFmtId="0" fontId="3" fillId="9" borderId="0" xfId="0" applyFont="1" applyFill="1" applyAlignment="1">
      <alignment horizontal="left"/>
    </xf>
    <xf numFmtId="9" fontId="3" fillId="9" borderId="0" xfId="1" applyFont="1" applyFill="1" applyAlignment="1" applyProtection="1">
      <alignment horizontal="center"/>
    </xf>
    <xf numFmtId="0" fontId="3" fillId="9" borderId="0" xfId="0" applyFont="1" applyFill="1"/>
    <xf numFmtId="164" fontId="0" fillId="0" borderId="0" xfId="1" applyNumberFormat="1" applyFont="1" applyFill="1" applyBorder="1" applyAlignment="1" applyProtection="1">
      <alignment horizontal="center"/>
    </xf>
    <xf numFmtId="4" fontId="4" fillId="0" borderId="0" xfId="0" applyNumberFormat="1" applyFont="1" applyAlignment="1" applyProtection="1">
      <alignment horizontal="center"/>
      <protection locked="0"/>
    </xf>
    <xf numFmtId="9" fontId="4" fillId="0" borderId="0" xfId="1" applyFont="1" applyFill="1" applyBorder="1" applyAlignment="1" applyProtection="1">
      <alignment horizontal="center" vertical="center" wrapText="1"/>
    </xf>
    <xf numFmtId="9" fontId="17" fillId="7" borderId="0" xfId="1" applyFont="1" applyFill="1" applyBorder="1" applyAlignment="1" applyProtection="1">
      <alignment horizontal="center" vertical="center"/>
    </xf>
    <xf numFmtId="4" fontId="0" fillId="0" borderId="0" xfId="0" applyNumberFormat="1" applyAlignment="1" applyProtection="1">
      <alignment horizontal="center"/>
      <protection locked="0"/>
    </xf>
    <xf numFmtId="4" fontId="4" fillId="0" borderId="0" xfId="0" applyNumberFormat="1" applyFont="1" applyAlignment="1">
      <alignment horizontal="center" vertical="center" wrapText="1"/>
    </xf>
    <xf numFmtId="4" fontId="5" fillId="0" borderId="0" xfId="0" applyNumberFormat="1" applyFont="1" applyAlignment="1">
      <alignment horizontal="center" vertical="center"/>
    </xf>
    <xf numFmtId="4" fontId="5" fillId="0" borderId="0" xfId="2" applyNumberFormat="1" applyFont="1" applyFill="1" applyBorder="1" applyAlignment="1" applyProtection="1">
      <alignment horizontal="center" vertical="center"/>
    </xf>
    <xf numFmtId="4" fontId="0" fillId="0" borderId="0" xfId="0" applyNumberFormat="1" applyAlignment="1">
      <alignment horizontal="center"/>
    </xf>
    <xf numFmtId="4" fontId="24" fillId="0" borderId="0" xfId="0" applyNumberFormat="1" applyFont="1" applyAlignment="1">
      <alignment horizontal="center" vertical="center"/>
    </xf>
    <xf numFmtId="4" fontId="4" fillId="0" borderId="0" xfId="0" applyNumberFormat="1" applyFont="1" applyAlignment="1">
      <alignment horizontal="center" vertical="center"/>
    </xf>
    <xf numFmtId="4" fontId="26" fillId="14" borderId="0" xfId="0" applyNumberFormat="1" applyFont="1" applyFill="1" applyAlignment="1">
      <alignment horizontal="center"/>
    </xf>
    <xf numFmtId="4" fontId="5" fillId="0" borderId="0" xfId="0" applyNumberFormat="1" applyFont="1" applyAlignment="1" applyProtection="1">
      <alignment horizontal="center" vertical="center"/>
      <protection locked="0"/>
    </xf>
    <xf numFmtId="4" fontId="24" fillId="0" borderId="0" xfId="2" applyNumberFormat="1" applyFont="1" applyFill="1" applyBorder="1" applyAlignment="1" applyProtection="1">
      <alignment horizontal="center" vertical="center"/>
    </xf>
    <xf numFmtId="10" fontId="24" fillId="0" borderId="0" xfId="1" applyNumberFormat="1" applyFont="1" applyFill="1" applyBorder="1" applyAlignment="1" applyProtection="1">
      <alignment horizontal="center" vertical="center" wrapText="1"/>
    </xf>
    <xf numFmtId="10" fontId="5" fillId="0" borderId="0" xfId="1" applyNumberFormat="1" applyFont="1" applyAlignment="1">
      <alignment horizontal="center" vertical="center"/>
    </xf>
    <xf numFmtId="4" fontId="17" fillId="7" borderId="0" xfId="0" applyNumberFormat="1" applyFont="1" applyFill="1" applyAlignment="1">
      <alignment horizontal="center" vertical="center"/>
    </xf>
    <xf numFmtId="4" fontId="6" fillId="7" borderId="0" xfId="0" applyNumberFormat="1" applyFont="1" applyFill="1" applyAlignment="1">
      <alignment horizontal="center" vertical="center"/>
    </xf>
    <xf numFmtId="10" fontId="4" fillId="0" borderId="0" xfId="1" applyNumberFormat="1" applyFont="1" applyFill="1" applyBorder="1" applyAlignment="1" applyProtection="1">
      <alignment horizontal="center" vertical="center" wrapText="1"/>
    </xf>
    <xf numFmtId="10" fontId="4" fillId="0" borderId="0" xfId="1" applyNumberFormat="1" applyFont="1" applyAlignment="1">
      <alignment horizontal="center" vertical="center"/>
    </xf>
    <xf numFmtId="10" fontId="3" fillId="7" borderId="0" xfId="1" applyNumberFormat="1" applyFont="1" applyFill="1" applyAlignment="1">
      <alignment horizontal="center" vertical="center"/>
    </xf>
    <xf numFmtId="10" fontId="16" fillId="7" borderId="0" xfId="1" applyNumberFormat="1" applyFont="1" applyFill="1" applyAlignment="1">
      <alignment horizontal="center" vertical="center"/>
    </xf>
    <xf numFmtId="43" fontId="24" fillId="0" borderId="0" xfId="2" applyFont="1" applyBorder="1" applyAlignment="1" applyProtection="1">
      <alignment horizontal="center"/>
      <protection locked="0"/>
    </xf>
    <xf numFmtId="43" fontId="29" fillId="0" borderId="0" xfId="2" applyFont="1" applyBorder="1" applyAlignment="1" applyProtection="1">
      <alignment horizontal="center"/>
      <protection locked="0"/>
    </xf>
    <xf numFmtId="43" fontId="16" fillId="14" borderId="0" xfId="0" applyNumberFormat="1" applyFont="1" applyFill="1" applyAlignment="1">
      <alignment horizontal="center" vertical="center" wrapText="1"/>
    </xf>
    <xf numFmtId="43" fontId="4" fillId="0" borderId="0" xfId="2" applyFont="1" applyBorder="1" applyAlignment="1" applyProtection="1">
      <alignment horizontal="center" vertical="center"/>
      <protection locked="0"/>
    </xf>
    <xf numFmtId="43" fontId="16" fillId="0" borderId="0" xfId="2" applyFont="1" applyFill="1" applyBorder="1" applyAlignment="1" applyProtection="1">
      <alignment horizontal="center"/>
    </xf>
    <xf numFmtId="43" fontId="12" fillId="7" borderId="0" xfId="2" applyFont="1" applyFill="1" applyBorder="1" applyAlignment="1" applyProtection="1">
      <alignment horizontal="center"/>
    </xf>
    <xf numFmtId="43" fontId="17" fillId="7" borderId="0" xfId="2" applyFont="1" applyFill="1" applyBorder="1" applyAlignment="1" applyProtection="1">
      <alignment horizontal="center"/>
    </xf>
    <xf numFmtId="4" fontId="4" fillId="0" borderId="0" xfId="2" applyNumberFormat="1" applyFont="1" applyBorder="1" applyAlignment="1" applyProtection="1">
      <alignment horizontal="center"/>
      <protection locked="0"/>
    </xf>
    <xf numFmtId="4" fontId="12" fillId="7" borderId="0" xfId="0" applyNumberFormat="1" applyFont="1" applyFill="1" applyAlignment="1">
      <alignment horizontal="center" vertical="center"/>
    </xf>
    <xf numFmtId="4" fontId="12" fillId="7" borderId="0" xfId="0" applyNumberFormat="1" applyFont="1" applyFill="1" applyAlignment="1" applyProtection="1">
      <alignment horizontal="center" vertical="center"/>
      <protection locked="0"/>
    </xf>
    <xf numFmtId="4" fontId="12" fillId="14" borderId="0" xfId="0" applyNumberFormat="1" applyFont="1" applyFill="1" applyAlignment="1" applyProtection="1">
      <alignment horizontal="center" vertical="center"/>
      <protection locked="0"/>
    </xf>
    <xf numFmtId="10" fontId="0" fillId="12" borderId="0" xfId="1" applyNumberFormat="1" applyFont="1" applyFill="1" applyAlignment="1" applyProtection="1">
      <alignment horizontal="center" vertical="center"/>
      <protection locked="0"/>
    </xf>
    <xf numFmtId="4" fontId="16" fillId="0" borderId="0" xfId="0" applyNumberFormat="1" applyFont="1" applyAlignment="1">
      <alignment horizontal="center" vertical="center"/>
    </xf>
    <xf numFmtId="10" fontId="6" fillId="7" borderId="7" xfId="1" applyNumberFormat="1" applyFont="1" applyFill="1" applyBorder="1" applyAlignment="1" applyProtection="1">
      <alignment horizontal="center" vertical="center"/>
    </xf>
    <xf numFmtId="10" fontId="6" fillId="7" borderId="8" xfId="1" applyNumberFormat="1" applyFont="1" applyFill="1" applyBorder="1" applyAlignment="1" applyProtection="1">
      <alignment horizontal="center" vertical="center"/>
    </xf>
    <xf numFmtId="4" fontId="17" fillId="7" borderId="7" xfId="0" applyNumberFormat="1" applyFont="1" applyFill="1" applyBorder="1" applyAlignment="1">
      <alignment horizontal="center" vertical="center"/>
    </xf>
    <xf numFmtId="4" fontId="6" fillId="7" borderId="7" xfId="0" applyNumberFormat="1" applyFont="1" applyFill="1" applyBorder="1" applyAlignment="1">
      <alignment horizontal="center" vertical="center"/>
    </xf>
    <xf numFmtId="43" fontId="4" fillId="0" borderId="0" xfId="2" applyFont="1" applyBorder="1" applyAlignment="1" applyProtection="1">
      <alignment horizontal="right" vertical="center"/>
      <protection locked="0"/>
    </xf>
    <xf numFmtId="43" fontId="12" fillId="7" borderId="0" xfId="2" applyFont="1" applyFill="1" applyBorder="1" applyAlignment="1" applyProtection="1">
      <alignment vertical="center"/>
    </xf>
    <xf numFmtId="43" fontId="24" fillId="0" borderId="0" xfId="2" applyFont="1" applyBorder="1" applyAlignment="1" applyProtection="1">
      <alignment horizontal="center" vertical="center"/>
      <protection locked="0"/>
    </xf>
    <xf numFmtId="39" fontId="12" fillId="7" borderId="0" xfId="2" applyNumberFormat="1" applyFont="1" applyFill="1" applyBorder="1" applyAlignment="1" applyProtection="1">
      <alignment horizontal="right" vertical="center"/>
    </xf>
    <xf numFmtId="39" fontId="4" fillId="0" borderId="0" xfId="2" applyNumberFormat="1" applyFont="1" applyBorder="1" applyAlignment="1" applyProtection="1">
      <alignment horizontal="right" vertical="center"/>
      <protection locked="0"/>
    </xf>
    <xf numFmtId="39" fontId="12" fillId="7" borderId="0" xfId="2" applyNumberFormat="1" applyFont="1" applyFill="1" applyBorder="1" applyAlignment="1" applyProtection="1">
      <alignment vertical="center"/>
    </xf>
    <xf numFmtId="43" fontId="3" fillId="0" borderId="0" xfId="0" applyNumberFormat="1" applyFont="1" applyAlignment="1">
      <alignment horizontal="center" vertical="center"/>
    </xf>
    <xf numFmtId="0" fontId="3" fillId="14" borderId="0" xfId="0" applyFont="1" applyFill="1" applyAlignment="1">
      <alignment horizontal="left" vertical="center"/>
    </xf>
    <xf numFmtId="43" fontId="12" fillId="7" borderId="0" xfId="2" applyFont="1" applyFill="1" applyBorder="1" applyAlignment="1" applyProtection="1">
      <alignment horizontal="center" vertical="center"/>
    </xf>
    <xf numFmtId="4" fontId="4" fillId="0" borderId="0" xfId="2" applyNumberFormat="1" applyFont="1" applyBorder="1" applyAlignment="1" applyProtection="1">
      <alignment horizontal="right"/>
    </xf>
    <xf numFmtId="4" fontId="17" fillId="7" borderId="0" xfId="0" applyNumberFormat="1" applyFont="1" applyFill="1" applyAlignment="1">
      <alignment horizontal="right"/>
    </xf>
    <xf numFmtId="4" fontId="6" fillId="7" borderId="0" xfId="0" applyNumberFormat="1" applyFont="1" applyFill="1" applyAlignment="1">
      <alignment horizontal="right" vertical="center"/>
    </xf>
    <xf numFmtId="4" fontId="4" fillId="0" borderId="0" xfId="2" applyNumberFormat="1" applyFont="1" applyBorder="1" applyAlignment="1" applyProtection="1">
      <alignment horizontal="right"/>
      <protection locked="0"/>
    </xf>
    <xf numFmtId="43" fontId="3" fillId="0" borderId="0" xfId="2" applyFont="1" applyBorder="1" applyAlignment="1" applyProtection="1">
      <alignment vertical="center"/>
    </xf>
    <xf numFmtId="43" fontId="6" fillId="7" borderId="0" xfId="0" applyNumberFormat="1" applyFont="1" applyFill="1" applyAlignment="1">
      <alignment vertical="center"/>
    </xf>
    <xf numFmtId="10" fontId="4" fillId="0" borderId="0" xfId="1" applyNumberFormat="1" applyFont="1" applyBorder="1" applyAlignment="1" applyProtection="1">
      <alignment horizontal="center"/>
    </xf>
    <xf numFmtId="4" fontId="19" fillId="0" borderId="0" xfId="0" applyNumberFormat="1" applyFont="1" applyAlignment="1">
      <alignment horizontal="center" vertical="center"/>
    </xf>
    <xf numFmtId="4" fontId="0" fillId="0" borderId="0" xfId="0" applyNumberFormat="1" applyAlignment="1">
      <alignment horizontal="center" vertical="center"/>
    </xf>
    <xf numFmtId="10" fontId="5" fillId="0" borderId="0" xfId="0" applyNumberFormat="1" applyFont="1" applyAlignment="1">
      <alignment horizontal="center" vertical="center"/>
    </xf>
    <xf numFmtId="43" fontId="1" fillId="0" borderId="0" xfId="2" applyFont="1" applyAlignment="1" applyProtection="1">
      <alignment horizontal="center" vertical="center"/>
      <protection locked="0"/>
    </xf>
    <xf numFmtId="43" fontId="6" fillId="7" borderId="0" xfId="2" applyFont="1" applyFill="1" applyAlignment="1">
      <alignment horizontal="right" vertical="center"/>
    </xf>
    <xf numFmtId="10" fontId="7" fillId="7" borderId="0" xfId="0" applyNumberFormat="1" applyFont="1" applyFill="1" applyAlignment="1">
      <alignment horizontal="center" vertical="center"/>
    </xf>
    <xf numFmtId="10" fontId="3" fillId="7" borderId="0" xfId="0" applyNumberFormat="1" applyFont="1" applyFill="1" applyAlignment="1">
      <alignment horizontal="center" vertical="center"/>
    </xf>
    <xf numFmtId="43" fontId="5" fillId="0" borderId="0" xfId="2" applyFont="1" applyFill="1" applyBorder="1" applyAlignment="1" applyProtection="1">
      <alignment horizontal="left" vertical="center" indent="1"/>
    </xf>
    <xf numFmtId="10" fontId="4" fillId="0" borderId="0" xfId="0" applyNumberFormat="1" applyFont="1" applyAlignment="1">
      <alignment horizontal="center" vertical="center"/>
    </xf>
    <xf numFmtId="43" fontId="4" fillId="0" borderId="0" xfId="2" applyFont="1" applyBorder="1" applyAlignment="1" applyProtection="1">
      <alignment vertical="center"/>
      <protection locked="0"/>
    </xf>
    <xf numFmtId="0" fontId="0" fillId="0" borderId="0" xfId="0" applyAlignment="1">
      <alignment horizontal="right" vertical="center"/>
    </xf>
    <xf numFmtId="43" fontId="0" fillId="0" borderId="0" xfId="0" applyNumberFormat="1" applyAlignment="1">
      <alignment horizontal="right" vertical="center"/>
    </xf>
    <xf numFmtId="165" fontId="0" fillId="0" borderId="0" xfId="0" applyNumberFormat="1" applyAlignment="1">
      <alignment horizontal="right" vertical="center"/>
    </xf>
    <xf numFmtId="37" fontId="2" fillId="10" borderId="0" xfId="2" applyNumberFormat="1" applyFont="1" applyFill="1" applyBorder="1" applyAlignment="1" applyProtection="1">
      <alignment horizontal="right" vertical="center"/>
      <protection locked="0"/>
    </xf>
    <xf numFmtId="39" fontId="2" fillId="10" borderId="0" xfId="2" applyNumberFormat="1" applyFont="1" applyFill="1" applyBorder="1" applyAlignment="1" applyProtection="1">
      <alignment horizontal="right" vertical="center"/>
      <protection locked="0"/>
    </xf>
    <xf numFmtId="43" fontId="2" fillId="10" borderId="0" xfId="2" applyFont="1" applyFill="1" applyBorder="1" applyAlignment="1" applyProtection="1">
      <alignment horizontal="right" vertical="center"/>
      <protection locked="0"/>
    </xf>
    <xf numFmtId="0" fontId="23" fillId="0" borderId="0" xfId="0" applyFont="1" applyAlignment="1">
      <alignment wrapText="1"/>
    </xf>
    <xf numFmtId="10" fontId="0" fillId="0" borderId="0" xfId="1" applyNumberFormat="1" applyFont="1" applyFill="1" applyBorder="1" applyAlignment="1" applyProtection="1">
      <alignment horizontal="center" vertical="center"/>
    </xf>
    <xf numFmtId="10" fontId="16" fillId="7" borderId="0" xfId="1" applyNumberFormat="1" applyFont="1" applyFill="1" applyBorder="1" applyAlignment="1" applyProtection="1">
      <alignment horizontal="center" vertical="center"/>
    </xf>
    <xf numFmtId="4" fontId="3" fillId="0" borderId="0" xfId="0" applyNumberFormat="1" applyFont="1" applyAlignment="1">
      <alignment horizontal="center" vertical="center"/>
    </xf>
    <xf numFmtId="0" fontId="3" fillId="5" borderId="0" xfId="0" applyFont="1" applyFill="1" applyAlignment="1">
      <alignment vertical="center"/>
    </xf>
    <xf numFmtId="0" fontId="10" fillId="0" borderId="0" xfId="0" applyFont="1"/>
    <xf numFmtId="165" fontId="36" fillId="0" borderId="0" xfId="0" applyNumberFormat="1" applyFont="1" applyAlignment="1" applyProtection="1">
      <alignment horizontal="center"/>
      <protection locked="0"/>
    </xf>
    <xf numFmtId="43" fontId="36" fillId="0" borderId="0" xfId="0" applyNumberFormat="1" applyFont="1" applyProtection="1">
      <protection locked="0"/>
    </xf>
    <xf numFmtId="0" fontId="36" fillId="0" borderId="0" xfId="0" applyFont="1" applyAlignment="1" applyProtection="1">
      <alignment horizontal="center"/>
      <protection locked="0"/>
    </xf>
    <xf numFmtId="0" fontId="28" fillId="0" borderId="0" xfId="0" applyFont="1" applyProtection="1">
      <protection locked="0"/>
    </xf>
    <xf numFmtId="43" fontId="28" fillId="0" borderId="0" xfId="0" applyNumberFormat="1" applyFont="1" applyProtection="1">
      <protection locked="0"/>
    </xf>
    <xf numFmtId="9" fontId="6" fillId="7" borderId="0" xfId="1" applyNumberFormat="1" applyFont="1" applyFill="1" applyBorder="1" applyAlignment="1" applyProtection="1">
      <alignment horizontal="center" vertical="center"/>
    </xf>
    <xf numFmtId="3" fontId="12" fillId="7" borderId="0" xfId="0" applyNumberFormat="1" applyFont="1" applyFill="1" applyAlignment="1" applyProtection="1">
      <alignment horizontal="center" vertical="center"/>
      <protection locked="0"/>
    </xf>
    <xf numFmtId="43" fontId="17" fillId="7" borderId="0" xfId="2" applyFont="1" applyFill="1" applyBorder="1" applyAlignment="1" applyProtection="1">
      <alignment horizontal="center" vertical="center"/>
    </xf>
    <xf numFmtId="43" fontId="37" fillId="0" borderId="0" xfId="2" applyFont="1" applyFill="1" applyBorder="1" applyAlignment="1" applyProtection="1">
      <protection locked="0"/>
    </xf>
    <xf numFmtId="43" fontId="38" fillId="0" borderId="0" xfId="2" applyFont="1" applyFill="1" applyBorder="1" applyAlignment="1" applyProtection="1">
      <protection locked="0"/>
    </xf>
    <xf numFmtId="3" fontId="12" fillId="7" borderId="0" xfId="0" applyNumberFormat="1" applyFont="1" applyFill="1" applyAlignment="1" applyProtection="1">
      <alignment horizontal="right" vertical="center"/>
      <protection locked="0"/>
    </xf>
    <xf numFmtId="43" fontId="12" fillId="7" borderId="0" xfId="0" applyNumberFormat="1" applyFont="1" applyFill="1" applyAlignment="1" applyProtection="1">
      <alignment horizontal="right" vertical="center"/>
      <protection locked="0"/>
    </xf>
    <xf numFmtId="4" fontId="12" fillId="7" borderId="0" xfId="0" applyNumberFormat="1" applyFont="1" applyFill="1" applyAlignment="1" applyProtection="1">
      <alignment horizontal="right" vertical="center"/>
      <protection locked="0"/>
    </xf>
    <xf numFmtId="165" fontId="38" fillId="0" borderId="0" xfId="2" applyNumberFormat="1" applyFont="1" applyFill="1" applyBorder="1" applyAlignment="1" applyProtection="1">
      <alignment horizontal="right"/>
      <protection locked="0"/>
    </xf>
    <xf numFmtId="165" fontId="4" fillId="0" borderId="0" xfId="2" applyNumberFormat="1" applyFont="1" applyBorder="1" applyAlignment="1" applyProtection="1">
      <alignment horizontal="right" vertical="center"/>
      <protection locked="0"/>
    </xf>
    <xf numFmtId="0" fontId="2" fillId="0" borderId="0" xfId="0" applyFont="1" applyAlignment="1" applyProtection="1">
      <protection locked="0"/>
    </xf>
    <xf numFmtId="0" fontId="2" fillId="0" borderId="0" xfId="0" applyFont="1" applyAlignment="1"/>
    <xf numFmtId="3" fontId="0" fillId="0" borderId="0" xfId="0" applyNumberFormat="1" applyFont="1" applyAlignment="1">
      <alignment horizontal="center" vertical="center"/>
    </xf>
    <xf numFmtId="0" fontId="32" fillId="0" borderId="0" xfId="0" applyFont="1" applyAlignment="1"/>
    <xf numFmtId="0" fontId="34" fillId="14" borderId="0" xfId="0" applyFont="1" applyFill="1" applyAlignment="1">
      <alignment horizontal="left" vertical="center" wrapText="1"/>
    </xf>
    <xf numFmtId="0" fontId="33" fillId="14" borderId="0" xfId="0" applyFont="1" applyFill="1" applyAlignment="1">
      <alignment horizontal="left" vertical="center" wrapText="1"/>
    </xf>
    <xf numFmtId="0" fontId="3" fillId="5" borderId="0" xfId="0" applyFont="1" applyFill="1" applyAlignment="1" applyProtection="1">
      <alignment horizontal="center" vertical="center" wrapText="1"/>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3" fillId="5" borderId="0" xfId="0" applyFont="1" applyFill="1" applyAlignment="1">
      <alignment horizontal="center" vertical="center" wrapText="1"/>
    </xf>
    <xf numFmtId="0" fontId="14" fillId="0" borderId="0" xfId="0" applyFont="1" applyAlignment="1">
      <alignment horizontal="left" vertical="center" wrapText="1"/>
    </xf>
    <xf numFmtId="0" fontId="13" fillId="0" borderId="0" xfId="0" applyFont="1" applyAlignment="1" applyProtection="1">
      <alignment horizontal="center"/>
      <protection locked="0"/>
    </xf>
    <xf numFmtId="0" fontId="25" fillId="0" borderId="0" xfId="0" applyFont="1" applyAlignment="1">
      <alignment horizontal="left" wrapText="1"/>
    </xf>
    <xf numFmtId="0" fontId="25" fillId="0" borderId="0" xfId="0" applyFont="1" applyAlignment="1">
      <alignment horizontal="left"/>
    </xf>
    <xf numFmtId="0" fontId="14" fillId="0" borderId="0" xfId="0" applyFont="1" applyAlignment="1">
      <alignment horizontal="left" wrapText="1"/>
    </xf>
    <xf numFmtId="0" fontId="25" fillId="0" borderId="0" xfId="0" applyFont="1" applyAlignment="1">
      <alignment horizontal="left" vertical="center" wrapText="1"/>
    </xf>
    <xf numFmtId="0" fontId="23" fillId="0" borderId="0" xfId="0" applyFont="1" applyAlignment="1">
      <alignment horizontal="left"/>
    </xf>
    <xf numFmtId="0" fontId="3" fillId="5" borderId="0" xfId="0" applyFont="1" applyFill="1" applyAlignment="1">
      <alignment horizontal="left" vertical="center" wrapText="1"/>
    </xf>
    <xf numFmtId="0" fontId="2" fillId="5" borderId="0" xfId="0" applyFont="1" applyFill="1" applyAlignment="1">
      <alignment horizontal="center"/>
    </xf>
    <xf numFmtId="0" fontId="0" fillId="0" borderId="0" xfId="0" applyAlignment="1" applyProtection="1">
      <alignment horizontal="center"/>
      <protection locked="0"/>
    </xf>
    <xf numFmtId="0" fontId="2" fillId="2" borderId="0" xfId="0" applyFont="1" applyFill="1" applyAlignment="1">
      <alignment horizontal="center"/>
    </xf>
    <xf numFmtId="0" fontId="2" fillId="3" borderId="0" xfId="0" applyFont="1" applyFill="1" applyAlignment="1">
      <alignment horizontal="center"/>
    </xf>
    <xf numFmtId="0" fontId="2" fillId="4" borderId="0" xfId="0" applyFont="1" applyFill="1" applyAlignment="1">
      <alignment horizontal="center"/>
    </xf>
    <xf numFmtId="0" fontId="2" fillId="11" borderId="0" xfId="0" applyFont="1" applyFill="1" applyAlignment="1">
      <alignment horizontal="center"/>
    </xf>
    <xf numFmtId="165" fontId="38" fillId="0" borderId="0" xfId="2" applyNumberFormat="1" applyFont="1" applyFill="1" applyBorder="1" applyAlignment="1" applyProtection="1">
      <alignment horizontal="center"/>
      <protection locked="0"/>
    </xf>
    <xf numFmtId="3" fontId="12" fillId="7" borderId="0" xfId="0" applyNumberFormat="1" applyFont="1" applyFill="1" applyAlignment="1" applyProtection="1">
      <alignment horizontal="right" vertical="center"/>
      <protection locked="0"/>
    </xf>
    <xf numFmtId="3" fontId="4" fillId="0" borderId="0" xfId="0" applyNumberFormat="1" applyFont="1" applyAlignment="1" applyProtection="1">
      <alignment horizontal="center" vertical="center"/>
      <protection locked="0"/>
    </xf>
    <xf numFmtId="3" fontId="3" fillId="5" borderId="0" xfId="0" applyNumberFormat="1" applyFont="1" applyFill="1" applyAlignment="1">
      <alignment horizontal="center" vertical="center" wrapText="1"/>
    </xf>
    <xf numFmtId="43" fontId="38" fillId="0" borderId="0" xfId="2" applyFont="1" applyFill="1" applyBorder="1" applyAlignment="1" applyProtection="1">
      <alignment horizontal="center" vertical="center"/>
      <protection locked="0"/>
    </xf>
    <xf numFmtId="43" fontId="38" fillId="0" borderId="0" xfId="2" applyFont="1" applyFill="1" applyBorder="1" applyAlignment="1" applyProtection="1">
      <alignment horizontal="center"/>
      <protection locked="0"/>
    </xf>
    <xf numFmtId="0" fontId="2" fillId="11" borderId="0" xfId="0" applyFont="1" applyFill="1" applyAlignment="1">
      <alignment horizontal="center" vertical="center" wrapText="1"/>
    </xf>
    <xf numFmtId="0" fontId="2" fillId="2" borderId="0" xfId="0" applyFont="1" applyFill="1" applyAlignment="1">
      <alignment horizontal="center" vertical="center" wrapText="1"/>
    </xf>
    <xf numFmtId="0" fontId="2" fillId="3" borderId="0" xfId="0" applyFont="1" applyFill="1" applyAlignment="1">
      <alignment horizontal="center" vertical="center" wrapText="1"/>
    </xf>
    <xf numFmtId="0" fontId="2" fillId="15" borderId="0" xfId="0" applyFont="1" applyFill="1" applyAlignment="1">
      <alignment horizontal="center" vertical="center"/>
    </xf>
    <xf numFmtId="0" fontId="2" fillId="16" borderId="0" xfId="0" applyFont="1" applyFill="1" applyAlignment="1">
      <alignment horizontal="center" vertical="center" wrapText="1"/>
    </xf>
    <xf numFmtId="0" fontId="13" fillId="5" borderId="0" xfId="0" applyFont="1" applyFill="1" applyAlignment="1">
      <alignment horizontal="center" vertical="center" wrapText="1"/>
    </xf>
    <xf numFmtId="0" fontId="2" fillId="11" borderId="0" xfId="0" applyFont="1" applyFill="1" applyAlignment="1">
      <alignment horizontal="center" vertical="top" wrapText="1"/>
    </xf>
    <xf numFmtId="0" fontId="2" fillId="2" borderId="0" xfId="0" applyFont="1" applyFill="1" applyAlignment="1">
      <alignment horizontal="center" vertical="top" wrapText="1"/>
    </xf>
    <xf numFmtId="0" fontId="2" fillId="3" borderId="0" xfId="0" applyFont="1" applyFill="1" applyAlignment="1">
      <alignment horizontal="center" vertical="top" wrapText="1"/>
    </xf>
    <xf numFmtId="0" fontId="2" fillId="16" borderId="0" xfId="0" applyFont="1" applyFill="1" applyAlignment="1">
      <alignment horizontal="center" vertical="top" wrapText="1"/>
    </xf>
    <xf numFmtId="0" fontId="3" fillId="5" borderId="0" xfId="0" applyFont="1" applyFill="1" applyAlignment="1">
      <alignment horizontal="center" vertical="center"/>
    </xf>
    <xf numFmtId="0" fontId="3" fillId="6" borderId="1" xfId="0" applyFont="1" applyFill="1" applyBorder="1" applyAlignment="1" applyProtection="1">
      <alignment horizontal="center" vertical="center" wrapText="1"/>
      <protection locked="0"/>
    </xf>
    <xf numFmtId="0" fontId="3" fillId="6" borderId="2" xfId="0" applyFont="1" applyFill="1" applyBorder="1" applyAlignment="1" applyProtection="1">
      <alignment horizontal="center" vertical="center"/>
      <protection locked="0"/>
    </xf>
    <xf numFmtId="0" fontId="3" fillId="6" borderId="3" xfId="0" applyFont="1" applyFill="1" applyBorder="1" applyAlignment="1" applyProtection="1">
      <alignment horizontal="center" vertical="center"/>
      <protection locked="0"/>
    </xf>
    <xf numFmtId="0" fontId="3" fillId="6" borderId="1" xfId="0" applyFont="1" applyFill="1" applyBorder="1" applyAlignment="1">
      <alignment horizontal="center" vertical="center" wrapText="1"/>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4" fillId="0" borderId="0" xfId="0" applyFont="1" applyAlignment="1">
      <alignment horizontal="left" vertical="top" wrapText="1"/>
    </xf>
    <xf numFmtId="0" fontId="3" fillId="5" borderId="0" xfId="0" applyFont="1" applyFill="1" applyAlignment="1">
      <alignment horizontal="center"/>
    </xf>
    <xf numFmtId="0" fontId="3" fillId="4" borderId="0" xfId="0" applyFont="1" applyFill="1" applyAlignment="1">
      <alignment horizontal="center"/>
    </xf>
    <xf numFmtId="0" fontId="3" fillId="3" borderId="0" xfId="0" applyFont="1" applyFill="1" applyAlignment="1">
      <alignment horizontal="center"/>
    </xf>
    <xf numFmtId="0" fontId="3" fillId="2" borderId="0" xfId="0" applyFont="1" applyFill="1" applyAlignment="1">
      <alignment horizontal="center"/>
    </xf>
    <xf numFmtId="0" fontId="3" fillId="11" borderId="0" xfId="0" applyFont="1" applyFill="1" applyAlignment="1">
      <alignment horizontal="center"/>
    </xf>
    <xf numFmtId="0" fontId="3" fillId="17" borderId="0" xfId="0" applyFont="1" applyFill="1" applyAlignment="1">
      <alignment horizontal="center"/>
    </xf>
    <xf numFmtId="0" fontId="3" fillId="18" borderId="0" xfId="0" applyFont="1" applyFill="1" applyAlignment="1">
      <alignment horizontal="center"/>
    </xf>
    <xf numFmtId="0" fontId="3" fillId="19" borderId="0" xfId="0" applyFont="1" applyFill="1" applyAlignment="1">
      <alignment horizontal="center"/>
    </xf>
    <xf numFmtId="0" fontId="10" fillId="0" borderId="0" xfId="0" applyFont="1" applyAlignment="1">
      <alignment horizontal="center"/>
    </xf>
    <xf numFmtId="0" fontId="10" fillId="0" borderId="0" xfId="0" applyFont="1" applyAlignment="1" applyProtection="1">
      <alignment horizontal="center"/>
      <protection locked="0"/>
    </xf>
  </cellXfs>
  <cellStyles count="4">
    <cellStyle name="Comma" xfId="2" builtinId="3"/>
    <cellStyle name="Normal" xfId="0" builtinId="0"/>
    <cellStyle name="Normal 2" xfId="3" xr:uid="{00000000-0005-0000-0000-000002000000}"/>
    <cellStyle name="Percent" xfId="1" builtinId="5"/>
  </cellStyles>
  <dxfs count="0"/>
  <tableStyles count="1" defaultTableStyle="TableStyleMedium2" defaultPivotStyle="PivotStyleLight16">
    <tableStyle name="Invisible" pivot="0" table="0" count="0" xr9:uid="{EB55D738-EBA8-42B6-A2D2-EFAB11F34F90}"/>
  </tableStyles>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2.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9.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0.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6615130463804834"/>
          <c:y val="5.1400554097404488E-2"/>
          <c:w val="0.74836611939844222"/>
          <c:h val="0.72112459900845727"/>
        </c:manualLayout>
      </c:layout>
      <c:barChart>
        <c:barDir val="col"/>
        <c:grouping val="clustered"/>
        <c:varyColors val="0"/>
        <c:ser>
          <c:idx val="0"/>
          <c:order val="0"/>
          <c:tx>
            <c:v>Programado</c:v>
          </c:tx>
          <c:spPr>
            <a:solidFill>
              <a:schemeClr val="accent3">
                <a:lumMod val="60000"/>
                <a:lumOff val="40000"/>
              </a:schemeClr>
            </a:solidFill>
            <a:ln>
              <a:solidFill>
                <a:schemeClr val="accent3">
                  <a:lumMod val="60000"/>
                  <a:lumOff val="40000"/>
                </a:schemeClr>
              </a:solidFill>
            </a:ln>
          </c:spPr>
          <c:invertIfNegative val="0"/>
          <c:dPt>
            <c:idx val="0"/>
            <c:invertIfNegative val="0"/>
            <c:bubble3D val="0"/>
            <c:extLst>
              <c:ext xmlns:c16="http://schemas.microsoft.com/office/drawing/2014/chart" uri="{C3380CC4-5D6E-409C-BE32-E72D297353CC}">
                <c16:uniqueId val="{00000000-C576-4367-B357-1E7F1FD4DFAB}"/>
              </c:ext>
            </c:extLst>
          </c:dPt>
          <c:dLbls>
            <c:spPr>
              <a:noFill/>
              <a:ln>
                <a:noFill/>
              </a:ln>
              <a:effectLst/>
            </c:spPr>
            <c:txPr>
              <a:bodyPr rot="-5400000" vert="horz"/>
              <a:lstStyle/>
              <a:p>
                <a:pPr>
                  <a:defRPr sz="1050"/>
                </a:pPr>
                <a:endParaRPr lang="es-E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'Presupuesto Adm.'!$A$9:$A$12</c:f>
              <c:strCache>
                <c:ptCount val="3"/>
                <c:pt idx="0">
                  <c:v>Septiembre</c:v>
                </c:pt>
                <c:pt idx="1">
                  <c:v>Agosto</c:v>
                </c:pt>
                <c:pt idx="2">
                  <c:v>Julio </c:v>
                </c:pt>
              </c:strCache>
            </c:strRef>
          </c:cat>
          <c:val>
            <c:numRef>
              <c:f>'Presupuesto Adm.'!$B$9:$B$12</c:f>
              <c:numCache>
                <c:formatCode>#,##0.00</c:formatCode>
                <c:ptCount val="3"/>
                <c:pt idx="0">
                  <c:v>37604991.979999997</c:v>
                </c:pt>
                <c:pt idx="1">
                  <c:v>40072491.200000003</c:v>
                </c:pt>
                <c:pt idx="2">
                  <c:v>39204991.979999997</c:v>
                </c:pt>
              </c:numCache>
            </c:numRef>
          </c:val>
          <c:extLst>
            <c:ext xmlns:c16="http://schemas.microsoft.com/office/drawing/2014/chart" uri="{C3380CC4-5D6E-409C-BE32-E72D297353CC}">
              <c16:uniqueId val="{00000004-B26F-49E2-B71B-8A084CE8A512}"/>
            </c:ext>
          </c:extLst>
        </c:ser>
        <c:ser>
          <c:idx val="1"/>
          <c:order val="1"/>
          <c:tx>
            <c:v>Ejecutado</c:v>
          </c:tx>
          <c:spPr>
            <a:solidFill>
              <a:schemeClr val="bg1">
                <a:lumMod val="75000"/>
              </a:schemeClr>
            </a:solidFill>
          </c:spPr>
          <c:invertIfNegative val="0"/>
          <c:dLbls>
            <c:spPr>
              <a:noFill/>
              <a:ln>
                <a:noFill/>
              </a:ln>
              <a:effectLst/>
            </c:spPr>
            <c:txPr>
              <a:bodyPr rot="-5400000" vert="horz"/>
              <a:lstStyle/>
              <a:p>
                <a:pPr>
                  <a:defRPr sz="1050" b="0"/>
                </a:pPr>
                <a:endParaRPr lang="es-E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'Presupuesto Adm.'!$A$9:$A$12</c:f>
              <c:strCache>
                <c:ptCount val="3"/>
                <c:pt idx="0">
                  <c:v>Septiembre</c:v>
                </c:pt>
                <c:pt idx="1">
                  <c:v>Agosto</c:v>
                </c:pt>
                <c:pt idx="2">
                  <c:v>Julio </c:v>
                </c:pt>
              </c:strCache>
            </c:strRef>
          </c:cat>
          <c:val>
            <c:numRef>
              <c:f>'Presupuesto Adm.'!$C$9:$C$12</c:f>
              <c:numCache>
                <c:formatCode>#,##0.00</c:formatCode>
                <c:ptCount val="3"/>
                <c:pt idx="0">
                  <c:v>38795252.299999997</c:v>
                </c:pt>
                <c:pt idx="1">
                  <c:v>40356914.799999997</c:v>
                </c:pt>
                <c:pt idx="2">
                  <c:v>38249803.68</c:v>
                </c:pt>
              </c:numCache>
            </c:numRef>
          </c:val>
          <c:extLst>
            <c:ext xmlns:c16="http://schemas.microsoft.com/office/drawing/2014/chart" uri="{C3380CC4-5D6E-409C-BE32-E72D297353CC}">
              <c16:uniqueId val="{00000008-B26F-49E2-B71B-8A084CE8A512}"/>
            </c:ext>
          </c:extLst>
        </c:ser>
        <c:dLbls>
          <c:showLegendKey val="0"/>
          <c:showVal val="1"/>
          <c:showCatName val="0"/>
          <c:showSerName val="0"/>
          <c:showPercent val="0"/>
          <c:showBubbleSize val="0"/>
        </c:dLbls>
        <c:gapWidth val="75"/>
        <c:axId val="1578264528"/>
        <c:axId val="1578266160"/>
      </c:barChart>
      <c:lineChart>
        <c:grouping val="standard"/>
        <c:varyColors val="0"/>
        <c:ser>
          <c:idx val="2"/>
          <c:order val="2"/>
          <c:tx>
            <c:strRef>
              <c:f>'Presupuesto Adm.'!$D$8</c:f>
              <c:strCache>
                <c:ptCount val="1"/>
                <c:pt idx="0">
                  <c:v>Relativo</c:v>
                </c:pt>
              </c:strCache>
            </c:strRef>
          </c:tx>
          <c:spPr>
            <a:ln>
              <a:solidFill>
                <a:schemeClr val="tx2">
                  <a:lumMod val="60000"/>
                  <a:lumOff val="40000"/>
                </a:schemeClr>
              </a:solidFill>
            </a:ln>
          </c:spPr>
          <c:marker>
            <c:spPr>
              <a:solidFill>
                <a:schemeClr val="tx2">
                  <a:lumMod val="60000"/>
                  <a:lumOff val="40000"/>
                </a:schemeClr>
              </a:solidFill>
              <a:ln>
                <a:solidFill>
                  <a:schemeClr val="accent5">
                    <a:lumMod val="75000"/>
                  </a:schemeClr>
                </a:solidFill>
              </a:ln>
            </c:spPr>
          </c:marker>
          <c:dLbls>
            <c:spPr>
              <a:noFill/>
              <a:ln>
                <a:noFill/>
              </a:ln>
              <a:effectLst/>
            </c:spPr>
            <c:txPr>
              <a:bodyPr wrap="square" lIns="38100" tIns="19050" rIns="38100" bIns="19050" anchor="ctr">
                <a:spAutoFit/>
              </a:bodyPr>
              <a:lstStyle/>
              <a:p>
                <a:pPr>
                  <a:defRPr sz="1050" b="1"/>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'Presupuesto Adm.'!$A$9:$A$12</c:f>
              <c:strCache>
                <c:ptCount val="3"/>
                <c:pt idx="0">
                  <c:v>Septiembre</c:v>
                </c:pt>
                <c:pt idx="1">
                  <c:v>Agosto</c:v>
                </c:pt>
                <c:pt idx="2">
                  <c:v>Julio </c:v>
                </c:pt>
              </c:strCache>
            </c:strRef>
          </c:cat>
          <c:val>
            <c:numRef>
              <c:f>'Presupuesto Adm.'!$D$9:$D$12</c:f>
              <c:numCache>
                <c:formatCode>0.00%</c:formatCode>
                <c:ptCount val="3"/>
                <c:pt idx="0">
                  <c:v>1.031651657328714</c:v>
                </c:pt>
                <c:pt idx="1">
                  <c:v>1.0070977269314365</c:v>
                </c:pt>
                <c:pt idx="2">
                  <c:v>0.97563605419209687</c:v>
                </c:pt>
              </c:numCache>
            </c:numRef>
          </c:val>
          <c:smooth val="0"/>
          <c:extLst>
            <c:ext xmlns:c16="http://schemas.microsoft.com/office/drawing/2014/chart" uri="{C3380CC4-5D6E-409C-BE32-E72D297353CC}">
              <c16:uniqueId val="{00000009-B26F-49E2-B71B-8A084CE8A512}"/>
            </c:ext>
          </c:extLst>
        </c:ser>
        <c:dLbls>
          <c:showLegendKey val="0"/>
          <c:showVal val="1"/>
          <c:showCatName val="0"/>
          <c:showSerName val="0"/>
          <c:showPercent val="0"/>
          <c:showBubbleSize val="0"/>
        </c:dLbls>
        <c:marker val="1"/>
        <c:smooth val="0"/>
        <c:axId val="1578270512"/>
        <c:axId val="1578269424"/>
      </c:lineChart>
      <c:catAx>
        <c:axId val="1578264528"/>
        <c:scaling>
          <c:orientation val="minMax"/>
        </c:scaling>
        <c:delete val="0"/>
        <c:axPos val="b"/>
        <c:numFmt formatCode="General" sourceLinked="0"/>
        <c:majorTickMark val="none"/>
        <c:minorTickMark val="none"/>
        <c:tickLblPos val="nextTo"/>
        <c:crossAx val="1578266160"/>
        <c:crosses val="autoZero"/>
        <c:auto val="1"/>
        <c:lblAlgn val="ctr"/>
        <c:lblOffset val="100"/>
        <c:noMultiLvlLbl val="0"/>
      </c:catAx>
      <c:valAx>
        <c:axId val="1578266160"/>
        <c:scaling>
          <c:orientation val="minMax"/>
          <c:max val="41000000"/>
        </c:scaling>
        <c:delete val="0"/>
        <c:axPos val="l"/>
        <c:numFmt formatCode="#,##0.00" sourceLinked="1"/>
        <c:majorTickMark val="none"/>
        <c:minorTickMark val="none"/>
        <c:tickLblPos val="nextTo"/>
        <c:crossAx val="1578264528"/>
        <c:crosses val="autoZero"/>
        <c:crossBetween val="between"/>
      </c:valAx>
      <c:valAx>
        <c:axId val="1578269424"/>
        <c:scaling>
          <c:orientation val="minMax"/>
          <c:max val="1.032"/>
        </c:scaling>
        <c:delete val="0"/>
        <c:axPos val="r"/>
        <c:numFmt formatCode="0.00%" sourceLinked="1"/>
        <c:majorTickMark val="out"/>
        <c:minorTickMark val="none"/>
        <c:tickLblPos val="nextTo"/>
        <c:crossAx val="1578270512"/>
        <c:crosses val="max"/>
        <c:crossBetween val="between"/>
      </c:valAx>
      <c:catAx>
        <c:axId val="1578270512"/>
        <c:scaling>
          <c:orientation val="minMax"/>
        </c:scaling>
        <c:delete val="1"/>
        <c:axPos val="b"/>
        <c:numFmt formatCode="General" sourceLinked="1"/>
        <c:majorTickMark val="out"/>
        <c:minorTickMark val="none"/>
        <c:tickLblPos val="nextTo"/>
        <c:crossAx val="1578269424"/>
        <c:crosses val="autoZero"/>
        <c:auto val="1"/>
        <c:lblAlgn val="ctr"/>
        <c:lblOffset val="100"/>
        <c:noMultiLvlLbl val="0"/>
      </c:catAx>
    </c:plotArea>
    <c:legend>
      <c:legendPos val="b"/>
      <c:overlay val="0"/>
      <c:txPr>
        <a:bodyPr/>
        <a:lstStyle/>
        <a:p>
          <a:pPr>
            <a:defRPr sz="800"/>
          </a:pPr>
          <a:endParaRPr lang="es-ES"/>
        </a:p>
      </c:txPr>
    </c:legend>
    <c:plotVisOnly val="1"/>
    <c:dispBlanksAs val="gap"/>
    <c:showDLblsOverMax val="0"/>
  </c:chart>
  <c:spPr>
    <a:ln>
      <a:noFill/>
    </a:ln>
  </c:sp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sz="800">
                <a:solidFill>
                  <a:schemeClr val="accent1">
                    <a:lumMod val="75000"/>
                  </a:schemeClr>
                </a:solidFill>
              </a:rPr>
              <a:t>Distribución de</a:t>
            </a:r>
            <a:r>
              <a:rPr lang="es-ES" sz="800" baseline="0">
                <a:solidFill>
                  <a:schemeClr val="accent1">
                    <a:lumMod val="75000"/>
                  </a:schemeClr>
                </a:solidFill>
              </a:rPr>
              <a:t> Aportes</a:t>
            </a:r>
            <a:endParaRPr lang="es-ES" sz="800">
              <a:solidFill>
                <a:schemeClr val="accent1">
                  <a:lumMod val="75000"/>
                </a:schemeClr>
              </a:solidFill>
            </a:endParaRPr>
          </a:p>
        </c:rich>
      </c:tx>
      <c:layout>
        <c:manualLayout>
          <c:xMode val="edge"/>
          <c:yMode val="edge"/>
          <c:x val="0.36509152799625716"/>
          <c:y val="1.4417744497132913E-2"/>
        </c:manualLayout>
      </c:layout>
      <c:overlay val="0"/>
    </c:title>
    <c:autoTitleDeleted val="0"/>
    <c:plotArea>
      <c:layout/>
      <c:barChart>
        <c:barDir val="col"/>
        <c:grouping val="clustered"/>
        <c:varyColors val="0"/>
        <c:ser>
          <c:idx val="0"/>
          <c:order val="0"/>
          <c:spPr>
            <a:solidFill>
              <a:schemeClr val="bg1">
                <a:lumMod val="75000"/>
              </a:schemeClr>
            </a:solidFill>
            <a:ln>
              <a:solidFill>
                <a:schemeClr val="bg1">
                  <a:lumMod val="75000"/>
                </a:schemeClr>
              </a:solidFill>
            </a:ln>
          </c:spPr>
          <c:invertIfNegative val="0"/>
          <c:dPt>
            <c:idx val="1"/>
            <c:invertIfNegative val="0"/>
            <c:bubble3D val="0"/>
            <c:spPr>
              <a:solidFill>
                <a:schemeClr val="accent3">
                  <a:lumMod val="60000"/>
                  <a:lumOff val="40000"/>
                </a:schemeClr>
              </a:solidFill>
              <a:ln>
                <a:solidFill>
                  <a:schemeClr val="accent3">
                    <a:lumMod val="60000"/>
                    <a:lumOff val="40000"/>
                  </a:schemeClr>
                </a:solidFill>
              </a:ln>
            </c:spPr>
            <c:extLst>
              <c:ext xmlns:c16="http://schemas.microsoft.com/office/drawing/2014/chart" uri="{C3380CC4-5D6E-409C-BE32-E72D297353CC}">
                <c16:uniqueId val="{00000001-96C4-4E72-86CD-26E8823546DB}"/>
              </c:ext>
            </c:extLst>
          </c:dPt>
          <c:dPt>
            <c:idx val="2"/>
            <c:invertIfNegative val="0"/>
            <c:bubble3D val="0"/>
            <c:spPr>
              <a:solidFill>
                <a:schemeClr val="accent1">
                  <a:lumMod val="60000"/>
                  <a:lumOff val="40000"/>
                </a:schemeClr>
              </a:solidFill>
              <a:ln>
                <a:solidFill>
                  <a:schemeClr val="accent1">
                    <a:lumMod val="60000"/>
                    <a:lumOff val="40000"/>
                  </a:schemeClr>
                </a:solidFill>
              </a:ln>
            </c:spPr>
            <c:extLst>
              <c:ext xmlns:c16="http://schemas.microsoft.com/office/drawing/2014/chart" uri="{C3380CC4-5D6E-409C-BE32-E72D297353CC}">
                <c16:uniqueId val="{00000003-96C4-4E72-86CD-26E8823546DB}"/>
              </c:ext>
            </c:extLst>
          </c:dPt>
          <c:dLbls>
            <c:dLbl>
              <c:idx val="0"/>
              <c:layout>
                <c:manualLayout>
                  <c:x val="-2.7579408140791677E-3"/>
                  <c:y val="0.1833221343216461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6C4-4E72-86CD-26E8823546DB}"/>
                </c:ext>
              </c:extLst>
            </c:dLbl>
            <c:dLbl>
              <c:idx val="1"/>
              <c:layout>
                <c:manualLayout>
                  <c:x val="3.645867423629125E-3"/>
                  <c:y val="0.21666027448900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6C4-4E72-86CD-26E8823546DB}"/>
                </c:ext>
              </c:extLst>
            </c:dLbl>
            <c:dLbl>
              <c:idx val="2"/>
              <c:layout>
                <c:manualLayout>
                  <c:x val="6.423616493789394E-3"/>
                  <c:y val="0.2092498673823572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6C4-4E72-86CD-26E8823546DB}"/>
                </c:ext>
              </c:extLst>
            </c:dLbl>
            <c:spPr>
              <a:noFill/>
              <a:ln>
                <a:noFill/>
              </a:ln>
              <a:effectLst/>
            </c:spPr>
            <c:txPr>
              <a:bodyPr rot="-5400000" vert="horz"/>
              <a:lstStyle/>
              <a:p>
                <a:pPr>
                  <a:defRPr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Aportes!$A$8:$A$10</c:f>
              <c:strCache>
                <c:ptCount val="3"/>
                <c:pt idx="0">
                  <c:v>Septiembre</c:v>
                </c:pt>
                <c:pt idx="1">
                  <c:v>Agosto</c:v>
                </c:pt>
                <c:pt idx="2">
                  <c:v>Julio</c:v>
                </c:pt>
              </c:strCache>
            </c:strRef>
          </c:cat>
          <c:val>
            <c:numRef>
              <c:f>Aportes!$B$8:$B$10</c:f>
              <c:numCache>
                <c:formatCode>#,##0</c:formatCode>
                <c:ptCount val="3"/>
                <c:pt idx="0">
                  <c:v>25580</c:v>
                </c:pt>
                <c:pt idx="1">
                  <c:v>27554</c:v>
                </c:pt>
                <c:pt idx="2">
                  <c:v>28090</c:v>
                </c:pt>
              </c:numCache>
            </c:numRef>
          </c:val>
          <c:extLst>
            <c:ext xmlns:c16="http://schemas.microsoft.com/office/drawing/2014/chart" uri="{C3380CC4-5D6E-409C-BE32-E72D297353CC}">
              <c16:uniqueId val="{00000005-96C4-4E72-86CD-26E8823546DB}"/>
            </c:ext>
          </c:extLst>
        </c:ser>
        <c:dLbls>
          <c:showLegendKey val="0"/>
          <c:showVal val="1"/>
          <c:showCatName val="0"/>
          <c:showSerName val="0"/>
          <c:showPercent val="0"/>
          <c:showBubbleSize val="0"/>
        </c:dLbls>
        <c:gapWidth val="75"/>
        <c:axId val="1667765120"/>
        <c:axId val="1667765664"/>
      </c:barChart>
      <c:catAx>
        <c:axId val="1667765120"/>
        <c:scaling>
          <c:orientation val="minMax"/>
        </c:scaling>
        <c:delete val="0"/>
        <c:axPos val="b"/>
        <c:numFmt formatCode="General" sourceLinked="0"/>
        <c:majorTickMark val="none"/>
        <c:minorTickMark val="none"/>
        <c:tickLblPos val="nextTo"/>
        <c:crossAx val="1667765664"/>
        <c:crosses val="autoZero"/>
        <c:auto val="1"/>
        <c:lblAlgn val="ctr"/>
        <c:lblOffset val="100"/>
        <c:noMultiLvlLbl val="0"/>
      </c:catAx>
      <c:valAx>
        <c:axId val="1667765664"/>
        <c:scaling>
          <c:orientation val="minMax"/>
        </c:scaling>
        <c:delete val="0"/>
        <c:axPos val="l"/>
        <c:numFmt formatCode="#,##0" sourceLinked="1"/>
        <c:majorTickMark val="none"/>
        <c:minorTickMark val="none"/>
        <c:tickLblPos val="nextTo"/>
        <c:crossAx val="1667765120"/>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s-ES" sz="1000">
                <a:solidFill>
                  <a:schemeClr val="accent1">
                    <a:lumMod val="75000"/>
                  </a:schemeClr>
                </a:solidFill>
              </a:rPr>
              <a:t>Cantidad de Traspasos</a:t>
            </a:r>
          </a:p>
        </c:rich>
      </c:tx>
      <c:layout>
        <c:manualLayout>
          <c:xMode val="edge"/>
          <c:yMode val="edge"/>
          <c:x val="0.31884374193575465"/>
          <c:y val="0"/>
        </c:manualLayout>
      </c:layout>
      <c:overlay val="0"/>
    </c:title>
    <c:autoTitleDeleted val="0"/>
    <c:plotArea>
      <c:layout>
        <c:manualLayout>
          <c:layoutTarget val="inner"/>
          <c:xMode val="edge"/>
          <c:yMode val="edge"/>
          <c:x val="0.12016285132106767"/>
          <c:y val="0.18401209406649208"/>
          <c:w val="0.83717921431840892"/>
          <c:h val="0.61610024514896233"/>
        </c:manualLayout>
      </c:layout>
      <c:barChart>
        <c:barDir val="col"/>
        <c:grouping val="clustered"/>
        <c:varyColors val="0"/>
        <c:ser>
          <c:idx val="1"/>
          <c:order val="1"/>
          <c:tx>
            <c:strRef>
              <c:f>Traspaso!$C$7</c:f>
              <c:strCache>
                <c:ptCount val="1"/>
                <c:pt idx="0">
                  <c:v>Cedidos (Reparto a SCI)</c:v>
                </c:pt>
              </c:strCache>
            </c:strRef>
          </c:tx>
          <c:spPr>
            <a:solidFill>
              <a:schemeClr val="accent3">
                <a:lumMod val="60000"/>
                <a:lumOff val="40000"/>
              </a:schemeClr>
            </a:solidFill>
            <a:ln>
              <a:solidFill>
                <a:schemeClr val="accent3">
                  <a:lumMod val="60000"/>
                  <a:lumOff val="40000"/>
                </a:schemeClr>
              </a:solidFill>
            </a:ln>
          </c:spPr>
          <c:invertIfNegative val="0"/>
          <c:dLbls>
            <c:dLbl>
              <c:idx val="0"/>
              <c:layout>
                <c:manualLayout>
                  <c:x val="-7.6214893089648237E-3"/>
                  <c:y val="4.01893646915862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A7-4275-A789-0D686E766E43}"/>
                </c:ext>
              </c:extLst>
            </c:dLbl>
            <c:dLbl>
              <c:idx val="1"/>
              <c:layout>
                <c:manualLayout>
                  <c:x val="-7.4260741912076985E-3"/>
                  <c:y val="4.47553670206706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B1B-4846-AF71-C6243F490D5B}"/>
                </c:ext>
              </c:extLst>
            </c:dLbl>
            <c:dLbl>
              <c:idx val="2"/>
              <c:layout>
                <c:manualLayout>
                  <c:x val="3.2968808210551998E-6"/>
                  <c:y val="5.02367058644826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3A7-4275-A789-0D686E766E43}"/>
                </c:ext>
              </c:extLst>
            </c:dLbl>
            <c:spPr>
              <a:noFill/>
              <a:ln>
                <a:noFill/>
              </a:ln>
              <a:effectLst/>
            </c:spPr>
            <c:txPr>
              <a:bodyPr rot="0" vert="horz"/>
              <a:lstStyle/>
              <a:p>
                <a:pPr>
                  <a:defRPr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Traspaso!$A$8:$A$10</c:f>
              <c:strCache>
                <c:ptCount val="3"/>
                <c:pt idx="0">
                  <c:v>Septiembre</c:v>
                </c:pt>
                <c:pt idx="1">
                  <c:v>Agosto</c:v>
                </c:pt>
                <c:pt idx="2">
                  <c:v>Julio</c:v>
                </c:pt>
              </c:strCache>
            </c:strRef>
          </c:cat>
          <c:val>
            <c:numRef>
              <c:f>Traspaso!$C$8:$C$10</c:f>
              <c:numCache>
                <c:formatCode>General</c:formatCode>
                <c:ptCount val="3"/>
                <c:pt idx="0">
                  <c:v>2</c:v>
                </c:pt>
                <c:pt idx="1">
                  <c:v>2</c:v>
                </c:pt>
                <c:pt idx="2">
                  <c:v>4</c:v>
                </c:pt>
              </c:numCache>
            </c:numRef>
          </c:val>
          <c:extLst>
            <c:ext xmlns:c16="http://schemas.microsoft.com/office/drawing/2014/chart" uri="{C3380CC4-5D6E-409C-BE32-E72D297353CC}">
              <c16:uniqueId val="{00000004-FB1B-4846-AF71-C6243F490D5B}"/>
            </c:ext>
          </c:extLst>
        </c:ser>
        <c:dLbls>
          <c:showLegendKey val="0"/>
          <c:showVal val="0"/>
          <c:showCatName val="0"/>
          <c:showSerName val="0"/>
          <c:showPercent val="0"/>
          <c:showBubbleSize val="0"/>
        </c:dLbls>
        <c:gapWidth val="75"/>
        <c:axId val="1665019632"/>
        <c:axId val="1665020176"/>
      </c:barChart>
      <c:lineChart>
        <c:grouping val="standard"/>
        <c:varyColors val="0"/>
        <c:ser>
          <c:idx val="0"/>
          <c:order val="0"/>
          <c:tx>
            <c:strRef>
              <c:f>Traspaso!$B$7</c:f>
              <c:strCache>
                <c:ptCount val="1"/>
                <c:pt idx="0">
                  <c:v>Recibidos (SCI a Reparto)</c:v>
                </c:pt>
              </c:strCache>
            </c:strRef>
          </c:tx>
          <c:spPr>
            <a:ln>
              <a:solidFill>
                <a:schemeClr val="bg1">
                  <a:lumMod val="75000"/>
                </a:schemeClr>
              </a:solidFill>
            </a:ln>
          </c:spPr>
          <c:dLbls>
            <c:dLbl>
              <c:idx val="0"/>
              <c:layout>
                <c:manualLayout>
                  <c:x val="-6.4523254548871312E-2"/>
                  <c:y val="-7.08851786686244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B1B-4846-AF71-C6243F490D5B}"/>
                </c:ext>
              </c:extLst>
            </c:dLbl>
            <c:dLbl>
              <c:idx val="1"/>
              <c:layout>
                <c:manualLayout>
                  <c:x val="-4.9395666759678665E-2"/>
                  <c:y val="7.53550587967240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A7-4275-A789-0D686E766E43}"/>
                </c:ext>
              </c:extLst>
            </c:dLbl>
            <c:dLbl>
              <c:idx val="2"/>
              <c:layout>
                <c:manualLayout>
                  <c:x val="-5.8019707554682658E-2"/>
                  <c:y val="5.08909697345602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B1B-4846-AF71-C6243F490D5B}"/>
                </c:ext>
              </c:extLst>
            </c:dLbl>
            <c:spPr>
              <a:noFill/>
              <a:ln>
                <a:noFill/>
              </a:ln>
              <a:effectLst/>
            </c:spPr>
            <c:txPr>
              <a:bodyPr rot="0" vert="horz"/>
              <a:lstStyle/>
              <a:p>
                <a:pPr>
                  <a:defRPr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Traspaso!$A$8:$A$10</c:f>
              <c:strCache>
                <c:ptCount val="3"/>
                <c:pt idx="0">
                  <c:v>Septiembre</c:v>
                </c:pt>
                <c:pt idx="1">
                  <c:v>Agosto</c:v>
                </c:pt>
                <c:pt idx="2">
                  <c:v>Julio</c:v>
                </c:pt>
              </c:strCache>
            </c:strRef>
          </c:cat>
          <c:val>
            <c:numRef>
              <c:f>Traspaso!$B$8:$B$10</c:f>
              <c:numCache>
                <c:formatCode>General</c:formatCode>
                <c:ptCount val="3"/>
                <c:pt idx="0" formatCode="_(* #,##0.00_);_(* \(#,##0.00\);_(* &quot;-&quot;??_);_(@_)">
                  <c:v>0</c:v>
                </c:pt>
                <c:pt idx="1">
                  <c:v>201</c:v>
                </c:pt>
                <c:pt idx="2">
                  <c:v>178</c:v>
                </c:pt>
              </c:numCache>
            </c:numRef>
          </c:val>
          <c:smooth val="0"/>
          <c:extLst>
            <c:ext xmlns:c16="http://schemas.microsoft.com/office/drawing/2014/chart" uri="{C3380CC4-5D6E-409C-BE32-E72D297353CC}">
              <c16:uniqueId val="{00000002-FB1B-4846-AF71-C6243F490D5B}"/>
            </c:ext>
          </c:extLst>
        </c:ser>
        <c:dLbls>
          <c:showLegendKey val="0"/>
          <c:showVal val="1"/>
          <c:showCatName val="0"/>
          <c:showSerName val="0"/>
          <c:showPercent val="0"/>
          <c:showBubbleSize val="0"/>
        </c:dLbls>
        <c:marker val="1"/>
        <c:smooth val="0"/>
        <c:axId val="1862418912"/>
        <c:axId val="1862406848"/>
      </c:lineChart>
      <c:catAx>
        <c:axId val="1665019632"/>
        <c:scaling>
          <c:orientation val="minMax"/>
        </c:scaling>
        <c:delete val="0"/>
        <c:axPos val="b"/>
        <c:numFmt formatCode="General" sourceLinked="0"/>
        <c:majorTickMark val="none"/>
        <c:minorTickMark val="none"/>
        <c:tickLblPos val="nextTo"/>
        <c:crossAx val="1665020176"/>
        <c:crosses val="autoZero"/>
        <c:auto val="1"/>
        <c:lblAlgn val="ctr"/>
        <c:lblOffset val="100"/>
        <c:noMultiLvlLbl val="0"/>
      </c:catAx>
      <c:valAx>
        <c:axId val="1665020176"/>
        <c:scaling>
          <c:orientation val="minMax"/>
        </c:scaling>
        <c:delete val="0"/>
        <c:axPos val="l"/>
        <c:numFmt formatCode="General" sourceLinked="1"/>
        <c:majorTickMark val="none"/>
        <c:minorTickMark val="none"/>
        <c:tickLblPos val="nextTo"/>
        <c:crossAx val="1665019632"/>
        <c:crosses val="autoZero"/>
        <c:crossBetween val="between"/>
      </c:valAx>
      <c:valAx>
        <c:axId val="1862406848"/>
        <c:scaling>
          <c:orientation val="minMax"/>
          <c:max val="250"/>
        </c:scaling>
        <c:delete val="0"/>
        <c:axPos val="r"/>
        <c:numFmt formatCode="_(* #,##0.00_);_(* \(#,##0.00\);_(* &quot;-&quot;??_);_(@_)" sourceLinked="1"/>
        <c:majorTickMark val="out"/>
        <c:minorTickMark val="none"/>
        <c:tickLblPos val="nextTo"/>
        <c:crossAx val="1862418912"/>
        <c:crosses val="max"/>
        <c:crossBetween val="between"/>
      </c:valAx>
      <c:catAx>
        <c:axId val="1862418912"/>
        <c:scaling>
          <c:orientation val="minMax"/>
        </c:scaling>
        <c:delete val="1"/>
        <c:axPos val="b"/>
        <c:numFmt formatCode="General" sourceLinked="1"/>
        <c:majorTickMark val="out"/>
        <c:minorTickMark val="none"/>
        <c:tickLblPos val="nextTo"/>
        <c:crossAx val="1862406848"/>
        <c:crosses val="autoZero"/>
        <c:auto val="1"/>
        <c:lblAlgn val="ctr"/>
        <c:lblOffset val="100"/>
        <c:noMultiLvlLbl val="0"/>
      </c:catAx>
    </c:plotArea>
    <c:legend>
      <c:legendPos val="b"/>
      <c:layout>
        <c:manualLayout>
          <c:xMode val="edge"/>
          <c:yMode val="edge"/>
          <c:x val="6.4975526654232419E-3"/>
          <c:y val="0.89408638814698549"/>
          <c:w val="0.97827692204584993"/>
          <c:h val="8.4775034493234272E-2"/>
        </c:manualLayout>
      </c:layout>
      <c:overlay val="0"/>
      <c:txPr>
        <a:bodyPr/>
        <a:lstStyle/>
        <a:p>
          <a:pPr>
            <a:defRPr sz="900"/>
          </a:pPr>
          <a:endParaRPr lang="es-ES"/>
        </a:p>
      </c:txPr>
    </c:legend>
    <c:plotVisOnly val="1"/>
    <c:dispBlanksAs val="gap"/>
    <c:showDLblsOverMax val="0"/>
  </c:chart>
  <c:spPr>
    <a:ln>
      <a:noFill/>
    </a:ln>
  </c:sp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lang="es-DO" sz="1100" b="1" i="0" u="none" strike="noStrike" kern="1200" spc="0" baseline="0">
                <a:solidFill>
                  <a:schemeClr val="accent1">
                    <a:lumMod val="75000"/>
                  </a:schemeClr>
                </a:solidFill>
                <a:latin typeface="+mn-lt"/>
                <a:ea typeface="+mn-ea"/>
                <a:cs typeface="+mn-cs"/>
              </a:defRPr>
            </a:pPr>
            <a:r>
              <a:rPr lang="es-DO" sz="1100" b="1" i="0" u="none" strike="noStrike" kern="1200" baseline="0">
                <a:solidFill>
                  <a:schemeClr val="accent1">
                    <a:lumMod val="75000"/>
                  </a:schemeClr>
                </a:solidFill>
                <a:latin typeface="+mn-lt"/>
                <a:ea typeface="+mn-ea"/>
                <a:cs typeface="+mn-cs"/>
              </a:rPr>
              <a:t>Monto Traspasado</a:t>
            </a:r>
          </a:p>
        </c:rich>
      </c:tx>
      <c:layout>
        <c:manualLayout>
          <c:xMode val="edge"/>
          <c:yMode val="edge"/>
          <c:x val="0.40124417233232712"/>
          <c:y val="5.0031259688632229E-3"/>
        </c:manualLayout>
      </c:layout>
      <c:overlay val="0"/>
      <c:spPr>
        <a:noFill/>
        <a:ln>
          <a:noFill/>
        </a:ln>
        <a:effectLst/>
      </c:spPr>
      <c:txPr>
        <a:bodyPr rot="0" spcFirstLastPara="1" vertOverflow="ellipsis" vert="horz" wrap="square" anchor="ctr" anchorCtr="1"/>
        <a:lstStyle/>
        <a:p>
          <a:pPr>
            <a:defRPr lang="es-DO" sz="1100" b="1" i="0" u="none" strike="noStrike" kern="1200" spc="0" baseline="0">
              <a:solidFill>
                <a:schemeClr val="accent1">
                  <a:lumMod val="75000"/>
                </a:schemeClr>
              </a:solidFill>
              <a:latin typeface="+mn-lt"/>
              <a:ea typeface="+mn-ea"/>
              <a:cs typeface="+mn-cs"/>
            </a:defRPr>
          </a:pPr>
          <a:endParaRPr lang="es-ES"/>
        </a:p>
      </c:txPr>
    </c:title>
    <c:autoTitleDeleted val="0"/>
    <c:plotArea>
      <c:layout/>
      <c:barChart>
        <c:barDir val="col"/>
        <c:grouping val="clustered"/>
        <c:varyColors val="0"/>
        <c:ser>
          <c:idx val="0"/>
          <c:order val="0"/>
          <c:tx>
            <c:strRef>
              <c:f>Traspaso!$A$8</c:f>
              <c:strCache>
                <c:ptCount val="1"/>
                <c:pt idx="0">
                  <c:v>Septiembre</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Traspaso!$D$7</c:f>
              <c:strCache>
                <c:ptCount val="1"/>
                <c:pt idx="0">
                  <c:v>Monto Traspasado (RD$)</c:v>
                </c:pt>
              </c:strCache>
            </c:strRef>
          </c:cat>
          <c:val>
            <c:numRef>
              <c:f>Traspaso!$D$8</c:f>
              <c:numCache>
                <c:formatCode>_(* #,##0.00_);_(* \(#,##0.00\);_(* "-"??_);_(@_)</c:formatCode>
                <c:ptCount val="1"/>
                <c:pt idx="0">
                  <c:v>2281982.38</c:v>
                </c:pt>
              </c:numCache>
            </c:numRef>
          </c:val>
          <c:extLst>
            <c:ext xmlns:c16="http://schemas.microsoft.com/office/drawing/2014/chart" uri="{C3380CC4-5D6E-409C-BE32-E72D297353CC}">
              <c16:uniqueId val="{00000000-3626-45AA-AADE-47CA6C4D53AA}"/>
            </c:ext>
          </c:extLst>
        </c:ser>
        <c:ser>
          <c:idx val="1"/>
          <c:order val="1"/>
          <c:tx>
            <c:strRef>
              <c:f>Traspaso!$A$9</c:f>
              <c:strCache>
                <c:ptCount val="1"/>
                <c:pt idx="0">
                  <c:v>Agosto</c:v>
                </c:pt>
              </c:strCache>
            </c:strRef>
          </c:tx>
          <c:spPr>
            <a:solidFill>
              <a:schemeClr val="accent3">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Traspaso!$D$7</c:f>
              <c:strCache>
                <c:ptCount val="1"/>
                <c:pt idx="0">
                  <c:v>Monto Traspasado (RD$)</c:v>
                </c:pt>
              </c:strCache>
            </c:strRef>
          </c:cat>
          <c:val>
            <c:numRef>
              <c:f>Traspaso!$D$9</c:f>
              <c:numCache>
                <c:formatCode>_(* #,##0.00_);_(* \(#,##0.00\);_(* "-"??_);_(@_)</c:formatCode>
                <c:ptCount val="1"/>
                <c:pt idx="0">
                  <c:v>441071188.18000001</c:v>
                </c:pt>
              </c:numCache>
            </c:numRef>
          </c:val>
          <c:extLst>
            <c:ext xmlns:c16="http://schemas.microsoft.com/office/drawing/2014/chart" uri="{C3380CC4-5D6E-409C-BE32-E72D297353CC}">
              <c16:uniqueId val="{00000001-3626-45AA-AADE-47CA6C4D53AA}"/>
            </c:ext>
          </c:extLst>
        </c:ser>
        <c:ser>
          <c:idx val="2"/>
          <c:order val="2"/>
          <c:tx>
            <c:strRef>
              <c:f>Traspaso!$A$10</c:f>
              <c:strCache>
                <c:ptCount val="1"/>
                <c:pt idx="0">
                  <c:v>Julio</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Traspaso!$D$7</c:f>
              <c:strCache>
                <c:ptCount val="1"/>
                <c:pt idx="0">
                  <c:v>Monto Traspasado (RD$)</c:v>
                </c:pt>
              </c:strCache>
            </c:strRef>
          </c:cat>
          <c:val>
            <c:numRef>
              <c:f>Traspaso!$D$10</c:f>
              <c:numCache>
                <c:formatCode>_(* #,##0.00_);_(* \(#,##0.00\);_(* "-"??_);_(@_)</c:formatCode>
                <c:ptCount val="1"/>
                <c:pt idx="0">
                  <c:v>311824755.19999999</c:v>
                </c:pt>
              </c:numCache>
            </c:numRef>
          </c:val>
          <c:extLst>
            <c:ext xmlns:c16="http://schemas.microsoft.com/office/drawing/2014/chart" uri="{C3380CC4-5D6E-409C-BE32-E72D297353CC}">
              <c16:uniqueId val="{00000002-3626-45AA-AADE-47CA6C4D53AA}"/>
            </c:ext>
          </c:extLst>
        </c:ser>
        <c:dLbls>
          <c:dLblPos val="outEnd"/>
          <c:showLegendKey val="0"/>
          <c:showVal val="1"/>
          <c:showCatName val="0"/>
          <c:showSerName val="0"/>
          <c:showPercent val="0"/>
          <c:showBubbleSize val="0"/>
        </c:dLbls>
        <c:gapWidth val="219"/>
        <c:overlap val="-27"/>
        <c:axId val="204719503"/>
        <c:axId val="204723247"/>
      </c:barChart>
      <c:catAx>
        <c:axId val="2047195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crossAx val="204723247"/>
        <c:crosses val="autoZero"/>
        <c:auto val="1"/>
        <c:lblAlgn val="ctr"/>
        <c:lblOffset val="100"/>
        <c:noMultiLvlLbl val="0"/>
      </c:catAx>
      <c:valAx>
        <c:axId val="204723247"/>
        <c:scaling>
          <c:orientation val="minMax"/>
        </c:scaling>
        <c:delete val="0"/>
        <c:axPos val="l"/>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ES"/>
          </a:p>
        </c:txPr>
        <c:crossAx val="204719503"/>
        <c:crosses val="autoZero"/>
        <c:crossBetween val="between"/>
      </c:valAx>
      <c:spPr>
        <a:noFill/>
        <a:ln>
          <a:noFill/>
        </a:ln>
        <a:effectLst/>
      </c:spPr>
    </c:plotArea>
    <c:legend>
      <c:legendPos val="b"/>
      <c:layout>
        <c:manualLayout>
          <c:xMode val="edge"/>
          <c:yMode val="edge"/>
          <c:x val="0.24552822872449589"/>
          <c:y val="0.88555290254186381"/>
          <c:w val="0.60496527440242809"/>
          <c:h val="8.4428341644956911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v>Programación</c:v>
          </c:tx>
          <c:spPr>
            <a:solidFill>
              <a:schemeClr val="accent3">
                <a:lumMod val="60000"/>
                <a:lumOff val="40000"/>
              </a:schemeClr>
            </a:solidFill>
          </c:spPr>
          <c:invertIfNegative val="0"/>
          <c:dLbls>
            <c:dLbl>
              <c:idx val="0"/>
              <c:layout>
                <c:manualLayout>
                  <c:x val="-7.3450187226680689E-4"/>
                  <c:y val="0.5587900518052099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33F-423A-B891-A5BAF6E179D7}"/>
                </c:ext>
              </c:extLst>
            </c:dLbl>
            <c:spPr>
              <a:noFill/>
              <a:ln>
                <a:noFill/>
              </a:ln>
              <a:effectLst/>
            </c:spPr>
            <c:txPr>
              <a:bodyPr rot="-5400000" vert="horz" anchor="ctr" anchorCtr="0"/>
              <a:lstStyle/>
              <a:p>
                <a:pPr>
                  <a:defRPr/>
                </a:pPr>
                <a:endParaRPr lang="es-E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'Presupuesto de Pensiones'!$A$10:$A$13</c:f>
              <c:strCache>
                <c:ptCount val="3"/>
                <c:pt idx="0">
                  <c:v>Septiembre</c:v>
                </c:pt>
                <c:pt idx="1">
                  <c:v>Agosto</c:v>
                </c:pt>
                <c:pt idx="2">
                  <c:v>Julio </c:v>
                </c:pt>
              </c:strCache>
            </c:strRef>
          </c:cat>
          <c:val>
            <c:numRef>
              <c:f>'Presupuesto de Pensiones'!$D$10:$D$13</c:f>
              <c:numCache>
                <c:formatCode>#,##0.00</c:formatCode>
                <c:ptCount val="3"/>
                <c:pt idx="0">
                  <c:v>3965833390.1900015</c:v>
                </c:pt>
                <c:pt idx="1">
                  <c:v>3738701882.6400018</c:v>
                </c:pt>
                <c:pt idx="2">
                  <c:v>3713491535.8900018</c:v>
                </c:pt>
              </c:numCache>
            </c:numRef>
          </c:val>
          <c:extLst>
            <c:ext xmlns:c16="http://schemas.microsoft.com/office/drawing/2014/chart" uri="{C3380CC4-5D6E-409C-BE32-E72D297353CC}">
              <c16:uniqueId val="{00000000-1C01-44D8-A584-F0F60B69051B}"/>
            </c:ext>
          </c:extLst>
        </c:ser>
        <c:ser>
          <c:idx val="1"/>
          <c:order val="1"/>
          <c:tx>
            <c:v>Ejecutado</c:v>
          </c:tx>
          <c:spPr>
            <a:solidFill>
              <a:schemeClr val="bg1">
                <a:lumMod val="75000"/>
              </a:schemeClr>
            </a:solidFill>
          </c:spPr>
          <c:invertIfNegative val="0"/>
          <c:dLbls>
            <c:dLbl>
              <c:idx val="0"/>
              <c:layout>
                <c:manualLayout>
                  <c:x val="1.6631054675137952E-2"/>
                  <c:y val="0.4618329143272084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33F-423A-B891-A5BAF6E179D7}"/>
                </c:ext>
              </c:extLst>
            </c:dLbl>
            <c:spPr>
              <a:noFill/>
              <a:ln>
                <a:noFill/>
              </a:ln>
              <a:effectLst/>
            </c:spPr>
            <c:txPr>
              <a:bodyPr rot="-5400000" vert="horz"/>
              <a:lstStyle/>
              <a:p>
                <a:pPr>
                  <a:defRPr/>
                </a:pPr>
                <a:endParaRPr lang="es-E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'Presupuesto de Pensiones'!$A$10:$A$13</c:f>
              <c:strCache>
                <c:ptCount val="3"/>
                <c:pt idx="0">
                  <c:v>Septiembre</c:v>
                </c:pt>
                <c:pt idx="1">
                  <c:v>Agosto</c:v>
                </c:pt>
                <c:pt idx="2">
                  <c:v>Julio </c:v>
                </c:pt>
              </c:strCache>
            </c:strRef>
          </c:cat>
          <c:val>
            <c:numRef>
              <c:f>'Presupuesto de Pensiones'!$E$10:$E$13</c:f>
              <c:numCache>
                <c:formatCode>#,##0.00</c:formatCode>
                <c:ptCount val="3"/>
                <c:pt idx="0">
                  <c:v>3724018924.25</c:v>
                </c:pt>
                <c:pt idx="1">
                  <c:v>3734474144.0799999</c:v>
                </c:pt>
                <c:pt idx="2">
                  <c:v>3653540568.1900001</c:v>
                </c:pt>
              </c:numCache>
            </c:numRef>
          </c:val>
          <c:extLst>
            <c:ext xmlns:c16="http://schemas.microsoft.com/office/drawing/2014/chart" uri="{C3380CC4-5D6E-409C-BE32-E72D297353CC}">
              <c16:uniqueId val="{00000001-1C01-44D8-A584-F0F60B69051B}"/>
            </c:ext>
          </c:extLst>
        </c:ser>
        <c:dLbls>
          <c:showLegendKey val="0"/>
          <c:showVal val="1"/>
          <c:showCatName val="0"/>
          <c:showSerName val="0"/>
          <c:showPercent val="0"/>
          <c:showBubbleSize val="0"/>
        </c:dLbls>
        <c:gapWidth val="75"/>
        <c:axId val="1665021264"/>
        <c:axId val="1665032144"/>
      </c:barChart>
      <c:lineChart>
        <c:grouping val="standard"/>
        <c:varyColors val="0"/>
        <c:ser>
          <c:idx val="2"/>
          <c:order val="2"/>
          <c:tx>
            <c:v>% Ejecutado</c:v>
          </c:tx>
          <c:spPr>
            <a:ln>
              <a:solidFill>
                <a:schemeClr val="tx2">
                  <a:lumMod val="60000"/>
                  <a:lumOff val="40000"/>
                </a:schemeClr>
              </a:solidFill>
            </a:ln>
          </c:spPr>
          <c:marker>
            <c:spPr>
              <a:solidFill>
                <a:schemeClr val="tx2">
                  <a:lumMod val="60000"/>
                  <a:lumOff val="40000"/>
                </a:schemeClr>
              </a:solidFill>
              <a:ln>
                <a:solidFill>
                  <a:schemeClr val="tx2">
                    <a:lumMod val="60000"/>
                    <a:lumOff val="40000"/>
                  </a:schemeClr>
                </a:solidFill>
              </a:ln>
            </c:spPr>
          </c:marker>
          <c:dPt>
            <c:idx val="0"/>
            <c:bubble3D val="0"/>
            <c:extLst>
              <c:ext xmlns:c16="http://schemas.microsoft.com/office/drawing/2014/chart" uri="{C3380CC4-5D6E-409C-BE32-E72D297353CC}">
                <c16:uniqueId val="{00000002-633F-423A-B891-A5BAF6E179D7}"/>
              </c:ext>
            </c:extLst>
          </c:dPt>
          <c:dPt>
            <c:idx val="1"/>
            <c:bubble3D val="0"/>
            <c:extLst>
              <c:ext xmlns:c16="http://schemas.microsoft.com/office/drawing/2014/chart" uri="{C3380CC4-5D6E-409C-BE32-E72D297353CC}">
                <c16:uniqueId val="{00000002-1C01-44D8-A584-F0F60B69051B}"/>
              </c:ext>
            </c:extLst>
          </c:dPt>
          <c:dLbls>
            <c:spPr>
              <a:noFill/>
              <a:ln>
                <a:noFill/>
              </a:ln>
              <a:effectLst/>
            </c:spPr>
            <c:txPr>
              <a:bodyPr rot="-5400000" vert="horz" wrap="square" lIns="38100" tIns="19050" rIns="38100" bIns="19050" anchor="ctr">
                <a:spAutoFit/>
              </a:bodyPr>
              <a:lstStyle/>
              <a:p>
                <a:pPr>
                  <a:defRPr sz="1050" b="1"/>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'Presupuesto de Pensiones'!$A$10:$A$13</c:f>
              <c:strCache>
                <c:ptCount val="3"/>
                <c:pt idx="0">
                  <c:v>Septiembre</c:v>
                </c:pt>
                <c:pt idx="1">
                  <c:v>Agosto</c:v>
                </c:pt>
                <c:pt idx="2">
                  <c:v>Julio </c:v>
                </c:pt>
              </c:strCache>
            </c:strRef>
          </c:cat>
          <c:val>
            <c:numRef>
              <c:f>'Presupuesto de Pensiones'!$F$10:$F$13</c:f>
              <c:numCache>
                <c:formatCode>0.00%</c:formatCode>
                <c:ptCount val="3"/>
                <c:pt idx="0">
                  <c:v>0.93902556104899393</c:v>
                </c:pt>
                <c:pt idx="1">
                  <c:v>0.99886919612937508</c:v>
                </c:pt>
                <c:pt idx="2">
                  <c:v>0.98385590296339975</c:v>
                </c:pt>
              </c:numCache>
            </c:numRef>
          </c:val>
          <c:smooth val="0"/>
          <c:extLst>
            <c:ext xmlns:c16="http://schemas.microsoft.com/office/drawing/2014/chart" uri="{C3380CC4-5D6E-409C-BE32-E72D297353CC}">
              <c16:uniqueId val="{00000004-1C01-44D8-A584-F0F60B69051B}"/>
            </c:ext>
          </c:extLst>
        </c:ser>
        <c:dLbls>
          <c:showLegendKey val="0"/>
          <c:showVal val="1"/>
          <c:showCatName val="0"/>
          <c:showSerName val="0"/>
          <c:showPercent val="0"/>
          <c:showBubbleSize val="0"/>
        </c:dLbls>
        <c:marker val="1"/>
        <c:smooth val="0"/>
        <c:axId val="1665032688"/>
        <c:axId val="1665026160"/>
      </c:lineChart>
      <c:catAx>
        <c:axId val="1665021264"/>
        <c:scaling>
          <c:orientation val="minMax"/>
        </c:scaling>
        <c:delete val="0"/>
        <c:axPos val="b"/>
        <c:numFmt formatCode="General" sourceLinked="0"/>
        <c:majorTickMark val="none"/>
        <c:minorTickMark val="none"/>
        <c:tickLblPos val="nextTo"/>
        <c:crossAx val="1665032144"/>
        <c:crosses val="autoZero"/>
        <c:auto val="1"/>
        <c:lblAlgn val="ctr"/>
        <c:lblOffset val="100"/>
        <c:noMultiLvlLbl val="0"/>
      </c:catAx>
      <c:valAx>
        <c:axId val="1665032144"/>
        <c:scaling>
          <c:orientation val="minMax"/>
          <c:max val="3840000000"/>
          <c:min val="3000000000"/>
        </c:scaling>
        <c:delete val="0"/>
        <c:axPos val="l"/>
        <c:numFmt formatCode="#,##0.00" sourceLinked="1"/>
        <c:majorTickMark val="none"/>
        <c:minorTickMark val="none"/>
        <c:tickLblPos val="nextTo"/>
        <c:crossAx val="1665021264"/>
        <c:crosses val="autoZero"/>
        <c:crossBetween val="between"/>
        <c:majorUnit val="200000000"/>
      </c:valAx>
      <c:valAx>
        <c:axId val="1665026160"/>
        <c:scaling>
          <c:orientation val="minMax"/>
          <c:max val="1"/>
          <c:min val="0.88000000000000012"/>
        </c:scaling>
        <c:delete val="0"/>
        <c:axPos val="r"/>
        <c:numFmt formatCode="0.00%" sourceLinked="1"/>
        <c:majorTickMark val="out"/>
        <c:minorTickMark val="none"/>
        <c:tickLblPos val="nextTo"/>
        <c:crossAx val="1665032688"/>
        <c:crosses val="max"/>
        <c:crossBetween val="between"/>
        <c:majorUnit val="2.0000000000000004E-2"/>
        <c:minorUnit val="5.000000000000001E-3"/>
      </c:valAx>
      <c:catAx>
        <c:axId val="1665032688"/>
        <c:scaling>
          <c:orientation val="minMax"/>
        </c:scaling>
        <c:delete val="1"/>
        <c:axPos val="b"/>
        <c:numFmt formatCode="General" sourceLinked="1"/>
        <c:majorTickMark val="out"/>
        <c:minorTickMark val="none"/>
        <c:tickLblPos val="nextTo"/>
        <c:crossAx val="1665026160"/>
        <c:crosses val="autoZero"/>
        <c:auto val="1"/>
        <c:lblAlgn val="ctr"/>
        <c:lblOffset val="100"/>
        <c:noMultiLvlLbl val="0"/>
      </c:catAx>
    </c:plotArea>
    <c:legend>
      <c:legendPos val="b"/>
      <c:overlay val="0"/>
    </c:legend>
    <c:plotVisOnly val="1"/>
    <c:dispBlanksAs val="gap"/>
    <c:showDLblsOverMax val="0"/>
  </c:chart>
  <c:spPr>
    <a:ln>
      <a:solidFill>
        <a:schemeClr val="bg1"/>
      </a:solidFill>
    </a:ln>
  </c:sp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1471526098266"/>
          <c:y val="0.13154844993940878"/>
          <c:w val="0.82866557875303415"/>
          <c:h val="0.69190263993496037"/>
        </c:manualLayout>
      </c:layout>
      <c:barChart>
        <c:barDir val="col"/>
        <c:grouping val="clustered"/>
        <c:varyColors val="0"/>
        <c:ser>
          <c:idx val="0"/>
          <c:order val="0"/>
          <c:tx>
            <c:v>PC</c:v>
          </c:tx>
          <c:spPr>
            <a:solidFill>
              <a:schemeClr val="accent3"/>
            </a:solidFill>
          </c:spPr>
          <c:invertIfNegative val="0"/>
          <c:dLbls>
            <c:dLbl>
              <c:idx val="0"/>
              <c:layout>
                <c:manualLayout>
                  <c:x val="2.6166165550448378E-3"/>
                  <c:y val="0.2802869598406817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3D9-494F-9FD7-D7A98F07ECC5}"/>
                </c:ext>
              </c:extLst>
            </c:dLbl>
            <c:dLbl>
              <c:idx val="1"/>
              <c:layout>
                <c:manualLayout>
                  <c:x val="-1.9338092923303063E-4"/>
                  <c:y val="0.28115330922095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D9-494F-9FD7-D7A98F07ECC5}"/>
                </c:ext>
              </c:extLst>
            </c:dLbl>
            <c:dLbl>
              <c:idx val="2"/>
              <c:layout>
                <c:manualLayout>
                  <c:x val="8.2366115236005497E-3"/>
                  <c:y val="0.2794206104604114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3D9-494F-9FD7-D7A98F07ECC5}"/>
                </c:ext>
              </c:extLst>
            </c:dLbl>
            <c:spPr>
              <a:noFill/>
              <a:ln>
                <a:noFill/>
              </a:ln>
              <a:effectLst/>
            </c:spPr>
            <c:txPr>
              <a:bodyPr rot="-5400000" vert="horz" wrap="square" lIns="38100" tIns="19050" rIns="38100" bIns="19050" anchor="ctr">
                <a:spAutoFit/>
              </a:bodyPr>
              <a:lstStyle/>
              <a:p>
                <a:pPr>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Nómina!$A$9:$A$11</c:f>
              <c:strCache>
                <c:ptCount val="3"/>
                <c:pt idx="0">
                  <c:v>Septiembre</c:v>
                </c:pt>
                <c:pt idx="1">
                  <c:v>Agosto</c:v>
                </c:pt>
                <c:pt idx="2">
                  <c:v>Julio</c:v>
                </c:pt>
              </c:strCache>
            </c:strRef>
          </c:cat>
          <c:val>
            <c:numRef>
              <c:f>Nómina!$B$9:$B$11</c:f>
              <c:numCache>
                <c:formatCode>_(* #,##0_);_(* \(#,##0\);_(* "-"??_);_(@_)</c:formatCode>
                <c:ptCount val="3"/>
                <c:pt idx="0">
                  <c:v>150534</c:v>
                </c:pt>
                <c:pt idx="1">
                  <c:v>149705</c:v>
                </c:pt>
                <c:pt idx="2">
                  <c:v>148464</c:v>
                </c:pt>
              </c:numCache>
            </c:numRef>
          </c:val>
          <c:extLst>
            <c:ext xmlns:c16="http://schemas.microsoft.com/office/drawing/2014/chart" uri="{C3380CC4-5D6E-409C-BE32-E72D297353CC}">
              <c16:uniqueId val="{00000003-53D9-494F-9FD7-D7A98F07ECC5}"/>
            </c:ext>
          </c:extLst>
        </c:ser>
        <c:ser>
          <c:idx val="1"/>
          <c:order val="1"/>
          <c:tx>
            <c:v>PS</c:v>
          </c:tx>
          <c:spPr>
            <a:solidFill>
              <a:schemeClr val="accent6">
                <a:lumMod val="60000"/>
                <a:lumOff val="40000"/>
              </a:schemeClr>
            </a:solidFill>
          </c:spPr>
          <c:invertIfNegative val="0"/>
          <c:dLbls>
            <c:dLbl>
              <c:idx val="0"/>
              <c:layout>
                <c:manualLayout>
                  <c:x val="8.333333333333333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3D9-494F-9FD7-D7A98F07ECC5}"/>
                </c:ext>
              </c:extLst>
            </c:dLbl>
            <c:dLbl>
              <c:idx val="1"/>
              <c:layout>
                <c:manualLayout>
                  <c:x val="1.66666666666666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3D9-494F-9FD7-D7A98F07ECC5}"/>
                </c:ext>
              </c:extLst>
            </c:dLbl>
            <c:dLbl>
              <c:idx val="2"/>
              <c:layout>
                <c:manualLayout>
                  <c:x val="1.388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3D9-494F-9FD7-D7A98F07ECC5}"/>
                </c:ext>
              </c:extLst>
            </c:dLbl>
            <c:spPr>
              <a:noFill/>
              <a:ln>
                <a:noFill/>
              </a:ln>
              <a:effectLst/>
            </c:spPr>
            <c:txPr>
              <a:bodyPr rot="-5400000" vert="horz" wrap="square" lIns="38100" tIns="19050" rIns="38100" bIns="19050" anchor="ctr">
                <a:spAutoFit/>
              </a:bodyPr>
              <a:lstStyle/>
              <a:p>
                <a:pPr>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Nómina!$A$9:$A$11</c:f>
              <c:strCache>
                <c:ptCount val="3"/>
                <c:pt idx="0">
                  <c:v>Septiembre</c:v>
                </c:pt>
                <c:pt idx="1">
                  <c:v>Agosto</c:v>
                </c:pt>
                <c:pt idx="2">
                  <c:v>Julio</c:v>
                </c:pt>
              </c:strCache>
            </c:strRef>
          </c:cat>
          <c:val>
            <c:numRef>
              <c:f>Nómina!$E$9:$E$11</c:f>
              <c:numCache>
                <c:formatCode>_(* #,##0_);_(* \(#,##0\);_(* "-"??_);_(@_)</c:formatCode>
                <c:ptCount val="3"/>
                <c:pt idx="0">
                  <c:v>48574</c:v>
                </c:pt>
                <c:pt idx="1">
                  <c:v>48508</c:v>
                </c:pt>
                <c:pt idx="2">
                  <c:v>48486</c:v>
                </c:pt>
              </c:numCache>
            </c:numRef>
          </c:val>
          <c:extLst>
            <c:ext xmlns:c16="http://schemas.microsoft.com/office/drawing/2014/chart" uri="{C3380CC4-5D6E-409C-BE32-E72D297353CC}">
              <c16:uniqueId val="{00000007-53D9-494F-9FD7-D7A98F07ECC5}"/>
            </c:ext>
          </c:extLst>
        </c:ser>
        <c:ser>
          <c:idx val="2"/>
          <c:order val="2"/>
          <c:tx>
            <c:v>PN</c:v>
          </c:tx>
          <c:spPr>
            <a:solidFill>
              <a:schemeClr val="tx2">
                <a:lumMod val="60000"/>
                <a:lumOff val="40000"/>
              </a:schemeClr>
            </a:solidFill>
          </c:spPr>
          <c:invertIfNegative val="0"/>
          <c:dLbls>
            <c:spPr>
              <a:noFill/>
              <a:ln>
                <a:noFill/>
              </a:ln>
              <a:effectLst/>
            </c:spPr>
            <c:txPr>
              <a:bodyPr rot="-5400000" vert="horz" wrap="square" lIns="38100" tIns="19050" rIns="38100" bIns="19050" anchor="ctr">
                <a:spAutoFit/>
              </a:bodyPr>
              <a:lstStyle/>
              <a:p>
                <a:pPr>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Nómina!$H$9:$H$11</c:f>
              <c:numCache>
                <c:formatCode>_(* #,##0_);_(* \(#,##0\);_(* "-"??_);_(@_)</c:formatCode>
                <c:ptCount val="3"/>
                <c:pt idx="0">
                  <c:v>25412</c:v>
                </c:pt>
                <c:pt idx="1">
                  <c:v>25415</c:v>
                </c:pt>
                <c:pt idx="2">
                  <c:v>25414</c:v>
                </c:pt>
              </c:numCache>
            </c:numRef>
          </c:val>
          <c:extLst>
            <c:ext xmlns:c16="http://schemas.microsoft.com/office/drawing/2014/chart" uri="{C3380CC4-5D6E-409C-BE32-E72D297353CC}">
              <c16:uniqueId val="{00000000-C68F-40C1-B7CC-955B6C3781D2}"/>
            </c:ext>
          </c:extLst>
        </c:ser>
        <c:dLbls>
          <c:showLegendKey val="0"/>
          <c:showVal val="1"/>
          <c:showCatName val="0"/>
          <c:showSerName val="0"/>
          <c:showPercent val="0"/>
          <c:showBubbleSize val="0"/>
        </c:dLbls>
        <c:gapWidth val="75"/>
        <c:axId val="1665033232"/>
        <c:axId val="1665027248"/>
      </c:barChart>
      <c:catAx>
        <c:axId val="1665033232"/>
        <c:scaling>
          <c:orientation val="minMax"/>
        </c:scaling>
        <c:delete val="0"/>
        <c:axPos val="b"/>
        <c:numFmt formatCode="General" sourceLinked="0"/>
        <c:majorTickMark val="none"/>
        <c:minorTickMark val="none"/>
        <c:tickLblPos val="nextTo"/>
        <c:crossAx val="1665027248"/>
        <c:crosses val="autoZero"/>
        <c:auto val="1"/>
        <c:lblAlgn val="ctr"/>
        <c:lblOffset val="100"/>
        <c:noMultiLvlLbl val="0"/>
      </c:catAx>
      <c:valAx>
        <c:axId val="1665027248"/>
        <c:scaling>
          <c:orientation val="minMax"/>
        </c:scaling>
        <c:delete val="0"/>
        <c:axPos val="l"/>
        <c:numFmt formatCode="_(* #,##0_);_(* \(#,##0\);_(* &quot;-&quot;??_);_(@_)" sourceLinked="1"/>
        <c:majorTickMark val="none"/>
        <c:minorTickMark val="none"/>
        <c:tickLblPos val="nextTo"/>
        <c:crossAx val="1665033232"/>
        <c:crosses val="autoZero"/>
        <c:crossBetween val="between"/>
      </c:valAx>
    </c:plotArea>
    <c:legend>
      <c:legendPos val="b"/>
      <c:layout>
        <c:manualLayout>
          <c:xMode val="edge"/>
          <c:yMode val="edge"/>
          <c:x val="0.41335770283434614"/>
          <c:y val="0.93137511312911292"/>
          <c:w val="0.22633816425502665"/>
          <c:h val="6.5109557839156396E-2"/>
        </c:manualLayout>
      </c:layout>
      <c:overlay val="0"/>
    </c:legend>
    <c:plotVisOnly val="1"/>
    <c:dispBlanksAs val="gap"/>
    <c:showDLblsOverMax val="0"/>
  </c:chart>
  <c:spPr>
    <a:ln>
      <a:solidFill>
        <a:schemeClr val="bg1"/>
      </a:solidFill>
    </a:ln>
  </c:spPr>
  <c:printSettings>
    <c:headerFooter/>
    <c:pageMargins b="0.75" l="0.7" r="0.7" t="0.75" header="0.3" footer="0.3"/>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PC</c:v>
          </c:tx>
          <c:spPr>
            <a:solidFill>
              <a:schemeClr val="accent3"/>
            </a:solidFill>
          </c:spPr>
          <c:invertIfNegative val="0"/>
          <c:dLbls>
            <c:dLbl>
              <c:idx val="0"/>
              <c:layout>
                <c:manualLayout>
                  <c:x val="1.8258793274707537E-3"/>
                  <c:y val="0.182871159511427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CBD-4A0D-BE09-D21C77B6043E}"/>
                </c:ext>
              </c:extLst>
            </c:dLbl>
            <c:dLbl>
              <c:idx val="1"/>
              <c:layout>
                <c:manualLayout>
                  <c:x val="1.8258793274707537E-3"/>
                  <c:y val="0.188620885267618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CBD-4A0D-BE09-D21C77B6043E}"/>
                </c:ext>
              </c:extLst>
            </c:dLbl>
            <c:dLbl>
              <c:idx val="2"/>
              <c:layout>
                <c:manualLayout>
                  <c:x val="-9.5208122101056675E-4"/>
                  <c:y val="0.178241498441914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CBD-4A0D-BE09-D21C77B6043E}"/>
                </c:ext>
              </c:extLst>
            </c:dLbl>
            <c:spPr>
              <a:noFill/>
              <a:ln>
                <a:noFill/>
              </a:ln>
              <a:effectLst/>
            </c:spPr>
            <c:txPr>
              <a:bodyPr rot="-5400000" vert="horz" wrap="square" lIns="38100" tIns="19050" rIns="38100" bIns="19050" anchor="ctr">
                <a:spAutoFit/>
              </a:bodyPr>
              <a:lstStyle/>
              <a:p>
                <a:pPr>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Nómina!$A$9:$A$11</c:f>
              <c:strCache>
                <c:ptCount val="3"/>
                <c:pt idx="0">
                  <c:v>Septiembre</c:v>
                </c:pt>
                <c:pt idx="1">
                  <c:v>Agosto</c:v>
                </c:pt>
                <c:pt idx="2">
                  <c:v>Julio</c:v>
                </c:pt>
              </c:strCache>
            </c:strRef>
          </c:cat>
          <c:val>
            <c:numRef>
              <c:f>Nómina!$C$9:$C$11</c:f>
              <c:numCache>
                <c:formatCode>_(* #,##0_);_(* \(#,##0\);_(* "-"??_);_(@_)</c:formatCode>
                <c:ptCount val="3"/>
                <c:pt idx="0">
                  <c:v>163269</c:v>
                </c:pt>
                <c:pt idx="1">
                  <c:v>162450</c:v>
                </c:pt>
                <c:pt idx="2">
                  <c:v>161198</c:v>
                </c:pt>
              </c:numCache>
            </c:numRef>
          </c:val>
          <c:extLst>
            <c:ext xmlns:c16="http://schemas.microsoft.com/office/drawing/2014/chart" uri="{C3380CC4-5D6E-409C-BE32-E72D297353CC}">
              <c16:uniqueId val="{00000003-9CBD-4A0D-BE09-D21C77B6043E}"/>
            </c:ext>
          </c:extLst>
        </c:ser>
        <c:ser>
          <c:idx val="1"/>
          <c:order val="1"/>
          <c:tx>
            <c:v>PS</c:v>
          </c:tx>
          <c:spPr>
            <a:solidFill>
              <a:schemeClr val="accent6">
                <a:lumMod val="60000"/>
                <a:lumOff val="40000"/>
              </a:schemeClr>
            </a:solidFill>
          </c:spPr>
          <c:invertIfNegative val="0"/>
          <c:dLbls>
            <c:dLbl>
              <c:idx val="0"/>
              <c:layout>
                <c:manualLayout>
                  <c:x val="8.333333333333333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CBD-4A0D-BE09-D21C77B6043E}"/>
                </c:ext>
              </c:extLst>
            </c:dLbl>
            <c:dLbl>
              <c:idx val="1"/>
              <c:layout>
                <c:manualLayout>
                  <c:x val="1.304057958836161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CBD-4A0D-BE09-D21C77B6043E}"/>
                </c:ext>
              </c:extLst>
            </c:dLbl>
            <c:dLbl>
              <c:idx val="2"/>
              <c:layout>
                <c:manualLayout>
                  <c:x val="-9.5208122101056675E-4"/>
                  <c:y val="1.72491772685724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CBD-4A0D-BE09-D21C77B6043E}"/>
                </c:ext>
              </c:extLst>
            </c:dLbl>
            <c:spPr>
              <a:noFill/>
              <a:ln>
                <a:noFill/>
              </a:ln>
              <a:effectLst/>
            </c:spPr>
            <c:txPr>
              <a:bodyPr rot="-5400000" vert="horz" wrap="square" lIns="38100" tIns="19050" rIns="38100" bIns="19050" anchor="ctr">
                <a:spAutoFit/>
              </a:bodyPr>
              <a:lstStyle/>
              <a:p>
                <a:pPr>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Nómina!$A$9:$A$11</c:f>
              <c:strCache>
                <c:ptCount val="3"/>
                <c:pt idx="0">
                  <c:v>Septiembre</c:v>
                </c:pt>
                <c:pt idx="1">
                  <c:v>Agosto</c:v>
                </c:pt>
                <c:pt idx="2">
                  <c:v>Julio</c:v>
                </c:pt>
              </c:strCache>
            </c:strRef>
          </c:cat>
          <c:val>
            <c:numRef>
              <c:f>Nómina!$F$9:$F$11</c:f>
              <c:numCache>
                <c:formatCode>_(* #,##0_);_(* \(#,##0\);_(* "-"??_);_(@_)</c:formatCode>
                <c:ptCount val="3"/>
                <c:pt idx="0">
                  <c:v>48574</c:v>
                </c:pt>
                <c:pt idx="1">
                  <c:v>48508</c:v>
                </c:pt>
                <c:pt idx="2">
                  <c:v>48486</c:v>
                </c:pt>
              </c:numCache>
            </c:numRef>
          </c:val>
          <c:extLst>
            <c:ext xmlns:c16="http://schemas.microsoft.com/office/drawing/2014/chart" uri="{C3380CC4-5D6E-409C-BE32-E72D297353CC}">
              <c16:uniqueId val="{00000007-9CBD-4A0D-BE09-D21C77B6043E}"/>
            </c:ext>
          </c:extLst>
        </c:ser>
        <c:ser>
          <c:idx val="2"/>
          <c:order val="2"/>
          <c:tx>
            <c:v>PN</c:v>
          </c:tx>
          <c:spPr>
            <a:solidFill>
              <a:schemeClr val="tx2">
                <a:lumMod val="60000"/>
                <a:lumOff val="40000"/>
              </a:schemeClr>
            </a:solidFill>
          </c:spPr>
          <c:invertIfNegative val="0"/>
          <c:dLbls>
            <c:dLbl>
              <c:idx val="0"/>
              <c:layout>
                <c:manualLayout>
                  <c:x val="-4.6143564425193773E-17"/>
                  <c:y val="5.749725756190802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9A7-42AB-9E5A-58FEC411AE86}"/>
                </c:ext>
              </c:extLst>
            </c:dLbl>
            <c:dLbl>
              <c:idx val="1"/>
              <c:layout>
                <c:manualLayout>
                  <c:x val="0"/>
                  <c:y val="5.74972575619074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A7-42AB-9E5A-58FEC411AE86}"/>
                </c:ext>
              </c:extLst>
            </c:dLbl>
            <c:dLbl>
              <c:idx val="2"/>
              <c:layout>
                <c:manualLayout>
                  <c:x val="2.5169507716138687E-3"/>
                  <c:y val="1.72491772685723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9A7-42AB-9E5A-58FEC411AE86}"/>
                </c:ext>
              </c:extLst>
            </c:dLbl>
            <c:spPr>
              <a:noFill/>
              <a:ln>
                <a:noFill/>
              </a:ln>
              <a:effectLst/>
            </c:spPr>
            <c:txPr>
              <a:bodyPr rot="-5400000" vert="horz" wrap="square" lIns="38100" tIns="19050" rIns="38100" bIns="19050" anchor="ctr">
                <a:spAutoFit/>
              </a:bodyPr>
              <a:lstStyle/>
              <a:p>
                <a:pPr>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Nómina!$I$9:$I$11</c:f>
              <c:numCache>
                <c:formatCode>_(* #,##0_);_(* \(#,##0\);_(* "-"??_);_(@_)</c:formatCode>
                <c:ptCount val="3"/>
                <c:pt idx="0">
                  <c:v>25600</c:v>
                </c:pt>
                <c:pt idx="1">
                  <c:v>25601</c:v>
                </c:pt>
                <c:pt idx="2">
                  <c:v>25597</c:v>
                </c:pt>
              </c:numCache>
            </c:numRef>
          </c:val>
          <c:extLst>
            <c:ext xmlns:c16="http://schemas.microsoft.com/office/drawing/2014/chart" uri="{C3380CC4-5D6E-409C-BE32-E72D297353CC}">
              <c16:uniqueId val="{00000000-B4C7-4C8F-829E-12F6B5EA66FC}"/>
            </c:ext>
          </c:extLst>
        </c:ser>
        <c:dLbls>
          <c:showLegendKey val="0"/>
          <c:showVal val="1"/>
          <c:showCatName val="0"/>
          <c:showSerName val="0"/>
          <c:showPercent val="0"/>
          <c:showBubbleSize val="0"/>
        </c:dLbls>
        <c:gapWidth val="75"/>
        <c:axId val="1665028880"/>
        <c:axId val="1665018544"/>
      </c:barChart>
      <c:catAx>
        <c:axId val="1665028880"/>
        <c:scaling>
          <c:orientation val="minMax"/>
        </c:scaling>
        <c:delete val="0"/>
        <c:axPos val="b"/>
        <c:numFmt formatCode="General" sourceLinked="0"/>
        <c:majorTickMark val="none"/>
        <c:minorTickMark val="none"/>
        <c:tickLblPos val="nextTo"/>
        <c:crossAx val="1665018544"/>
        <c:crosses val="autoZero"/>
        <c:auto val="1"/>
        <c:lblAlgn val="ctr"/>
        <c:lblOffset val="100"/>
        <c:noMultiLvlLbl val="0"/>
      </c:catAx>
      <c:valAx>
        <c:axId val="1665018544"/>
        <c:scaling>
          <c:orientation val="minMax"/>
        </c:scaling>
        <c:delete val="0"/>
        <c:axPos val="l"/>
        <c:numFmt formatCode="_(* #,##0_);_(* \(#,##0\);_(* &quot;-&quot;??_);_(@_)" sourceLinked="1"/>
        <c:majorTickMark val="none"/>
        <c:minorTickMark val="none"/>
        <c:tickLblPos val="nextTo"/>
        <c:crossAx val="1665028880"/>
        <c:crosses val="autoZero"/>
        <c:crossBetween val="between"/>
      </c:valAx>
    </c:plotArea>
    <c:legend>
      <c:legendPos val="b"/>
      <c:overlay val="0"/>
    </c:legend>
    <c:plotVisOnly val="1"/>
    <c:dispBlanksAs val="gap"/>
    <c:showDLblsOverMax val="0"/>
  </c:chart>
  <c:spPr>
    <a:ln>
      <a:solidFill>
        <a:schemeClr val="bg1"/>
      </a:solidFill>
    </a:ln>
  </c:sp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PC</c:v>
          </c:tx>
          <c:spPr>
            <a:solidFill>
              <a:schemeClr val="accent3"/>
            </a:solidFill>
          </c:spPr>
          <c:invertIfNegative val="0"/>
          <c:dLbls>
            <c:dLbl>
              <c:idx val="0"/>
              <c:layout>
                <c:manualLayout>
                  <c:x val="4.9402791952599815E-3"/>
                  <c:y val="0.192856496451481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AB-4ACC-9DB2-E039C3656B7D}"/>
                </c:ext>
              </c:extLst>
            </c:dLbl>
            <c:dLbl>
              <c:idx val="1"/>
              <c:layout>
                <c:manualLayout>
                  <c:x val="-5.5544341463445307E-3"/>
                  <c:y val="0.215137415898894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AB-4ACC-9DB2-E039C3656B7D}"/>
                </c:ext>
              </c:extLst>
            </c:dLbl>
            <c:dLbl>
              <c:idx val="2"/>
              <c:layout>
                <c:manualLayout>
                  <c:x val="-2.8154707518661961E-3"/>
                  <c:y val="0.237239517164805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AB-4ACC-9DB2-E039C3656B7D}"/>
                </c:ext>
              </c:extLst>
            </c:dLbl>
            <c:spPr>
              <a:noFill/>
              <a:ln>
                <a:noFill/>
              </a:ln>
              <a:effectLst/>
            </c:spPr>
            <c:txPr>
              <a:bodyPr rot="-5400000" vert="horz" wrap="square" lIns="38100" tIns="19050" rIns="38100" bIns="19050" anchor="ctr">
                <a:spAutoFit/>
              </a:bodyPr>
              <a:lstStyle/>
              <a:p>
                <a:pPr>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Nómina!$A$9:$A$11</c:f>
              <c:strCache>
                <c:ptCount val="3"/>
                <c:pt idx="0">
                  <c:v>Septiembre</c:v>
                </c:pt>
                <c:pt idx="1">
                  <c:v>Agosto</c:v>
                </c:pt>
                <c:pt idx="2">
                  <c:v>Julio</c:v>
                </c:pt>
              </c:strCache>
            </c:strRef>
          </c:cat>
          <c:val>
            <c:numRef>
              <c:f>Nómina!$D$9:$D$11</c:f>
              <c:numCache>
                <c:formatCode>_(* #,##0.00_);_(* \(#,##0.00\);_(* "-"??_);_(@_)</c:formatCode>
                <c:ptCount val="3"/>
                <c:pt idx="0">
                  <c:v>2650692163.9099998</c:v>
                </c:pt>
                <c:pt idx="1">
                  <c:v>2634684601.9099998</c:v>
                </c:pt>
                <c:pt idx="2">
                  <c:v>2608833842.75</c:v>
                </c:pt>
              </c:numCache>
            </c:numRef>
          </c:val>
          <c:extLst>
            <c:ext xmlns:c16="http://schemas.microsoft.com/office/drawing/2014/chart" uri="{C3380CC4-5D6E-409C-BE32-E72D297353CC}">
              <c16:uniqueId val="{00000000-0F53-4019-BFDC-2A350F855EE7}"/>
            </c:ext>
          </c:extLst>
        </c:ser>
        <c:ser>
          <c:idx val="1"/>
          <c:order val="1"/>
          <c:tx>
            <c:v>PS</c:v>
          </c:tx>
          <c:spPr>
            <a:solidFill>
              <a:schemeClr val="accent6">
                <a:lumMod val="60000"/>
                <a:lumOff val="40000"/>
              </a:schemeClr>
            </a:solidFill>
          </c:spPr>
          <c:invertIfNegative val="0"/>
          <c:dLbls>
            <c:dLbl>
              <c:idx val="0"/>
              <c:layout>
                <c:manualLayout>
                  <c:x val="3.7888958688751932E-3"/>
                  <c:y val="1.788181815017594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5C-498E-B306-189846393CDE}"/>
                </c:ext>
              </c:extLst>
            </c:dLbl>
            <c:dLbl>
              <c:idx val="1"/>
              <c:layout>
                <c:manualLayout>
                  <c:x val="9.1129695062634377E-3"/>
                  <c:y val="1.65765759494330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5C-498E-B306-189846393CDE}"/>
                </c:ext>
              </c:extLst>
            </c:dLbl>
            <c:dLbl>
              <c:idx val="2"/>
              <c:layout>
                <c:manualLayout>
                  <c:x val="6.2974987543972412E-3"/>
                  <c:y val="5.52552531647767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45C-498E-B306-189846393CDE}"/>
                </c:ext>
              </c:extLst>
            </c:dLbl>
            <c:spPr>
              <a:noFill/>
              <a:ln>
                <a:noFill/>
              </a:ln>
              <a:effectLst/>
            </c:spPr>
            <c:txPr>
              <a:bodyPr rot="-5400000" vert="horz" wrap="square" lIns="38100" tIns="19050" rIns="38100" bIns="19050" anchor="ctr">
                <a:spAutoFit/>
              </a:bodyPr>
              <a:lstStyle/>
              <a:p>
                <a:pPr>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Nómina!$A$9:$A$11</c:f>
              <c:strCache>
                <c:ptCount val="3"/>
                <c:pt idx="0">
                  <c:v>Septiembre</c:v>
                </c:pt>
                <c:pt idx="1">
                  <c:v>Agosto</c:v>
                </c:pt>
                <c:pt idx="2">
                  <c:v>Julio</c:v>
                </c:pt>
              </c:strCache>
            </c:strRef>
          </c:cat>
          <c:val>
            <c:numRef>
              <c:f>Nómina!$G$9:$G$11</c:f>
              <c:numCache>
                <c:formatCode>_(* #,##0.00_);_(* \(#,##0.00\);_(* "-"??_);_(@_)</c:formatCode>
                <c:ptCount val="3"/>
                <c:pt idx="0">
                  <c:v>291444000</c:v>
                </c:pt>
                <c:pt idx="1">
                  <c:v>291048000</c:v>
                </c:pt>
                <c:pt idx="2">
                  <c:v>290916000</c:v>
                </c:pt>
              </c:numCache>
            </c:numRef>
          </c:val>
          <c:extLst>
            <c:ext xmlns:c16="http://schemas.microsoft.com/office/drawing/2014/chart" uri="{C3380CC4-5D6E-409C-BE32-E72D297353CC}">
              <c16:uniqueId val="{00000001-0F53-4019-BFDC-2A350F855EE7}"/>
            </c:ext>
          </c:extLst>
        </c:ser>
        <c:ser>
          <c:idx val="2"/>
          <c:order val="2"/>
          <c:tx>
            <c:v>PN</c:v>
          </c:tx>
          <c:spPr>
            <a:solidFill>
              <a:schemeClr val="tx2">
                <a:lumMod val="60000"/>
                <a:lumOff val="40000"/>
              </a:schemeClr>
            </a:solidFill>
          </c:spPr>
          <c:invertIfNegative val="0"/>
          <c:dLbls>
            <c:dLbl>
              <c:idx val="0"/>
              <c:layout>
                <c:manualLayout>
                  <c:x val="7.2952385384117803E-3"/>
                  <c:y val="-2.532503181026103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5C-498E-B306-189846393CDE}"/>
                </c:ext>
              </c:extLst>
            </c:dLbl>
            <c:dLbl>
              <c:idx val="1"/>
              <c:layout>
                <c:manualLayout>
                  <c:x val="4.6332017197177064E-3"/>
                  <c:y val="5.52552531647770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45C-498E-B306-189846393CDE}"/>
                </c:ext>
              </c:extLst>
            </c:dLbl>
            <c:dLbl>
              <c:idx val="2"/>
              <c:layout>
                <c:manualLayout>
                  <c:x val="7.4488820807821271E-3"/>
                  <c:y val="5.52552531647772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45C-498E-B306-189846393CDE}"/>
                </c:ext>
              </c:extLst>
            </c:dLbl>
            <c:spPr>
              <a:noFill/>
              <a:ln>
                <a:noFill/>
              </a:ln>
              <a:effectLst/>
            </c:spPr>
            <c:txPr>
              <a:bodyPr rot="-5400000" vert="horz" wrap="square" lIns="38100" tIns="19050" rIns="38100" bIns="19050" anchor="ctr">
                <a:spAutoFit/>
              </a:bodyPr>
              <a:lstStyle/>
              <a:p>
                <a:pPr>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Nómina!$J$9:$J$11</c:f>
              <c:numCache>
                <c:formatCode>_(* #,##0.00_);_(* \(#,##0.00\);_(* "-"??_);_(@_)</c:formatCode>
                <c:ptCount val="3"/>
                <c:pt idx="0">
                  <c:v>753790725.44000006</c:v>
                </c:pt>
                <c:pt idx="1">
                  <c:v>754751444.11000001</c:v>
                </c:pt>
                <c:pt idx="2">
                  <c:v>755446618.87</c:v>
                </c:pt>
              </c:numCache>
            </c:numRef>
          </c:val>
          <c:extLst>
            <c:ext xmlns:c16="http://schemas.microsoft.com/office/drawing/2014/chart" uri="{C3380CC4-5D6E-409C-BE32-E72D297353CC}">
              <c16:uniqueId val="{00000000-281D-447F-87D6-9DFFE7E603D8}"/>
            </c:ext>
          </c:extLst>
        </c:ser>
        <c:dLbls>
          <c:showLegendKey val="0"/>
          <c:showVal val="1"/>
          <c:showCatName val="0"/>
          <c:showSerName val="0"/>
          <c:showPercent val="0"/>
          <c:showBubbleSize val="0"/>
        </c:dLbls>
        <c:gapWidth val="75"/>
        <c:axId val="1665023984"/>
        <c:axId val="1665028336"/>
      </c:barChart>
      <c:catAx>
        <c:axId val="1665023984"/>
        <c:scaling>
          <c:orientation val="minMax"/>
        </c:scaling>
        <c:delete val="0"/>
        <c:axPos val="b"/>
        <c:numFmt formatCode="General" sourceLinked="0"/>
        <c:majorTickMark val="none"/>
        <c:minorTickMark val="none"/>
        <c:tickLblPos val="nextTo"/>
        <c:crossAx val="1665028336"/>
        <c:crosses val="autoZero"/>
        <c:auto val="1"/>
        <c:lblAlgn val="ctr"/>
        <c:lblOffset val="100"/>
        <c:noMultiLvlLbl val="0"/>
      </c:catAx>
      <c:valAx>
        <c:axId val="1665028336"/>
        <c:scaling>
          <c:orientation val="minMax"/>
        </c:scaling>
        <c:delete val="0"/>
        <c:axPos val="l"/>
        <c:numFmt formatCode="_(* #,##0.00_);_(* \(#,##0.00\);_(* &quot;-&quot;??_);_(@_)" sourceLinked="1"/>
        <c:majorTickMark val="none"/>
        <c:minorTickMark val="none"/>
        <c:tickLblPos val="nextTo"/>
        <c:crossAx val="1665023984"/>
        <c:crosses val="autoZero"/>
        <c:crossBetween val="between"/>
      </c:valAx>
    </c:plotArea>
    <c:legend>
      <c:legendPos val="b"/>
      <c:overlay val="0"/>
    </c:legend>
    <c:plotVisOnly val="1"/>
    <c:dispBlanksAs val="gap"/>
    <c:showDLblsOverMax val="0"/>
  </c:chart>
  <c:spPr>
    <a:ln>
      <a:solidFill>
        <a:schemeClr val="bg1"/>
      </a:solid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accent1"/>
                </a:solidFill>
                <a:latin typeface="+mn-lt"/>
                <a:ea typeface="+mn-ea"/>
                <a:cs typeface="+mn-cs"/>
              </a:defRPr>
            </a:pPr>
            <a:r>
              <a:rPr lang="es-DO" sz="1100" b="1">
                <a:solidFill>
                  <a:schemeClr val="accent1"/>
                </a:solidFill>
              </a:rPr>
              <a:t>%</a:t>
            </a:r>
            <a:r>
              <a:rPr lang="es-DO" sz="1100" b="1" baseline="0">
                <a:solidFill>
                  <a:schemeClr val="accent1"/>
                </a:solidFill>
              </a:rPr>
              <a:t> Pagado</a:t>
            </a:r>
            <a:endParaRPr lang="es-DO" sz="1100" b="1">
              <a:solidFill>
                <a:schemeClr val="accent1"/>
              </a:solidFill>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accent1"/>
              </a:solidFill>
              <a:latin typeface="+mn-lt"/>
              <a:ea typeface="+mn-ea"/>
              <a:cs typeface="+mn-cs"/>
            </a:defRPr>
          </a:pPr>
          <a:endParaRPr lang="es-E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4-1658-4F4E-82BB-972C8E917EE2}"/>
              </c:ext>
            </c:extLst>
          </c:dPt>
          <c:dPt>
            <c:idx val="1"/>
            <c:bubble3D val="0"/>
            <c:spPr>
              <a:solidFill>
                <a:schemeClr val="accent6">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2-1658-4F4E-82BB-972C8E917EE2}"/>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3-1658-4F4E-82BB-972C8E917EE2}"/>
              </c:ext>
            </c:extLst>
          </c:dPt>
          <c:dLbls>
            <c:dLbl>
              <c:idx val="0"/>
              <c:tx>
                <c:rich>
                  <a:bodyPr/>
                  <a:lstStyle/>
                  <a:p>
                    <a:r>
                      <a:rPr lang="en-US"/>
                      <a:t>Civiles </a:t>
                    </a:r>
                    <a:fld id="{0DE1874E-31FB-46E3-8446-6F5D20BDC9B8}" type="VALUE">
                      <a:rPr lang="en-US"/>
                      <a:pPr/>
                      <a:t>[VALUE]</a:t>
                    </a:fld>
                    <a:endParaRPr lang="en-US"/>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1658-4F4E-82BB-972C8E917EE2}"/>
                </c:ext>
              </c:extLst>
            </c:dLbl>
            <c:dLbl>
              <c:idx val="1"/>
              <c:tx>
                <c:rich>
                  <a:bodyPr/>
                  <a:lstStyle/>
                  <a:p>
                    <a:r>
                      <a:rPr lang="en-US"/>
                      <a:t>Solidarias </a:t>
                    </a:r>
                    <a:fld id="{90257C1E-480E-4FB7-972A-E16E1347AC87}" type="VALUE">
                      <a:rPr lang="en-US"/>
                      <a:pPr/>
                      <a:t>[VALUE]</a:t>
                    </a:fld>
                    <a:endParaRPr lang="en-US"/>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1658-4F4E-82BB-972C8E917EE2}"/>
                </c:ext>
              </c:extLst>
            </c:dLbl>
            <c:dLbl>
              <c:idx val="2"/>
              <c:tx>
                <c:rich>
                  <a:bodyPr/>
                  <a:lstStyle/>
                  <a:p>
                    <a:r>
                      <a:rPr lang="en-US"/>
                      <a:t>P.N. </a:t>
                    </a:r>
                    <a:fld id="{903306AE-8C9B-491D-BABF-831CD724B3FC}" type="VALUE">
                      <a:rPr lang="en-US"/>
                      <a:pPr/>
                      <a:t>[VALUE]</a:t>
                    </a:fld>
                    <a:endParaRPr lang="en-US"/>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1658-4F4E-82BB-972C8E917EE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(Nómina!$D$28,Nómina!$G$28,Nómina!$J$28)</c:f>
              <c:numCache>
                <c:formatCode>0.00%</c:formatCode>
                <c:ptCount val="3"/>
                <c:pt idx="0">
                  <c:v>0.71559930701703123</c:v>
                </c:pt>
                <c:pt idx="1">
                  <c:v>7.9173230932630123E-2</c:v>
                </c:pt>
                <c:pt idx="2">
                  <c:v>0.20522746205033862</c:v>
                </c:pt>
              </c:numCache>
            </c:numRef>
          </c:val>
          <c:extLst>
            <c:ext xmlns:c16="http://schemas.microsoft.com/office/drawing/2014/chart" uri="{C3380CC4-5D6E-409C-BE32-E72D297353CC}">
              <c16:uniqueId val="{00000000-1658-4F4E-82BB-972C8E917EE2}"/>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DO">
                <a:solidFill>
                  <a:schemeClr val="accent1"/>
                </a:solidFill>
              </a:rPr>
              <a:t>Nóminas Autoseguro</a:t>
            </a:r>
          </a:p>
          <a:p>
            <a:pPr>
              <a:defRPr/>
            </a:pPr>
            <a:endParaRPr lang="es-DO"/>
          </a:p>
        </c:rich>
      </c:tx>
      <c:layout>
        <c:manualLayout>
          <c:xMode val="edge"/>
          <c:yMode val="edge"/>
          <c:x val="0.37009135504037877"/>
          <c:y val="1.308289535279598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E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32881884700847E-2"/>
          <c:y val="0.19432888597258677"/>
          <c:w val="0.93897689989547006"/>
          <c:h val="0.64884186351706041"/>
        </c:manualLayout>
      </c:layout>
      <c:pie3DChart>
        <c:varyColors val="1"/>
        <c:ser>
          <c:idx val="0"/>
          <c:order val="0"/>
          <c:explosion val="19"/>
          <c:dPt>
            <c:idx val="0"/>
            <c:bubble3D val="0"/>
            <c:explosion val="24"/>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D226-4742-8E7F-C6FD6D3E0DFF}"/>
              </c:ext>
            </c:extLst>
          </c:dPt>
          <c:dPt>
            <c:idx val="1"/>
            <c:bubble3D val="0"/>
            <c:explosion val="43"/>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D226-4742-8E7F-C6FD6D3E0DFF}"/>
              </c:ext>
            </c:extLst>
          </c:dPt>
          <c:dPt>
            <c:idx val="2"/>
            <c:bubble3D val="0"/>
            <c:explosion val="25"/>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D226-4742-8E7F-C6FD6D3E0DFF}"/>
              </c:ext>
            </c:extLst>
          </c:dPt>
          <c:dPt>
            <c:idx val="3"/>
            <c:bubble3D val="0"/>
            <c:explosion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4-D226-4742-8E7F-C6FD6D3E0DFF}"/>
              </c:ext>
            </c:extLst>
          </c:dPt>
          <c:dLbls>
            <c:dLbl>
              <c:idx val="0"/>
              <c:layout>
                <c:manualLayout>
                  <c:x val="6.8765334830695996E-2"/>
                  <c:y val="-6.1393983105255637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tx1">
                            <a:lumMod val="75000"/>
                            <a:lumOff val="25000"/>
                          </a:schemeClr>
                        </a:solidFill>
                        <a:latin typeface="+mn-lt"/>
                        <a:ea typeface="+mn-ea"/>
                        <a:cs typeface="+mn-cs"/>
                      </a:defRPr>
                    </a:pPr>
                    <a:fld id="{DECF9C51-46E0-4294-B195-1D220E9FC5C4}" type="PERCENTAGE">
                      <a:rPr lang="en-US"/>
                      <a:pPr>
                        <a:defRPr b="1"/>
                      </a:pPr>
                      <a:t>[PERCENTAGE]</a:t>
                    </a:fld>
                    <a:r>
                      <a:rPr lang="en-US"/>
                      <a:t> Discapacidad Civil</a:t>
                    </a:r>
                  </a:p>
                </c:rich>
              </c:tx>
              <c:numFmt formatCode="0.00%" sourceLinked="0"/>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bestFit"/>
              <c:showLegendKey val="0"/>
              <c:showVal val="0"/>
              <c:showCatName val="0"/>
              <c:showSerName val="0"/>
              <c:showPercent val="1"/>
              <c:showBubbleSize val="0"/>
              <c:extLst>
                <c:ext xmlns:c15="http://schemas.microsoft.com/office/drawing/2012/chart" uri="{CE6537A1-D6FC-4f65-9D91-7224C49458BB}">
                  <c15:layout>
                    <c:manualLayout>
                      <c:w val="0.2541947429462203"/>
                      <c:h val="6.3250841541369757E-2"/>
                    </c:manualLayout>
                  </c15:layout>
                  <c15:dlblFieldTable/>
                  <c15:showDataLabelsRange val="0"/>
                </c:ext>
                <c:ext xmlns:c16="http://schemas.microsoft.com/office/drawing/2014/chart" uri="{C3380CC4-5D6E-409C-BE32-E72D297353CC}">
                  <c16:uniqueId val="{00000002-D226-4742-8E7F-C6FD6D3E0DFF}"/>
                </c:ext>
              </c:extLst>
            </c:dLbl>
            <c:dLbl>
              <c:idx val="1"/>
              <c:layout>
                <c:manualLayout>
                  <c:x val="4.1222659314372308E-2"/>
                  <c:y val="9.6217505258178009E-3"/>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tx1">
                            <a:lumMod val="75000"/>
                            <a:lumOff val="25000"/>
                          </a:schemeClr>
                        </a:solidFill>
                        <a:latin typeface="+mn-lt"/>
                        <a:ea typeface="+mn-ea"/>
                        <a:cs typeface="+mn-cs"/>
                      </a:defRPr>
                    </a:pPr>
                    <a:fld id="{ADB0CDDD-8AED-465F-8CB0-AD4C2AA7E6E9}" type="VALUE">
                      <a:rPr lang="en-US"/>
                      <a:pPr>
                        <a:defRPr b="1"/>
                      </a:pPr>
                      <a:t>[VALUE]</a:t>
                    </a:fld>
                    <a:r>
                      <a:rPr lang="en-US"/>
                      <a:t> Discapacidad PN</a:t>
                    </a:r>
                  </a:p>
                </c:rich>
              </c:tx>
              <c:numFmt formatCode="0.00%" sourceLinked="0"/>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bestFit"/>
              <c:showLegendKey val="0"/>
              <c:showVal val="0"/>
              <c:showCatName val="0"/>
              <c:showSerName val="0"/>
              <c:showPercent val="1"/>
              <c:showBubbleSize val="0"/>
              <c:extLst>
                <c:ext xmlns:c15="http://schemas.microsoft.com/office/drawing/2012/chart" uri="{CE6537A1-D6FC-4f65-9D91-7224C49458BB}">
                  <c15:layout>
                    <c:manualLayout>
                      <c:w val="0.22798503430418618"/>
                      <c:h val="5.4800495310057838E-2"/>
                    </c:manualLayout>
                  </c15:layout>
                  <c15:dlblFieldTable/>
                  <c15:showDataLabelsRange val="0"/>
                </c:ext>
                <c:ext xmlns:c16="http://schemas.microsoft.com/office/drawing/2014/chart" uri="{C3380CC4-5D6E-409C-BE32-E72D297353CC}">
                  <c16:uniqueId val="{00000003-D226-4742-8E7F-C6FD6D3E0DFF}"/>
                </c:ext>
              </c:extLst>
            </c:dLbl>
            <c:dLbl>
              <c:idx val="2"/>
              <c:layout>
                <c:manualLayout>
                  <c:x val="5.2495967179825145E-2"/>
                  <c:y val="-8.8169045945845126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tx1">
                            <a:lumMod val="75000"/>
                            <a:lumOff val="25000"/>
                          </a:schemeClr>
                        </a:solidFill>
                        <a:latin typeface="+mn-lt"/>
                        <a:ea typeface="+mn-ea"/>
                        <a:cs typeface="+mn-cs"/>
                      </a:defRPr>
                    </a:pPr>
                    <a:fld id="{1231C39E-1E62-4572-8675-95EF26C6BE38}" type="PERCENTAGE">
                      <a:rPr lang="en-US"/>
                      <a:pPr>
                        <a:defRPr b="1"/>
                      </a:pPr>
                      <a:t>[PERCENTAGE]</a:t>
                    </a:fld>
                    <a:r>
                      <a:rPr lang="en-US"/>
                      <a:t> Sobrevivencia</a:t>
                    </a:r>
                    <a:r>
                      <a:rPr lang="en-US" baseline="0"/>
                      <a:t> Civil</a:t>
                    </a:r>
                  </a:p>
                </c:rich>
              </c:tx>
              <c:numFmt formatCode="0.00%" sourceLinked="0"/>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bestFit"/>
              <c:showLegendKey val="0"/>
              <c:showVal val="0"/>
              <c:showCatName val="0"/>
              <c:showSerName val="0"/>
              <c:showPercent val="1"/>
              <c:showBubbleSize val="0"/>
              <c:extLst>
                <c:ext xmlns:c15="http://schemas.microsoft.com/office/drawing/2012/chart" uri="{CE6537A1-D6FC-4f65-9D91-7224C49458BB}">
                  <c15:layout>
                    <c:manualLayout>
                      <c:w val="0.254792695237817"/>
                      <c:h val="5.9025675552119947E-2"/>
                    </c:manualLayout>
                  </c15:layout>
                  <c15:dlblFieldTable/>
                  <c15:showDataLabelsRange val="0"/>
                </c:ext>
                <c:ext xmlns:c16="http://schemas.microsoft.com/office/drawing/2014/chart" uri="{C3380CC4-5D6E-409C-BE32-E72D297353CC}">
                  <c16:uniqueId val="{00000001-D226-4742-8E7F-C6FD6D3E0DFF}"/>
                </c:ext>
              </c:extLst>
            </c:dLbl>
            <c:dLbl>
              <c:idx val="3"/>
              <c:layout>
                <c:manualLayout>
                  <c:x val="-3.3523265897112478E-2"/>
                  <c:y val="-9.6638680011994549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tx1">
                            <a:lumMod val="75000"/>
                            <a:lumOff val="25000"/>
                          </a:schemeClr>
                        </a:solidFill>
                        <a:latin typeface="+mn-lt"/>
                        <a:ea typeface="+mn-ea"/>
                        <a:cs typeface="+mn-cs"/>
                      </a:defRPr>
                    </a:pPr>
                    <a:fld id="{6F7D688D-08E1-4C3E-B88A-5A6FCB65F87E}" type="PERCENTAGE">
                      <a:rPr lang="en-US"/>
                      <a:pPr>
                        <a:defRPr b="1"/>
                      </a:pPr>
                      <a:t>[PERCENTAGE]</a:t>
                    </a:fld>
                    <a:r>
                      <a:rPr lang="en-US"/>
                      <a:t> Sobrevivencia PN</a:t>
                    </a:r>
                  </a:p>
                </c:rich>
              </c:tx>
              <c:numFmt formatCode="0.00%" sourceLinked="0"/>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bestFit"/>
              <c:showLegendKey val="0"/>
              <c:showVal val="0"/>
              <c:showCatName val="0"/>
              <c:showSerName val="0"/>
              <c:showPercent val="1"/>
              <c:showBubbleSize val="0"/>
              <c:extLst>
                <c:ext xmlns:c15="http://schemas.microsoft.com/office/drawing/2012/chart" uri="{CE6537A1-D6FC-4f65-9D91-7224C49458BB}">
                  <c15:layout>
                    <c:manualLayout>
                      <c:w val="0.23471364109388787"/>
                      <c:h val="6.7476014657025726E-2"/>
                    </c:manualLayout>
                  </c15:layout>
                  <c15:dlblFieldTable/>
                  <c15:showDataLabelsRange val="0"/>
                </c:ext>
                <c:ext xmlns:c16="http://schemas.microsoft.com/office/drawing/2014/chart" uri="{C3380CC4-5D6E-409C-BE32-E72D297353CC}">
                  <c16:uniqueId val="{00000004-D226-4742-8E7F-C6FD6D3E0DF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2540" cap="flat" cmpd="sng" algn="ctr">
                  <a:solidFill>
                    <a:srgbClr val="0070C0">
                      <a:alpha val="99000"/>
                    </a:srgbClr>
                  </a:solidFill>
                  <a:round/>
                </a:ln>
                <a:effectLst/>
              </c:spPr>
            </c:leaderLines>
            <c:extLst>
              <c:ext xmlns:c15="http://schemas.microsoft.com/office/drawing/2012/chart" uri="{CE6537A1-D6FC-4f65-9D91-7224C49458BB}"/>
            </c:extLst>
          </c:dLbls>
          <c:val>
            <c:numRef>
              <c:f>(Autoseguro!$C$13,Autoseguro!$H$13,Autoseguro!$M$13,Autoseguro!$O$13)</c:f>
              <c:numCache>
                <c:formatCode>0.00%</c:formatCode>
                <c:ptCount val="4"/>
                <c:pt idx="0">
                  <c:v>0.10468683636445887</c:v>
                </c:pt>
                <c:pt idx="1">
                  <c:v>1E-3</c:v>
                </c:pt>
                <c:pt idx="2">
                  <c:v>0.44666012561941576</c:v>
                </c:pt>
                <c:pt idx="3">
                  <c:v>0.447567907482537</c:v>
                </c:pt>
              </c:numCache>
            </c:numRef>
          </c:val>
          <c:extLst>
            <c:ext xmlns:c16="http://schemas.microsoft.com/office/drawing/2014/chart" uri="{C3380CC4-5D6E-409C-BE32-E72D297353CC}">
              <c16:uniqueId val="{00000000-D226-4742-8E7F-C6FD6D3E0DFF}"/>
            </c:ext>
          </c:extLst>
        </c:ser>
        <c:dLbls>
          <c:dLblPos val="inEnd"/>
          <c:showLegendKey val="0"/>
          <c:showVal val="0"/>
          <c:showCatName val="0"/>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bar"/>
        <c:grouping val="clustered"/>
        <c:varyColors val="0"/>
        <c:ser>
          <c:idx val="0"/>
          <c:order val="0"/>
          <c:tx>
            <c:v>Inclusiones</c:v>
          </c:tx>
          <c:spPr>
            <a:solidFill>
              <a:schemeClr val="bg1">
                <a:lumMod val="75000"/>
              </a:schemeClr>
            </a:solidFill>
            <a:ln>
              <a:solidFill>
                <a:schemeClr val="bg1">
                  <a:lumMod val="75000"/>
                </a:schemeClr>
              </a:solidFill>
            </a:ln>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Movimientos!$A$9:$A$11</c:f>
              <c:strCache>
                <c:ptCount val="3"/>
                <c:pt idx="0">
                  <c:v>Septiembre</c:v>
                </c:pt>
                <c:pt idx="1">
                  <c:v>Agosto</c:v>
                </c:pt>
                <c:pt idx="2">
                  <c:v>Julio</c:v>
                </c:pt>
              </c:strCache>
            </c:strRef>
          </c:cat>
          <c:val>
            <c:numRef>
              <c:f>Movimientos!$B$9:$B$11</c:f>
              <c:numCache>
                <c:formatCode>#,##0</c:formatCode>
                <c:ptCount val="3"/>
                <c:pt idx="0">
                  <c:v>1404</c:v>
                </c:pt>
                <c:pt idx="1">
                  <c:v>1837</c:v>
                </c:pt>
                <c:pt idx="2">
                  <c:v>1441</c:v>
                </c:pt>
              </c:numCache>
            </c:numRef>
          </c:val>
          <c:extLst>
            <c:ext xmlns:c16="http://schemas.microsoft.com/office/drawing/2014/chart" uri="{C3380CC4-5D6E-409C-BE32-E72D297353CC}">
              <c16:uniqueId val="{00000000-565D-4375-BB21-8C6D1E025F82}"/>
            </c:ext>
          </c:extLst>
        </c:ser>
        <c:ser>
          <c:idx val="1"/>
          <c:order val="1"/>
          <c:tx>
            <c:v>Aumentos</c:v>
          </c:tx>
          <c:spPr>
            <a:solidFill>
              <a:schemeClr val="accent3">
                <a:lumMod val="20000"/>
                <a:lumOff val="80000"/>
              </a:schemeClr>
            </a:solidFill>
            <a:ln>
              <a:solidFill>
                <a:schemeClr val="accent3">
                  <a:lumMod val="60000"/>
                  <a:lumOff val="40000"/>
                </a:schemeClr>
              </a:solidFill>
            </a:ln>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Movimientos!$A$9:$A$11</c:f>
              <c:strCache>
                <c:ptCount val="3"/>
                <c:pt idx="0">
                  <c:v>Septiembre</c:v>
                </c:pt>
                <c:pt idx="1">
                  <c:v>Agosto</c:v>
                </c:pt>
                <c:pt idx="2">
                  <c:v>Julio</c:v>
                </c:pt>
              </c:strCache>
            </c:strRef>
          </c:cat>
          <c:val>
            <c:numRef>
              <c:f>Movimientos!$H$9:$H$11</c:f>
              <c:numCache>
                <c:formatCode>#,##0</c:formatCode>
                <c:ptCount val="3"/>
                <c:pt idx="0">
                  <c:v>19</c:v>
                </c:pt>
                <c:pt idx="1">
                  <c:v>49</c:v>
                </c:pt>
                <c:pt idx="2">
                  <c:v>41</c:v>
                </c:pt>
              </c:numCache>
            </c:numRef>
          </c:val>
          <c:extLst>
            <c:ext xmlns:c16="http://schemas.microsoft.com/office/drawing/2014/chart" uri="{C3380CC4-5D6E-409C-BE32-E72D297353CC}">
              <c16:uniqueId val="{00000001-565D-4375-BB21-8C6D1E025F82}"/>
            </c:ext>
          </c:extLst>
        </c:ser>
        <c:ser>
          <c:idx val="2"/>
          <c:order val="2"/>
          <c:tx>
            <c:v>Exclusiones</c:v>
          </c:tx>
          <c:spPr>
            <a:solidFill>
              <a:schemeClr val="accent1">
                <a:lumMod val="60000"/>
                <a:lumOff val="40000"/>
              </a:schemeClr>
            </a:solidFill>
            <a:ln>
              <a:solidFill>
                <a:schemeClr val="accent1">
                  <a:lumMod val="60000"/>
                  <a:lumOff val="40000"/>
                </a:schemeClr>
              </a:solidFill>
            </a:ln>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Movimientos!$A$9:$A$11</c:f>
              <c:strCache>
                <c:ptCount val="3"/>
                <c:pt idx="0">
                  <c:v>Septiembre</c:v>
                </c:pt>
                <c:pt idx="1">
                  <c:v>Agosto</c:v>
                </c:pt>
                <c:pt idx="2">
                  <c:v>Julio</c:v>
                </c:pt>
              </c:strCache>
            </c:strRef>
          </c:cat>
          <c:val>
            <c:numRef>
              <c:f>Movimientos!$J$9:$J$11</c:f>
              <c:numCache>
                <c:formatCode>#,##0</c:formatCode>
                <c:ptCount val="3"/>
                <c:pt idx="0">
                  <c:v>681</c:v>
                </c:pt>
                <c:pt idx="1">
                  <c:v>681</c:v>
                </c:pt>
                <c:pt idx="2">
                  <c:v>511</c:v>
                </c:pt>
              </c:numCache>
            </c:numRef>
          </c:val>
          <c:extLst>
            <c:ext xmlns:c16="http://schemas.microsoft.com/office/drawing/2014/chart" uri="{C3380CC4-5D6E-409C-BE32-E72D297353CC}">
              <c16:uniqueId val="{00000002-565D-4375-BB21-8C6D1E025F82}"/>
            </c:ext>
          </c:extLst>
        </c:ser>
        <c:ser>
          <c:idx val="3"/>
          <c:order val="3"/>
          <c:tx>
            <c:v>Suspensiones</c:v>
          </c:tx>
          <c:spPr>
            <a:solidFill>
              <a:schemeClr val="accent6">
                <a:lumMod val="60000"/>
                <a:lumOff val="40000"/>
              </a:schemeClr>
            </a:solidFill>
            <a:ln>
              <a:solidFill>
                <a:schemeClr val="accent6">
                  <a:lumMod val="60000"/>
                  <a:lumOff val="40000"/>
                </a:schemeClr>
              </a:solidFill>
            </a:ln>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Movimientos!$A$9:$A$11</c:f>
              <c:strCache>
                <c:ptCount val="3"/>
                <c:pt idx="0">
                  <c:v>Septiembre</c:v>
                </c:pt>
                <c:pt idx="1">
                  <c:v>Agosto</c:v>
                </c:pt>
                <c:pt idx="2">
                  <c:v>Julio</c:v>
                </c:pt>
              </c:strCache>
            </c:strRef>
          </c:cat>
          <c:val>
            <c:numRef>
              <c:f>Movimientos!$L$9:$L$11</c:f>
              <c:numCache>
                <c:formatCode>#,##0</c:formatCode>
                <c:ptCount val="3"/>
                <c:pt idx="0">
                  <c:v>56</c:v>
                </c:pt>
                <c:pt idx="1">
                  <c:v>69</c:v>
                </c:pt>
                <c:pt idx="2">
                  <c:v>144</c:v>
                </c:pt>
              </c:numCache>
            </c:numRef>
          </c:val>
          <c:extLst>
            <c:ext xmlns:c16="http://schemas.microsoft.com/office/drawing/2014/chart" uri="{C3380CC4-5D6E-409C-BE32-E72D297353CC}">
              <c16:uniqueId val="{00000003-565D-4375-BB21-8C6D1E025F82}"/>
            </c:ext>
          </c:extLst>
        </c:ser>
        <c:ser>
          <c:idx val="4"/>
          <c:order val="4"/>
          <c:tx>
            <c:v>Sobrevivencia</c:v>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Movimientos!$D$9:$D$11</c:f>
              <c:numCache>
                <c:formatCode>#,##0</c:formatCode>
                <c:ptCount val="3"/>
                <c:pt idx="0">
                  <c:v>155</c:v>
                </c:pt>
                <c:pt idx="1">
                  <c:v>141</c:v>
                </c:pt>
                <c:pt idx="2">
                  <c:v>171</c:v>
                </c:pt>
              </c:numCache>
            </c:numRef>
          </c:val>
          <c:extLst>
            <c:ext xmlns:c16="http://schemas.microsoft.com/office/drawing/2014/chart" uri="{C3380CC4-5D6E-409C-BE32-E72D297353CC}">
              <c16:uniqueId val="{00000004-565D-4375-BB21-8C6D1E025F82}"/>
            </c:ext>
          </c:extLst>
        </c:ser>
        <c:ser>
          <c:idx val="5"/>
          <c:order val="5"/>
          <c:tx>
            <c:v>Reinclusión</c:v>
          </c:tx>
          <c:spPr>
            <a:solidFill>
              <a:srgbClr val="FFC000"/>
            </a:solidFill>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Movimientos!$F$9:$F$11</c:f>
              <c:numCache>
                <c:formatCode>#,##0</c:formatCode>
                <c:ptCount val="3"/>
                <c:pt idx="0">
                  <c:v>62</c:v>
                </c:pt>
                <c:pt idx="1">
                  <c:v>50</c:v>
                </c:pt>
                <c:pt idx="2">
                  <c:v>81</c:v>
                </c:pt>
              </c:numCache>
            </c:numRef>
          </c:val>
          <c:extLst>
            <c:ext xmlns:c16="http://schemas.microsoft.com/office/drawing/2014/chart" uri="{C3380CC4-5D6E-409C-BE32-E72D297353CC}">
              <c16:uniqueId val="{00000005-565D-4375-BB21-8C6D1E025F82}"/>
            </c:ext>
          </c:extLst>
        </c:ser>
        <c:dLbls>
          <c:dLblPos val="inEnd"/>
          <c:showLegendKey val="0"/>
          <c:showVal val="1"/>
          <c:showCatName val="0"/>
          <c:showSerName val="0"/>
          <c:showPercent val="0"/>
          <c:showBubbleSize val="0"/>
        </c:dLbls>
        <c:gapWidth val="150"/>
        <c:axId val="1665022896"/>
        <c:axId val="1665031056"/>
      </c:barChart>
      <c:catAx>
        <c:axId val="1665022896"/>
        <c:scaling>
          <c:orientation val="minMax"/>
        </c:scaling>
        <c:delete val="0"/>
        <c:axPos val="l"/>
        <c:numFmt formatCode="General" sourceLinked="0"/>
        <c:majorTickMark val="none"/>
        <c:minorTickMark val="none"/>
        <c:tickLblPos val="nextTo"/>
        <c:txPr>
          <a:bodyPr/>
          <a:lstStyle/>
          <a:p>
            <a:pPr>
              <a:defRPr b="1"/>
            </a:pPr>
            <a:endParaRPr lang="es-ES"/>
          </a:p>
        </c:txPr>
        <c:crossAx val="1665031056"/>
        <c:crosses val="autoZero"/>
        <c:auto val="1"/>
        <c:lblAlgn val="ctr"/>
        <c:lblOffset val="100"/>
        <c:noMultiLvlLbl val="0"/>
      </c:catAx>
      <c:valAx>
        <c:axId val="1665031056"/>
        <c:scaling>
          <c:logBase val="10"/>
          <c:orientation val="minMax"/>
        </c:scaling>
        <c:delete val="0"/>
        <c:axPos val="b"/>
        <c:numFmt formatCode="#,##0" sourceLinked="1"/>
        <c:majorTickMark val="none"/>
        <c:minorTickMark val="none"/>
        <c:tickLblPos val="nextTo"/>
        <c:txPr>
          <a:bodyPr/>
          <a:lstStyle/>
          <a:p>
            <a:pPr>
              <a:defRPr b="1"/>
            </a:pPr>
            <a:endParaRPr lang="es-ES"/>
          </a:p>
        </c:txPr>
        <c:crossAx val="1665022896"/>
        <c:crosses val="autoZero"/>
        <c:crossBetween val="between"/>
      </c:valAx>
    </c:plotArea>
    <c:legend>
      <c:legendPos val="r"/>
      <c:overlay val="0"/>
      <c:txPr>
        <a:bodyPr/>
        <a:lstStyle/>
        <a:p>
          <a:pPr>
            <a:defRPr b="1"/>
          </a:pPr>
          <a:endParaRPr lang="es-ES"/>
        </a:p>
      </c:txPr>
    </c:legend>
    <c:plotVisOnly val="1"/>
    <c:dispBlanksAs val="gap"/>
    <c:showDLblsOverMax val="0"/>
  </c:chart>
  <c:spPr>
    <a:ln>
      <a:solidFill>
        <a:schemeClr val="bg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'Afiliados y Cotizantes'!$B$6</c:f>
              <c:strCache>
                <c:ptCount val="1"/>
                <c:pt idx="0">
                  <c:v>Afiliados al Sistema de Reparto</c:v>
                </c:pt>
              </c:strCache>
            </c:strRef>
          </c:tx>
          <c:spPr>
            <a:solidFill>
              <a:schemeClr val="bg1">
                <a:lumMod val="75000"/>
              </a:schemeClr>
            </a:solidFill>
            <a:ln>
              <a:solidFill>
                <a:schemeClr val="bg1">
                  <a:lumMod val="75000"/>
                </a:schemeClr>
              </a:solidFill>
            </a:ln>
          </c:spPr>
          <c:invertIfNegative val="0"/>
          <c:dLbls>
            <c:dLbl>
              <c:idx val="0"/>
              <c:layout>
                <c:manualLayout>
                  <c:x val="2.3665036994507917E-17"/>
                  <c:y val="0.222501366029986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54-4B02-BE0A-FF69FF46AF7C}"/>
                </c:ext>
              </c:extLst>
            </c:dLbl>
            <c:dLbl>
              <c:idx val="1"/>
              <c:layout>
                <c:manualLayout>
                  <c:x val="-2.5816702227310574E-3"/>
                  <c:y val="0.477557014024595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54-4B02-BE0A-FF69FF46AF7C}"/>
                </c:ext>
              </c:extLst>
            </c:dLbl>
            <c:dLbl>
              <c:idx val="2"/>
              <c:layout>
                <c:manualLayout>
                  <c:x val="0"/>
                  <c:y val="0.2389227043801463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854-4B02-BE0A-FF69FF46AF7C}"/>
                </c:ext>
              </c:extLst>
            </c:dLbl>
            <c:spPr>
              <a:noFill/>
              <a:ln>
                <a:noFill/>
              </a:ln>
              <a:effectLst/>
            </c:spPr>
            <c:txPr>
              <a:bodyPr rot="-5400000" vert="horz"/>
              <a:lstStyle/>
              <a:p>
                <a:pPr>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'Afiliados y Cotizantes'!$A$7:$A$9</c:f>
              <c:strCache>
                <c:ptCount val="3"/>
                <c:pt idx="0">
                  <c:v>Septiembre</c:v>
                </c:pt>
                <c:pt idx="1">
                  <c:v>Agosto</c:v>
                </c:pt>
                <c:pt idx="2">
                  <c:v>Julio</c:v>
                </c:pt>
              </c:strCache>
            </c:strRef>
          </c:cat>
          <c:val>
            <c:numRef>
              <c:f>'Afiliados y Cotizantes'!$B$7:$B$9</c:f>
              <c:numCache>
                <c:formatCode>#,##0</c:formatCode>
                <c:ptCount val="3"/>
                <c:pt idx="0">
                  <c:v>93252</c:v>
                </c:pt>
                <c:pt idx="1">
                  <c:v>92997</c:v>
                </c:pt>
                <c:pt idx="2">
                  <c:v>92597</c:v>
                </c:pt>
              </c:numCache>
            </c:numRef>
          </c:val>
          <c:extLst>
            <c:ext xmlns:c16="http://schemas.microsoft.com/office/drawing/2014/chart" uri="{C3380CC4-5D6E-409C-BE32-E72D297353CC}">
              <c16:uniqueId val="{00000003-6854-4B02-BE0A-FF69FF46AF7C}"/>
            </c:ext>
          </c:extLst>
        </c:ser>
        <c:ser>
          <c:idx val="1"/>
          <c:order val="1"/>
          <c:tx>
            <c:strRef>
              <c:f>'Afiliados y Cotizantes'!$C$6</c:f>
              <c:strCache>
                <c:ptCount val="1"/>
                <c:pt idx="0">
                  <c:v>Cotizantes</c:v>
                </c:pt>
              </c:strCache>
            </c:strRef>
          </c:tx>
          <c:spPr>
            <a:solidFill>
              <a:schemeClr val="accent3">
                <a:lumMod val="60000"/>
                <a:lumOff val="40000"/>
              </a:schemeClr>
            </a:solidFill>
          </c:spPr>
          <c:invertIfNegative val="0"/>
          <c:dLbls>
            <c:dLbl>
              <c:idx val="0"/>
              <c:layout>
                <c:manualLayout>
                  <c:x val="-7.7577334418827987E-3"/>
                  <c:y val="0.193668502136946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854-4B02-BE0A-FF69FF46AF7C}"/>
                </c:ext>
              </c:extLst>
            </c:dLbl>
            <c:dLbl>
              <c:idx val="1"/>
              <c:layout>
                <c:manualLayout>
                  <c:x val="0"/>
                  <c:y val="0.1944444319857121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854-4B02-BE0A-FF69FF46AF7C}"/>
                </c:ext>
              </c:extLst>
            </c:dLbl>
            <c:dLbl>
              <c:idx val="2"/>
              <c:layout>
                <c:manualLayout>
                  <c:x val="2.5859897607539758E-3"/>
                  <c:y val="0.194735069293226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854-4B02-BE0A-FF69FF46AF7C}"/>
                </c:ext>
              </c:extLst>
            </c:dLbl>
            <c:spPr>
              <a:noFill/>
              <a:ln>
                <a:noFill/>
              </a:ln>
              <a:effectLst/>
            </c:spPr>
            <c:txPr>
              <a:bodyPr rot="-5400000" vert="horz"/>
              <a:lstStyle/>
              <a:p>
                <a:pPr>
                  <a:defRPr sz="1050" baseline="0"/>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'Afiliados y Cotizantes'!$A$7:$A$9</c:f>
              <c:strCache>
                <c:ptCount val="3"/>
                <c:pt idx="0">
                  <c:v>Septiembre</c:v>
                </c:pt>
                <c:pt idx="1">
                  <c:v>Agosto</c:v>
                </c:pt>
                <c:pt idx="2">
                  <c:v>Julio</c:v>
                </c:pt>
              </c:strCache>
            </c:strRef>
          </c:cat>
          <c:val>
            <c:numRef>
              <c:f>'Afiliados y Cotizantes'!$C$7:$C$9</c:f>
              <c:numCache>
                <c:formatCode>#,##0</c:formatCode>
                <c:ptCount val="3"/>
                <c:pt idx="0">
                  <c:v>26940</c:v>
                </c:pt>
                <c:pt idx="1">
                  <c:v>26327</c:v>
                </c:pt>
                <c:pt idx="2">
                  <c:v>26236</c:v>
                </c:pt>
              </c:numCache>
            </c:numRef>
          </c:val>
          <c:extLst>
            <c:ext xmlns:c16="http://schemas.microsoft.com/office/drawing/2014/chart" uri="{C3380CC4-5D6E-409C-BE32-E72D297353CC}">
              <c16:uniqueId val="{00000007-6854-4B02-BE0A-FF69FF46AF7C}"/>
            </c:ext>
          </c:extLst>
        </c:ser>
        <c:dLbls>
          <c:showLegendKey val="0"/>
          <c:showVal val="1"/>
          <c:showCatName val="0"/>
          <c:showSerName val="0"/>
          <c:showPercent val="0"/>
          <c:showBubbleSize val="0"/>
        </c:dLbls>
        <c:gapWidth val="75"/>
        <c:axId val="1578271600"/>
        <c:axId val="1578260720"/>
      </c:barChart>
      <c:lineChart>
        <c:grouping val="standard"/>
        <c:varyColors val="0"/>
        <c:ser>
          <c:idx val="2"/>
          <c:order val="2"/>
          <c:tx>
            <c:strRef>
              <c:f>'Afiliados y Cotizantes'!$D$6</c:f>
              <c:strCache>
                <c:ptCount val="1"/>
                <c:pt idx="0">
                  <c:v>% Cotizantes</c:v>
                </c:pt>
              </c:strCache>
            </c:strRef>
          </c:tx>
          <c:spPr>
            <a:ln>
              <a:solidFill>
                <a:schemeClr val="tx2">
                  <a:lumMod val="60000"/>
                  <a:lumOff val="40000"/>
                </a:schemeClr>
              </a:solidFill>
            </a:ln>
          </c:spPr>
          <c:marker>
            <c:spPr>
              <a:solidFill>
                <a:schemeClr val="tx2">
                  <a:lumMod val="60000"/>
                  <a:lumOff val="40000"/>
                </a:schemeClr>
              </a:solidFill>
              <a:ln>
                <a:solidFill>
                  <a:schemeClr val="tx2">
                    <a:lumMod val="60000"/>
                    <a:lumOff val="40000"/>
                  </a:schemeClr>
                </a:solidFill>
              </a:ln>
            </c:spPr>
          </c:marker>
          <c:dLbls>
            <c:dLbl>
              <c:idx val="0"/>
              <c:layout>
                <c:manualLayout>
                  <c:x val="-7.7272093495421197E-3"/>
                  <c:y val="-8.14901261805458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854-4B02-BE0A-FF69FF46AF7C}"/>
                </c:ext>
              </c:extLst>
            </c:dLbl>
            <c:dLbl>
              <c:idx val="1"/>
              <c:layout>
                <c:manualLayout>
                  <c:x val="-2.3235032004579517E-2"/>
                  <c:y val="-0.1137374118837468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854-4B02-BE0A-FF69FF46AF7C}"/>
                </c:ext>
              </c:extLst>
            </c:dLbl>
            <c:dLbl>
              <c:idx val="2"/>
              <c:layout>
                <c:manualLayout>
                  <c:x val="-3.4707803203467044E-2"/>
                  <c:y val="2.8480662078962746E-3"/>
                </c:manualLayout>
              </c:layout>
              <c:spPr>
                <a:noFill/>
                <a:ln>
                  <a:noFill/>
                </a:ln>
                <a:effectLst/>
              </c:spPr>
              <c:txPr>
                <a:bodyPr wrap="square" lIns="38100" tIns="19050" rIns="38100" bIns="19050" anchor="ctr">
                  <a:noAutofit/>
                </a:bodyPr>
                <a:lstStyle/>
                <a:p>
                  <a:pPr>
                    <a:defRPr sz="900" b="1"/>
                  </a:pPr>
                  <a:endParaRPr lang="es-ES"/>
                </a:p>
              </c:txPr>
              <c:showLegendKey val="0"/>
              <c:showVal val="1"/>
              <c:showCatName val="0"/>
              <c:showSerName val="0"/>
              <c:showPercent val="0"/>
              <c:showBubbleSize val="0"/>
              <c:extLst>
                <c:ext xmlns:c15="http://schemas.microsoft.com/office/drawing/2012/chart" uri="{CE6537A1-D6FC-4f65-9D91-7224C49458BB}">
                  <c15:layout>
                    <c:manualLayout>
                      <c:w val="0.13795129235811132"/>
                      <c:h val="0.13217897696564784"/>
                    </c:manualLayout>
                  </c15:layout>
                </c:ext>
                <c:ext xmlns:c16="http://schemas.microsoft.com/office/drawing/2014/chart" uri="{C3380CC4-5D6E-409C-BE32-E72D297353CC}">
                  <c16:uniqueId val="{0000000A-6854-4B02-BE0A-FF69FF46AF7C}"/>
                </c:ext>
              </c:extLst>
            </c:dLbl>
            <c:spPr>
              <a:noFill/>
              <a:ln>
                <a:noFill/>
              </a:ln>
              <a:effectLst/>
            </c:spPr>
            <c:txPr>
              <a:bodyPr wrap="square" lIns="38100" tIns="19050" rIns="38100" bIns="19050" anchor="ctr">
                <a:spAutoFit/>
              </a:bodyPr>
              <a:lstStyle/>
              <a:p>
                <a:pPr>
                  <a:defRPr sz="90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'Afiliados y Cotizantes'!$A$7:$A$9</c:f>
              <c:strCache>
                <c:ptCount val="3"/>
                <c:pt idx="0">
                  <c:v>Septiembre</c:v>
                </c:pt>
                <c:pt idx="1">
                  <c:v>Agosto</c:v>
                </c:pt>
                <c:pt idx="2">
                  <c:v>Julio</c:v>
                </c:pt>
              </c:strCache>
            </c:strRef>
          </c:cat>
          <c:val>
            <c:numRef>
              <c:f>'Afiliados y Cotizantes'!$D$7:$D$9</c:f>
              <c:numCache>
                <c:formatCode>0.00%</c:formatCode>
                <c:ptCount val="3"/>
                <c:pt idx="0">
                  <c:v>0.28889460815853818</c:v>
                </c:pt>
                <c:pt idx="1">
                  <c:v>0.28309515360710563</c:v>
                </c:pt>
                <c:pt idx="2">
                  <c:v>0.28333531323908984</c:v>
                </c:pt>
              </c:numCache>
            </c:numRef>
          </c:val>
          <c:smooth val="0"/>
          <c:extLst>
            <c:ext xmlns:c16="http://schemas.microsoft.com/office/drawing/2014/chart" uri="{C3380CC4-5D6E-409C-BE32-E72D297353CC}">
              <c16:uniqueId val="{0000000B-6854-4B02-BE0A-FF69FF46AF7C}"/>
            </c:ext>
          </c:extLst>
        </c:ser>
        <c:dLbls>
          <c:showLegendKey val="0"/>
          <c:showVal val="1"/>
          <c:showCatName val="0"/>
          <c:showSerName val="0"/>
          <c:showPercent val="0"/>
          <c:showBubbleSize val="0"/>
        </c:dLbls>
        <c:marker val="1"/>
        <c:smooth val="0"/>
        <c:axId val="1578262352"/>
        <c:axId val="1578258544"/>
      </c:lineChart>
      <c:catAx>
        <c:axId val="1578271600"/>
        <c:scaling>
          <c:orientation val="minMax"/>
        </c:scaling>
        <c:delete val="0"/>
        <c:axPos val="b"/>
        <c:numFmt formatCode="General" sourceLinked="0"/>
        <c:majorTickMark val="none"/>
        <c:minorTickMark val="none"/>
        <c:tickLblPos val="nextTo"/>
        <c:crossAx val="1578260720"/>
        <c:crosses val="autoZero"/>
        <c:auto val="1"/>
        <c:lblAlgn val="ctr"/>
        <c:lblOffset val="100"/>
        <c:noMultiLvlLbl val="0"/>
      </c:catAx>
      <c:valAx>
        <c:axId val="1578260720"/>
        <c:scaling>
          <c:orientation val="minMax"/>
        </c:scaling>
        <c:delete val="0"/>
        <c:axPos val="l"/>
        <c:numFmt formatCode="#,##0" sourceLinked="1"/>
        <c:majorTickMark val="none"/>
        <c:minorTickMark val="none"/>
        <c:tickLblPos val="nextTo"/>
        <c:crossAx val="1578271600"/>
        <c:crosses val="autoZero"/>
        <c:crossBetween val="between"/>
      </c:valAx>
      <c:valAx>
        <c:axId val="1578258544"/>
        <c:scaling>
          <c:orientation val="minMax"/>
        </c:scaling>
        <c:delete val="0"/>
        <c:axPos val="r"/>
        <c:numFmt formatCode="0.00%" sourceLinked="1"/>
        <c:majorTickMark val="out"/>
        <c:minorTickMark val="none"/>
        <c:tickLblPos val="nextTo"/>
        <c:crossAx val="1578262352"/>
        <c:crosses val="max"/>
        <c:crossBetween val="between"/>
      </c:valAx>
      <c:catAx>
        <c:axId val="1578262352"/>
        <c:scaling>
          <c:orientation val="minMax"/>
        </c:scaling>
        <c:delete val="1"/>
        <c:axPos val="b"/>
        <c:numFmt formatCode="General" sourceLinked="1"/>
        <c:majorTickMark val="out"/>
        <c:minorTickMark val="none"/>
        <c:tickLblPos val="nextTo"/>
        <c:crossAx val="1578258544"/>
        <c:crosses val="autoZero"/>
        <c:auto val="1"/>
        <c:lblAlgn val="ctr"/>
        <c:lblOffset val="100"/>
        <c:noMultiLvlLbl val="0"/>
      </c:catAx>
    </c:plotArea>
    <c:legend>
      <c:legendPos val="b"/>
      <c:overlay val="0"/>
    </c:legend>
    <c:plotVisOnly val="1"/>
    <c:dispBlanksAs val="gap"/>
    <c:showDLblsOverMax val="0"/>
  </c:chart>
  <c:spPr>
    <a:ln>
      <a:noFill/>
    </a:ln>
  </c:spPr>
  <c:printSettings>
    <c:headerFooter/>
    <c:pageMargins b="0.75" l="0.7" r="0.7" t="0.75" header="0.3" footer="0.3"/>
    <c:pageSetup orientation="portrait"/>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bar"/>
        <c:grouping val="clustered"/>
        <c:varyColors val="0"/>
        <c:ser>
          <c:idx val="0"/>
          <c:order val="0"/>
          <c:tx>
            <c:v>Inclusiones</c:v>
          </c:tx>
          <c:spPr>
            <a:solidFill>
              <a:schemeClr val="bg1">
                <a:lumMod val="75000"/>
              </a:schemeClr>
            </a:solidFill>
            <a:ln>
              <a:solidFill>
                <a:schemeClr val="bg1">
                  <a:lumMod val="75000"/>
                </a:schemeClr>
              </a:solidFill>
            </a:ln>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Movimientos!$A$9:$A$11</c:f>
              <c:strCache>
                <c:ptCount val="3"/>
                <c:pt idx="0">
                  <c:v>Septiembre</c:v>
                </c:pt>
                <c:pt idx="1">
                  <c:v>Agosto</c:v>
                </c:pt>
                <c:pt idx="2">
                  <c:v>Julio</c:v>
                </c:pt>
              </c:strCache>
            </c:strRef>
          </c:cat>
          <c:val>
            <c:numRef>
              <c:f>Movimientos!$C$9:$C$11</c:f>
              <c:numCache>
                <c:formatCode>#,##0.00</c:formatCode>
                <c:ptCount val="3"/>
                <c:pt idx="0">
                  <c:v>22561365.919999998</c:v>
                </c:pt>
                <c:pt idx="1">
                  <c:v>32427484.34</c:v>
                </c:pt>
                <c:pt idx="2">
                  <c:v>27593992.859999999</c:v>
                </c:pt>
              </c:numCache>
            </c:numRef>
          </c:val>
          <c:extLst>
            <c:ext xmlns:c16="http://schemas.microsoft.com/office/drawing/2014/chart" uri="{C3380CC4-5D6E-409C-BE32-E72D297353CC}">
              <c16:uniqueId val="{00000000-5149-49A7-9ED4-8922C1B4A086}"/>
            </c:ext>
          </c:extLst>
        </c:ser>
        <c:ser>
          <c:idx val="1"/>
          <c:order val="1"/>
          <c:tx>
            <c:v>Aumentos</c:v>
          </c:tx>
          <c:spPr>
            <a:solidFill>
              <a:schemeClr val="accent3">
                <a:lumMod val="20000"/>
                <a:lumOff val="80000"/>
              </a:schemeClr>
            </a:solidFill>
            <a:ln>
              <a:solidFill>
                <a:schemeClr val="accent3">
                  <a:lumMod val="60000"/>
                  <a:lumOff val="40000"/>
                </a:schemeClr>
              </a:solidFill>
            </a:ln>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Movimientos!$A$9:$A$11</c:f>
              <c:strCache>
                <c:ptCount val="3"/>
                <c:pt idx="0">
                  <c:v>Septiembre</c:v>
                </c:pt>
                <c:pt idx="1">
                  <c:v>Agosto</c:v>
                </c:pt>
                <c:pt idx="2">
                  <c:v>Julio</c:v>
                </c:pt>
              </c:strCache>
            </c:strRef>
          </c:cat>
          <c:val>
            <c:numRef>
              <c:f>Movimientos!$I$9:$I$11</c:f>
              <c:numCache>
                <c:formatCode>#,##0.00</c:formatCode>
                <c:ptCount val="3"/>
                <c:pt idx="0">
                  <c:v>365108.01</c:v>
                </c:pt>
                <c:pt idx="1">
                  <c:v>808695.82</c:v>
                </c:pt>
                <c:pt idx="2">
                  <c:v>482718.19999999995</c:v>
                </c:pt>
              </c:numCache>
            </c:numRef>
          </c:val>
          <c:extLst>
            <c:ext xmlns:c16="http://schemas.microsoft.com/office/drawing/2014/chart" uri="{C3380CC4-5D6E-409C-BE32-E72D297353CC}">
              <c16:uniqueId val="{00000001-5149-49A7-9ED4-8922C1B4A086}"/>
            </c:ext>
          </c:extLst>
        </c:ser>
        <c:ser>
          <c:idx val="2"/>
          <c:order val="2"/>
          <c:tx>
            <c:v>Exclusiones</c:v>
          </c:tx>
          <c:spPr>
            <a:solidFill>
              <a:schemeClr val="accent1">
                <a:lumMod val="60000"/>
                <a:lumOff val="40000"/>
              </a:schemeClr>
            </a:solidFill>
            <a:ln>
              <a:solidFill>
                <a:schemeClr val="accent1">
                  <a:lumMod val="60000"/>
                  <a:lumOff val="40000"/>
                </a:schemeClr>
              </a:solidFill>
            </a:ln>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Movimientos!$A$9:$A$11</c:f>
              <c:strCache>
                <c:ptCount val="3"/>
                <c:pt idx="0">
                  <c:v>Septiembre</c:v>
                </c:pt>
                <c:pt idx="1">
                  <c:v>Agosto</c:v>
                </c:pt>
                <c:pt idx="2">
                  <c:v>Julio</c:v>
                </c:pt>
              </c:strCache>
            </c:strRef>
          </c:cat>
          <c:val>
            <c:numRef>
              <c:f>Movimientos!$K$9:$K$11</c:f>
              <c:numCache>
                <c:formatCode>#,##0.00</c:formatCode>
                <c:ptCount val="3"/>
                <c:pt idx="0">
                  <c:v>8320227.4299999997</c:v>
                </c:pt>
                <c:pt idx="1">
                  <c:v>7958147.8700000001</c:v>
                </c:pt>
                <c:pt idx="2">
                  <c:v>6199060.9000000004</c:v>
                </c:pt>
              </c:numCache>
            </c:numRef>
          </c:val>
          <c:extLst>
            <c:ext xmlns:c16="http://schemas.microsoft.com/office/drawing/2014/chart" uri="{C3380CC4-5D6E-409C-BE32-E72D297353CC}">
              <c16:uniqueId val="{00000002-5149-49A7-9ED4-8922C1B4A086}"/>
            </c:ext>
          </c:extLst>
        </c:ser>
        <c:ser>
          <c:idx val="3"/>
          <c:order val="3"/>
          <c:tx>
            <c:v>Suspensiones</c:v>
          </c:tx>
          <c:spPr>
            <a:solidFill>
              <a:schemeClr val="accent6">
                <a:lumMod val="60000"/>
                <a:lumOff val="40000"/>
              </a:schemeClr>
            </a:solidFill>
            <a:ln>
              <a:solidFill>
                <a:schemeClr val="accent6">
                  <a:lumMod val="60000"/>
                  <a:lumOff val="40000"/>
                </a:schemeClr>
              </a:solidFill>
            </a:ln>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Movimientos!$A$9:$A$11</c:f>
              <c:strCache>
                <c:ptCount val="3"/>
                <c:pt idx="0">
                  <c:v>Septiembre</c:v>
                </c:pt>
                <c:pt idx="1">
                  <c:v>Agosto</c:v>
                </c:pt>
                <c:pt idx="2">
                  <c:v>Julio</c:v>
                </c:pt>
              </c:strCache>
            </c:strRef>
          </c:cat>
          <c:val>
            <c:numRef>
              <c:f>Movimientos!$M$9:$M$11</c:f>
              <c:numCache>
                <c:formatCode>#,##0.00</c:formatCode>
                <c:ptCount val="3"/>
                <c:pt idx="0">
                  <c:v>1023455.99</c:v>
                </c:pt>
                <c:pt idx="1">
                  <c:v>920604.13</c:v>
                </c:pt>
                <c:pt idx="2">
                  <c:v>1889217.37</c:v>
                </c:pt>
              </c:numCache>
            </c:numRef>
          </c:val>
          <c:extLst>
            <c:ext xmlns:c16="http://schemas.microsoft.com/office/drawing/2014/chart" uri="{C3380CC4-5D6E-409C-BE32-E72D297353CC}">
              <c16:uniqueId val="{00000003-5149-49A7-9ED4-8922C1B4A086}"/>
            </c:ext>
          </c:extLst>
        </c:ser>
        <c:ser>
          <c:idx val="4"/>
          <c:order val="4"/>
          <c:tx>
            <c:v>Sobrevivencia</c:v>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Movimientos!$E$9:$E$11</c:f>
              <c:numCache>
                <c:formatCode>#,##0.00</c:formatCode>
                <c:ptCount val="3"/>
                <c:pt idx="0">
                  <c:v>2619658.96</c:v>
                </c:pt>
                <c:pt idx="1">
                  <c:v>1913955.7399999998</c:v>
                </c:pt>
                <c:pt idx="2">
                  <c:v>2746162.81</c:v>
                </c:pt>
              </c:numCache>
            </c:numRef>
          </c:val>
          <c:extLst>
            <c:ext xmlns:c16="http://schemas.microsoft.com/office/drawing/2014/chart" uri="{C3380CC4-5D6E-409C-BE32-E72D297353CC}">
              <c16:uniqueId val="{00000004-5149-49A7-9ED4-8922C1B4A086}"/>
            </c:ext>
          </c:extLst>
        </c:ser>
        <c:ser>
          <c:idx val="5"/>
          <c:order val="5"/>
          <c:tx>
            <c:v>Reinclusión</c:v>
          </c:tx>
          <c:spPr>
            <a:solidFill>
              <a:srgbClr val="FFC000"/>
            </a:solidFill>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Movimientos!$G$9:$G$11</c:f>
              <c:numCache>
                <c:formatCode>#,##0.00</c:formatCode>
                <c:ptCount val="3"/>
                <c:pt idx="0">
                  <c:v>896287.28999999992</c:v>
                </c:pt>
                <c:pt idx="1">
                  <c:v>672093.92999999993</c:v>
                </c:pt>
                <c:pt idx="2">
                  <c:v>910718.36</c:v>
                </c:pt>
              </c:numCache>
            </c:numRef>
          </c:val>
          <c:extLst>
            <c:ext xmlns:c16="http://schemas.microsoft.com/office/drawing/2014/chart" uri="{C3380CC4-5D6E-409C-BE32-E72D297353CC}">
              <c16:uniqueId val="{00000005-5149-49A7-9ED4-8922C1B4A086}"/>
            </c:ext>
          </c:extLst>
        </c:ser>
        <c:dLbls>
          <c:dLblPos val="inEnd"/>
          <c:showLegendKey val="0"/>
          <c:showVal val="1"/>
          <c:showCatName val="0"/>
          <c:showSerName val="0"/>
          <c:showPercent val="0"/>
          <c:showBubbleSize val="0"/>
        </c:dLbls>
        <c:gapWidth val="150"/>
        <c:axId val="1665025616"/>
        <c:axId val="1670809952"/>
      </c:barChart>
      <c:catAx>
        <c:axId val="1665025616"/>
        <c:scaling>
          <c:orientation val="minMax"/>
        </c:scaling>
        <c:delete val="0"/>
        <c:axPos val="l"/>
        <c:numFmt formatCode="General" sourceLinked="0"/>
        <c:majorTickMark val="none"/>
        <c:minorTickMark val="none"/>
        <c:tickLblPos val="nextTo"/>
        <c:txPr>
          <a:bodyPr/>
          <a:lstStyle/>
          <a:p>
            <a:pPr>
              <a:defRPr b="1"/>
            </a:pPr>
            <a:endParaRPr lang="es-ES"/>
          </a:p>
        </c:txPr>
        <c:crossAx val="1670809952"/>
        <c:crosses val="autoZero"/>
        <c:auto val="1"/>
        <c:lblAlgn val="ctr"/>
        <c:lblOffset val="100"/>
        <c:noMultiLvlLbl val="0"/>
      </c:catAx>
      <c:valAx>
        <c:axId val="1670809952"/>
        <c:scaling>
          <c:logBase val="10"/>
          <c:orientation val="minMax"/>
          <c:max val="51000000"/>
          <c:min val="500000"/>
        </c:scaling>
        <c:delete val="0"/>
        <c:axPos val="b"/>
        <c:numFmt formatCode="#,##0.00" sourceLinked="1"/>
        <c:majorTickMark val="none"/>
        <c:minorTickMark val="none"/>
        <c:tickLblPos val="nextTo"/>
        <c:txPr>
          <a:bodyPr/>
          <a:lstStyle/>
          <a:p>
            <a:pPr>
              <a:defRPr b="1"/>
            </a:pPr>
            <a:endParaRPr lang="es-ES"/>
          </a:p>
        </c:txPr>
        <c:crossAx val="1665025616"/>
        <c:crosses val="autoZero"/>
        <c:crossBetween val="between"/>
        <c:majorUnit val="10"/>
      </c:valAx>
    </c:plotArea>
    <c:legend>
      <c:legendPos val="r"/>
      <c:overlay val="0"/>
      <c:txPr>
        <a:bodyPr/>
        <a:lstStyle/>
        <a:p>
          <a:pPr>
            <a:defRPr b="1"/>
          </a:pPr>
          <a:endParaRPr lang="es-ES"/>
        </a:p>
      </c:txPr>
    </c:legend>
    <c:plotVisOnly val="1"/>
    <c:dispBlanksAs val="gap"/>
    <c:showDLblsOverMax val="0"/>
  </c:chart>
  <c:spPr>
    <a:ln>
      <a:solidFill>
        <a:schemeClr val="bg1"/>
      </a:solid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DO"/>
              <a:t>Cantidad</a:t>
            </a:r>
            <a:r>
              <a:rPr lang="es-DO" baseline="0"/>
              <a:t> de Pensiones por Tipo de Pensión</a:t>
            </a:r>
            <a:endParaRPr lang="es-D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v>Julio-Septiembre 2023</c:v>
          </c:tx>
          <c:spPr>
            <a:solidFill>
              <a:schemeClr val="bg1">
                <a:lumMod val="75000"/>
              </a:schemeClr>
            </a:solidFill>
            <a:ln>
              <a:noFill/>
            </a:ln>
            <a:effectLst/>
          </c:spPr>
          <c:invertIfNegative val="0"/>
          <c:cat>
            <c:strRef>
              <c:f>'Tipo de Pension'!$A$10:$A$18</c:f>
              <c:strCache>
                <c:ptCount val="9"/>
                <c:pt idx="0">
                  <c:v>PENSIÓN CIVIL</c:v>
                </c:pt>
                <c:pt idx="1">
                  <c:v>IDSS</c:v>
                </c:pt>
                <c:pt idx="2">
                  <c:v>GLORIAS DEL DEPORTE</c:v>
                </c:pt>
                <c:pt idx="3">
                  <c:v>PABELLÓN DE LA FAMA</c:v>
                </c:pt>
                <c:pt idx="4">
                  <c:v>PODER LEGISLATIVO</c:v>
                </c:pt>
                <c:pt idx="5">
                  <c:v>PODER EJECUTIVO</c:v>
                </c:pt>
                <c:pt idx="6">
                  <c:v>POLICÍA NACIONAL</c:v>
                </c:pt>
                <c:pt idx="7">
                  <c:v>PENSIÓN SOLIDARIA</c:v>
                </c:pt>
                <c:pt idx="8">
                  <c:v>PENSION POR SOBREVIVENCIA</c:v>
                </c:pt>
              </c:strCache>
            </c:strRef>
          </c:cat>
          <c:val>
            <c:numRef>
              <c:f>'Tipo de Pension'!$B$10:$B$18</c:f>
              <c:numCache>
                <c:formatCode>#,##0</c:formatCode>
                <c:ptCount val="9"/>
                <c:pt idx="0">
                  <c:v>33108</c:v>
                </c:pt>
                <c:pt idx="1">
                  <c:v>65802</c:v>
                </c:pt>
                <c:pt idx="2">
                  <c:v>252</c:v>
                </c:pt>
                <c:pt idx="3">
                  <c:v>168</c:v>
                </c:pt>
                <c:pt idx="4">
                  <c:v>239</c:v>
                </c:pt>
                <c:pt idx="5">
                  <c:v>30628</c:v>
                </c:pt>
                <c:pt idx="6">
                  <c:v>25022</c:v>
                </c:pt>
                <c:pt idx="7">
                  <c:v>36486</c:v>
                </c:pt>
                <c:pt idx="8">
                  <c:v>19495</c:v>
                </c:pt>
              </c:numCache>
            </c:numRef>
          </c:val>
          <c:extLst>
            <c:ext xmlns:c16="http://schemas.microsoft.com/office/drawing/2014/chart" uri="{C3380CC4-5D6E-409C-BE32-E72D297353CC}">
              <c16:uniqueId val="{00000000-B4F9-4047-9F40-71C6BD8AD3E7}"/>
            </c:ext>
          </c:extLst>
        </c:ser>
        <c:ser>
          <c:idx val="1"/>
          <c:order val="1"/>
          <c:tx>
            <c:v>Julio-Septiembre 2024</c:v>
          </c:tx>
          <c:spPr>
            <a:solidFill>
              <a:schemeClr val="accent3"/>
            </a:solidFill>
            <a:ln>
              <a:noFill/>
            </a:ln>
            <a:effectLst/>
          </c:spPr>
          <c:invertIfNegative val="0"/>
          <c:cat>
            <c:strRef>
              <c:f>'Tipo de Pension'!$A$10:$A$18</c:f>
              <c:strCache>
                <c:ptCount val="9"/>
                <c:pt idx="0">
                  <c:v>PENSIÓN CIVIL</c:v>
                </c:pt>
                <c:pt idx="1">
                  <c:v>IDSS</c:v>
                </c:pt>
                <c:pt idx="2">
                  <c:v>GLORIAS DEL DEPORTE</c:v>
                </c:pt>
                <c:pt idx="3">
                  <c:v>PABELLÓN DE LA FAMA</c:v>
                </c:pt>
                <c:pt idx="4">
                  <c:v>PODER LEGISLATIVO</c:v>
                </c:pt>
                <c:pt idx="5">
                  <c:v>PODER EJECUTIVO</c:v>
                </c:pt>
                <c:pt idx="6">
                  <c:v>POLICÍA NACIONAL</c:v>
                </c:pt>
                <c:pt idx="7">
                  <c:v>PENSIÓN SOLIDARIA</c:v>
                </c:pt>
                <c:pt idx="8">
                  <c:v>PENSION POR SOBREVIVENCIA</c:v>
                </c:pt>
              </c:strCache>
            </c:strRef>
          </c:cat>
          <c:val>
            <c:numRef>
              <c:f>'Tipo de Pension'!$F$10:$F$18</c:f>
              <c:numCache>
                <c:formatCode>#,##0</c:formatCode>
                <c:ptCount val="9"/>
                <c:pt idx="0">
                  <c:v>33837</c:v>
                </c:pt>
                <c:pt idx="1">
                  <c:v>73057</c:v>
                </c:pt>
                <c:pt idx="2">
                  <c:v>254</c:v>
                </c:pt>
                <c:pt idx="3">
                  <c:v>175</c:v>
                </c:pt>
                <c:pt idx="4">
                  <c:v>226</c:v>
                </c:pt>
                <c:pt idx="5">
                  <c:v>35405</c:v>
                </c:pt>
                <c:pt idx="6">
                  <c:v>25600</c:v>
                </c:pt>
                <c:pt idx="7">
                  <c:v>48574</c:v>
                </c:pt>
                <c:pt idx="8">
                  <c:v>20315</c:v>
                </c:pt>
              </c:numCache>
            </c:numRef>
          </c:val>
          <c:extLst>
            <c:ext xmlns:c16="http://schemas.microsoft.com/office/drawing/2014/chart" uri="{C3380CC4-5D6E-409C-BE32-E72D297353CC}">
              <c16:uniqueId val="{00000001-B4F9-4047-9F40-71C6BD8AD3E7}"/>
            </c:ext>
          </c:extLst>
        </c:ser>
        <c:dLbls>
          <c:showLegendKey val="0"/>
          <c:showVal val="0"/>
          <c:showCatName val="0"/>
          <c:showSerName val="0"/>
          <c:showPercent val="0"/>
          <c:showBubbleSize val="0"/>
        </c:dLbls>
        <c:gapWidth val="50"/>
        <c:overlap val="-10"/>
        <c:axId val="1670801792"/>
        <c:axId val="1670802336"/>
      </c:barChart>
      <c:catAx>
        <c:axId val="1670801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70802336"/>
        <c:crosses val="autoZero"/>
        <c:auto val="1"/>
        <c:lblAlgn val="ctr"/>
        <c:lblOffset val="100"/>
        <c:noMultiLvlLbl val="0"/>
      </c:catAx>
      <c:valAx>
        <c:axId val="1670802336"/>
        <c:scaling>
          <c:orientation val="minMax"/>
          <c:max val="700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70801792"/>
        <c:crosses val="autoZero"/>
        <c:crossBetween val="between"/>
        <c:majorUnit val="10000"/>
      </c:valAx>
      <c:spPr>
        <a:noFill/>
        <a:ln>
          <a:noFill/>
        </a:ln>
        <a:effectLst/>
      </c:spPr>
    </c:plotArea>
    <c:legend>
      <c:legendPos val="b"/>
      <c:layout>
        <c:manualLayout>
          <c:xMode val="edge"/>
          <c:yMode val="edge"/>
          <c:x val="0.20097366905261974"/>
          <c:y val="0.8993319686340091"/>
          <c:w val="0.64265757475713148"/>
          <c:h val="6.82925368111922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DO" baseline="0"/>
              <a:t>Total Pagado por Tipo de Pensión</a:t>
            </a:r>
            <a:endParaRPr lang="es-D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v>Julio-Septiembre 2023</c:v>
          </c:tx>
          <c:spPr>
            <a:solidFill>
              <a:schemeClr val="bg1">
                <a:lumMod val="75000"/>
              </a:schemeClr>
            </a:solidFill>
            <a:ln>
              <a:noFill/>
            </a:ln>
            <a:effectLst/>
          </c:spPr>
          <c:invertIfNegative val="0"/>
          <c:cat>
            <c:strRef>
              <c:f>'Tipo de Pension'!$A$10:$A$18</c:f>
              <c:strCache>
                <c:ptCount val="9"/>
                <c:pt idx="0">
                  <c:v>PENSIÓN CIVIL</c:v>
                </c:pt>
                <c:pt idx="1">
                  <c:v>IDSS</c:v>
                </c:pt>
                <c:pt idx="2">
                  <c:v>GLORIAS DEL DEPORTE</c:v>
                </c:pt>
                <c:pt idx="3">
                  <c:v>PABELLÓN DE LA FAMA</c:v>
                </c:pt>
                <c:pt idx="4">
                  <c:v>PODER LEGISLATIVO</c:v>
                </c:pt>
                <c:pt idx="5">
                  <c:v>PODER EJECUTIVO</c:v>
                </c:pt>
                <c:pt idx="6">
                  <c:v>POLICÍA NACIONAL</c:v>
                </c:pt>
                <c:pt idx="7">
                  <c:v>PENSIÓN SOLIDARIA</c:v>
                </c:pt>
                <c:pt idx="8">
                  <c:v>PENSION POR SOBREVIVENCIA</c:v>
                </c:pt>
              </c:strCache>
            </c:strRef>
          </c:cat>
          <c:val>
            <c:numRef>
              <c:f>'Tipo de Pension'!$D$10:$D$18</c:f>
              <c:numCache>
                <c:formatCode>#,##0.00</c:formatCode>
                <c:ptCount val="9"/>
                <c:pt idx="0">
                  <c:v>1578707199.1700001</c:v>
                </c:pt>
                <c:pt idx="1">
                  <c:v>2032761091.6600001</c:v>
                </c:pt>
                <c:pt idx="2">
                  <c:v>22734438.75</c:v>
                </c:pt>
                <c:pt idx="3">
                  <c:v>24988068.16</c:v>
                </c:pt>
                <c:pt idx="4">
                  <c:v>22278664.289999999</c:v>
                </c:pt>
                <c:pt idx="5">
                  <c:v>2511304344.4400001</c:v>
                </c:pt>
                <c:pt idx="6">
                  <c:v>2033307597.4800003</c:v>
                </c:pt>
                <c:pt idx="7">
                  <c:v>635622000</c:v>
                </c:pt>
                <c:pt idx="8">
                  <c:v>725719692.20000005</c:v>
                </c:pt>
              </c:numCache>
            </c:numRef>
          </c:val>
          <c:extLst>
            <c:ext xmlns:c16="http://schemas.microsoft.com/office/drawing/2014/chart" uri="{C3380CC4-5D6E-409C-BE32-E72D297353CC}">
              <c16:uniqueId val="{00000000-4569-44D0-B52B-F7CCBE23C12D}"/>
            </c:ext>
          </c:extLst>
        </c:ser>
        <c:ser>
          <c:idx val="1"/>
          <c:order val="1"/>
          <c:tx>
            <c:v>Julio-Septiembre 2024</c:v>
          </c:tx>
          <c:spPr>
            <a:solidFill>
              <a:schemeClr val="accent3"/>
            </a:solidFill>
            <a:ln>
              <a:noFill/>
            </a:ln>
            <a:effectLst/>
          </c:spPr>
          <c:invertIfNegative val="0"/>
          <c:cat>
            <c:strRef>
              <c:f>'Tipo de Pension'!$A$10:$A$18</c:f>
              <c:strCache>
                <c:ptCount val="9"/>
                <c:pt idx="0">
                  <c:v>PENSIÓN CIVIL</c:v>
                </c:pt>
                <c:pt idx="1">
                  <c:v>IDSS</c:v>
                </c:pt>
                <c:pt idx="2">
                  <c:v>GLORIAS DEL DEPORTE</c:v>
                </c:pt>
                <c:pt idx="3">
                  <c:v>PABELLÓN DE LA FAMA</c:v>
                </c:pt>
                <c:pt idx="4">
                  <c:v>PODER LEGISLATIVO</c:v>
                </c:pt>
                <c:pt idx="5">
                  <c:v>PODER EJECUTIVO</c:v>
                </c:pt>
                <c:pt idx="6">
                  <c:v>POLICÍA NACIONAL</c:v>
                </c:pt>
                <c:pt idx="7">
                  <c:v>PENSIÓN SOLIDARIA</c:v>
                </c:pt>
                <c:pt idx="8">
                  <c:v>PENSION POR SOBREVIVENCIA</c:v>
                </c:pt>
              </c:strCache>
            </c:strRef>
          </c:cat>
          <c:val>
            <c:numRef>
              <c:f>'Tipo de Pension'!$H$10:$H$18</c:f>
              <c:numCache>
                <c:formatCode>#,##0.00</c:formatCode>
                <c:ptCount val="9"/>
                <c:pt idx="0">
                  <c:v>1665437747.8299999</c:v>
                </c:pt>
                <c:pt idx="1">
                  <c:v>2236627080.0500002</c:v>
                </c:pt>
                <c:pt idx="2">
                  <c:v>22730663.25</c:v>
                </c:pt>
                <c:pt idx="3">
                  <c:v>26211201.280000001</c:v>
                </c:pt>
                <c:pt idx="4">
                  <c:v>21599855.700000003</c:v>
                </c:pt>
                <c:pt idx="5">
                  <c:v>3154059082.2600002</c:v>
                </c:pt>
                <c:pt idx="6">
                  <c:v>2263988788.4200001</c:v>
                </c:pt>
                <c:pt idx="7">
                  <c:v>873408000</c:v>
                </c:pt>
                <c:pt idx="8">
                  <c:v>767544978.20000005</c:v>
                </c:pt>
              </c:numCache>
            </c:numRef>
          </c:val>
          <c:extLst>
            <c:ext xmlns:c16="http://schemas.microsoft.com/office/drawing/2014/chart" uri="{C3380CC4-5D6E-409C-BE32-E72D297353CC}">
              <c16:uniqueId val="{00000001-4569-44D0-B52B-F7CCBE23C12D}"/>
            </c:ext>
          </c:extLst>
        </c:ser>
        <c:dLbls>
          <c:showLegendKey val="0"/>
          <c:showVal val="0"/>
          <c:showCatName val="0"/>
          <c:showSerName val="0"/>
          <c:showPercent val="0"/>
          <c:showBubbleSize val="0"/>
        </c:dLbls>
        <c:gapWidth val="50"/>
        <c:overlap val="-10"/>
        <c:axId val="1670808864"/>
        <c:axId val="1670811040"/>
      </c:barChart>
      <c:catAx>
        <c:axId val="1670808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70811040"/>
        <c:crosses val="autoZero"/>
        <c:auto val="1"/>
        <c:lblAlgn val="ctr"/>
        <c:lblOffset val="100"/>
        <c:noMultiLvlLbl val="0"/>
      </c:catAx>
      <c:valAx>
        <c:axId val="1670811040"/>
        <c:scaling>
          <c:orientation val="minMax"/>
          <c:max val="2200000000"/>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70808864"/>
        <c:crosses val="autoZero"/>
        <c:crossBetween val="between"/>
        <c:majorUnit val="3000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DO"/>
              <a:t>Cantidad</a:t>
            </a:r>
            <a:r>
              <a:rPr lang="es-DO" baseline="0"/>
              <a:t> de Pensiones</a:t>
            </a:r>
          </a:p>
          <a:p>
            <a:pPr>
              <a:defRPr/>
            </a:pPr>
            <a:r>
              <a:rPr lang="es-DO" baseline="0"/>
              <a:t>por Monto de Pensión</a:t>
            </a:r>
            <a:endParaRPr lang="es-D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v>Julio-Septiembre 2023</c:v>
          </c:tx>
          <c:spPr>
            <a:solidFill>
              <a:schemeClr val="bg1">
                <a:lumMod val="75000"/>
              </a:schemeClr>
            </a:solidFill>
            <a:ln>
              <a:noFill/>
            </a:ln>
            <a:effectLst/>
          </c:spPr>
          <c:invertIfNegative val="0"/>
          <c:cat>
            <c:strRef>
              <c:f>'Tipo de Pension'!$A$33:$A$45</c:f>
              <c:strCache>
                <c:ptCount val="13"/>
                <c:pt idx="0">
                  <c:v>Menos de RD$5117.50</c:v>
                </c:pt>
                <c:pt idx="1">
                  <c:v>Igual a RD$5117.51</c:v>
                </c:pt>
                <c:pt idx="2">
                  <c:v>5,117.50 - 10,000.00</c:v>
                </c:pt>
                <c:pt idx="3">
                  <c:v>10,000.00 - 20,000.00</c:v>
                </c:pt>
                <c:pt idx="4">
                  <c:v>20,000.00 - 30,000.00</c:v>
                </c:pt>
                <c:pt idx="5">
                  <c:v>30,000.00 - 40,000.00</c:v>
                </c:pt>
                <c:pt idx="6">
                  <c:v>40,000.00 - 50,000.00</c:v>
                </c:pt>
                <c:pt idx="7">
                  <c:v>50,000.00 - 60,000.00</c:v>
                </c:pt>
                <c:pt idx="8">
                  <c:v>60,000.00 - 70,000.00</c:v>
                </c:pt>
                <c:pt idx="9">
                  <c:v>70,000.00 - 80,000.00</c:v>
                </c:pt>
                <c:pt idx="10">
                  <c:v>80,000.00 - 90,000.00</c:v>
                </c:pt>
                <c:pt idx="11">
                  <c:v>90,000.00 - 100,000.00</c:v>
                </c:pt>
                <c:pt idx="12">
                  <c:v>&gt;=100,000.00</c:v>
                </c:pt>
              </c:strCache>
            </c:strRef>
          </c:cat>
          <c:val>
            <c:numRef>
              <c:f>'Tipo de Pension'!$B$33:$B$45</c:f>
              <c:numCache>
                <c:formatCode>#,##0</c:formatCode>
                <c:ptCount val="13"/>
                <c:pt idx="0">
                  <c:v>39</c:v>
                </c:pt>
                <c:pt idx="1">
                  <c:v>0</c:v>
                </c:pt>
                <c:pt idx="2">
                  <c:v>36499</c:v>
                </c:pt>
                <c:pt idx="3">
                  <c:v>124310</c:v>
                </c:pt>
                <c:pt idx="4">
                  <c:v>9346</c:v>
                </c:pt>
                <c:pt idx="5">
                  <c:v>5510</c:v>
                </c:pt>
                <c:pt idx="6">
                  <c:v>2619</c:v>
                </c:pt>
                <c:pt idx="7">
                  <c:v>3965</c:v>
                </c:pt>
                <c:pt idx="8">
                  <c:v>1117</c:v>
                </c:pt>
                <c:pt idx="9">
                  <c:v>818</c:v>
                </c:pt>
                <c:pt idx="10">
                  <c:v>815</c:v>
                </c:pt>
                <c:pt idx="11">
                  <c:v>523</c:v>
                </c:pt>
                <c:pt idx="12">
                  <c:v>617</c:v>
                </c:pt>
              </c:numCache>
            </c:numRef>
          </c:val>
          <c:extLst>
            <c:ext xmlns:c16="http://schemas.microsoft.com/office/drawing/2014/chart" uri="{C3380CC4-5D6E-409C-BE32-E72D297353CC}">
              <c16:uniqueId val="{00000000-C4E5-4C06-ADE3-C67B6B3CDF6E}"/>
            </c:ext>
          </c:extLst>
        </c:ser>
        <c:ser>
          <c:idx val="1"/>
          <c:order val="1"/>
          <c:tx>
            <c:v>Julio-Septiembre 2024</c:v>
          </c:tx>
          <c:spPr>
            <a:solidFill>
              <a:schemeClr val="accent3"/>
            </a:solidFill>
            <a:ln>
              <a:noFill/>
            </a:ln>
            <a:effectLst/>
          </c:spPr>
          <c:invertIfNegative val="0"/>
          <c:cat>
            <c:strRef>
              <c:f>'Tipo de Pension'!$A$33:$A$45</c:f>
              <c:strCache>
                <c:ptCount val="13"/>
                <c:pt idx="0">
                  <c:v>Menos de RD$5117.50</c:v>
                </c:pt>
                <c:pt idx="1">
                  <c:v>Igual a RD$5117.51</c:v>
                </c:pt>
                <c:pt idx="2">
                  <c:v>5,117.50 - 10,000.00</c:v>
                </c:pt>
                <c:pt idx="3">
                  <c:v>10,000.00 - 20,000.00</c:v>
                </c:pt>
                <c:pt idx="4">
                  <c:v>20,000.00 - 30,000.00</c:v>
                </c:pt>
                <c:pt idx="5">
                  <c:v>30,000.00 - 40,000.00</c:v>
                </c:pt>
                <c:pt idx="6">
                  <c:v>40,000.00 - 50,000.00</c:v>
                </c:pt>
                <c:pt idx="7">
                  <c:v>50,000.00 - 60,000.00</c:v>
                </c:pt>
                <c:pt idx="8">
                  <c:v>60,000.00 - 70,000.00</c:v>
                </c:pt>
                <c:pt idx="9">
                  <c:v>70,000.00 - 80,000.00</c:v>
                </c:pt>
                <c:pt idx="10">
                  <c:v>80,000.00 - 90,000.00</c:v>
                </c:pt>
                <c:pt idx="11">
                  <c:v>90,000.00 - 100,000.00</c:v>
                </c:pt>
                <c:pt idx="12">
                  <c:v>&gt;=100,000.00</c:v>
                </c:pt>
              </c:strCache>
            </c:strRef>
          </c:cat>
          <c:val>
            <c:numRef>
              <c:f>'Tipo de Pension'!$F$33:$F$45</c:f>
              <c:numCache>
                <c:formatCode>#,##0</c:formatCode>
                <c:ptCount val="13"/>
                <c:pt idx="0">
                  <c:v>38</c:v>
                </c:pt>
                <c:pt idx="1">
                  <c:v>0</c:v>
                </c:pt>
                <c:pt idx="2">
                  <c:v>11</c:v>
                </c:pt>
                <c:pt idx="3">
                  <c:v>133225</c:v>
                </c:pt>
                <c:pt idx="4">
                  <c:v>10422</c:v>
                </c:pt>
                <c:pt idx="5">
                  <c:v>6555</c:v>
                </c:pt>
                <c:pt idx="6">
                  <c:v>3460</c:v>
                </c:pt>
                <c:pt idx="7">
                  <c:v>4637</c:v>
                </c:pt>
                <c:pt idx="8">
                  <c:v>1344</c:v>
                </c:pt>
                <c:pt idx="9">
                  <c:v>992</c:v>
                </c:pt>
                <c:pt idx="10">
                  <c:v>1105</c:v>
                </c:pt>
                <c:pt idx="11">
                  <c:v>685</c:v>
                </c:pt>
                <c:pt idx="12">
                  <c:v>795</c:v>
                </c:pt>
              </c:numCache>
            </c:numRef>
          </c:val>
          <c:extLst>
            <c:ext xmlns:c16="http://schemas.microsoft.com/office/drawing/2014/chart" uri="{C3380CC4-5D6E-409C-BE32-E72D297353CC}">
              <c16:uniqueId val="{00000001-C4E5-4C06-ADE3-C67B6B3CDF6E}"/>
            </c:ext>
          </c:extLst>
        </c:ser>
        <c:dLbls>
          <c:showLegendKey val="0"/>
          <c:showVal val="0"/>
          <c:showCatName val="0"/>
          <c:showSerName val="0"/>
          <c:showPercent val="0"/>
          <c:showBubbleSize val="0"/>
        </c:dLbls>
        <c:gapWidth val="10"/>
        <c:overlap val="-10"/>
        <c:axId val="1670812128"/>
        <c:axId val="1670796896"/>
      </c:barChart>
      <c:catAx>
        <c:axId val="1670812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70796896"/>
        <c:crosses val="autoZero"/>
        <c:auto val="1"/>
        <c:lblAlgn val="ctr"/>
        <c:lblOffset val="100"/>
        <c:noMultiLvlLbl val="0"/>
      </c:catAx>
      <c:valAx>
        <c:axId val="1670796896"/>
        <c:scaling>
          <c:orientation val="minMax"/>
          <c:max val="1260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70812128"/>
        <c:crosses val="autoZero"/>
        <c:crossBetween val="between"/>
        <c:majorUnit val="18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DO" baseline="0"/>
              <a:t>Total Pagado por Monto de Pensión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v>Julio-Septiembre 2023</c:v>
          </c:tx>
          <c:spPr>
            <a:solidFill>
              <a:schemeClr val="bg1">
                <a:lumMod val="75000"/>
              </a:schemeClr>
            </a:solidFill>
            <a:ln>
              <a:noFill/>
            </a:ln>
            <a:effectLst/>
          </c:spPr>
          <c:invertIfNegative val="0"/>
          <c:cat>
            <c:strRef>
              <c:f>'Tipo de Pension'!$A$33:$A$45</c:f>
              <c:strCache>
                <c:ptCount val="13"/>
                <c:pt idx="0">
                  <c:v>Menos de RD$5117.50</c:v>
                </c:pt>
                <c:pt idx="1">
                  <c:v>Igual a RD$5117.51</c:v>
                </c:pt>
                <c:pt idx="2">
                  <c:v>5,117.50 - 10,000.00</c:v>
                </c:pt>
                <c:pt idx="3">
                  <c:v>10,000.00 - 20,000.00</c:v>
                </c:pt>
                <c:pt idx="4">
                  <c:v>20,000.00 - 30,000.00</c:v>
                </c:pt>
                <c:pt idx="5">
                  <c:v>30,000.00 - 40,000.00</c:v>
                </c:pt>
                <c:pt idx="6">
                  <c:v>40,000.00 - 50,000.00</c:v>
                </c:pt>
                <c:pt idx="7">
                  <c:v>50,000.00 - 60,000.00</c:v>
                </c:pt>
                <c:pt idx="8">
                  <c:v>60,000.00 - 70,000.00</c:v>
                </c:pt>
                <c:pt idx="9">
                  <c:v>70,000.00 - 80,000.00</c:v>
                </c:pt>
                <c:pt idx="10">
                  <c:v>80,000.00 - 90,000.00</c:v>
                </c:pt>
                <c:pt idx="11">
                  <c:v>90,000.00 - 100,000.00</c:v>
                </c:pt>
                <c:pt idx="12">
                  <c:v>&gt;=100,000.00</c:v>
                </c:pt>
              </c:strCache>
            </c:strRef>
          </c:cat>
          <c:val>
            <c:numRef>
              <c:f>'Tipo de Pension'!$D$33:$D$45</c:f>
              <c:numCache>
                <c:formatCode>#,##0.00</c:formatCode>
                <c:ptCount val="13"/>
                <c:pt idx="0">
                  <c:v>574379.04</c:v>
                </c:pt>
                <c:pt idx="1">
                  <c:v>0</c:v>
                </c:pt>
                <c:pt idx="2">
                  <c:v>635912612.42999995</c:v>
                </c:pt>
                <c:pt idx="3">
                  <c:v>3864308309.3699999</c:v>
                </c:pt>
                <c:pt idx="4">
                  <c:v>644918634.25999999</c:v>
                </c:pt>
                <c:pt idx="5">
                  <c:v>537102334.09000003</c:v>
                </c:pt>
                <c:pt idx="6">
                  <c:v>321165791.10000002</c:v>
                </c:pt>
                <c:pt idx="7">
                  <c:v>588304841.33999991</c:v>
                </c:pt>
                <c:pt idx="8">
                  <c:v>206785289.81999999</c:v>
                </c:pt>
                <c:pt idx="9">
                  <c:v>174371704.64999998</c:v>
                </c:pt>
                <c:pt idx="10">
                  <c:v>195328957.34</c:v>
                </c:pt>
                <c:pt idx="11">
                  <c:v>143116216.22</c:v>
                </c:pt>
                <c:pt idx="12">
                  <c:v>242226429.00999999</c:v>
                </c:pt>
              </c:numCache>
            </c:numRef>
          </c:val>
          <c:extLst>
            <c:ext xmlns:c16="http://schemas.microsoft.com/office/drawing/2014/chart" uri="{C3380CC4-5D6E-409C-BE32-E72D297353CC}">
              <c16:uniqueId val="{00000000-EBA7-44F1-B06B-1E6FB69EDFA2}"/>
            </c:ext>
          </c:extLst>
        </c:ser>
        <c:ser>
          <c:idx val="1"/>
          <c:order val="1"/>
          <c:tx>
            <c:v>Julio-Septiembre 2024</c:v>
          </c:tx>
          <c:spPr>
            <a:solidFill>
              <a:schemeClr val="accent3"/>
            </a:solidFill>
            <a:ln>
              <a:noFill/>
            </a:ln>
            <a:effectLst/>
          </c:spPr>
          <c:invertIfNegative val="0"/>
          <c:cat>
            <c:strRef>
              <c:f>'Tipo de Pension'!$A$33:$A$45</c:f>
              <c:strCache>
                <c:ptCount val="13"/>
                <c:pt idx="0">
                  <c:v>Menos de RD$5117.50</c:v>
                </c:pt>
                <c:pt idx="1">
                  <c:v>Igual a RD$5117.51</c:v>
                </c:pt>
                <c:pt idx="2">
                  <c:v>5,117.50 - 10,000.00</c:v>
                </c:pt>
                <c:pt idx="3">
                  <c:v>10,000.00 - 20,000.00</c:v>
                </c:pt>
                <c:pt idx="4">
                  <c:v>20,000.00 - 30,000.00</c:v>
                </c:pt>
                <c:pt idx="5">
                  <c:v>30,000.00 - 40,000.00</c:v>
                </c:pt>
                <c:pt idx="6">
                  <c:v>40,000.00 - 50,000.00</c:v>
                </c:pt>
                <c:pt idx="7">
                  <c:v>50,000.00 - 60,000.00</c:v>
                </c:pt>
                <c:pt idx="8">
                  <c:v>60,000.00 - 70,000.00</c:v>
                </c:pt>
                <c:pt idx="9">
                  <c:v>70,000.00 - 80,000.00</c:v>
                </c:pt>
                <c:pt idx="10">
                  <c:v>80,000.00 - 90,000.00</c:v>
                </c:pt>
                <c:pt idx="11">
                  <c:v>90,000.00 - 100,000.00</c:v>
                </c:pt>
                <c:pt idx="12">
                  <c:v>&gt;=100,000.00</c:v>
                </c:pt>
              </c:strCache>
            </c:strRef>
          </c:cat>
          <c:val>
            <c:numRef>
              <c:f>'Tipo de Pension'!$H$33:$H$45</c:f>
              <c:numCache>
                <c:formatCode>#,##0.00</c:formatCode>
                <c:ptCount val="13"/>
                <c:pt idx="0">
                  <c:v>564379.04</c:v>
                </c:pt>
                <c:pt idx="1">
                  <c:v>0</c:v>
                </c:pt>
                <c:pt idx="2">
                  <c:v>255672.72000000003</c:v>
                </c:pt>
                <c:pt idx="3">
                  <c:v>4121665286.6400003</c:v>
                </c:pt>
                <c:pt idx="4">
                  <c:v>717894755.63</c:v>
                </c:pt>
                <c:pt idx="5">
                  <c:v>644995667.74000001</c:v>
                </c:pt>
                <c:pt idx="6">
                  <c:v>438969770.36000001</c:v>
                </c:pt>
                <c:pt idx="7">
                  <c:v>704952151.23000002</c:v>
                </c:pt>
                <c:pt idx="8">
                  <c:v>254321643.39000002</c:v>
                </c:pt>
                <c:pt idx="9">
                  <c:v>218573348.88000003</c:v>
                </c:pt>
                <c:pt idx="10">
                  <c:v>270875047.37</c:v>
                </c:pt>
                <c:pt idx="11">
                  <c:v>190819494.85000002</c:v>
                </c:pt>
                <c:pt idx="12">
                  <c:v>330323390.72000003</c:v>
                </c:pt>
              </c:numCache>
            </c:numRef>
          </c:val>
          <c:extLst>
            <c:ext xmlns:c16="http://schemas.microsoft.com/office/drawing/2014/chart" uri="{C3380CC4-5D6E-409C-BE32-E72D297353CC}">
              <c16:uniqueId val="{00000001-EBA7-44F1-B06B-1E6FB69EDFA2}"/>
            </c:ext>
          </c:extLst>
        </c:ser>
        <c:dLbls>
          <c:showLegendKey val="0"/>
          <c:showVal val="0"/>
          <c:showCatName val="0"/>
          <c:showSerName val="0"/>
          <c:showPercent val="0"/>
          <c:showBubbleSize val="0"/>
        </c:dLbls>
        <c:gapWidth val="50"/>
        <c:overlap val="-10"/>
        <c:axId val="1670802880"/>
        <c:axId val="1670803968"/>
      </c:barChart>
      <c:catAx>
        <c:axId val="1670802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70803968"/>
        <c:crosses val="autoZero"/>
        <c:auto val="1"/>
        <c:lblAlgn val="ctr"/>
        <c:lblOffset val="100"/>
        <c:noMultiLvlLbl val="0"/>
      </c:catAx>
      <c:valAx>
        <c:axId val="167080396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70802880"/>
        <c:crosses val="autoZero"/>
        <c:crossBetween val="between"/>
      </c:valAx>
      <c:spPr>
        <a:noFill/>
        <a:ln>
          <a:noFill/>
        </a:ln>
        <a:effectLst/>
      </c:spPr>
    </c:plotArea>
    <c:legend>
      <c:legendPos val="b"/>
      <c:layout>
        <c:manualLayout>
          <c:xMode val="edge"/>
          <c:yMode val="edge"/>
          <c:x val="0.19665485564304461"/>
          <c:y val="0.89405975544116423"/>
          <c:w val="0.61224562554680662"/>
          <c:h val="7.815278290334484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DO"/>
              <a:t>Cantidad</a:t>
            </a:r>
            <a:r>
              <a:rPr lang="es-DO" baseline="0"/>
              <a:t> de Pensiones</a:t>
            </a:r>
          </a:p>
          <a:p>
            <a:pPr>
              <a:defRPr/>
            </a:pPr>
            <a:r>
              <a:rPr lang="es-DO" baseline="0"/>
              <a:t>por Edad</a:t>
            </a:r>
            <a:endParaRPr lang="es-D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v>Julio-Septiembre 2023</c:v>
          </c:tx>
          <c:spPr>
            <a:solidFill>
              <a:schemeClr val="bg1">
                <a:lumMod val="75000"/>
              </a:schemeClr>
            </a:solidFill>
            <a:ln>
              <a:noFill/>
            </a:ln>
            <a:effectLst/>
          </c:spPr>
          <c:invertIfNegative val="0"/>
          <c:cat>
            <c:strRef>
              <c:f>'Tipo de Pension'!$A$55:$A$66</c:f>
              <c:strCache>
                <c:ptCount val="11"/>
                <c:pt idx="0">
                  <c:v>0-18</c:v>
                </c:pt>
                <c:pt idx="1">
                  <c:v>18-30</c:v>
                </c:pt>
                <c:pt idx="2">
                  <c:v>30-40</c:v>
                </c:pt>
                <c:pt idx="3">
                  <c:v>40-50</c:v>
                </c:pt>
                <c:pt idx="4">
                  <c:v>50-60</c:v>
                </c:pt>
                <c:pt idx="5">
                  <c:v>60-70</c:v>
                </c:pt>
                <c:pt idx="6">
                  <c:v>70-80</c:v>
                </c:pt>
                <c:pt idx="7">
                  <c:v>80-90</c:v>
                </c:pt>
                <c:pt idx="8">
                  <c:v>90-100</c:v>
                </c:pt>
                <c:pt idx="9">
                  <c:v>100</c:v>
                </c:pt>
                <c:pt idx="10">
                  <c:v>Sin fecha de nacimiento</c:v>
                </c:pt>
              </c:strCache>
            </c:strRef>
          </c:cat>
          <c:val>
            <c:numRef>
              <c:f>'Tipo de Pension'!$B$57:$B$66</c:f>
              <c:numCache>
                <c:formatCode>#,##0</c:formatCode>
                <c:ptCount val="10"/>
                <c:pt idx="0">
                  <c:v>9</c:v>
                </c:pt>
                <c:pt idx="1">
                  <c:v>68</c:v>
                </c:pt>
                <c:pt idx="2">
                  <c:v>538</c:v>
                </c:pt>
                <c:pt idx="3">
                  <c:v>2964</c:v>
                </c:pt>
                <c:pt idx="4">
                  <c:v>45717</c:v>
                </c:pt>
                <c:pt idx="5">
                  <c:v>55131</c:v>
                </c:pt>
                <c:pt idx="6">
                  <c:v>26827</c:v>
                </c:pt>
                <c:pt idx="7">
                  <c:v>5497</c:v>
                </c:pt>
                <c:pt idx="8">
                  <c:v>312</c:v>
                </c:pt>
                <c:pt idx="9">
                  <c:v>54</c:v>
                </c:pt>
              </c:numCache>
            </c:numRef>
          </c:val>
          <c:extLst>
            <c:ext xmlns:c16="http://schemas.microsoft.com/office/drawing/2014/chart" uri="{C3380CC4-5D6E-409C-BE32-E72D297353CC}">
              <c16:uniqueId val="{00000000-3025-4BEB-A242-114DA170D702}"/>
            </c:ext>
          </c:extLst>
        </c:ser>
        <c:ser>
          <c:idx val="1"/>
          <c:order val="1"/>
          <c:tx>
            <c:v>Julio-Septiembre 2024</c:v>
          </c:tx>
          <c:spPr>
            <a:solidFill>
              <a:schemeClr val="accent3"/>
            </a:solidFill>
            <a:ln>
              <a:noFill/>
            </a:ln>
            <a:effectLst/>
          </c:spPr>
          <c:invertIfNegative val="0"/>
          <c:cat>
            <c:strRef>
              <c:f>'Tipo de Pension'!$A$55:$A$66</c:f>
              <c:strCache>
                <c:ptCount val="11"/>
                <c:pt idx="0">
                  <c:v>0-18</c:v>
                </c:pt>
                <c:pt idx="1">
                  <c:v>18-30</c:v>
                </c:pt>
                <c:pt idx="2">
                  <c:v>30-40</c:v>
                </c:pt>
                <c:pt idx="3">
                  <c:v>40-50</c:v>
                </c:pt>
                <c:pt idx="4">
                  <c:v>50-60</c:v>
                </c:pt>
                <c:pt idx="5">
                  <c:v>60-70</c:v>
                </c:pt>
                <c:pt idx="6">
                  <c:v>70-80</c:v>
                </c:pt>
                <c:pt idx="7">
                  <c:v>80-90</c:v>
                </c:pt>
                <c:pt idx="8">
                  <c:v>90-100</c:v>
                </c:pt>
                <c:pt idx="9">
                  <c:v>100</c:v>
                </c:pt>
                <c:pt idx="10">
                  <c:v>Sin fecha de nacimiento</c:v>
                </c:pt>
              </c:strCache>
            </c:strRef>
          </c:cat>
          <c:val>
            <c:numRef>
              <c:f>'Tipo de Pension'!$F$57:$F$66</c:f>
              <c:numCache>
                <c:formatCode>#,##0</c:formatCode>
                <c:ptCount val="10"/>
                <c:pt idx="0">
                  <c:v>10</c:v>
                </c:pt>
                <c:pt idx="1">
                  <c:v>65</c:v>
                </c:pt>
                <c:pt idx="2">
                  <c:v>495</c:v>
                </c:pt>
                <c:pt idx="3">
                  <c:v>2847</c:v>
                </c:pt>
                <c:pt idx="4">
                  <c:v>51435</c:v>
                </c:pt>
                <c:pt idx="5">
                  <c:v>61074</c:v>
                </c:pt>
                <c:pt idx="6">
                  <c:v>28205</c:v>
                </c:pt>
                <c:pt idx="7">
                  <c:v>5986</c:v>
                </c:pt>
                <c:pt idx="8">
                  <c:v>356</c:v>
                </c:pt>
                <c:pt idx="9">
                  <c:v>59</c:v>
                </c:pt>
              </c:numCache>
            </c:numRef>
          </c:val>
          <c:extLst>
            <c:ext xmlns:c16="http://schemas.microsoft.com/office/drawing/2014/chart" uri="{C3380CC4-5D6E-409C-BE32-E72D297353CC}">
              <c16:uniqueId val="{00000001-3025-4BEB-A242-114DA170D702}"/>
            </c:ext>
          </c:extLst>
        </c:ser>
        <c:dLbls>
          <c:showLegendKey val="0"/>
          <c:showVal val="0"/>
          <c:showCatName val="0"/>
          <c:showSerName val="0"/>
          <c:showPercent val="0"/>
          <c:showBubbleSize val="0"/>
        </c:dLbls>
        <c:gapWidth val="50"/>
        <c:overlap val="-10"/>
        <c:axId val="1670800160"/>
        <c:axId val="1670805600"/>
      </c:barChart>
      <c:catAx>
        <c:axId val="1670800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70805600"/>
        <c:crosses val="autoZero"/>
        <c:auto val="1"/>
        <c:lblAlgn val="ctr"/>
        <c:lblOffset val="100"/>
        <c:noMultiLvlLbl val="0"/>
      </c:catAx>
      <c:valAx>
        <c:axId val="1670805600"/>
        <c:scaling>
          <c:orientation val="minMax"/>
          <c:max val="550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70800160"/>
        <c:crosses val="autoZero"/>
        <c:crossBetween val="between"/>
        <c:majorUnit val="9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DO" baseline="0"/>
              <a:t>Total Pagado por Edad de Pensionados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v>Julio-Septiembre 2023</c:v>
          </c:tx>
          <c:spPr>
            <a:solidFill>
              <a:schemeClr val="bg1">
                <a:lumMod val="75000"/>
              </a:schemeClr>
            </a:solidFill>
            <a:ln>
              <a:noFill/>
            </a:ln>
            <a:effectLst/>
          </c:spPr>
          <c:invertIfNegative val="0"/>
          <c:cat>
            <c:strRef>
              <c:f>'Tipo de Pension'!$A$57:$A$66</c:f>
              <c:strCache>
                <c:ptCount val="10"/>
                <c:pt idx="0">
                  <c:v>18-30</c:v>
                </c:pt>
                <c:pt idx="1">
                  <c:v>30-40</c:v>
                </c:pt>
                <c:pt idx="2">
                  <c:v>40-50</c:v>
                </c:pt>
                <c:pt idx="3">
                  <c:v>50-60</c:v>
                </c:pt>
                <c:pt idx="4">
                  <c:v>60-70</c:v>
                </c:pt>
                <c:pt idx="5">
                  <c:v>70-80</c:v>
                </c:pt>
                <c:pt idx="6">
                  <c:v>80-90</c:v>
                </c:pt>
                <c:pt idx="7">
                  <c:v>90-100</c:v>
                </c:pt>
                <c:pt idx="8">
                  <c:v>100</c:v>
                </c:pt>
                <c:pt idx="9">
                  <c:v>Sin fecha de nacimiento</c:v>
                </c:pt>
              </c:strCache>
            </c:strRef>
          </c:cat>
          <c:val>
            <c:numRef>
              <c:f>'Tipo de Pension'!$D$55:$D$66</c:f>
              <c:numCache>
                <c:formatCode>#,##0.00</c:formatCode>
                <c:ptCount val="11"/>
                <c:pt idx="0">
                  <c:v>301520.01</c:v>
                </c:pt>
                <c:pt idx="1">
                  <c:v>485422.05000000005</c:v>
                </c:pt>
                <c:pt idx="2">
                  <c:v>3624780.91</c:v>
                </c:pt>
                <c:pt idx="3">
                  <c:v>30178179.849999998</c:v>
                </c:pt>
                <c:pt idx="4">
                  <c:v>177987378.87</c:v>
                </c:pt>
                <c:pt idx="5">
                  <c:v>2481270172.7799997</c:v>
                </c:pt>
                <c:pt idx="6">
                  <c:v>2786621465.4300003</c:v>
                </c:pt>
                <c:pt idx="7">
                  <c:v>1189637634.03</c:v>
                </c:pt>
                <c:pt idx="8">
                  <c:v>232981753.55000001</c:v>
                </c:pt>
                <c:pt idx="9">
                  <c:v>12025593.52</c:v>
                </c:pt>
                <c:pt idx="10">
                  <c:v>3319597.67</c:v>
                </c:pt>
              </c:numCache>
            </c:numRef>
          </c:val>
          <c:extLst>
            <c:ext xmlns:c16="http://schemas.microsoft.com/office/drawing/2014/chart" uri="{C3380CC4-5D6E-409C-BE32-E72D297353CC}">
              <c16:uniqueId val="{00000000-99F1-4C2C-B1C5-95C571BD3EF0}"/>
            </c:ext>
          </c:extLst>
        </c:ser>
        <c:ser>
          <c:idx val="1"/>
          <c:order val="1"/>
          <c:tx>
            <c:v>Julio-Septiembre 2024</c:v>
          </c:tx>
          <c:spPr>
            <a:solidFill>
              <a:schemeClr val="accent3"/>
            </a:solidFill>
            <a:ln>
              <a:noFill/>
            </a:ln>
            <a:effectLst/>
          </c:spPr>
          <c:invertIfNegative val="0"/>
          <c:cat>
            <c:strRef>
              <c:f>'Tipo de Pension'!$A$57:$A$66</c:f>
              <c:strCache>
                <c:ptCount val="10"/>
                <c:pt idx="0">
                  <c:v>18-30</c:v>
                </c:pt>
                <c:pt idx="1">
                  <c:v>30-40</c:v>
                </c:pt>
                <c:pt idx="2">
                  <c:v>40-50</c:v>
                </c:pt>
                <c:pt idx="3">
                  <c:v>50-60</c:v>
                </c:pt>
                <c:pt idx="4">
                  <c:v>60-70</c:v>
                </c:pt>
                <c:pt idx="5">
                  <c:v>70-80</c:v>
                </c:pt>
                <c:pt idx="6">
                  <c:v>80-90</c:v>
                </c:pt>
                <c:pt idx="7">
                  <c:v>90-100</c:v>
                </c:pt>
                <c:pt idx="8">
                  <c:v>100</c:v>
                </c:pt>
                <c:pt idx="9">
                  <c:v>Sin fecha de nacimiento</c:v>
                </c:pt>
              </c:strCache>
            </c:strRef>
          </c:cat>
          <c:val>
            <c:numRef>
              <c:f>'Tipo de Pension'!$H$57:$H$66</c:f>
              <c:numCache>
                <c:formatCode>#,##0</c:formatCode>
                <c:ptCount val="10"/>
                <c:pt idx="0">
                  <c:v>677739.66</c:v>
                </c:pt>
                <c:pt idx="1">
                  <c:v>3646310.5200000005</c:v>
                </c:pt>
                <c:pt idx="2">
                  <c:v>31934180.43</c:v>
                </c:pt>
                <c:pt idx="3">
                  <c:v>185571438.93000001</c:v>
                </c:pt>
                <c:pt idx="4">
                  <c:v>2893899352.3100004</c:v>
                </c:pt>
                <c:pt idx="5">
                  <c:v>3218249946.77</c:v>
                </c:pt>
                <c:pt idx="6">
                  <c:v>1285040062.1200001</c:v>
                </c:pt>
                <c:pt idx="7">
                  <c:v>257886388.75</c:v>
                </c:pt>
                <c:pt idx="8">
                  <c:v>13864071.399999999</c:v>
                </c:pt>
                <c:pt idx="9">
                  <c:v>3351117.6799999997</c:v>
                </c:pt>
              </c:numCache>
            </c:numRef>
          </c:val>
          <c:extLst>
            <c:ext xmlns:c16="http://schemas.microsoft.com/office/drawing/2014/chart" uri="{C3380CC4-5D6E-409C-BE32-E72D297353CC}">
              <c16:uniqueId val="{00000001-99F1-4C2C-B1C5-95C571BD3EF0}"/>
            </c:ext>
          </c:extLst>
        </c:ser>
        <c:dLbls>
          <c:showLegendKey val="0"/>
          <c:showVal val="0"/>
          <c:showCatName val="0"/>
          <c:showSerName val="0"/>
          <c:showPercent val="0"/>
          <c:showBubbleSize val="0"/>
        </c:dLbls>
        <c:gapWidth val="50"/>
        <c:overlap val="-10"/>
        <c:axId val="1670807232"/>
        <c:axId val="1670799072"/>
      </c:barChart>
      <c:catAx>
        <c:axId val="1670807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70799072"/>
        <c:crosses val="autoZero"/>
        <c:auto val="1"/>
        <c:lblAlgn val="ctr"/>
        <c:lblOffset val="100"/>
        <c:noMultiLvlLbl val="0"/>
      </c:catAx>
      <c:valAx>
        <c:axId val="1670799072"/>
        <c:scaling>
          <c:orientation val="minMax"/>
          <c:max val="2800000000"/>
          <c:min val="300000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70807232"/>
        <c:crosses val="autoZero"/>
        <c:crossBetween val="between"/>
        <c:majorUnit val="4500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accent1"/>
                </a:solidFill>
                <a:latin typeface="+mn-lt"/>
                <a:ea typeface="+mn-ea"/>
                <a:cs typeface="+mn-cs"/>
              </a:defRPr>
            </a:pPr>
            <a:r>
              <a:rPr lang="es-ES" sz="1400">
                <a:solidFill>
                  <a:schemeClr val="accent1"/>
                </a:solidFill>
              </a:rPr>
              <a:t>Porcentaje Modalidad</a:t>
            </a:r>
            <a:r>
              <a:rPr lang="es-ES" sz="1400" baseline="0">
                <a:solidFill>
                  <a:schemeClr val="accent1"/>
                </a:solidFill>
              </a:rPr>
              <a:t> de Pago</a:t>
            </a:r>
            <a:endParaRPr lang="es-ES" sz="1400">
              <a:solidFill>
                <a:schemeClr val="accent1"/>
              </a:solidFill>
            </a:endParaRPr>
          </a:p>
        </c:rich>
      </c:tx>
      <c:layout>
        <c:manualLayout>
          <c:xMode val="edge"/>
          <c:yMode val="edge"/>
          <c:x val="0.24317598335221177"/>
          <c:y val="3.2352237248844695E-3"/>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accent1"/>
              </a:solidFill>
              <a:latin typeface="+mn-lt"/>
              <a:ea typeface="+mn-ea"/>
              <a:cs typeface="+mn-cs"/>
            </a:defRPr>
          </a:pPr>
          <a:endParaRPr lang="es-E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3"/>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1882-47C0-9C20-76A0642EBB7A}"/>
              </c:ext>
            </c:extLst>
          </c:dPt>
          <c:dPt>
            <c:idx val="1"/>
            <c:bubble3D val="0"/>
            <c:spPr>
              <a:solidFill>
                <a:schemeClr val="bg1">
                  <a:lumMod val="75000"/>
                </a:schemeClr>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2-1882-47C0-9C20-76A0642EBB7A}"/>
              </c:ext>
            </c:extLst>
          </c:dPt>
          <c:dLbls>
            <c:dLbl>
              <c:idx val="0"/>
              <c:layout>
                <c:manualLayout>
                  <c:x val="-1.8055555555555554E-2"/>
                  <c:y val="-0.35532407407407407"/>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r>
                      <a:rPr lang="en-US" sz="1000" b="1" baseline="0">
                        <a:solidFill>
                          <a:schemeClr val="tx1">
                            <a:lumMod val="75000"/>
                            <a:lumOff val="25000"/>
                          </a:schemeClr>
                        </a:solidFill>
                      </a:rPr>
                      <a:t>Electrónico</a:t>
                    </a:r>
                  </a:p>
                  <a:p>
                    <a:pPr>
                      <a:defRPr sz="1000" b="1">
                        <a:solidFill>
                          <a:schemeClr val="tx1">
                            <a:lumMod val="75000"/>
                            <a:lumOff val="25000"/>
                          </a:schemeClr>
                        </a:solidFill>
                      </a:defRPr>
                    </a:pPr>
                    <a:r>
                      <a:rPr lang="en-US" sz="1000" b="1" baseline="0">
                        <a:solidFill>
                          <a:schemeClr val="tx1">
                            <a:lumMod val="75000"/>
                            <a:lumOff val="25000"/>
                          </a:schemeClr>
                        </a:solidFill>
                      </a:rPr>
                      <a:t> </a:t>
                    </a:r>
                    <a:fld id="{6A789905-C907-4699-A041-A6FD64461BF5}" type="VALUE">
                      <a:rPr lang="en-US" sz="1000" b="1" baseline="0">
                        <a:solidFill>
                          <a:schemeClr val="tx1">
                            <a:lumMod val="75000"/>
                            <a:lumOff val="25000"/>
                          </a:schemeClr>
                        </a:solidFill>
                      </a:rPr>
                      <a:pPr>
                        <a:defRPr sz="1000" b="1">
                          <a:solidFill>
                            <a:schemeClr val="tx1">
                              <a:lumMod val="75000"/>
                              <a:lumOff val="25000"/>
                            </a:schemeClr>
                          </a:solidFill>
                        </a:defRPr>
                      </a:pPr>
                      <a:t>[VALUE]</a:t>
                    </a:fld>
                    <a:endParaRPr lang="en-US" sz="1000" b="1" baseline="0">
                      <a:solidFill>
                        <a:schemeClr val="tx1">
                          <a:lumMod val="75000"/>
                          <a:lumOff val="25000"/>
                        </a:schemeClr>
                      </a:solidFill>
                    </a:endParaRP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manualLayout>
                      <c:w val="0.23541666666666666"/>
                      <c:h val="0.21064814814814814"/>
                    </c:manualLayout>
                  </c15:layout>
                  <c15:dlblFieldTable/>
                  <c15:showDataLabelsRange val="0"/>
                </c:ext>
                <c:ext xmlns:c16="http://schemas.microsoft.com/office/drawing/2014/chart" uri="{C3380CC4-5D6E-409C-BE32-E72D297353CC}">
                  <c16:uniqueId val="{00000001-1882-47C0-9C20-76A0642EBB7A}"/>
                </c:ext>
              </c:extLst>
            </c:dLbl>
            <c:dLbl>
              <c:idx val="1"/>
              <c:layout>
                <c:manualLayout>
                  <c:x val="-4.6721964522656895E-2"/>
                  <c:y val="5.2783916405700331E-3"/>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r>
                      <a:rPr lang="en-US" sz="1000" b="1" baseline="0">
                        <a:solidFill>
                          <a:schemeClr val="tx1">
                            <a:lumMod val="75000"/>
                            <a:lumOff val="25000"/>
                          </a:schemeClr>
                        </a:solidFill>
                      </a:rPr>
                      <a:t>Cheque</a:t>
                    </a:r>
                  </a:p>
                  <a:p>
                    <a:pPr>
                      <a:defRPr sz="1000" b="1">
                        <a:solidFill>
                          <a:schemeClr val="tx1">
                            <a:lumMod val="75000"/>
                            <a:lumOff val="25000"/>
                          </a:schemeClr>
                        </a:solidFill>
                      </a:defRPr>
                    </a:pPr>
                    <a:r>
                      <a:rPr lang="en-US" sz="1000" b="1" baseline="0">
                        <a:solidFill>
                          <a:schemeClr val="tx1">
                            <a:lumMod val="75000"/>
                            <a:lumOff val="25000"/>
                          </a:schemeClr>
                        </a:solidFill>
                      </a:rPr>
                      <a:t> </a:t>
                    </a:r>
                    <a:fld id="{928CA2D4-AB57-4300-BD4F-83CC6382AA06}" type="VALUE">
                      <a:rPr lang="en-US" sz="1000" b="1" baseline="0">
                        <a:solidFill>
                          <a:schemeClr val="tx1">
                            <a:lumMod val="75000"/>
                            <a:lumOff val="25000"/>
                          </a:schemeClr>
                        </a:solidFill>
                      </a:rPr>
                      <a:pPr>
                        <a:defRPr sz="1000" b="1">
                          <a:solidFill>
                            <a:schemeClr val="tx1">
                              <a:lumMod val="75000"/>
                              <a:lumOff val="25000"/>
                            </a:schemeClr>
                          </a:solidFill>
                        </a:defRPr>
                      </a:pPr>
                      <a:t>[VALUE]</a:t>
                    </a:fld>
                    <a:endParaRPr lang="en-US" sz="1000" b="1" baseline="0">
                      <a:solidFill>
                        <a:schemeClr val="tx1">
                          <a:lumMod val="75000"/>
                          <a:lumOff val="25000"/>
                        </a:schemeClr>
                      </a:solidFill>
                    </a:endParaRP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manualLayout>
                      <c:w val="0.18002209762708696"/>
                      <c:h val="0.14416160985114215"/>
                    </c:manualLayout>
                  </c15:layout>
                  <c15:dlblFieldTable/>
                  <c15:showDataLabelsRange val="0"/>
                </c:ext>
                <c:ext xmlns:c16="http://schemas.microsoft.com/office/drawing/2014/chart" uri="{C3380CC4-5D6E-409C-BE32-E72D297353CC}">
                  <c16:uniqueId val="{00000002-1882-47C0-9C20-76A0642EBB7A}"/>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S"/>
              </a:p>
            </c:txPr>
            <c:showLegendKey val="0"/>
            <c:showVal val="0"/>
            <c:showCatName val="1"/>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(Modalidad!$O$8,Modalidad!$Q$8)</c:f>
              <c:strCache>
                <c:ptCount val="2"/>
                <c:pt idx="0">
                  <c:v>Monto</c:v>
                </c:pt>
                <c:pt idx="1">
                  <c:v>Monto</c:v>
                </c:pt>
              </c:strCache>
            </c:strRef>
          </c:cat>
          <c:val>
            <c:numRef>
              <c:f>(Modalidad!$O$28,Modalidad!$Q$28)</c:f>
              <c:numCache>
                <c:formatCode>0.00%</c:formatCode>
                <c:ptCount val="2"/>
                <c:pt idx="0">
                  <c:v>0.99775769355998389</c:v>
                </c:pt>
                <c:pt idx="1">
                  <c:v>2.2423064400161072E-3</c:v>
                </c:pt>
              </c:numCache>
            </c:numRef>
          </c:val>
          <c:extLst>
            <c:ext xmlns:c16="http://schemas.microsoft.com/office/drawing/2014/chart" uri="{C3380CC4-5D6E-409C-BE32-E72D297353CC}">
              <c16:uniqueId val="{00000000-1882-47C0-9C20-76A0642EBB7A}"/>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10597950039618"/>
          <c:y val="4.2299470680314477E-2"/>
          <c:w val="0.65858516691985691"/>
          <c:h val="0.72007785017025605"/>
        </c:manualLayout>
      </c:layout>
      <c:barChart>
        <c:barDir val="col"/>
        <c:grouping val="clustered"/>
        <c:varyColors val="0"/>
        <c:ser>
          <c:idx val="0"/>
          <c:order val="0"/>
          <c:tx>
            <c:v>Pensionados</c:v>
          </c:tx>
          <c:spPr>
            <a:solidFill>
              <a:schemeClr val="accent3">
                <a:lumMod val="60000"/>
                <a:lumOff val="40000"/>
              </a:schemeClr>
            </a:solidFill>
            <a:ln>
              <a:solidFill>
                <a:schemeClr val="accent3">
                  <a:lumMod val="60000"/>
                  <a:lumOff val="40000"/>
                </a:schemeClr>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Retroactivos!$A$9:$A$11</c:f>
              <c:strCache>
                <c:ptCount val="3"/>
                <c:pt idx="0">
                  <c:v>Septiembre</c:v>
                </c:pt>
                <c:pt idx="1">
                  <c:v>Agosto</c:v>
                </c:pt>
                <c:pt idx="2">
                  <c:v>Julio</c:v>
                </c:pt>
              </c:strCache>
            </c:strRef>
          </c:cat>
          <c:val>
            <c:numRef>
              <c:f>Retroactivos!$K$9:$K$11</c:f>
              <c:numCache>
                <c:formatCode>_(* #,##0_);_(* \(#,##0\);_(* "-"??_);_(@_)</c:formatCode>
                <c:ptCount val="3"/>
                <c:pt idx="0">
                  <c:v>205</c:v>
                </c:pt>
                <c:pt idx="1">
                  <c:v>584</c:v>
                </c:pt>
                <c:pt idx="2">
                  <c:v>0</c:v>
                </c:pt>
              </c:numCache>
            </c:numRef>
          </c:val>
          <c:extLst>
            <c:ext xmlns:c16="http://schemas.microsoft.com/office/drawing/2014/chart" uri="{C3380CC4-5D6E-409C-BE32-E72D297353CC}">
              <c16:uniqueId val="{00000002-6B88-4F3E-9D80-50FAAA1EC586}"/>
            </c:ext>
          </c:extLst>
        </c:ser>
        <c:ser>
          <c:idx val="1"/>
          <c:order val="1"/>
          <c:tx>
            <c:v>Pensiones</c:v>
          </c:tx>
          <c:spPr>
            <a:solidFill>
              <a:schemeClr val="bg1">
                <a:lumMod val="75000"/>
              </a:schemeClr>
            </a:solidFill>
            <a:ln>
              <a:solidFill>
                <a:schemeClr val="bg1">
                  <a:lumMod val="75000"/>
                </a:schemeClr>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Retroactivos!$A$9:$A$11</c:f>
              <c:strCache>
                <c:ptCount val="3"/>
                <c:pt idx="0">
                  <c:v>Septiembre</c:v>
                </c:pt>
                <c:pt idx="1">
                  <c:v>Agosto</c:v>
                </c:pt>
                <c:pt idx="2">
                  <c:v>Julio</c:v>
                </c:pt>
              </c:strCache>
            </c:strRef>
          </c:cat>
          <c:val>
            <c:numRef>
              <c:f>Retroactivos!$L$9:$L$11</c:f>
              <c:numCache>
                <c:formatCode>_(* #,##0_);_(* \(#,##0\);_(* "-"??_);_(@_)</c:formatCode>
                <c:ptCount val="3"/>
                <c:pt idx="0">
                  <c:v>219</c:v>
                </c:pt>
                <c:pt idx="1">
                  <c:v>621</c:v>
                </c:pt>
                <c:pt idx="2">
                  <c:v>0</c:v>
                </c:pt>
              </c:numCache>
            </c:numRef>
          </c:val>
          <c:extLst>
            <c:ext xmlns:c16="http://schemas.microsoft.com/office/drawing/2014/chart" uri="{C3380CC4-5D6E-409C-BE32-E72D297353CC}">
              <c16:uniqueId val="{00000005-6B88-4F3E-9D80-50FAAA1EC586}"/>
            </c:ext>
          </c:extLst>
        </c:ser>
        <c:dLbls>
          <c:showLegendKey val="0"/>
          <c:showVal val="1"/>
          <c:showCatName val="0"/>
          <c:showSerName val="0"/>
          <c:showPercent val="0"/>
          <c:showBubbleSize val="0"/>
        </c:dLbls>
        <c:gapWidth val="75"/>
        <c:axId val="1672051440"/>
        <c:axId val="1672050896"/>
      </c:barChart>
      <c:lineChart>
        <c:grouping val="standard"/>
        <c:varyColors val="0"/>
        <c:ser>
          <c:idx val="2"/>
          <c:order val="2"/>
          <c:tx>
            <c:strRef>
              <c:f>Retroactivos!$M$7</c:f>
              <c:strCache>
                <c:ptCount val="1"/>
                <c:pt idx="0">
                  <c:v>Monto</c:v>
                </c:pt>
              </c:strCache>
            </c:strRef>
          </c:tx>
          <c:spPr>
            <a:ln>
              <a:solidFill>
                <a:schemeClr val="tx2">
                  <a:lumMod val="60000"/>
                  <a:lumOff val="40000"/>
                </a:schemeClr>
              </a:solidFill>
            </a:ln>
          </c:spPr>
          <c:marker>
            <c:spPr>
              <a:solidFill>
                <a:schemeClr val="tx2">
                  <a:lumMod val="60000"/>
                  <a:lumOff val="40000"/>
                </a:schemeClr>
              </a:solidFill>
              <a:ln>
                <a:solidFill>
                  <a:schemeClr val="tx2">
                    <a:lumMod val="60000"/>
                    <a:lumOff val="40000"/>
                  </a:schemeClr>
                </a:solidFill>
              </a:ln>
            </c:spPr>
          </c:marker>
          <c:dPt>
            <c:idx val="0"/>
            <c:bubble3D val="0"/>
            <c:extLst>
              <c:ext xmlns:c16="http://schemas.microsoft.com/office/drawing/2014/chart" uri="{C3380CC4-5D6E-409C-BE32-E72D297353CC}">
                <c16:uniqueId val="{00000006-6B88-4F3E-9D80-50FAAA1EC586}"/>
              </c:ext>
            </c:extLst>
          </c:dPt>
          <c:dLbls>
            <c:dLbl>
              <c:idx val="0"/>
              <c:layout>
                <c:manualLayout>
                  <c:x val="-9.7235059390661502E-2"/>
                  <c:y val="4.93304373035566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B88-4F3E-9D80-50FAAA1EC586}"/>
                </c:ext>
              </c:extLst>
            </c:dLbl>
            <c:dLbl>
              <c:idx val="1"/>
              <c:layout>
                <c:manualLayout>
                  <c:x val="-8.1406096234042172E-2"/>
                  <c:y val="4.93304373035566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888-4D3B-A92B-728D1A25D15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Retroactivos!$A$9:$A$11</c:f>
              <c:strCache>
                <c:ptCount val="3"/>
                <c:pt idx="0">
                  <c:v>Septiembre</c:v>
                </c:pt>
                <c:pt idx="1">
                  <c:v>Agosto</c:v>
                </c:pt>
                <c:pt idx="2">
                  <c:v>Julio</c:v>
                </c:pt>
              </c:strCache>
            </c:strRef>
          </c:cat>
          <c:val>
            <c:numRef>
              <c:f>Retroactivos!$M$9:$M$11</c:f>
              <c:numCache>
                <c:formatCode>_(* #,##0_);_(* \(#,##0\);_(* "-"??_);_(@_)</c:formatCode>
                <c:ptCount val="3"/>
                <c:pt idx="0" formatCode="_(* #,##0.00_);_(* \(#,##0.00\);_(* &quot;-&quot;??_);_(@_)">
                  <c:v>19358819.780000001</c:v>
                </c:pt>
                <c:pt idx="1">
                  <c:v>53291857.850000001</c:v>
                </c:pt>
                <c:pt idx="2" formatCode="_(* #,##0.00_);_(* \(#,##0.00\);_(* &quot;-&quot;??_);_(@_)">
                  <c:v>0</c:v>
                </c:pt>
              </c:numCache>
            </c:numRef>
          </c:val>
          <c:smooth val="0"/>
          <c:extLst>
            <c:ext xmlns:c16="http://schemas.microsoft.com/office/drawing/2014/chart" uri="{C3380CC4-5D6E-409C-BE32-E72D297353CC}">
              <c16:uniqueId val="{00000008-6B88-4F3E-9D80-50FAAA1EC586}"/>
            </c:ext>
          </c:extLst>
        </c:ser>
        <c:dLbls>
          <c:showLegendKey val="0"/>
          <c:showVal val="1"/>
          <c:showCatName val="0"/>
          <c:showSerName val="0"/>
          <c:showPercent val="0"/>
          <c:showBubbleSize val="0"/>
        </c:dLbls>
        <c:marker val="1"/>
        <c:smooth val="0"/>
        <c:axId val="1672055792"/>
        <c:axId val="1672053072"/>
      </c:lineChart>
      <c:catAx>
        <c:axId val="1672051440"/>
        <c:scaling>
          <c:orientation val="minMax"/>
        </c:scaling>
        <c:delete val="0"/>
        <c:axPos val="b"/>
        <c:numFmt formatCode="General" sourceLinked="0"/>
        <c:majorTickMark val="none"/>
        <c:minorTickMark val="none"/>
        <c:tickLblPos val="nextTo"/>
        <c:crossAx val="1672050896"/>
        <c:crosses val="autoZero"/>
        <c:auto val="1"/>
        <c:lblAlgn val="ctr"/>
        <c:lblOffset val="100"/>
        <c:noMultiLvlLbl val="0"/>
      </c:catAx>
      <c:valAx>
        <c:axId val="1672050896"/>
        <c:scaling>
          <c:orientation val="minMax"/>
          <c:max val="700"/>
        </c:scaling>
        <c:delete val="0"/>
        <c:axPos val="l"/>
        <c:numFmt formatCode="_(* #,##0_);_(* \(#,##0\);_(* &quot;-&quot;??_);_(@_)" sourceLinked="1"/>
        <c:majorTickMark val="none"/>
        <c:minorTickMark val="none"/>
        <c:tickLblPos val="nextTo"/>
        <c:crossAx val="1672051440"/>
        <c:crosses val="autoZero"/>
        <c:crossBetween val="between"/>
      </c:valAx>
      <c:valAx>
        <c:axId val="1672053072"/>
        <c:scaling>
          <c:orientation val="minMax"/>
        </c:scaling>
        <c:delete val="0"/>
        <c:axPos val="r"/>
        <c:numFmt formatCode="_(* #,##0.00_);_(* \(#,##0.00\);_(* &quot;-&quot;??_);_(@_)" sourceLinked="1"/>
        <c:majorTickMark val="out"/>
        <c:minorTickMark val="none"/>
        <c:tickLblPos val="nextTo"/>
        <c:crossAx val="1672055792"/>
        <c:crosses val="max"/>
        <c:crossBetween val="between"/>
      </c:valAx>
      <c:catAx>
        <c:axId val="1672055792"/>
        <c:scaling>
          <c:orientation val="minMax"/>
        </c:scaling>
        <c:delete val="1"/>
        <c:axPos val="b"/>
        <c:numFmt formatCode="General" sourceLinked="1"/>
        <c:majorTickMark val="out"/>
        <c:minorTickMark val="none"/>
        <c:tickLblPos val="nextTo"/>
        <c:crossAx val="1672053072"/>
        <c:crosses val="autoZero"/>
        <c:auto val="1"/>
        <c:lblAlgn val="ctr"/>
        <c:lblOffset val="100"/>
        <c:noMultiLvlLbl val="0"/>
      </c:catAx>
    </c:plotArea>
    <c:legend>
      <c:legendPos val="b"/>
      <c:layout>
        <c:manualLayout>
          <c:xMode val="edge"/>
          <c:yMode val="edge"/>
          <c:x val="0.24932899446490744"/>
          <c:y val="0.87879252468585134"/>
          <c:w val="0.51212458447537823"/>
          <c:h val="8.4031421083945429E-2"/>
        </c:manualLayout>
      </c:layout>
      <c:overlay val="0"/>
      <c:txPr>
        <a:bodyPr/>
        <a:lstStyle/>
        <a:p>
          <a:pPr>
            <a:defRPr sz="900"/>
          </a:pPr>
          <a:endParaRPr lang="es-ES"/>
        </a:p>
      </c:txPr>
    </c:legend>
    <c:plotVisOnly val="1"/>
    <c:dispBlanksAs val="gap"/>
    <c:showDLblsOverMax val="0"/>
  </c:chart>
  <c:spPr>
    <a:ln>
      <a:noFill/>
    </a:ln>
  </c:spPr>
  <c:printSettings>
    <c:headerFooter/>
    <c:pageMargins b="0.75" l="0.7" r="0.7" t="0.75" header="0.3" footer="0.3"/>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DO" sz="1100" b="1">
                <a:solidFill>
                  <a:schemeClr val="tx2">
                    <a:lumMod val="60000"/>
                    <a:lumOff val="40000"/>
                  </a:schemeClr>
                </a:solidFill>
              </a:rPr>
              <a:t>Reintegro</a:t>
            </a:r>
            <a:r>
              <a:rPr lang="es-DO" sz="1100" b="1" baseline="0">
                <a:solidFill>
                  <a:schemeClr val="tx2">
                    <a:lumMod val="60000"/>
                    <a:lumOff val="40000"/>
                  </a:schemeClr>
                </a:solidFill>
              </a:rPr>
              <a:t> de Cheques</a:t>
            </a:r>
            <a:endParaRPr lang="es-DO" sz="1100" b="1">
              <a:solidFill>
                <a:schemeClr val="tx2">
                  <a:lumMod val="60000"/>
                  <a:lumOff val="40000"/>
                </a:scheme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Reintegros!$H$7</c:f>
              <c:strCache>
                <c:ptCount val="1"/>
                <c:pt idx="0">
                  <c:v>Cantidad 
de Cheques</c:v>
                </c:pt>
              </c:strCache>
            </c:strRef>
          </c:tx>
          <c:spPr>
            <a:solidFill>
              <a:schemeClr val="bg1">
                <a:lumMod val="65000"/>
              </a:schemeClr>
            </a:solidFill>
            <a:ln>
              <a:noFill/>
            </a:ln>
            <a:effectLst/>
          </c:spPr>
          <c:invertIfNegative val="0"/>
          <c:cat>
            <c:strRef>
              <c:f>Reintegros!$A$8:$A$10</c:f>
              <c:strCache>
                <c:ptCount val="3"/>
                <c:pt idx="0">
                  <c:v>Abril</c:v>
                </c:pt>
                <c:pt idx="1">
                  <c:v>Mayo</c:v>
                </c:pt>
                <c:pt idx="2">
                  <c:v>Junio</c:v>
                </c:pt>
              </c:strCache>
            </c:strRef>
          </c:cat>
          <c:val>
            <c:numRef>
              <c:f>Reintegros!$H$8:$H$10</c:f>
              <c:numCache>
                <c:formatCode>_(* #,##0_);_(* \(#,##0\);_(* "-"??_);_(@_)</c:formatCode>
                <c:ptCount val="3"/>
                <c:pt idx="0">
                  <c:v>0</c:v>
                </c:pt>
                <c:pt idx="1">
                  <c:v>80</c:v>
                </c:pt>
                <c:pt idx="2">
                  <c:v>2996</c:v>
                </c:pt>
              </c:numCache>
            </c:numRef>
          </c:val>
          <c:extLst>
            <c:ext xmlns:c16="http://schemas.microsoft.com/office/drawing/2014/chart" uri="{C3380CC4-5D6E-409C-BE32-E72D297353CC}">
              <c16:uniqueId val="{00000000-8DE3-4894-8909-6FB7CBDC635F}"/>
            </c:ext>
          </c:extLst>
        </c:ser>
        <c:ser>
          <c:idx val="1"/>
          <c:order val="1"/>
          <c:tx>
            <c:strRef>
              <c:f>Reintegros!$I$7</c:f>
              <c:strCache>
                <c:ptCount val="1"/>
                <c:pt idx="0">
                  <c:v>Monto</c:v>
                </c:pt>
              </c:strCache>
            </c:strRef>
          </c:tx>
          <c:spPr>
            <a:solidFill>
              <a:schemeClr val="accent3"/>
            </a:solidFill>
            <a:ln>
              <a:noFill/>
            </a:ln>
            <a:effectLst/>
          </c:spPr>
          <c:invertIfNegative val="0"/>
          <c:cat>
            <c:strRef>
              <c:f>Reintegros!$A$8:$A$10</c:f>
              <c:strCache>
                <c:ptCount val="3"/>
                <c:pt idx="0">
                  <c:v>Abril</c:v>
                </c:pt>
                <c:pt idx="1">
                  <c:v>Mayo</c:v>
                </c:pt>
                <c:pt idx="2">
                  <c:v>Junio</c:v>
                </c:pt>
              </c:strCache>
            </c:strRef>
          </c:cat>
          <c:val>
            <c:numRef>
              <c:f>Reintegros!$I$8:$I$10</c:f>
              <c:numCache>
                <c:formatCode>_(* #,##0.00_);_(* \(#,##0.00\);_(* "-"??_);_(@_)</c:formatCode>
                <c:ptCount val="3"/>
                <c:pt idx="0">
                  <c:v>0</c:v>
                </c:pt>
                <c:pt idx="1">
                  <c:v>797212.89</c:v>
                </c:pt>
                <c:pt idx="2" formatCode="_(* #,##0_);_(* \(#,##0\);_(* &quot;-&quot;??_);_(@_)">
                  <c:v>20744930.620000001</c:v>
                </c:pt>
              </c:numCache>
            </c:numRef>
          </c:val>
          <c:extLst>
            <c:ext xmlns:c16="http://schemas.microsoft.com/office/drawing/2014/chart" uri="{C3380CC4-5D6E-409C-BE32-E72D297353CC}">
              <c16:uniqueId val="{00000001-8DE3-4894-8909-6FB7CBDC635F}"/>
            </c:ext>
          </c:extLst>
        </c:ser>
        <c:dLbls>
          <c:showLegendKey val="0"/>
          <c:showVal val="0"/>
          <c:showCatName val="0"/>
          <c:showSerName val="0"/>
          <c:showPercent val="0"/>
          <c:showBubbleSize val="0"/>
        </c:dLbls>
        <c:gapWidth val="219"/>
        <c:overlap val="-27"/>
        <c:axId val="1672047088"/>
        <c:axId val="1672050352"/>
      </c:barChart>
      <c:catAx>
        <c:axId val="1672047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72050352"/>
        <c:crosses val="autoZero"/>
        <c:auto val="1"/>
        <c:lblAlgn val="ctr"/>
        <c:lblOffset val="100"/>
        <c:noMultiLvlLbl val="0"/>
      </c:catAx>
      <c:valAx>
        <c:axId val="1672050352"/>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72047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3861211035074938"/>
          <c:y val="3.4863870221580044E-2"/>
          <c:w val="0.78893118039654453"/>
          <c:h val="0.65586379419781204"/>
        </c:manualLayout>
      </c:layout>
      <c:barChart>
        <c:barDir val="col"/>
        <c:grouping val="clustered"/>
        <c:varyColors val="0"/>
        <c:ser>
          <c:idx val="0"/>
          <c:order val="0"/>
          <c:tx>
            <c:strRef>
              <c:f>'Afiliados y Cotizantes'!$B$6</c:f>
              <c:strCache>
                <c:ptCount val="1"/>
                <c:pt idx="0">
                  <c:v>Afiliados al Sistema de Reparto</c:v>
                </c:pt>
              </c:strCache>
            </c:strRef>
          </c:tx>
          <c:spPr>
            <a:solidFill>
              <a:schemeClr val="bg1">
                <a:lumMod val="75000"/>
              </a:schemeClr>
            </a:solidFill>
            <a:ln>
              <a:solidFill>
                <a:schemeClr val="bg1">
                  <a:lumMod val="75000"/>
                </a:schemeClr>
              </a:solidFill>
            </a:ln>
          </c:spPr>
          <c:invertIfNegative val="0"/>
          <c:dLbls>
            <c:dLbl>
              <c:idx val="0"/>
              <c:layout>
                <c:manualLayout>
                  <c:x val="2.3665036994507917E-17"/>
                  <c:y val="0.222501366029986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75C-4406-B71E-65516B4B4A9D}"/>
                </c:ext>
              </c:extLst>
            </c:dLbl>
            <c:dLbl>
              <c:idx val="1"/>
              <c:layout>
                <c:manualLayout>
                  <c:x val="2.5816702227310574E-3"/>
                  <c:y val="0.4723340642622409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5C-4406-B71E-65516B4B4A9D}"/>
                </c:ext>
              </c:extLst>
            </c:dLbl>
            <c:dLbl>
              <c:idx val="2"/>
              <c:layout>
                <c:manualLayout>
                  <c:x val="-5.1633404454622094E-3"/>
                  <c:y val="0.4781602658434335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5C-4406-B71E-65516B4B4A9D}"/>
                </c:ext>
              </c:extLst>
            </c:dLbl>
            <c:spPr>
              <a:noFill/>
              <a:ln>
                <a:noFill/>
              </a:ln>
              <a:effectLst/>
            </c:spPr>
            <c:txPr>
              <a:bodyPr rot="-5400000" vert="horz"/>
              <a:lstStyle/>
              <a:p>
                <a:pPr>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'Afiliados y Cotizantes'!$A$7:$A$9</c:f>
              <c:strCache>
                <c:ptCount val="3"/>
                <c:pt idx="0">
                  <c:v>Septiembre</c:v>
                </c:pt>
                <c:pt idx="1">
                  <c:v>Agosto</c:v>
                </c:pt>
                <c:pt idx="2">
                  <c:v>Julio</c:v>
                </c:pt>
              </c:strCache>
            </c:strRef>
          </c:cat>
          <c:val>
            <c:numRef>
              <c:f>'Afiliados y Cotizantes'!$B$7:$B$9</c:f>
              <c:numCache>
                <c:formatCode>#,##0</c:formatCode>
                <c:ptCount val="3"/>
                <c:pt idx="0">
                  <c:v>93252</c:v>
                </c:pt>
                <c:pt idx="1">
                  <c:v>92997</c:v>
                </c:pt>
                <c:pt idx="2">
                  <c:v>92597</c:v>
                </c:pt>
              </c:numCache>
            </c:numRef>
          </c:val>
          <c:extLst>
            <c:ext xmlns:c16="http://schemas.microsoft.com/office/drawing/2014/chart" uri="{C3380CC4-5D6E-409C-BE32-E72D297353CC}">
              <c16:uniqueId val="{00000003-C75C-4406-B71E-65516B4B4A9D}"/>
            </c:ext>
          </c:extLst>
        </c:ser>
        <c:ser>
          <c:idx val="1"/>
          <c:order val="1"/>
          <c:tx>
            <c:v>No Cotizantes</c:v>
          </c:tx>
          <c:spPr>
            <a:solidFill>
              <a:schemeClr val="accent3">
                <a:lumMod val="60000"/>
                <a:lumOff val="40000"/>
              </a:schemeClr>
            </a:solidFill>
          </c:spPr>
          <c:invertIfNegative val="0"/>
          <c:dLbls>
            <c:dLbl>
              <c:idx val="0"/>
              <c:layout>
                <c:manualLayout>
                  <c:x val="5.1633404454621149E-3"/>
                  <c:y val="0.393979007543447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5C-4406-B71E-65516B4B4A9D}"/>
                </c:ext>
              </c:extLst>
            </c:dLbl>
            <c:dLbl>
              <c:idx val="1"/>
              <c:layout>
                <c:manualLayout>
                  <c:x val="2.5816702227310574E-3"/>
                  <c:y val="0.3940301841196313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75C-4406-B71E-65516B4B4A9D}"/>
                </c:ext>
              </c:extLst>
            </c:dLbl>
            <c:dLbl>
              <c:idx val="2"/>
              <c:layout>
                <c:manualLayout>
                  <c:x val="-2.5816702227310574E-3"/>
                  <c:y val="0.393799647736819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75C-4406-B71E-65516B4B4A9D}"/>
                </c:ext>
              </c:extLst>
            </c:dLbl>
            <c:spPr>
              <a:noFill/>
              <a:ln>
                <a:noFill/>
              </a:ln>
              <a:effectLst/>
            </c:spPr>
            <c:txPr>
              <a:bodyPr rot="-5400000" vert="horz" wrap="square" lIns="38100" tIns="19050" rIns="38100" bIns="19050" anchor="ctr">
                <a:spAutoFit/>
              </a:bodyPr>
              <a:lstStyle/>
              <a:p>
                <a:pPr>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'Afiliados y Cotizantes'!$A$7:$A$9</c:f>
              <c:strCache>
                <c:ptCount val="3"/>
                <c:pt idx="0">
                  <c:v>Septiembre</c:v>
                </c:pt>
                <c:pt idx="1">
                  <c:v>Agosto</c:v>
                </c:pt>
                <c:pt idx="2">
                  <c:v>Julio</c:v>
                </c:pt>
              </c:strCache>
            </c:strRef>
          </c:cat>
          <c:val>
            <c:numRef>
              <c:f>'Afiliados y Cotizantes'!$E$7:$E$9</c:f>
              <c:numCache>
                <c:formatCode>#,##0</c:formatCode>
                <c:ptCount val="3"/>
                <c:pt idx="0">
                  <c:v>66312</c:v>
                </c:pt>
                <c:pt idx="1">
                  <c:v>66670</c:v>
                </c:pt>
                <c:pt idx="2">
                  <c:v>66361</c:v>
                </c:pt>
              </c:numCache>
            </c:numRef>
          </c:val>
          <c:extLst>
            <c:ext xmlns:c16="http://schemas.microsoft.com/office/drawing/2014/chart" uri="{C3380CC4-5D6E-409C-BE32-E72D297353CC}">
              <c16:uniqueId val="{00000007-C75C-4406-B71E-65516B4B4A9D}"/>
            </c:ext>
          </c:extLst>
        </c:ser>
        <c:dLbls>
          <c:showLegendKey val="0"/>
          <c:showVal val="1"/>
          <c:showCatName val="0"/>
          <c:showSerName val="0"/>
          <c:showPercent val="0"/>
          <c:showBubbleSize val="0"/>
        </c:dLbls>
        <c:gapWidth val="75"/>
        <c:axId val="1667770560"/>
        <c:axId val="1667758048"/>
      </c:barChart>
      <c:lineChart>
        <c:grouping val="standard"/>
        <c:varyColors val="0"/>
        <c:ser>
          <c:idx val="2"/>
          <c:order val="2"/>
          <c:tx>
            <c:strRef>
              <c:f>'Afiliados y Cotizantes'!$F$6</c:f>
              <c:strCache>
                <c:ptCount val="1"/>
                <c:pt idx="0">
                  <c:v>% No Cotizantes</c:v>
                </c:pt>
              </c:strCache>
            </c:strRef>
          </c:tx>
          <c:spPr>
            <a:ln>
              <a:solidFill>
                <a:schemeClr val="tx2">
                  <a:lumMod val="60000"/>
                  <a:lumOff val="40000"/>
                </a:schemeClr>
              </a:solidFill>
            </a:ln>
          </c:spPr>
          <c:marker>
            <c:spPr>
              <a:solidFill>
                <a:schemeClr val="tx2">
                  <a:lumMod val="60000"/>
                  <a:lumOff val="40000"/>
                </a:schemeClr>
              </a:solidFill>
              <a:ln>
                <a:solidFill>
                  <a:schemeClr val="tx2">
                    <a:lumMod val="60000"/>
                    <a:lumOff val="40000"/>
                  </a:schemeClr>
                </a:solidFill>
              </a:ln>
            </c:spPr>
          </c:marker>
          <c:dLbls>
            <c:dLbl>
              <c:idx val="0"/>
              <c:layout>
                <c:manualLayout>
                  <c:x val="-7.7450106681931728E-3"/>
                  <c:y val="-0.121616463706442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75C-4406-B71E-65516B4B4A9D}"/>
                </c:ext>
              </c:extLst>
            </c:dLbl>
            <c:dLbl>
              <c:idx val="1"/>
              <c:layout>
                <c:manualLayout>
                  <c:x val="-6.9705096013738546E-2"/>
                  <c:y val="-0.1368426293167826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75C-4406-B71E-65516B4B4A9D}"/>
                </c:ext>
              </c:extLst>
            </c:dLbl>
            <c:dLbl>
              <c:idx val="2"/>
              <c:layout>
                <c:manualLayout>
                  <c:x val="-4.3888393786427976E-2"/>
                  <c:y val="-0.1029996099845748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75C-4406-B71E-65516B4B4A9D}"/>
                </c:ext>
              </c:extLst>
            </c:dLbl>
            <c:spPr>
              <a:noFill/>
              <a:ln>
                <a:noFill/>
              </a:ln>
              <a:effectLst/>
            </c:spPr>
            <c:txPr>
              <a:bodyPr wrap="square" lIns="38100" tIns="19050" rIns="38100" bIns="19050" anchor="ctr">
                <a:spAutoFit/>
              </a:bodyPr>
              <a:lstStyle/>
              <a:p>
                <a:pPr>
                  <a:defRPr sz="105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'Afiliados y Cotizantes'!$A$7:$A$9</c:f>
              <c:strCache>
                <c:ptCount val="3"/>
                <c:pt idx="0">
                  <c:v>Septiembre</c:v>
                </c:pt>
                <c:pt idx="1">
                  <c:v>Agosto</c:v>
                </c:pt>
                <c:pt idx="2">
                  <c:v>Julio</c:v>
                </c:pt>
              </c:strCache>
            </c:strRef>
          </c:cat>
          <c:val>
            <c:numRef>
              <c:f>'Afiliados y Cotizantes'!$F$7:$F$9</c:f>
              <c:numCache>
                <c:formatCode>0.00%</c:formatCode>
                <c:ptCount val="3"/>
                <c:pt idx="0">
                  <c:v>0.71110539184146182</c:v>
                </c:pt>
                <c:pt idx="1">
                  <c:v>0.71690484639289442</c:v>
                </c:pt>
                <c:pt idx="2">
                  <c:v>0.71666468676091022</c:v>
                </c:pt>
              </c:numCache>
            </c:numRef>
          </c:val>
          <c:smooth val="0"/>
          <c:extLst>
            <c:ext xmlns:c16="http://schemas.microsoft.com/office/drawing/2014/chart" uri="{C3380CC4-5D6E-409C-BE32-E72D297353CC}">
              <c16:uniqueId val="{0000000B-C75C-4406-B71E-65516B4B4A9D}"/>
            </c:ext>
          </c:extLst>
        </c:ser>
        <c:dLbls>
          <c:showLegendKey val="0"/>
          <c:showVal val="1"/>
          <c:showCatName val="0"/>
          <c:showSerName val="0"/>
          <c:showPercent val="0"/>
          <c:showBubbleSize val="0"/>
        </c:dLbls>
        <c:marker val="1"/>
        <c:smooth val="0"/>
        <c:axId val="1667766752"/>
        <c:axId val="1667762944"/>
      </c:lineChart>
      <c:catAx>
        <c:axId val="1667770560"/>
        <c:scaling>
          <c:orientation val="minMax"/>
        </c:scaling>
        <c:delete val="0"/>
        <c:axPos val="b"/>
        <c:numFmt formatCode="General" sourceLinked="0"/>
        <c:majorTickMark val="none"/>
        <c:minorTickMark val="none"/>
        <c:tickLblPos val="nextTo"/>
        <c:crossAx val="1667758048"/>
        <c:crosses val="autoZero"/>
        <c:auto val="1"/>
        <c:lblAlgn val="ctr"/>
        <c:lblOffset val="100"/>
        <c:noMultiLvlLbl val="0"/>
      </c:catAx>
      <c:valAx>
        <c:axId val="1667758048"/>
        <c:scaling>
          <c:orientation val="minMax"/>
        </c:scaling>
        <c:delete val="0"/>
        <c:axPos val="l"/>
        <c:numFmt formatCode="#,##0" sourceLinked="1"/>
        <c:majorTickMark val="none"/>
        <c:minorTickMark val="none"/>
        <c:tickLblPos val="nextTo"/>
        <c:crossAx val="1667770560"/>
        <c:crosses val="autoZero"/>
        <c:crossBetween val="between"/>
      </c:valAx>
      <c:valAx>
        <c:axId val="1667762944"/>
        <c:scaling>
          <c:orientation val="minMax"/>
        </c:scaling>
        <c:delete val="0"/>
        <c:axPos val="r"/>
        <c:numFmt formatCode="0.00%" sourceLinked="1"/>
        <c:majorTickMark val="out"/>
        <c:minorTickMark val="none"/>
        <c:tickLblPos val="nextTo"/>
        <c:crossAx val="1667766752"/>
        <c:crosses val="max"/>
        <c:crossBetween val="between"/>
      </c:valAx>
      <c:catAx>
        <c:axId val="1667766752"/>
        <c:scaling>
          <c:orientation val="minMax"/>
        </c:scaling>
        <c:delete val="1"/>
        <c:axPos val="b"/>
        <c:numFmt formatCode="General" sourceLinked="1"/>
        <c:majorTickMark val="out"/>
        <c:minorTickMark val="none"/>
        <c:tickLblPos val="nextTo"/>
        <c:crossAx val="1667762944"/>
        <c:crosses val="autoZero"/>
        <c:auto val="1"/>
        <c:lblAlgn val="ctr"/>
        <c:lblOffset val="100"/>
        <c:noMultiLvlLbl val="0"/>
      </c:catAx>
    </c:plotArea>
    <c:legend>
      <c:legendPos val="b"/>
      <c:overlay val="0"/>
    </c:legend>
    <c:plotVisOnly val="1"/>
    <c:dispBlanksAs val="gap"/>
    <c:showDLblsOverMax val="0"/>
  </c:chart>
  <c:spPr>
    <a:ln>
      <a:noFill/>
    </a:ln>
  </c:spPr>
  <c:printSettings>
    <c:headerFooter/>
    <c:pageMargins b="0.75" l="0.7" r="0.7" t="0.75" header="0.3" footer="0.3"/>
    <c:pageSetup orientation="portrait"/>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DO" sz="1100" b="1">
                <a:solidFill>
                  <a:schemeClr val="tx2">
                    <a:lumMod val="60000"/>
                    <a:lumOff val="40000"/>
                  </a:schemeClr>
                </a:solidFill>
              </a:rPr>
              <a:t>Créditos</a:t>
            </a:r>
            <a:r>
              <a:rPr lang="es-DO" sz="1100" b="1" baseline="0">
                <a:solidFill>
                  <a:schemeClr val="tx2">
                    <a:lumMod val="60000"/>
                    <a:lumOff val="40000"/>
                  </a:schemeClr>
                </a:solidFill>
              </a:rPr>
              <a:t> Rechazados</a:t>
            </a:r>
            <a:endParaRPr lang="es-DO" sz="1100" b="1">
              <a:solidFill>
                <a:schemeClr val="tx2">
                  <a:lumMod val="60000"/>
                  <a:lumOff val="40000"/>
                </a:scheme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'Créditos Rechazados'!$H$7</c:f>
              <c:strCache>
                <c:ptCount val="1"/>
                <c:pt idx="0">
                  <c:v>Cantidad 
</c:v>
                </c:pt>
              </c:strCache>
            </c:strRef>
          </c:tx>
          <c:spPr>
            <a:solidFill>
              <a:schemeClr val="bg1">
                <a:lumMod val="75000"/>
              </a:schemeClr>
            </a:solidFill>
            <a:ln>
              <a:solidFill>
                <a:schemeClr val="accent3">
                  <a:lumMod val="60000"/>
                  <a:lumOff val="40000"/>
                </a:schemeClr>
              </a:solidFill>
            </a:ln>
            <a:effectLst/>
          </c:spPr>
          <c:invertIfNegative val="0"/>
          <c:cat>
            <c:strRef>
              <c:f>'Créditos Rechazados'!$A$8:$A$10</c:f>
              <c:strCache>
                <c:ptCount val="3"/>
                <c:pt idx="0">
                  <c:v>Abril</c:v>
                </c:pt>
                <c:pt idx="1">
                  <c:v>Mayo</c:v>
                </c:pt>
                <c:pt idx="2">
                  <c:v>Junio</c:v>
                </c:pt>
              </c:strCache>
            </c:strRef>
          </c:cat>
          <c:val>
            <c:numRef>
              <c:f>'Créditos Rechazados'!$H$8:$H$10</c:f>
              <c:numCache>
                <c:formatCode>_(* #,##0_);_(* \(#,##0\);_(* "-"??_);_(@_)</c:formatCode>
                <c:ptCount val="3"/>
                <c:pt idx="0">
                  <c:v>0</c:v>
                </c:pt>
                <c:pt idx="1">
                  <c:v>40</c:v>
                </c:pt>
                <c:pt idx="2">
                  <c:v>142</c:v>
                </c:pt>
              </c:numCache>
            </c:numRef>
          </c:val>
          <c:extLst>
            <c:ext xmlns:c16="http://schemas.microsoft.com/office/drawing/2014/chart" uri="{C3380CC4-5D6E-409C-BE32-E72D297353CC}">
              <c16:uniqueId val="{00000000-1AA9-4FB4-B4A2-1D086BEA9BB5}"/>
            </c:ext>
          </c:extLst>
        </c:ser>
        <c:ser>
          <c:idx val="1"/>
          <c:order val="1"/>
          <c:tx>
            <c:strRef>
              <c:f>'Créditos Rechazados'!$I$7</c:f>
              <c:strCache>
                <c:ptCount val="1"/>
                <c:pt idx="0">
                  <c:v>Monto</c:v>
                </c:pt>
              </c:strCache>
            </c:strRef>
          </c:tx>
          <c:spPr>
            <a:solidFill>
              <a:schemeClr val="accent3"/>
            </a:solidFill>
            <a:ln>
              <a:noFill/>
            </a:ln>
            <a:effectLst/>
          </c:spPr>
          <c:invertIfNegative val="0"/>
          <c:cat>
            <c:strRef>
              <c:f>'Créditos Rechazados'!$A$8:$A$10</c:f>
              <c:strCache>
                <c:ptCount val="3"/>
                <c:pt idx="0">
                  <c:v>Abril</c:v>
                </c:pt>
                <c:pt idx="1">
                  <c:v>Mayo</c:v>
                </c:pt>
                <c:pt idx="2">
                  <c:v>Junio</c:v>
                </c:pt>
              </c:strCache>
            </c:strRef>
          </c:cat>
          <c:val>
            <c:numRef>
              <c:f>'Créditos Rechazados'!$I$8:$I$10</c:f>
              <c:numCache>
                <c:formatCode>_(* #,##0.00_);_(* \(#,##0.00\);_(* "-"??_);_(@_)</c:formatCode>
                <c:ptCount val="3"/>
                <c:pt idx="0">
                  <c:v>0</c:v>
                </c:pt>
                <c:pt idx="1">
                  <c:v>414032.22</c:v>
                </c:pt>
                <c:pt idx="2" formatCode="_(* #,##0_);_(* \(#,##0\);_(* &quot;-&quot;??_);_(@_)">
                  <c:v>1591442.78</c:v>
                </c:pt>
              </c:numCache>
            </c:numRef>
          </c:val>
          <c:extLst>
            <c:ext xmlns:c16="http://schemas.microsoft.com/office/drawing/2014/chart" uri="{C3380CC4-5D6E-409C-BE32-E72D297353CC}">
              <c16:uniqueId val="{00000001-1AA9-4FB4-B4A2-1D086BEA9BB5}"/>
            </c:ext>
          </c:extLst>
        </c:ser>
        <c:dLbls>
          <c:showLegendKey val="0"/>
          <c:showVal val="0"/>
          <c:showCatName val="0"/>
          <c:showSerName val="0"/>
          <c:showPercent val="0"/>
          <c:showBubbleSize val="0"/>
        </c:dLbls>
        <c:gapWidth val="219"/>
        <c:overlap val="-27"/>
        <c:axId val="1672047632"/>
        <c:axId val="1672049264"/>
      </c:barChart>
      <c:catAx>
        <c:axId val="167204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72049264"/>
        <c:crosses val="autoZero"/>
        <c:auto val="1"/>
        <c:lblAlgn val="ctr"/>
        <c:lblOffset val="100"/>
        <c:noMultiLvlLbl val="0"/>
      </c:catAx>
      <c:valAx>
        <c:axId val="1672049264"/>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672047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816805319017807"/>
          <c:y val="0.1147686611742301"/>
          <c:w val="0.71680195964278259"/>
          <c:h val="0.69625725323778975"/>
        </c:manualLayout>
      </c:layout>
      <c:barChart>
        <c:barDir val="col"/>
        <c:grouping val="clustered"/>
        <c:varyColors val="0"/>
        <c:ser>
          <c:idx val="0"/>
          <c:order val="0"/>
          <c:tx>
            <c:strRef>
              <c:f>'Recuperación Fondos'!$C$6</c:f>
              <c:strCache>
                <c:ptCount val="1"/>
                <c:pt idx="0">
                  <c:v>Monto 
Solicitado</c:v>
                </c:pt>
              </c:strCache>
            </c:strRef>
          </c:tx>
          <c:spPr>
            <a:solidFill>
              <a:schemeClr val="bg1">
                <a:lumMod val="75000"/>
              </a:schemeClr>
            </a:solidFill>
            <a:ln>
              <a:solidFill>
                <a:schemeClr val="bg1">
                  <a:lumMod val="75000"/>
                </a:schemeClr>
              </a:solidFill>
            </a:ln>
          </c:spPr>
          <c:invertIfNegative val="0"/>
          <c:dLbls>
            <c:dLbl>
              <c:idx val="0"/>
              <c:layout>
                <c:manualLayout>
                  <c:x val="1.1568720852990166E-2"/>
                  <c:y val="-2.00406905565971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53-4937-ACFC-AC9F032F728F}"/>
                </c:ext>
              </c:extLst>
            </c:dLbl>
            <c:dLbl>
              <c:idx val="1"/>
              <c:layout>
                <c:manualLayout>
                  <c:x val="1.9182306332050394E-2"/>
                  <c:y val="-4.01493958516923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53-4937-ACFC-AC9F032F728F}"/>
                </c:ext>
              </c:extLst>
            </c:dLbl>
            <c:dLbl>
              <c:idx val="2"/>
              <c:layout>
                <c:manualLayout>
                  <c:x val="-4.1711647931624477E-4"/>
                  <c:y val="1.0088951449305363E-2"/>
                </c:manualLayout>
              </c:layout>
              <c:spPr>
                <a:noFill/>
                <a:ln>
                  <a:noFill/>
                </a:ln>
                <a:effectLst/>
              </c:spPr>
              <c:txPr>
                <a:bodyPr wrap="square" lIns="38100" tIns="19050" rIns="38100" bIns="19050" anchor="ctr">
                  <a:noAutofit/>
                </a:bodyPr>
                <a:lstStyle/>
                <a:p>
                  <a:pPr>
                    <a:defRPr/>
                  </a:pPr>
                  <a:endParaRPr lang="es-ES"/>
                </a:p>
              </c:txPr>
              <c:showLegendKey val="0"/>
              <c:showVal val="1"/>
              <c:showCatName val="0"/>
              <c:showSerName val="0"/>
              <c:showPercent val="0"/>
              <c:showBubbleSize val="0"/>
              <c:extLst>
                <c:ext xmlns:c15="http://schemas.microsoft.com/office/drawing/2012/chart" uri="{CE6537A1-D6FC-4f65-9D91-7224C49458BB}">
                  <c15:layout>
                    <c:manualLayout>
                      <c:w val="0.16405018275115812"/>
                      <c:h val="4.2081605857547569E-2"/>
                    </c:manualLayout>
                  </c15:layout>
                </c:ext>
                <c:ext xmlns:c16="http://schemas.microsoft.com/office/drawing/2014/chart" uri="{C3380CC4-5D6E-409C-BE32-E72D297353CC}">
                  <c16:uniqueId val="{00000002-F953-4937-ACFC-AC9F032F728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'Recuperación Fondos'!$A$7:$A$9</c:f>
              <c:strCache>
                <c:ptCount val="3"/>
                <c:pt idx="0">
                  <c:v>Septiembre</c:v>
                </c:pt>
                <c:pt idx="1">
                  <c:v>Agosto</c:v>
                </c:pt>
                <c:pt idx="2">
                  <c:v>Julio</c:v>
                </c:pt>
              </c:strCache>
            </c:strRef>
          </c:cat>
          <c:val>
            <c:numRef>
              <c:f>'Recuperación Fondos'!$C$7:$C$9</c:f>
              <c:numCache>
                <c:formatCode>#,##0.00</c:formatCode>
                <c:ptCount val="3"/>
                <c:pt idx="0">
                  <c:v>3452133.3699999996</c:v>
                </c:pt>
                <c:pt idx="1">
                  <c:v>2986442.69</c:v>
                </c:pt>
                <c:pt idx="2">
                  <c:v>6002857.8200000003</c:v>
                </c:pt>
              </c:numCache>
            </c:numRef>
          </c:val>
          <c:extLst>
            <c:ext xmlns:c16="http://schemas.microsoft.com/office/drawing/2014/chart" uri="{C3380CC4-5D6E-409C-BE32-E72D297353CC}">
              <c16:uniqueId val="{00000003-F953-4937-ACFC-AC9F032F728F}"/>
            </c:ext>
          </c:extLst>
        </c:ser>
        <c:ser>
          <c:idx val="1"/>
          <c:order val="1"/>
          <c:tx>
            <c:strRef>
              <c:f>'Recuperación Fondos'!$F$6</c:f>
              <c:strCache>
                <c:ptCount val="1"/>
                <c:pt idx="0">
                  <c:v>Total 
Recuperado</c:v>
                </c:pt>
              </c:strCache>
            </c:strRef>
          </c:tx>
          <c:spPr>
            <a:solidFill>
              <a:schemeClr val="accent3">
                <a:lumMod val="60000"/>
                <a:lumOff val="40000"/>
              </a:schemeClr>
            </a:solidFill>
            <a:ln>
              <a:solidFill>
                <a:schemeClr val="accent3">
                  <a:lumMod val="60000"/>
                  <a:lumOff val="40000"/>
                </a:schemeClr>
              </a:solidFill>
            </a:ln>
          </c:spPr>
          <c:invertIfNegative val="0"/>
          <c:dLbls>
            <c:dLbl>
              <c:idx val="0"/>
              <c:layout>
                <c:manualLayout>
                  <c:x val="1.4354024410601823E-2"/>
                  <c:y val="1.2011107102512995E-2"/>
                </c:manualLayout>
              </c:layout>
              <c:spPr>
                <a:noFill/>
                <a:ln>
                  <a:noFill/>
                </a:ln>
                <a:effectLst/>
              </c:spPr>
              <c:txPr>
                <a:bodyPr wrap="square" lIns="38100" tIns="19050" rIns="38100" bIns="19050" anchor="ctr">
                  <a:noAutofit/>
                </a:bodyPr>
                <a:lstStyle/>
                <a:p>
                  <a:pPr>
                    <a:defRPr/>
                  </a:pPr>
                  <a:endParaRPr lang="es-ES"/>
                </a:p>
              </c:txPr>
              <c:showLegendKey val="0"/>
              <c:showVal val="1"/>
              <c:showCatName val="0"/>
              <c:showSerName val="0"/>
              <c:showPercent val="0"/>
              <c:showBubbleSize val="0"/>
              <c:extLst>
                <c:ext xmlns:c15="http://schemas.microsoft.com/office/drawing/2012/chart" uri="{CE6537A1-D6FC-4f65-9D91-7224C49458BB}">
                  <c15:layout>
                    <c:manualLayout>
                      <c:w val="0.13107200811714922"/>
                      <c:h val="4.5837202287660944E-2"/>
                    </c:manualLayout>
                  </c15:layout>
                </c:ext>
                <c:ext xmlns:c16="http://schemas.microsoft.com/office/drawing/2014/chart" uri="{C3380CC4-5D6E-409C-BE32-E72D297353CC}">
                  <c16:uniqueId val="{00000004-F953-4937-ACFC-AC9F032F728F}"/>
                </c:ext>
              </c:extLst>
            </c:dLbl>
            <c:dLbl>
              <c:idx val="1"/>
              <c:layout>
                <c:manualLayout>
                  <c:x val="4.004152379754003E-3"/>
                  <c:y val="1.8518638995511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953-4937-ACFC-AC9F032F728F}"/>
                </c:ext>
              </c:extLst>
            </c:dLbl>
            <c:dLbl>
              <c:idx val="2"/>
              <c:layout>
                <c:manualLayout>
                  <c:x val="-1.598692580187087E-3"/>
                  <c:y val="2.3407715828508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953-4937-ACFC-AC9F032F728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'Recuperación Fondos'!$A$7:$A$9</c:f>
              <c:strCache>
                <c:ptCount val="3"/>
                <c:pt idx="0">
                  <c:v>Septiembre</c:v>
                </c:pt>
                <c:pt idx="1">
                  <c:v>Agosto</c:v>
                </c:pt>
                <c:pt idx="2">
                  <c:v>Julio</c:v>
                </c:pt>
              </c:strCache>
            </c:strRef>
          </c:cat>
          <c:val>
            <c:numRef>
              <c:f>'Recuperación Fondos'!$F$7:$F$9</c:f>
              <c:numCache>
                <c:formatCode>_(* #,##0.00_);_(* \(#,##0.00\);_(* "-"??_);_(@_)</c:formatCode>
                <c:ptCount val="3"/>
                <c:pt idx="0">
                  <c:v>0</c:v>
                </c:pt>
                <c:pt idx="1">
                  <c:v>1252203.7</c:v>
                </c:pt>
                <c:pt idx="2">
                  <c:v>2502099.2599999998</c:v>
                </c:pt>
              </c:numCache>
            </c:numRef>
          </c:val>
          <c:extLst>
            <c:ext xmlns:c16="http://schemas.microsoft.com/office/drawing/2014/chart" uri="{C3380CC4-5D6E-409C-BE32-E72D297353CC}">
              <c16:uniqueId val="{00000007-F953-4937-ACFC-AC9F032F728F}"/>
            </c:ext>
          </c:extLst>
        </c:ser>
        <c:dLbls>
          <c:showLegendKey val="0"/>
          <c:showVal val="1"/>
          <c:showCatName val="0"/>
          <c:showSerName val="0"/>
          <c:showPercent val="0"/>
          <c:showBubbleSize val="0"/>
        </c:dLbls>
        <c:gapWidth val="75"/>
        <c:axId val="1672048720"/>
        <c:axId val="1672045456"/>
      </c:barChart>
      <c:lineChart>
        <c:grouping val="standard"/>
        <c:varyColors val="0"/>
        <c:ser>
          <c:idx val="2"/>
          <c:order val="2"/>
          <c:tx>
            <c:strRef>
              <c:f>'Recuperación Fondos'!$G$6</c:f>
              <c:strCache>
                <c:ptCount val="1"/>
                <c:pt idx="0">
                  <c:v>% Recuperado</c:v>
                </c:pt>
              </c:strCache>
            </c:strRef>
          </c:tx>
          <c:spPr>
            <a:ln>
              <a:solidFill>
                <a:schemeClr val="tx2">
                  <a:lumMod val="60000"/>
                  <a:lumOff val="40000"/>
                </a:schemeClr>
              </a:solidFill>
            </a:ln>
          </c:spPr>
          <c:marker>
            <c:spPr>
              <a:solidFill>
                <a:schemeClr val="tx2">
                  <a:lumMod val="60000"/>
                  <a:lumOff val="40000"/>
                </a:schemeClr>
              </a:solidFill>
              <a:ln>
                <a:solidFill>
                  <a:schemeClr val="tx2">
                    <a:lumMod val="60000"/>
                    <a:lumOff val="40000"/>
                  </a:schemeClr>
                </a:solidFill>
              </a:ln>
            </c:spPr>
          </c:marker>
          <c:dLbls>
            <c:dLbl>
              <c:idx val="0"/>
              <c:layout>
                <c:manualLayout>
                  <c:x val="-9.6445290055332478E-2"/>
                  <c:y val="-1.2755424914685863E-2"/>
                </c:manualLayout>
              </c:layout>
              <c:spPr>
                <a:noFill/>
                <a:ln>
                  <a:noFill/>
                </a:ln>
                <a:effectLst/>
              </c:spPr>
              <c:txPr>
                <a:bodyPr wrap="square" lIns="38100" tIns="19050" rIns="38100" bIns="19050" anchor="ctr">
                  <a:noAutofit/>
                </a:bodyPr>
                <a:lstStyle/>
                <a:p>
                  <a:pPr>
                    <a:defRPr sz="800" b="1"/>
                  </a:pPr>
                  <a:endParaRPr lang="es-ES"/>
                </a:p>
              </c:txPr>
              <c:showLegendKey val="0"/>
              <c:showVal val="1"/>
              <c:showCatName val="0"/>
              <c:showSerName val="0"/>
              <c:showPercent val="0"/>
              <c:showBubbleSize val="0"/>
              <c:extLst>
                <c:ext xmlns:c15="http://schemas.microsoft.com/office/drawing/2012/chart" uri="{CE6537A1-D6FC-4f65-9D91-7224C49458BB}">
                  <c15:layout>
                    <c:manualLayout>
                      <c:w val="0.1051238097194996"/>
                      <c:h val="7.4435921244847145E-2"/>
                    </c:manualLayout>
                  </c15:layout>
                </c:ext>
                <c:ext xmlns:c16="http://schemas.microsoft.com/office/drawing/2014/chart" uri="{C3380CC4-5D6E-409C-BE32-E72D297353CC}">
                  <c16:uniqueId val="{00000008-F953-4937-ACFC-AC9F032F728F}"/>
                </c:ext>
              </c:extLst>
            </c:dLbl>
            <c:dLbl>
              <c:idx val="1"/>
              <c:layout>
                <c:manualLayout>
                  <c:x val="-8.0756784548152889E-3"/>
                  <c:y val="-1.7063862882287256E-2"/>
                </c:manualLayout>
              </c:layout>
              <c:spPr>
                <a:noFill/>
                <a:ln>
                  <a:noFill/>
                </a:ln>
                <a:effectLst/>
              </c:spPr>
              <c:txPr>
                <a:bodyPr wrap="square" lIns="38100" tIns="19050" rIns="38100" bIns="19050" anchor="ctr">
                  <a:noAutofit/>
                </a:bodyPr>
                <a:lstStyle/>
                <a:p>
                  <a:pPr>
                    <a:defRPr sz="800" b="1"/>
                  </a:pPr>
                  <a:endParaRPr lang="es-ES"/>
                </a:p>
              </c:txPr>
              <c:showLegendKey val="0"/>
              <c:showVal val="1"/>
              <c:showCatName val="0"/>
              <c:showSerName val="0"/>
              <c:showPercent val="0"/>
              <c:showBubbleSize val="0"/>
              <c:extLst>
                <c:ext xmlns:c15="http://schemas.microsoft.com/office/drawing/2012/chart" uri="{CE6537A1-D6FC-4f65-9D91-7224C49458BB}">
                  <c15:layout>
                    <c:manualLayout>
                      <c:w val="0.10912780795442271"/>
                      <c:h val="6.3169131954507005E-2"/>
                    </c:manualLayout>
                  </c15:layout>
                </c:ext>
                <c:ext xmlns:c16="http://schemas.microsoft.com/office/drawing/2014/chart" uri="{C3380CC4-5D6E-409C-BE32-E72D297353CC}">
                  <c16:uniqueId val="{00000009-F953-4937-ACFC-AC9F032F728F}"/>
                </c:ext>
              </c:extLst>
            </c:dLbl>
            <c:dLbl>
              <c:idx val="2"/>
              <c:layout>
                <c:manualLayout>
                  <c:x val="-1.9030230582906038E-2"/>
                  <c:y val="-4.24450411341311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953-4937-ACFC-AC9F032F728F}"/>
                </c:ext>
              </c:extLst>
            </c:dLbl>
            <c:spPr>
              <a:noFill/>
              <a:ln>
                <a:noFill/>
              </a:ln>
              <a:effectLst/>
            </c:spPr>
            <c:txPr>
              <a:bodyPr wrap="square" lIns="38100" tIns="19050" rIns="38100" bIns="19050" anchor="ctr">
                <a:spAutoFit/>
              </a:bodyPr>
              <a:lstStyle/>
              <a:p>
                <a:pPr>
                  <a:defRPr sz="80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'Recuperación Fondos'!$A$7:$A$9</c:f>
              <c:strCache>
                <c:ptCount val="3"/>
                <c:pt idx="0">
                  <c:v>Septiembre</c:v>
                </c:pt>
                <c:pt idx="1">
                  <c:v>Agosto</c:v>
                </c:pt>
                <c:pt idx="2">
                  <c:v>Julio</c:v>
                </c:pt>
              </c:strCache>
            </c:strRef>
          </c:cat>
          <c:val>
            <c:numRef>
              <c:f>'Recuperación Fondos'!$G$7:$G$9</c:f>
              <c:numCache>
                <c:formatCode>0.00%</c:formatCode>
                <c:ptCount val="3"/>
                <c:pt idx="0">
                  <c:v>0</c:v>
                </c:pt>
                <c:pt idx="1">
                  <c:v>0.41929607562634996</c:v>
                </c:pt>
                <c:pt idx="2">
                  <c:v>0.41681801152505055</c:v>
                </c:pt>
              </c:numCache>
            </c:numRef>
          </c:val>
          <c:smooth val="0"/>
          <c:extLst>
            <c:ext xmlns:c16="http://schemas.microsoft.com/office/drawing/2014/chart" uri="{C3380CC4-5D6E-409C-BE32-E72D297353CC}">
              <c16:uniqueId val="{0000000B-F953-4937-ACFC-AC9F032F728F}"/>
            </c:ext>
          </c:extLst>
        </c:ser>
        <c:dLbls>
          <c:showLegendKey val="0"/>
          <c:showVal val="1"/>
          <c:showCatName val="0"/>
          <c:showSerName val="0"/>
          <c:showPercent val="0"/>
          <c:showBubbleSize val="0"/>
        </c:dLbls>
        <c:marker val="1"/>
        <c:smooth val="0"/>
        <c:axId val="1672048176"/>
        <c:axId val="1672052528"/>
      </c:lineChart>
      <c:valAx>
        <c:axId val="1672052528"/>
        <c:scaling>
          <c:orientation val="minMax"/>
        </c:scaling>
        <c:delete val="0"/>
        <c:axPos val="r"/>
        <c:numFmt formatCode="0.00%" sourceLinked="1"/>
        <c:majorTickMark val="none"/>
        <c:minorTickMark val="none"/>
        <c:tickLblPos val="nextTo"/>
        <c:crossAx val="1672048176"/>
        <c:crosses val="max"/>
        <c:crossBetween val="between"/>
      </c:valAx>
      <c:catAx>
        <c:axId val="1672048176"/>
        <c:scaling>
          <c:orientation val="minMax"/>
        </c:scaling>
        <c:delete val="0"/>
        <c:axPos val="b"/>
        <c:numFmt formatCode="General" sourceLinked="0"/>
        <c:majorTickMark val="none"/>
        <c:minorTickMark val="none"/>
        <c:tickLblPos val="nextTo"/>
        <c:crossAx val="1672052528"/>
        <c:crosses val="autoZero"/>
        <c:auto val="1"/>
        <c:lblAlgn val="ctr"/>
        <c:lblOffset val="100"/>
        <c:noMultiLvlLbl val="0"/>
      </c:catAx>
      <c:valAx>
        <c:axId val="1672045456"/>
        <c:scaling>
          <c:orientation val="minMax"/>
          <c:max val="5500000"/>
          <c:min val="0"/>
        </c:scaling>
        <c:delete val="0"/>
        <c:axPos val="l"/>
        <c:numFmt formatCode="#,##0.00" sourceLinked="1"/>
        <c:majorTickMark val="out"/>
        <c:minorTickMark val="none"/>
        <c:tickLblPos val="nextTo"/>
        <c:crossAx val="1672048720"/>
        <c:crosses val="autoZero"/>
        <c:crossBetween val="between"/>
        <c:majorUnit val="500000"/>
      </c:valAx>
      <c:catAx>
        <c:axId val="1672048720"/>
        <c:scaling>
          <c:orientation val="minMax"/>
        </c:scaling>
        <c:delete val="1"/>
        <c:axPos val="b"/>
        <c:numFmt formatCode="General" sourceLinked="1"/>
        <c:majorTickMark val="out"/>
        <c:minorTickMark val="none"/>
        <c:tickLblPos val="nextTo"/>
        <c:crossAx val="1672045456"/>
        <c:crosses val="autoZero"/>
        <c:auto val="1"/>
        <c:lblAlgn val="ctr"/>
        <c:lblOffset val="100"/>
        <c:noMultiLvlLbl val="0"/>
      </c:catAx>
    </c:plotArea>
    <c:legend>
      <c:legendPos val="b"/>
      <c:overlay val="0"/>
      <c:txPr>
        <a:bodyPr/>
        <a:lstStyle/>
        <a:p>
          <a:pPr>
            <a:defRPr sz="800" baseline="0"/>
          </a:pPr>
          <a:endParaRPr lang="es-ES"/>
        </a:p>
      </c:txPr>
    </c:legend>
    <c:plotVisOnly val="1"/>
    <c:dispBlanksAs val="gap"/>
    <c:showDLblsOverMax val="0"/>
  </c:chart>
  <c:spPr>
    <a:ln>
      <a:noFill/>
    </a:ln>
  </c:spPr>
  <c:printSettings>
    <c:headerFooter/>
    <c:pageMargins b="0.75" l="0.7" r="0.7" t="0.75" header="0.3" footer="0.3"/>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21"/>
          <c:order val="0"/>
          <c:tx>
            <c:strRef>
              <c:f>Servicios!$L$10</c:f>
              <c:strCache>
                <c:ptCount val="1"/>
                <c:pt idx="0">
                  <c:v>Recibidas</c:v>
                </c:pt>
              </c:strCache>
            </c:strRef>
          </c:tx>
          <c:spPr>
            <a:solidFill>
              <a:schemeClr val="bg1">
                <a:lumMod val="65000"/>
              </a:schemeClr>
            </a:solidFill>
            <a:ln>
              <a:solidFill>
                <a:schemeClr val="bg1">
                  <a:lumMod val="65000"/>
                </a:schemeClr>
              </a:solidFill>
            </a:ln>
          </c:spPr>
          <c:invertIfNegative val="0"/>
          <c:cat>
            <c:strRef>
              <c:f>Servicios!$B$11:$B$23</c:f>
              <c:strCache>
                <c:ptCount val="13"/>
                <c:pt idx="0">
                  <c:v>Modificación Datos Críticos</c:v>
                </c:pt>
                <c:pt idx="1">
                  <c:v>Pensión por sobrevivencia</c:v>
                </c:pt>
                <c:pt idx="2">
                  <c:v>Registro de Poderes</c:v>
                </c:pt>
                <c:pt idx="3">
                  <c:v>Solicitud Aplicación/Suspensión de Descuento 2%</c:v>
                </c:pt>
                <c:pt idx="4">
                  <c:v>Solicitud de actualización de datos  Pensionados</c:v>
                </c:pt>
                <c:pt idx="5">
                  <c:v>Solicitud de Exclusión</c:v>
                </c:pt>
                <c:pt idx="6">
                  <c:v>Solicitud de Inclusión a Nómina</c:v>
                </c:pt>
                <c:pt idx="7">
                  <c:v>Solicitud de Reajuste de Pensión</c:v>
                </c:pt>
                <c:pt idx="8">
                  <c:v>Solicitud de Reclamación de Deuda</c:v>
                </c:pt>
                <c:pt idx="9">
                  <c:v>Solicitud Pago Único Compensatorio</c:v>
                </c:pt>
                <c:pt idx="10">
                  <c:v>Solicitud Pensión</c:v>
                </c:pt>
                <c:pt idx="11">
                  <c:v>Solicitud Re-activación/Re-inclusión Pensión</c:v>
                </c:pt>
                <c:pt idx="12">
                  <c:v>Solicitud Traspaso</c:v>
                </c:pt>
              </c:strCache>
            </c:strRef>
          </c:cat>
          <c:val>
            <c:numRef>
              <c:f>Servicios!$L$11:$L$23</c:f>
              <c:numCache>
                <c:formatCode>#,##0</c:formatCode>
                <c:ptCount val="13"/>
                <c:pt idx="0">
                  <c:v>20</c:v>
                </c:pt>
                <c:pt idx="1">
                  <c:v>703</c:v>
                </c:pt>
                <c:pt idx="2">
                  <c:v>126</c:v>
                </c:pt>
                <c:pt idx="3">
                  <c:v>406</c:v>
                </c:pt>
                <c:pt idx="4">
                  <c:v>10642</c:v>
                </c:pt>
                <c:pt idx="5">
                  <c:v>1734</c:v>
                </c:pt>
                <c:pt idx="6">
                  <c:v>7125</c:v>
                </c:pt>
                <c:pt idx="7">
                  <c:v>20</c:v>
                </c:pt>
                <c:pt idx="8">
                  <c:v>145</c:v>
                </c:pt>
                <c:pt idx="9">
                  <c:v>25</c:v>
                </c:pt>
                <c:pt idx="10">
                  <c:v>710</c:v>
                </c:pt>
                <c:pt idx="11">
                  <c:v>170</c:v>
                </c:pt>
                <c:pt idx="12">
                  <c:v>4</c:v>
                </c:pt>
              </c:numCache>
            </c:numRef>
          </c:val>
          <c:extLst>
            <c:ext xmlns:c16="http://schemas.microsoft.com/office/drawing/2014/chart" uri="{C3380CC4-5D6E-409C-BE32-E72D297353CC}">
              <c16:uniqueId val="{00000000-87CC-45A1-A6C8-669D4A3C48EA}"/>
            </c:ext>
          </c:extLst>
        </c:ser>
        <c:ser>
          <c:idx val="22"/>
          <c:order val="1"/>
          <c:tx>
            <c:strRef>
              <c:f>Servicios!$M$10</c:f>
              <c:strCache>
                <c:ptCount val="1"/>
                <c:pt idx="0">
                  <c:v>Procesadas</c:v>
                </c:pt>
              </c:strCache>
            </c:strRef>
          </c:tx>
          <c:spPr>
            <a:solidFill>
              <a:schemeClr val="accent3">
                <a:lumMod val="60000"/>
                <a:lumOff val="40000"/>
              </a:schemeClr>
            </a:solidFill>
            <a:ln>
              <a:solidFill>
                <a:schemeClr val="accent3">
                  <a:lumMod val="60000"/>
                  <a:lumOff val="40000"/>
                </a:schemeClr>
              </a:solidFill>
            </a:ln>
          </c:spPr>
          <c:invertIfNegative val="0"/>
          <c:cat>
            <c:strRef>
              <c:f>Servicios!$B$11:$B$23</c:f>
              <c:strCache>
                <c:ptCount val="13"/>
                <c:pt idx="0">
                  <c:v>Modificación Datos Críticos</c:v>
                </c:pt>
                <c:pt idx="1">
                  <c:v>Pensión por sobrevivencia</c:v>
                </c:pt>
                <c:pt idx="2">
                  <c:v>Registro de Poderes</c:v>
                </c:pt>
                <c:pt idx="3">
                  <c:v>Solicitud Aplicación/Suspensión de Descuento 2%</c:v>
                </c:pt>
                <c:pt idx="4">
                  <c:v>Solicitud de actualización de datos  Pensionados</c:v>
                </c:pt>
                <c:pt idx="5">
                  <c:v>Solicitud de Exclusión</c:v>
                </c:pt>
                <c:pt idx="6">
                  <c:v>Solicitud de Inclusión a Nómina</c:v>
                </c:pt>
                <c:pt idx="7">
                  <c:v>Solicitud de Reajuste de Pensión</c:v>
                </c:pt>
                <c:pt idx="8">
                  <c:v>Solicitud de Reclamación de Deuda</c:v>
                </c:pt>
                <c:pt idx="9">
                  <c:v>Solicitud Pago Único Compensatorio</c:v>
                </c:pt>
                <c:pt idx="10">
                  <c:v>Solicitud Pensión</c:v>
                </c:pt>
                <c:pt idx="11">
                  <c:v>Solicitud Re-activación/Re-inclusión Pensión</c:v>
                </c:pt>
                <c:pt idx="12">
                  <c:v>Solicitud Traspaso</c:v>
                </c:pt>
              </c:strCache>
            </c:strRef>
          </c:cat>
          <c:val>
            <c:numRef>
              <c:f>Servicios!$M$11:$M$23</c:f>
              <c:numCache>
                <c:formatCode>#,##0</c:formatCode>
                <c:ptCount val="13"/>
                <c:pt idx="0">
                  <c:v>18</c:v>
                </c:pt>
                <c:pt idx="1">
                  <c:v>670</c:v>
                </c:pt>
                <c:pt idx="2">
                  <c:v>49</c:v>
                </c:pt>
                <c:pt idx="3">
                  <c:v>404</c:v>
                </c:pt>
                <c:pt idx="4">
                  <c:v>10474</c:v>
                </c:pt>
                <c:pt idx="5">
                  <c:v>1702</c:v>
                </c:pt>
                <c:pt idx="6">
                  <c:v>7019</c:v>
                </c:pt>
                <c:pt idx="7">
                  <c:v>18</c:v>
                </c:pt>
                <c:pt idx="8">
                  <c:v>139</c:v>
                </c:pt>
                <c:pt idx="9">
                  <c:v>24</c:v>
                </c:pt>
                <c:pt idx="10">
                  <c:v>629</c:v>
                </c:pt>
                <c:pt idx="11">
                  <c:v>166</c:v>
                </c:pt>
                <c:pt idx="12">
                  <c:v>4</c:v>
                </c:pt>
              </c:numCache>
            </c:numRef>
          </c:val>
          <c:extLst>
            <c:ext xmlns:c16="http://schemas.microsoft.com/office/drawing/2014/chart" uri="{C3380CC4-5D6E-409C-BE32-E72D297353CC}">
              <c16:uniqueId val="{00000001-87CC-45A1-A6C8-669D4A3C48EA}"/>
            </c:ext>
          </c:extLst>
        </c:ser>
        <c:dLbls>
          <c:showLegendKey val="0"/>
          <c:showVal val="0"/>
          <c:showCatName val="0"/>
          <c:showSerName val="0"/>
          <c:showPercent val="0"/>
          <c:showBubbleSize val="0"/>
        </c:dLbls>
        <c:gapWidth val="50"/>
        <c:axId val="1672055248"/>
        <c:axId val="1672041104"/>
      </c:barChart>
      <c:lineChart>
        <c:grouping val="standard"/>
        <c:varyColors val="0"/>
        <c:ser>
          <c:idx val="23"/>
          <c:order val="2"/>
          <c:tx>
            <c:strRef>
              <c:f>Servicios!$N$10</c:f>
              <c:strCache>
                <c:ptCount val="1"/>
                <c:pt idx="0">
                  <c:v>% Eficiencia</c:v>
                </c:pt>
              </c:strCache>
            </c:strRef>
          </c:tx>
          <c:spPr>
            <a:ln>
              <a:solidFill>
                <a:schemeClr val="accent1"/>
              </a:solidFill>
            </a:ln>
          </c:spPr>
          <c:marker>
            <c:symbol val="triangle"/>
            <c:size val="7"/>
            <c:spPr>
              <a:solidFill>
                <a:schemeClr val="accent1"/>
              </a:solidFill>
              <a:ln>
                <a:solidFill>
                  <a:schemeClr val="accent1"/>
                </a:solidFill>
              </a:ln>
            </c:spPr>
          </c:marker>
          <c:cat>
            <c:strRef>
              <c:f>Servicios!$B$11:$B$23</c:f>
              <c:strCache>
                <c:ptCount val="13"/>
                <c:pt idx="0">
                  <c:v>Modificación Datos Críticos</c:v>
                </c:pt>
                <c:pt idx="1">
                  <c:v>Pensión por sobrevivencia</c:v>
                </c:pt>
                <c:pt idx="2">
                  <c:v>Registro de Poderes</c:v>
                </c:pt>
                <c:pt idx="3">
                  <c:v>Solicitud Aplicación/Suspensión de Descuento 2%</c:v>
                </c:pt>
                <c:pt idx="4">
                  <c:v>Solicitud de actualización de datos  Pensionados</c:v>
                </c:pt>
                <c:pt idx="5">
                  <c:v>Solicitud de Exclusión</c:v>
                </c:pt>
                <c:pt idx="6">
                  <c:v>Solicitud de Inclusión a Nómina</c:v>
                </c:pt>
                <c:pt idx="7">
                  <c:v>Solicitud de Reajuste de Pensión</c:v>
                </c:pt>
                <c:pt idx="8">
                  <c:v>Solicitud de Reclamación de Deuda</c:v>
                </c:pt>
                <c:pt idx="9">
                  <c:v>Solicitud Pago Único Compensatorio</c:v>
                </c:pt>
                <c:pt idx="10">
                  <c:v>Solicitud Pensión</c:v>
                </c:pt>
                <c:pt idx="11">
                  <c:v>Solicitud Re-activación/Re-inclusión Pensión</c:v>
                </c:pt>
                <c:pt idx="12">
                  <c:v>Solicitud Traspaso</c:v>
                </c:pt>
              </c:strCache>
            </c:strRef>
          </c:cat>
          <c:val>
            <c:numRef>
              <c:f>Servicios!$N$11:$N$23</c:f>
              <c:numCache>
                <c:formatCode>0.0%</c:formatCode>
                <c:ptCount val="13"/>
                <c:pt idx="0">
                  <c:v>0.9</c:v>
                </c:pt>
                <c:pt idx="1">
                  <c:v>0.95305832147937408</c:v>
                </c:pt>
                <c:pt idx="2">
                  <c:v>0.3888888888888889</c:v>
                </c:pt>
                <c:pt idx="3">
                  <c:v>0.99507389162561577</c:v>
                </c:pt>
                <c:pt idx="4">
                  <c:v>0.98421349370419098</c:v>
                </c:pt>
                <c:pt idx="5">
                  <c:v>0.98154555940023069</c:v>
                </c:pt>
                <c:pt idx="6">
                  <c:v>0.98512280701754384</c:v>
                </c:pt>
                <c:pt idx="7">
                  <c:v>0.9</c:v>
                </c:pt>
                <c:pt idx="8">
                  <c:v>0.95862068965517244</c:v>
                </c:pt>
                <c:pt idx="9">
                  <c:v>0.96</c:v>
                </c:pt>
                <c:pt idx="10">
                  <c:v>0.88591549295774652</c:v>
                </c:pt>
                <c:pt idx="11">
                  <c:v>0.97647058823529409</c:v>
                </c:pt>
                <c:pt idx="12">
                  <c:v>1</c:v>
                </c:pt>
              </c:numCache>
            </c:numRef>
          </c:val>
          <c:smooth val="0"/>
          <c:extLst>
            <c:ext xmlns:c16="http://schemas.microsoft.com/office/drawing/2014/chart" uri="{C3380CC4-5D6E-409C-BE32-E72D297353CC}">
              <c16:uniqueId val="{00000002-87CC-45A1-A6C8-669D4A3C48EA}"/>
            </c:ext>
          </c:extLst>
        </c:ser>
        <c:dLbls>
          <c:showLegendKey val="0"/>
          <c:showVal val="0"/>
          <c:showCatName val="0"/>
          <c:showSerName val="0"/>
          <c:showPercent val="0"/>
          <c:showBubbleSize val="0"/>
        </c:dLbls>
        <c:marker val="1"/>
        <c:smooth val="0"/>
        <c:axId val="1672042192"/>
        <c:axId val="1672041648"/>
      </c:lineChart>
      <c:catAx>
        <c:axId val="1672055248"/>
        <c:scaling>
          <c:orientation val="minMax"/>
        </c:scaling>
        <c:delete val="0"/>
        <c:axPos val="b"/>
        <c:numFmt formatCode="General" sourceLinked="0"/>
        <c:majorTickMark val="out"/>
        <c:minorTickMark val="none"/>
        <c:tickLblPos val="nextTo"/>
        <c:crossAx val="1672041104"/>
        <c:crosses val="autoZero"/>
        <c:auto val="1"/>
        <c:lblAlgn val="ctr"/>
        <c:lblOffset val="100"/>
        <c:noMultiLvlLbl val="0"/>
      </c:catAx>
      <c:valAx>
        <c:axId val="1672041104"/>
        <c:scaling>
          <c:logBase val="10"/>
          <c:orientation val="minMax"/>
          <c:max val="100000"/>
        </c:scaling>
        <c:delete val="0"/>
        <c:axPos val="l"/>
        <c:majorGridlines>
          <c:spPr>
            <a:ln>
              <a:noFill/>
            </a:ln>
          </c:spPr>
        </c:majorGridlines>
        <c:numFmt formatCode="#,##0" sourceLinked="1"/>
        <c:majorTickMark val="out"/>
        <c:minorTickMark val="none"/>
        <c:tickLblPos val="nextTo"/>
        <c:crossAx val="1672055248"/>
        <c:crosses val="autoZero"/>
        <c:crossBetween val="between"/>
      </c:valAx>
      <c:valAx>
        <c:axId val="1672041648"/>
        <c:scaling>
          <c:orientation val="minMax"/>
          <c:max val="1"/>
          <c:min val="0.70000000000000007"/>
        </c:scaling>
        <c:delete val="0"/>
        <c:axPos val="r"/>
        <c:numFmt formatCode="0.0%" sourceLinked="1"/>
        <c:majorTickMark val="out"/>
        <c:minorTickMark val="none"/>
        <c:tickLblPos val="nextTo"/>
        <c:crossAx val="1672042192"/>
        <c:crosses val="max"/>
        <c:crossBetween val="between"/>
        <c:majorUnit val="5.000000000000001E-2"/>
      </c:valAx>
      <c:catAx>
        <c:axId val="1672042192"/>
        <c:scaling>
          <c:orientation val="minMax"/>
        </c:scaling>
        <c:delete val="1"/>
        <c:axPos val="b"/>
        <c:numFmt formatCode="General" sourceLinked="1"/>
        <c:majorTickMark val="out"/>
        <c:minorTickMark val="none"/>
        <c:tickLblPos val="nextTo"/>
        <c:crossAx val="1672041648"/>
        <c:crosses val="autoZero"/>
        <c:auto val="1"/>
        <c:lblAlgn val="ctr"/>
        <c:lblOffset val="100"/>
        <c:noMultiLvlLbl val="0"/>
      </c:catAx>
    </c:plotArea>
    <c:legend>
      <c:legendPos val="b"/>
      <c:overlay val="0"/>
    </c:legend>
    <c:plotVisOnly val="1"/>
    <c:dispBlanksAs val="gap"/>
    <c:showDLblsOverMax val="0"/>
  </c:chart>
  <c:spPr>
    <a:ln>
      <a:noFill/>
    </a:ln>
  </c:spPr>
  <c:printSettings>
    <c:headerFooter/>
    <c:pageMargins b="0.75" l="0.7" r="0.7" t="0.75" header="0.3" footer="0.3"/>
    <c:pageSetup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1"/>
          <c:order val="0"/>
          <c:tx>
            <c:strRef>
              <c:f>Servicios!$L$10</c:f>
              <c:strCache>
                <c:ptCount val="1"/>
                <c:pt idx="0">
                  <c:v>Recibidas</c:v>
                </c:pt>
              </c:strCache>
            </c:strRef>
          </c:tx>
          <c:spPr>
            <a:solidFill>
              <a:schemeClr val="bg1">
                <a:lumMod val="65000"/>
              </a:schemeClr>
            </a:solidFill>
            <a:ln>
              <a:solidFill>
                <a:schemeClr val="bg1">
                  <a:lumMod val="65000"/>
                </a:schemeClr>
              </a:solidFill>
            </a:ln>
          </c:spPr>
          <c:invertIfNegative val="0"/>
          <c:cat>
            <c:strRef>
              <c:f>Servicios!$B$33:$B$46</c:f>
              <c:strCache>
                <c:ptCount val="14"/>
                <c:pt idx="0">
                  <c:v>Pensión por Sobrevivencia Concubina</c:v>
                </c:pt>
                <c:pt idx="1">
                  <c:v>Pensión por Sobrevivencia Conyugue</c:v>
                </c:pt>
                <c:pt idx="2">
                  <c:v>Pension por Sobrevivencia Estudiante PN</c:v>
                </c:pt>
                <c:pt idx="3">
                  <c:v>Pensión por Sobrevivencia Menor</c:v>
                </c:pt>
                <c:pt idx="4">
                  <c:v>Pensión por Sobrevivencia Padres</c:v>
                </c:pt>
                <c:pt idx="5">
                  <c:v>Reactivacion</c:v>
                </c:pt>
                <c:pt idx="6">
                  <c:v>Reembolso - RE</c:v>
                </c:pt>
                <c:pt idx="7">
                  <c:v>Reinclusion</c:v>
                </c:pt>
                <c:pt idx="8">
                  <c:v>Retroactivo – RT</c:v>
                </c:pt>
                <c:pt idx="9">
                  <c:v>Retroactivo – RTI</c:v>
                </c:pt>
                <c:pt idx="10">
                  <c:v>Solicitud de aplicacion de Descuento ADL</c:v>
                </c:pt>
                <c:pt idx="11">
                  <c:v>Solicitud de Inclusión a Nómina</c:v>
                </c:pt>
                <c:pt idx="12">
                  <c:v>Solicitud de Suspension de Descuento SDL</c:v>
                </c:pt>
                <c:pt idx="13">
                  <c:v>Solicitud Modificación Monto Pensión</c:v>
                </c:pt>
              </c:strCache>
            </c:strRef>
          </c:cat>
          <c:val>
            <c:numRef>
              <c:f>Servicios!$L$33:$L$46</c:f>
              <c:numCache>
                <c:formatCode>#,##0</c:formatCode>
                <c:ptCount val="14"/>
                <c:pt idx="0">
                  <c:v>94</c:v>
                </c:pt>
                <c:pt idx="1">
                  <c:v>472</c:v>
                </c:pt>
                <c:pt idx="2">
                  <c:v>5</c:v>
                </c:pt>
                <c:pt idx="3">
                  <c:v>18</c:v>
                </c:pt>
                <c:pt idx="4">
                  <c:v>2</c:v>
                </c:pt>
                <c:pt idx="5">
                  <c:v>125</c:v>
                </c:pt>
                <c:pt idx="6">
                  <c:v>30</c:v>
                </c:pt>
                <c:pt idx="7">
                  <c:v>26</c:v>
                </c:pt>
                <c:pt idx="8">
                  <c:v>84</c:v>
                </c:pt>
                <c:pt idx="9">
                  <c:v>687</c:v>
                </c:pt>
                <c:pt idx="10">
                  <c:v>23</c:v>
                </c:pt>
                <c:pt idx="11">
                  <c:v>6097</c:v>
                </c:pt>
                <c:pt idx="12">
                  <c:v>77</c:v>
                </c:pt>
                <c:pt idx="13">
                  <c:v>409</c:v>
                </c:pt>
              </c:numCache>
            </c:numRef>
          </c:val>
          <c:extLst>
            <c:ext xmlns:c16="http://schemas.microsoft.com/office/drawing/2014/chart" uri="{C3380CC4-5D6E-409C-BE32-E72D297353CC}">
              <c16:uniqueId val="{00000000-06E3-4EA1-A621-3A7FC20B75EF}"/>
            </c:ext>
          </c:extLst>
        </c:ser>
        <c:dLbls>
          <c:showLegendKey val="0"/>
          <c:showVal val="0"/>
          <c:showCatName val="0"/>
          <c:showSerName val="0"/>
          <c:showPercent val="0"/>
          <c:showBubbleSize val="0"/>
        </c:dLbls>
        <c:gapWidth val="50"/>
        <c:axId val="1672043824"/>
        <c:axId val="1672044368"/>
      </c:barChart>
      <c:catAx>
        <c:axId val="1672043824"/>
        <c:scaling>
          <c:orientation val="minMax"/>
        </c:scaling>
        <c:delete val="0"/>
        <c:axPos val="b"/>
        <c:numFmt formatCode="General" sourceLinked="0"/>
        <c:majorTickMark val="out"/>
        <c:minorTickMark val="none"/>
        <c:tickLblPos val="nextTo"/>
        <c:crossAx val="1672044368"/>
        <c:crosses val="autoZero"/>
        <c:auto val="1"/>
        <c:lblAlgn val="ctr"/>
        <c:lblOffset val="100"/>
        <c:noMultiLvlLbl val="0"/>
      </c:catAx>
      <c:valAx>
        <c:axId val="1672044368"/>
        <c:scaling>
          <c:logBase val="10"/>
          <c:orientation val="minMax"/>
          <c:max val="12000"/>
          <c:min val="10"/>
        </c:scaling>
        <c:delete val="0"/>
        <c:axPos val="l"/>
        <c:majorGridlines>
          <c:spPr>
            <a:ln>
              <a:noFill/>
            </a:ln>
          </c:spPr>
        </c:majorGridlines>
        <c:numFmt formatCode="#,##0" sourceLinked="0"/>
        <c:majorTickMark val="out"/>
        <c:minorTickMark val="none"/>
        <c:tickLblPos val="nextTo"/>
        <c:crossAx val="1672043824"/>
        <c:crosses val="autoZero"/>
        <c:crossBetween val="between"/>
        <c:majorUnit val="10"/>
      </c:valAx>
    </c:plotArea>
    <c:plotVisOnly val="1"/>
    <c:dispBlanksAs val="gap"/>
    <c:showDLblsOverMax val="0"/>
  </c:chart>
  <c:spPr>
    <a:noFill/>
    <a:ln>
      <a:noFill/>
    </a:ln>
  </c:spPr>
  <c:printSettings>
    <c:headerFooter/>
    <c:pageMargins b="0.75" l="0.7" r="0.7" t="0.75" header="0.3" footer="0.3"/>
    <c:pageSetup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21"/>
          <c:order val="0"/>
          <c:tx>
            <c:strRef>
              <c:f>Servicios!$L$64</c:f>
              <c:strCache>
                <c:ptCount val="1"/>
                <c:pt idx="0">
                  <c:v>Recibidas</c:v>
                </c:pt>
              </c:strCache>
            </c:strRef>
          </c:tx>
          <c:spPr>
            <a:solidFill>
              <a:schemeClr val="bg1">
                <a:lumMod val="65000"/>
              </a:schemeClr>
            </a:solidFill>
            <a:ln>
              <a:solidFill>
                <a:schemeClr val="bg1">
                  <a:lumMod val="65000"/>
                </a:schemeClr>
              </a:solidFill>
            </a:ln>
          </c:spPr>
          <c:invertIfNegative val="0"/>
          <c:cat>
            <c:strRef>
              <c:f>Servicios!$B$65:$B$68</c:f>
              <c:strCache>
                <c:ptCount val="4"/>
                <c:pt idx="0">
                  <c:v>Sobrevivencia Civil</c:v>
                </c:pt>
                <c:pt idx="1">
                  <c:v>Sobrevivencia Policía Nacional</c:v>
                </c:pt>
                <c:pt idx="2">
                  <c:v>Discapacidad Civil</c:v>
                </c:pt>
                <c:pt idx="3">
                  <c:v>Discapacidad Policía Nacional</c:v>
                </c:pt>
              </c:strCache>
            </c:strRef>
          </c:cat>
          <c:val>
            <c:numRef>
              <c:f>Servicios!$L$65:$L$68</c:f>
              <c:numCache>
                <c:formatCode>#,##0</c:formatCode>
                <c:ptCount val="4"/>
                <c:pt idx="0">
                  <c:v>37</c:v>
                </c:pt>
                <c:pt idx="1">
                  <c:v>29</c:v>
                </c:pt>
                <c:pt idx="2">
                  <c:v>7</c:v>
                </c:pt>
                <c:pt idx="3">
                  <c:v>0</c:v>
                </c:pt>
              </c:numCache>
            </c:numRef>
          </c:val>
          <c:extLst>
            <c:ext xmlns:c16="http://schemas.microsoft.com/office/drawing/2014/chart" uri="{C3380CC4-5D6E-409C-BE32-E72D297353CC}">
              <c16:uniqueId val="{00000000-2ADE-4A05-A70D-CF127407BAED}"/>
            </c:ext>
          </c:extLst>
        </c:ser>
        <c:ser>
          <c:idx val="22"/>
          <c:order val="1"/>
          <c:tx>
            <c:strRef>
              <c:f>Servicios!$M$64</c:f>
              <c:strCache>
                <c:ptCount val="1"/>
                <c:pt idx="0">
                  <c:v>Otorgadas</c:v>
                </c:pt>
              </c:strCache>
            </c:strRef>
          </c:tx>
          <c:spPr>
            <a:solidFill>
              <a:schemeClr val="accent3">
                <a:lumMod val="60000"/>
                <a:lumOff val="40000"/>
              </a:schemeClr>
            </a:solidFill>
            <a:ln>
              <a:solidFill>
                <a:schemeClr val="accent3">
                  <a:lumMod val="60000"/>
                  <a:lumOff val="40000"/>
                </a:schemeClr>
              </a:solidFill>
            </a:ln>
          </c:spPr>
          <c:invertIfNegative val="0"/>
          <c:cat>
            <c:strRef>
              <c:f>Servicios!$B$65:$B$68</c:f>
              <c:strCache>
                <c:ptCount val="4"/>
                <c:pt idx="0">
                  <c:v>Sobrevivencia Civil</c:v>
                </c:pt>
                <c:pt idx="1">
                  <c:v>Sobrevivencia Policía Nacional</c:v>
                </c:pt>
                <c:pt idx="2">
                  <c:v>Discapacidad Civil</c:v>
                </c:pt>
                <c:pt idx="3">
                  <c:v>Discapacidad Policía Nacional</c:v>
                </c:pt>
              </c:strCache>
            </c:strRef>
          </c:cat>
          <c:val>
            <c:numRef>
              <c:f>Servicios!$M$65:$M$68</c:f>
              <c:numCache>
                <c:formatCode>#,##0</c:formatCode>
                <c:ptCount val="4"/>
                <c:pt idx="0">
                  <c:v>34</c:v>
                </c:pt>
                <c:pt idx="1">
                  <c:v>18</c:v>
                </c:pt>
                <c:pt idx="2">
                  <c:v>1</c:v>
                </c:pt>
                <c:pt idx="3">
                  <c:v>0</c:v>
                </c:pt>
              </c:numCache>
            </c:numRef>
          </c:val>
          <c:extLst>
            <c:ext xmlns:c16="http://schemas.microsoft.com/office/drawing/2014/chart" uri="{C3380CC4-5D6E-409C-BE32-E72D297353CC}">
              <c16:uniqueId val="{00000001-2ADE-4A05-A70D-CF127407BAED}"/>
            </c:ext>
          </c:extLst>
        </c:ser>
        <c:dLbls>
          <c:showLegendKey val="0"/>
          <c:showVal val="0"/>
          <c:showCatName val="0"/>
          <c:showSerName val="0"/>
          <c:showPercent val="0"/>
          <c:showBubbleSize val="0"/>
        </c:dLbls>
        <c:gapWidth val="50"/>
        <c:axId val="1672055248"/>
        <c:axId val="1672041104"/>
      </c:barChart>
      <c:catAx>
        <c:axId val="1672055248"/>
        <c:scaling>
          <c:orientation val="minMax"/>
        </c:scaling>
        <c:delete val="0"/>
        <c:axPos val="b"/>
        <c:numFmt formatCode="General" sourceLinked="0"/>
        <c:majorTickMark val="out"/>
        <c:minorTickMark val="none"/>
        <c:tickLblPos val="nextTo"/>
        <c:crossAx val="1672041104"/>
        <c:crosses val="autoZero"/>
        <c:auto val="1"/>
        <c:lblAlgn val="ctr"/>
        <c:lblOffset val="100"/>
        <c:noMultiLvlLbl val="0"/>
      </c:catAx>
      <c:valAx>
        <c:axId val="1672041104"/>
        <c:scaling>
          <c:orientation val="minMax"/>
          <c:max val="40"/>
        </c:scaling>
        <c:delete val="0"/>
        <c:axPos val="l"/>
        <c:majorGridlines>
          <c:spPr>
            <a:ln>
              <a:noFill/>
            </a:ln>
          </c:spPr>
        </c:majorGridlines>
        <c:numFmt formatCode="#,##0" sourceLinked="1"/>
        <c:majorTickMark val="out"/>
        <c:minorTickMark val="none"/>
        <c:tickLblPos val="nextTo"/>
        <c:crossAx val="1672055248"/>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ES" sz="1100">
                <a:solidFill>
                  <a:schemeClr val="accent1"/>
                </a:solidFill>
              </a:rPr>
              <a:t>Porcentaje de Cotizantes</a:t>
            </a:r>
            <a:r>
              <a:rPr lang="es-ES" sz="1100" baseline="0">
                <a:solidFill>
                  <a:schemeClr val="accent1"/>
                </a:solidFill>
              </a:rPr>
              <a:t> y No Cotizantes</a:t>
            </a:r>
            <a:endParaRPr lang="es-ES" sz="1100">
              <a:solidFill>
                <a:schemeClr val="accent1"/>
              </a:solidFill>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E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25"/>
          <c:dPt>
            <c:idx val="0"/>
            <c:bubble3D val="0"/>
            <c:explosion val="0"/>
            <c:spPr>
              <a:solidFill>
                <a:schemeClr val="bg1">
                  <a:lumMod val="75000"/>
                </a:schemeClr>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2EA7-43FD-B304-646A53AEE0FB}"/>
              </c:ext>
            </c:extLst>
          </c:dPt>
          <c:dPt>
            <c:idx val="1"/>
            <c:bubble3D val="0"/>
            <c:spPr>
              <a:solidFill>
                <a:schemeClr val="accent3"/>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2EA7-43FD-B304-646A53AEE0FB}"/>
              </c:ext>
            </c:extLst>
          </c:dPt>
          <c:dLbls>
            <c:dLbl>
              <c:idx val="0"/>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EA7-43FD-B304-646A53AEE0FB}"/>
                </c:ext>
              </c:extLst>
            </c:dLbl>
            <c:dLbl>
              <c:idx val="1"/>
              <c:layout>
                <c:manualLayout>
                  <c:x val="0.21927088801399824"/>
                  <c:y val="-0.22681211723534558"/>
                </c:manualLayout>
              </c:layout>
              <c:dLblPos val="bestFit"/>
              <c:showLegendKey val="0"/>
              <c:showVal val="1"/>
              <c:showCatName val="1"/>
              <c:showSerName val="0"/>
              <c:showPercent val="0"/>
              <c:showBubbleSize val="0"/>
              <c:extLst>
                <c:ext xmlns:c15="http://schemas.microsoft.com/office/drawing/2012/chart" uri="{CE6537A1-D6FC-4f65-9D91-7224C49458BB}">
                  <c15:layout>
                    <c:manualLayout>
                      <c:w val="0.22395822397200349"/>
                      <c:h val="0.12689814814814815"/>
                    </c:manualLayout>
                  </c15:layout>
                </c:ext>
                <c:ext xmlns:c16="http://schemas.microsoft.com/office/drawing/2014/chart" uri="{C3380CC4-5D6E-409C-BE32-E72D297353CC}">
                  <c16:uniqueId val="{00000003-2EA7-43FD-B304-646A53AEE0F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S"/>
              </a:p>
            </c:tx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('Afiliados y Cotizantes'!$D$6,'Afiliados y Cotizantes'!$F$6)</c:f>
              <c:strCache>
                <c:ptCount val="2"/>
                <c:pt idx="0">
                  <c:v>% Cotizantes</c:v>
                </c:pt>
                <c:pt idx="1">
                  <c:v>% No Cotizantes</c:v>
                </c:pt>
              </c:strCache>
            </c:strRef>
          </c:cat>
          <c:val>
            <c:numRef>
              <c:f>('Afiliados y Cotizantes'!$D$10,'Afiliados y Cotizantes'!$F$10)</c:f>
              <c:numCache>
                <c:formatCode>0.00%</c:formatCode>
                <c:ptCount val="2"/>
                <c:pt idx="0">
                  <c:v>0.28511436420102854</c:v>
                </c:pt>
                <c:pt idx="1">
                  <c:v>0.71488563579897146</c:v>
                </c:pt>
              </c:numCache>
            </c:numRef>
          </c:val>
          <c:extLst>
            <c:ext xmlns:c16="http://schemas.microsoft.com/office/drawing/2014/chart" uri="{C3380CC4-5D6E-409C-BE32-E72D297353CC}">
              <c16:uniqueId val="{00000004-2EA7-43FD-B304-646A53AEE0FB}"/>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sz="1100" b="1">
                <a:solidFill>
                  <a:schemeClr val="accent1"/>
                </a:solidFill>
              </a:rPr>
              <a:t>Afiliados Policia Nacional</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s-ES"/>
        </a:p>
      </c:txPr>
    </c:title>
    <c:autoTitleDeleted val="0"/>
    <c:plotArea>
      <c:layout/>
      <c:barChart>
        <c:barDir val="col"/>
        <c:grouping val="clustered"/>
        <c:varyColors val="0"/>
        <c:ser>
          <c:idx val="0"/>
          <c:order val="0"/>
          <c:tx>
            <c:strRef>
              <c:f>'Afiliados y Cotizantes'!$G$6</c:f>
              <c:strCache>
                <c:ptCount val="1"/>
                <c:pt idx="0">
                  <c:v>Afiliados Policia Nacional</c:v>
                </c:pt>
              </c:strCache>
            </c:strRef>
          </c:tx>
          <c:spPr>
            <a:solidFill>
              <a:schemeClr val="bg1">
                <a:lumMod val="75000"/>
              </a:schemeClr>
            </a:solidFill>
            <a:ln>
              <a:noFill/>
            </a:ln>
            <a:effectLst>
              <a:outerShdw blurRad="76200" dir="18900000" sy="23000" kx="-1200000" algn="bl" rotWithShape="0">
                <a:prstClr val="black">
                  <a:alpha val="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'Afiliados y Cotizantes'!$A$7:$A$9</c:f>
              <c:strCache>
                <c:ptCount val="3"/>
                <c:pt idx="0">
                  <c:v>Septiembre</c:v>
                </c:pt>
                <c:pt idx="1">
                  <c:v>Agosto</c:v>
                </c:pt>
                <c:pt idx="2">
                  <c:v>Julio</c:v>
                </c:pt>
              </c:strCache>
            </c:strRef>
          </c:cat>
          <c:val>
            <c:numRef>
              <c:f>'Afiliados y Cotizantes'!$G$7:$G$9</c:f>
              <c:numCache>
                <c:formatCode>#,##0</c:formatCode>
                <c:ptCount val="3"/>
                <c:pt idx="0">
                  <c:v>58303</c:v>
                </c:pt>
                <c:pt idx="1">
                  <c:v>57773</c:v>
                </c:pt>
                <c:pt idx="2">
                  <c:v>56309</c:v>
                </c:pt>
              </c:numCache>
            </c:numRef>
          </c:val>
          <c:extLst>
            <c:ext xmlns:c16="http://schemas.microsoft.com/office/drawing/2014/chart" uri="{C3380CC4-5D6E-409C-BE32-E72D297353CC}">
              <c16:uniqueId val="{00000000-7C7C-4C5D-AA0A-07EE66F30F81}"/>
            </c:ext>
          </c:extLst>
        </c:ser>
        <c:dLbls>
          <c:dLblPos val="inEnd"/>
          <c:showLegendKey val="0"/>
          <c:showVal val="1"/>
          <c:showCatName val="0"/>
          <c:showSerName val="0"/>
          <c:showPercent val="0"/>
          <c:showBubbleSize val="0"/>
        </c:dLbls>
        <c:gapWidth val="41"/>
        <c:axId val="509055728"/>
        <c:axId val="509058352"/>
      </c:barChart>
      <c:catAx>
        <c:axId val="50905572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dk1">
                    <a:lumMod val="65000"/>
                    <a:lumOff val="35000"/>
                  </a:schemeClr>
                </a:solidFill>
                <a:effectLst/>
                <a:latin typeface="+mn-lt"/>
                <a:ea typeface="+mn-ea"/>
                <a:cs typeface="+mn-cs"/>
              </a:defRPr>
            </a:pPr>
            <a:endParaRPr lang="es-ES"/>
          </a:p>
        </c:txPr>
        <c:crossAx val="509058352"/>
        <c:crosses val="autoZero"/>
        <c:auto val="1"/>
        <c:lblAlgn val="ctr"/>
        <c:lblOffset val="100"/>
        <c:noMultiLvlLbl val="0"/>
      </c:catAx>
      <c:valAx>
        <c:axId val="509058352"/>
        <c:scaling>
          <c:orientation val="minMax"/>
        </c:scaling>
        <c:delete val="1"/>
        <c:axPos val="l"/>
        <c:numFmt formatCode="#,##0" sourceLinked="1"/>
        <c:majorTickMark val="none"/>
        <c:minorTickMark val="none"/>
        <c:tickLblPos val="nextTo"/>
        <c:crossAx val="5090557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28018372703412"/>
          <c:y val="3.5109750841474434E-2"/>
          <c:w val="0.68917891513560803"/>
          <c:h val="0.8326195683872849"/>
        </c:manualLayout>
      </c:layout>
      <c:barChart>
        <c:barDir val="col"/>
        <c:grouping val="clustered"/>
        <c:varyColors val="0"/>
        <c:ser>
          <c:idx val="0"/>
          <c:order val="0"/>
          <c:tx>
            <c:strRef>
              <c:f>Cotizantes!$B$7</c:f>
              <c:strCache>
                <c:ptCount val="1"/>
                <c:pt idx="0">
                  <c:v>Público 
</c:v>
                </c:pt>
              </c:strCache>
            </c:strRef>
          </c:tx>
          <c:spPr>
            <a:solidFill>
              <a:schemeClr val="bg1">
                <a:lumMod val="75000"/>
              </a:schemeClr>
            </a:solidFill>
            <a:ln>
              <a:solidFill>
                <a:schemeClr val="bg1">
                  <a:lumMod val="75000"/>
                </a:schemeClr>
              </a:solidFill>
            </a:ln>
          </c:spPr>
          <c:invertIfNegative val="0"/>
          <c:dLbls>
            <c:dLbl>
              <c:idx val="0"/>
              <c:layout>
                <c:manualLayout>
                  <c:x val="-2.7771099146605784E-3"/>
                  <c:y val="0.2168701959302685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C0-431D-A784-ADE8732008D2}"/>
                </c:ext>
              </c:extLst>
            </c:dLbl>
            <c:dLbl>
              <c:idx val="1"/>
              <c:layout>
                <c:manualLayout>
                  <c:x val="-2.7770361414853994E-3"/>
                  <c:y val="0.233135460625038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C0-431D-A784-ADE8732008D2}"/>
                </c:ext>
              </c:extLst>
            </c:dLbl>
            <c:dLbl>
              <c:idx val="2"/>
              <c:layout>
                <c:manualLayout>
                  <c:x val="2.7770361414853994E-3"/>
                  <c:y val="0.2222919508285252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C0-431D-A784-ADE8732008D2}"/>
                </c:ext>
              </c:extLst>
            </c:dLbl>
            <c:spPr>
              <a:noFill/>
              <a:ln>
                <a:noFill/>
              </a:ln>
              <a:effectLst/>
            </c:spPr>
            <c:txPr>
              <a:bodyPr rot="-5400000" vert="horz" wrap="square" lIns="38100" tIns="19050" rIns="38100" bIns="19050" anchor="ctr">
                <a:spAutoFit/>
              </a:bodyPr>
              <a:lstStyle/>
              <a:p>
                <a:pPr>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Cotizantes!$A$8:$A$10</c:f>
              <c:strCache>
                <c:ptCount val="3"/>
                <c:pt idx="0">
                  <c:v>Septiembre</c:v>
                </c:pt>
                <c:pt idx="1">
                  <c:v>Agosto</c:v>
                </c:pt>
                <c:pt idx="2">
                  <c:v>Julio</c:v>
                </c:pt>
              </c:strCache>
            </c:strRef>
          </c:cat>
          <c:val>
            <c:numRef>
              <c:f>Cotizantes!$B$8:$B$10</c:f>
              <c:numCache>
                <c:formatCode>#,##0</c:formatCode>
                <c:ptCount val="3"/>
                <c:pt idx="0">
                  <c:v>20719</c:v>
                </c:pt>
                <c:pt idx="1">
                  <c:v>21325</c:v>
                </c:pt>
                <c:pt idx="2">
                  <c:v>21251</c:v>
                </c:pt>
              </c:numCache>
            </c:numRef>
          </c:val>
          <c:extLst>
            <c:ext xmlns:c16="http://schemas.microsoft.com/office/drawing/2014/chart" uri="{C3380CC4-5D6E-409C-BE32-E72D297353CC}">
              <c16:uniqueId val="{00000000-2F8B-4152-BDE9-0C66FFE1287D}"/>
            </c:ext>
          </c:extLst>
        </c:ser>
        <c:ser>
          <c:idx val="1"/>
          <c:order val="1"/>
          <c:tx>
            <c:strRef>
              <c:f>Cotizantes!$C$7</c:f>
              <c:strCache>
                <c:ptCount val="1"/>
                <c:pt idx="0">
                  <c:v>Privado</c:v>
                </c:pt>
              </c:strCache>
            </c:strRef>
          </c:tx>
          <c:spPr>
            <a:solidFill>
              <a:schemeClr val="accent3">
                <a:lumMod val="60000"/>
                <a:lumOff val="40000"/>
              </a:schemeClr>
            </a:solidFill>
            <a:ln>
              <a:solidFill>
                <a:schemeClr val="accent3">
                  <a:lumMod val="60000"/>
                  <a:lumOff val="40000"/>
                </a:schemeClr>
              </a:solidFill>
            </a:ln>
          </c:spPr>
          <c:invertIfNegative val="0"/>
          <c:dLbls>
            <c:spPr>
              <a:noFill/>
              <a:ln>
                <a:noFill/>
              </a:ln>
              <a:effectLst/>
            </c:spPr>
            <c:txPr>
              <a:bodyPr rot="-5400000" vert="horz" wrap="square" lIns="38100" tIns="19050" rIns="38100" bIns="19050" anchor="ctr">
                <a:spAutoFit/>
              </a:bodyPr>
              <a:lstStyle/>
              <a:p>
                <a:pPr>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Cotizantes!$A$8:$A$10</c:f>
              <c:strCache>
                <c:ptCount val="3"/>
                <c:pt idx="0">
                  <c:v>Septiembre</c:v>
                </c:pt>
                <c:pt idx="1">
                  <c:v>Agosto</c:v>
                </c:pt>
                <c:pt idx="2">
                  <c:v>Julio</c:v>
                </c:pt>
              </c:strCache>
            </c:strRef>
          </c:cat>
          <c:val>
            <c:numRef>
              <c:f>Cotizantes!$C$8:$C$10</c:f>
              <c:numCache>
                <c:formatCode>#,##0</c:formatCode>
                <c:ptCount val="3"/>
                <c:pt idx="0">
                  <c:v>4861</c:v>
                </c:pt>
                <c:pt idx="1">
                  <c:v>5002</c:v>
                </c:pt>
                <c:pt idx="2">
                  <c:v>4985</c:v>
                </c:pt>
              </c:numCache>
            </c:numRef>
          </c:val>
          <c:extLst>
            <c:ext xmlns:c16="http://schemas.microsoft.com/office/drawing/2014/chart" uri="{C3380CC4-5D6E-409C-BE32-E72D297353CC}">
              <c16:uniqueId val="{00000001-2F8B-4152-BDE9-0C66FFE1287D}"/>
            </c:ext>
          </c:extLst>
        </c:ser>
        <c:dLbls>
          <c:showLegendKey val="0"/>
          <c:showVal val="0"/>
          <c:showCatName val="0"/>
          <c:showSerName val="0"/>
          <c:showPercent val="0"/>
          <c:showBubbleSize val="0"/>
        </c:dLbls>
        <c:gapWidth val="150"/>
        <c:axId val="1667763488"/>
        <c:axId val="1667764032"/>
      </c:barChart>
      <c:catAx>
        <c:axId val="1667763488"/>
        <c:scaling>
          <c:orientation val="minMax"/>
        </c:scaling>
        <c:delete val="0"/>
        <c:axPos val="b"/>
        <c:numFmt formatCode="General" sourceLinked="0"/>
        <c:majorTickMark val="none"/>
        <c:minorTickMark val="none"/>
        <c:tickLblPos val="nextTo"/>
        <c:crossAx val="1667764032"/>
        <c:crosses val="autoZero"/>
        <c:auto val="1"/>
        <c:lblAlgn val="ctr"/>
        <c:lblOffset val="100"/>
        <c:noMultiLvlLbl val="0"/>
      </c:catAx>
      <c:valAx>
        <c:axId val="1667764032"/>
        <c:scaling>
          <c:orientation val="minMax"/>
        </c:scaling>
        <c:delete val="0"/>
        <c:axPos val="l"/>
        <c:numFmt formatCode="#,##0" sourceLinked="1"/>
        <c:majorTickMark val="out"/>
        <c:minorTickMark val="none"/>
        <c:tickLblPos val="nextTo"/>
        <c:crossAx val="1667763488"/>
        <c:crosses val="autoZero"/>
        <c:crossBetween val="between"/>
      </c:valAx>
    </c:plotArea>
    <c:legend>
      <c:legendPos val="r"/>
      <c:layout>
        <c:manualLayout>
          <c:xMode val="edge"/>
          <c:yMode val="edge"/>
          <c:x val="0.83812576552930884"/>
          <c:y val="0.41853966170895307"/>
          <c:w val="0.14242979002624673"/>
          <c:h val="0.16743438320209975"/>
        </c:manualLayout>
      </c:layout>
      <c:overlay val="0"/>
    </c:legend>
    <c:plotVisOnly val="1"/>
    <c:dispBlanksAs val="gap"/>
    <c:showDLblsOverMax val="0"/>
  </c:chart>
  <c:spPr>
    <a:ln>
      <a:noFill/>
    </a:ln>
  </c:sp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ES" sz="1100">
                <a:solidFill>
                  <a:schemeClr val="accent1"/>
                </a:solidFill>
              </a:rPr>
              <a:t>Porcentaje</a:t>
            </a:r>
            <a:r>
              <a:rPr lang="es-ES" sz="1100" baseline="0">
                <a:solidFill>
                  <a:schemeClr val="accent1"/>
                </a:solidFill>
              </a:rPr>
              <a:t> Cotizantes por Tipo de Empleador</a:t>
            </a:r>
            <a:endParaRPr lang="es-ES" sz="1100">
              <a:solidFill>
                <a:schemeClr val="accent1"/>
              </a:solidFill>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E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solidFill>
              <a:schemeClr val="bg1">
                <a:lumMod val="75000"/>
              </a:schemeClr>
            </a:solidFill>
          </c:spPr>
          <c:explosion val="21"/>
          <c:dPt>
            <c:idx val="0"/>
            <c:bubble3D val="0"/>
            <c:spPr>
              <a:solidFill>
                <a:schemeClr val="accent3"/>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3FC0-4626-8946-C199BABBAAC4}"/>
              </c:ext>
            </c:extLst>
          </c:dPt>
          <c:dPt>
            <c:idx val="1"/>
            <c:bubble3D val="0"/>
            <c:spPr>
              <a:solidFill>
                <a:schemeClr val="bg1">
                  <a:lumMod val="75000"/>
                </a:schemeClr>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2-3FC0-4626-8946-C199BABBAAC4}"/>
              </c:ext>
            </c:extLst>
          </c:dPt>
          <c:dLbls>
            <c:dLbl>
              <c:idx val="0"/>
              <c:tx>
                <c:rich>
                  <a:bodyPr/>
                  <a:lstStyle/>
                  <a:p>
                    <a:fld id="{1E83FA5F-D0AB-48CE-96D6-99FDB27CB416}" type="CATEGORYNAME">
                      <a:rPr lang="en-US"/>
                      <a:pPr/>
                      <a:t>[CATEGORY NAME]</a:t>
                    </a:fld>
                    <a:r>
                      <a:rPr lang="en-US" baseline="0"/>
                      <a:t>
</a:t>
                    </a:r>
                    <a:fld id="{C20B6CD3-A00D-42C3-9725-57F7CEEDB32F}" type="VALUE">
                      <a:rPr lang="en-US" baseline="0"/>
                      <a:pPr/>
                      <a:t>[VALUE]</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3FC0-4626-8946-C199BABBAAC4}"/>
                </c:ext>
              </c:extLst>
            </c:dLbl>
            <c:dLbl>
              <c:idx val="1"/>
              <c:layout>
                <c:manualLayout>
                  <c:x val="0.11996024068101704"/>
                  <c:y val="0.1051616494653449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FC0-4626-8946-C199BABBAAC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showLegendKey val="0"/>
            <c:showVal val="0"/>
            <c:showCatName val="1"/>
            <c:showSerName val="0"/>
            <c:showPercent val="1"/>
            <c:showBubbleSize val="0"/>
            <c:showLeaderLines val="0"/>
            <c:extLst>
              <c:ext xmlns:c15="http://schemas.microsoft.com/office/drawing/2012/chart" uri="{CE6537A1-D6FC-4f65-9D91-7224C49458BB}"/>
            </c:extLst>
          </c:dLbls>
          <c:cat>
            <c:strRef>
              <c:f>Cotizantes!$E$7:$F$7</c:f>
              <c:strCache>
                <c:ptCount val="2"/>
                <c:pt idx="0">
                  <c:v>% Público</c:v>
                </c:pt>
                <c:pt idx="1">
                  <c:v>% Privado</c:v>
                </c:pt>
              </c:strCache>
            </c:strRef>
          </c:cat>
          <c:val>
            <c:numRef>
              <c:f>Cotizantes!$E$11:$F$11</c:f>
              <c:numCache>
                <c:formatCode>0%</c:formatCode>
                <c:ptCount val="2"/>
                <c:pt idx="0">
                  <c:v>0.80998918832422717</c:v>
                </c:pt>
                <c:pt idx="1">
                  <c:v>0.1900108116757728</c:v>
                </c:pt>
              </c:numCache>
            </c:numRef>
          </c:val>
          <c:extLst>
            <c:ext xmlns:c16="http://schemas.microsoft.com/office/drawing/2014/chart" uri="{C3380CC4-5D6E-409C-BE32-E72D297353CC}">
              <c16:uniqueId val="{00000000-3FC0-4626-8946-C199BABBAAC4}"/>
            </c:ext>
          </c:extLst>
        </c:ser>
        <c:dLbls>
          <c:showLegendKey val="0"/>
          <c:showVal val="0"/>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Empleador!$B$7</c:f>
              <c:strCache>
                <c:ptCount val="1"/>
                <c:pt idx="0">
                  <c:v>Público (RD$)</c:v>
                </c:pt>
              </c:strCache>
            </c:strRef>
          </c:tx>
          <c:spPr>
            <a:solidFill>
              <a:schemeClr val="bg1">
                <a:lumMod val="75000"/>
              </a:schemeClr>
            </a:solidFill>
            <a:ln>
              <a:solidFill>
                <a:schemeClr val="bg1">
                  <a:lumMod val="75000"/>
                </a:schemeClr>
              </a:solidFill>
            </a:ln>
          </c:spPr>
          <c:invertIfNegative val="0"/>
          <c:dLbls>
            <c:spPr>
              <a:noFill/>
              <a:ln>
                <a:noFill/>
              </a:ln>
              <a:effectLst/>
            </c:spPr>
            <c:txPr>
              <a:bodyPr wrap="square" lIns="38100" tIns="19050" rIns="38100" bIns="19050" anchor="ctr">
                <a:spAutoFit/>
              </a:bodyPr>
              <a:lstStyle/>
              <a:p>
                <a:pPr>
                  <a:defRPr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Empleador!$A$8:$A$10</c:f>
              <c:strCache>
                <c:ptCount val="3"/>
                <c:pt idx="0">
                  <c:v>Septiembre</c:v>
                </c:pt>
                <c:pt idx="1">
                  <c:v>Agosto</c:v>
                </c:pt>
                <c:pt idx="2">
                  <c:v>Julio</c:v>
                </c:pt>
              </c:strCache>
            </c:strRef>
          </c:cat>
          <c:val>
            <c:numRef>
              <c:f>Empleador!$B$8:$B$10</c:f>
              <c:numCache>
                <c:formatCode>#,##0.00</c:formatCode>
                <c:ptCount val="3"/>
                <c:pt idx="0">
                  <c:v>84186030.530000001</c:v>
                </c:pt>
                <c:pt idx="1">
                  <c:v>85710417.209999993</c:v>
                </c:pt>
                <c:pt idx="2">
                  <c:v>88165378.799999997</c:v>
                </c:pt>
              </c:numCache>
            </c:numRef>
          </c:val>
          <c:extLst>
            <c:ext xmlns:c16="http://schemas.microsoft.com/office/drawing/2014/chart" uri="{C3380CC4-5D6E-409C-BE32-E72D297353CC}">
              <c16:uniqueId val="{00000000-3754-4074-BEFF-2DE0A00E38F1}"/>
            </c:ext>
          </c:extLst>
        </c:ser>
        <c:ser>
          <c:idx val="1"/>
          <c:order val="1"/>
          <c:tx>
            <c:strRef>
              <c:f>Empleador!$C$7</c:f>
              <c:strCache>
                <c:ptCount val="1"/>
                <c:pt idx="0">
                  <c:v>Privado (RD$)</c:v>
                </c:pt>
              </c:strCache>
            </c:strRef>
          </c:tx>
          <c:spPr>
            <a:solidFill>
              <a:schemeClr val="accent3">
                <a:lumMod val="60000"/>
                <a:lumOff val="40000"/>
              </a:schemeClr>
            </a:solidFill>
            <a:ln>
              <a:solidFill>
                <a:schemeClr val="accent3">
                  <a:lumMod val="60000"/>
                  <a:lumOff val="40000"/>
                </a:schemeClr>
              </a:solidFill>
            </a:ln>
          </c:spPr>
          <c:invertIfNegative val="0"/>
          <c:dLbls>
            <c:dLbl>
              <c:idx val="0"/>
              <c:layout>
                <c:manualLayout>
                  <c:x val="3.207668648718028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738-4061-9CFB-E05ABCE275A3}"/>
                </c:ext>
              </c:extLst>
            </c:dLbl>
            <c:dLbl>
              <c:idx val="1"/>
              <c:layout>
                <c:manualLayout>
                  <c:x val="3.84913162701046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738-4061-9CFB-E05ABCE275A3}"/>
                </c:ext>
              </c:extLst>
            </c:dLbl>
            <c:dLbl>
              <c:idx val="2"/>
              <c:layout>
                <c:manualLayout>
                  <c:x val="3.5171502631453108E-3"/>
                  <c:y val="2.3405330833956361E-2"/>
                </c:manualLayout>
              </c:layout>
              <c:spPr>
                <a:noFill/>
                <a:ln>
                  <a:noFill/>
                </a:ln>
                <a:effectLst/>
              </c:spPr>
              <c:txPr>
                <a:bodyPr wrap="square" lIns="38100" tIns="19050" rIns="38100" bIns="19050" anchor="ctr">
                  <a:noAutofit/>
                </a:bodyPr>
                <a:lstStyle/>
                <a:p>
                  <a:pPr>
                    <a:defRPr b="1"/>
                  </a:pPr>
                  <a:endParaRPr lang="es-ES"/>
                </a:p>
              </c:txPr>
              <c:showLegendKey val="0"/>
              <c:showVal val="1"/>
              <c:showCatName val="0"/>
              <c:showSerName val="0"/>
              <c:showPercent val="0"/>
              <c:showBubbleSize val="0"/>
              <c:extLst>
                <c:ext xmlns:c15="http://schemas.microsoft.com/office/drawing/2012/chart" uri="{CE6537A1-D6FC-4f65-9D91-7224C49458BB}">
                  <c15:layout>
                    <c:manualLayout>
                      <c:w val="0.18193191724743438"/>
                      <c:h val="0.1217414198005413"/>
                    </c:manualLayout>
                  </c15:layout>
                </c:ext>
                <c:ext xmlns:c16="http://schemas.microsoft.com/office/drawing/2014/chart" uri="{C3380CC4-5D6E-409C-BE32-E72D297353CC}">
                  <c16:uniqueId val="{00000001-EF4B-423A-9D8D-AF7B1DB209E8}"/>
                </c:ext>
              </c:extLst>
            </c:dLbl>
            <c:spPr>
              <a:noFill/>
              <a:ln>
                <a:noFill/>
              </a:ln>
              <a:effectLst/>
            </c:spPr>
            <c:txPr>
              <a:bodyPr wrap="square" lIns="38100" tIns="19050" rIns="38100" bIns="19050" anchor="ctr">
                <a:spAutoFit/>
              </a:bodyPr>
              <a:lstStyle/>
              <a:p>
                <a:pPr>
                  <a:defRPr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Empleador!$A$8:$A$10</c:f>
              <c:strCache>
                <c:ptCount val="3"/>
                <c:pt idx="0">
                  <c:v>Septiembre</c:v>
                </c:pt>
                <c:pt idx="1">
                  <c:v>Agosto</c:v>
                </c:pt>
                <c:pt idx="2">
                  <c:v>Julio</c:v>
                </c:pt>
              </c:strCache>
            </c:strRef>
          </c:cat>
          <c:val>
            <c:numRef>
              <c:f>Empleador!$C$8:$C$10</c:f>
              <c:numCache>
                <c:formatCode>#,##0.00</c:formatCode>
                <c:ptCount val="3"/>
                <c:pt idx="0">
                  <c:v>11479913.25</c:v>
                </c:pt>
                <c:pt idx="1">
                  <c:v>11687784.16</c:v>
                </c:pt>
                <c:pt idx="2">
                  <c:v>12022551.66</c:v>
                </c:pt>
              </c:numCache>
            </c:numRef>
          </c:val>
          <c:extLst>
            <c:ext xmlns:c16="http://schemas.microsoft.com/office/drawing/2014/chart" uri="{C3380CC4-5D6E-409C-BE32-E72D297353CC}">
              <c16:uniqueId val="{00000001-3754-4074-BEFF-2DE0A00E38F1}"/>
            </c:ext>
          </c:extLst>
        </c:ser>
        <c:dLbls>
          <c:showLegendKey val="0"/>
          <c:showVal val="1"/>
          <c:showCatName val="0"/>
          <c:showSerName val="0"/>
          <c:showPercent val="0"/>
          <c:showBubbleSize val="0"/>
        </c:dLbls>
        <c:gapWidth val="75"/>
        <c:axId val="1667757504"/>
        <c:axId val="1667761312"/>
      </c:barChart>
      <c:catAx>
        <c:axId val="1667757504"/>
        <c:scaling>
          <c:orientation val="minMax"/>
        </c:scaling>
        <c:delete val="0"/>
        <c:axPos val="b"/>
        <c:numFmt formatCode="General" sourceLinked="0"/>
        <c:majorTickMark val="none"/>
        <c:minorTickMark val="none"/>
        <c:tickLblPos val="nextTo"/>
        <c:crossAx val="1667761312"/>
        <c:crosses val="autoZero"/>
        <c:auto val="1"/>
        <c:lblAlgn val="ctr"/>
        <c:lblOffset val="100"/>
        <c:noMultiLvlLbl val="0"/>
      </c:catAx>
      <c:valAx>
        <c:axId val="1667761312"/>
        <c:scaling>
          <c:orientation val="minMax"/>
        </c:scaling>
        <c:delete val="0"/>
        <c:axPos val="l"/>
        <c:numFmt formatCode="#,##0.00" sourceLinked="1"/>
        <c:majorTickMark val="none"/>
        <c:minorTickMark val="none"/>
        <c:tickLblPos val="nextTo"/>
        <c:crossAx val="1667757504"/>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100" b="1" i="0" u="none" strike="noStrike" kern="1200" cap="none" spc="20" baseline="0">
                <a:solidFill>
                  <a:schemeClr val="accent1"/>
                </a:solidFill>
                <a:latin typeface="+mn-lt"/>
                <a:ea typeface="+mn-ea"/>
                <a:cs typeface="+mn-cs"/>
              </a:defRPr>
            </a:pPr>
            <a:r>
              <a:rPr lang="en-US" sz="1100" b="1">
                <a:solidFill>
                  <a:schemeClr val="accent1"/>
                </a:solidFill>
              </a:rPr>
              <a:t>Porcentaje Monto Total</a:t>
            </a:r>
            <a:r>
              <a:rPr lang="en-US" sz="1100" b="1" baseline="0">
                <a:solidFill>
                  <a:schemeClr val="accent1"/>
                </a:solidFill>
              </a:rPr>
              <a:t> Individualizado por Tipo de Empleador</a:t>
            </a:r>
            <a:endParaRPr lang="en-US" sz="1100" b="1">
              <a:solidFill>
                <a:schemeClr val="accent1"/>
              </a:solidFill>
            </a:endParaRPr>
          </a:p>
        </c:rich>
      </c:tx>
      <c:overlay val="0"/>
      <c:spPr>
        <a:noFill/>
        <a:ln>
          <a:noFill/>
        </a:ln>
        <a:effectLst/>
      </c:spPr>
      <c:txPr>
        <a:bodyPr rot="0" spcFirstLastPara="1" vertOverflow="ellipsis" vert="horz" wrap="square" anchor="ctr" anchorCtr="1"/>
        <a:lstStyle/>
        <a:p>
          <a:pPr>
            <a:defRPr sz="1100" b="1" i="0" u="none" strike="noStrike" kern="1200" cap="none" spc="20" baseline="0">
              <a:solidFill>
                <a:schemeClr val="accent1"/>
              </a:solidFill>
              <a:latin typeface="+mn-lt"/>
              <a:ea typeface="+mn-ea"/>
              <a:cs typeface="+mn-cs"/>
            </a:defRPr>
          </a:pPr>
          <a:endParaRPr lang="es-E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14"/>
          <c:dPt>
            <c:idx val="0"/>
            <c:bubble3D val="0"/>
            <c:spPr>
              <a:solidFill>
                <a:schemeClr val="accent3"/>
              </a:solidFill>
              <a:ln>
                <a:noFill/>
              </a:ln>
              <a:effectLst>
                <a:outerShdw blurRad="40000" dist="20000" dir="5400000" rotWithShape="0">
                  <a:srgbClr val="000000">
                    <a:alpha val="38000"/>
                  </a:srgbClr>
                </a:outerShdw>
              </a:effectLst>
              <a:sp3d/>
            </c:spPr>
            <c:extLst>
              <c:ext xmlns:c16="http://schemas.microsoft.com/office/drawing/2014/chart" uri="{C3380CC4-5D6E-409C-BE32-E72D297353CC}">
                <c16:uniqueId val="{00000001-A7F0-4060-96BC-C2830A8E27F4}"/>
              </c:ext>
            </c:extLst>
          </c:dPt>
          <c:dPt>
            <c:idx val="1"/>
            <c:bubble3D val="0"/>
            <c:spPr>
              <a:solidFill>
                <a:schemeClr val="bg1">
                  <a:lumMod val="50000"/>
                </a:schemeClr>
              </a:solidFill>
              <a:ln>
                <a:noFill/>
              </a:ln>
              <a:effectLst>
                <a:outerShdw blurRad="40000" dist="20000" dir="5400000" rotWithShape="0">
                  <a:srgbClr val="000000">
                    <a:alpha val="38000"/>
                  </a:srgbClr>
                </a:outerShdw>
              </a:effectLst>
              <a:sp3d/>
            </c:spPr>
            <c:extLst>
              <c:ext xmlns:c16="http://schemas.microsoft.com/office/drawing/2014/chart" uri="{C3380CC4-5D6E-409C-BE32-E72D297353CC}">
                <c16:uniqueId val="{00000003-A7F0-4060-96BC-C2830A8E27F4}"/>
              </c:ext>
            </c:extLst>
          </c:dPt>
          <c:dLbls>
            <c:dLbl>
              <c:idx val="0"/>
              <c:tx>
                <c:rich>
                  <a:bodyPr/>
                  <a:lstStyle/>
                  <a:p>
                    <a:r>
                      <a:rPr lang="en-US" baseline="0"/>
                      <a:t>
</a:t>
                    </a:r>
                    <a:fld id="{1E0124BD-4345-4E4A-B14D-12CA58C69878}" type="PERCENTAGE">
                      <a:rPr lang="en-US" baseline="0"/>
                      <a:pPr/>
                      <a:t>[PERCENTAGE]</a:t>
                    </a:fld>
                    <a:endParaRPr lang="en-US" baseline="0"/>
                  </a:p>
                </c:rich>
              </c:tx>
              <c:dLblPos val="in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A7F0-4060-96BC-C2830A8E27F4}"/>
                </c:ext>
              </c:extLst>
            </c:dLbl>
            <c:dLbl>
              <c:idx val="1"/>
              <c:layout>
                <c:manualLayout>
                  <c:x val="7.4119001557259923E-2"/>
                  <c:y val="9.9428685560682892E-2"/>
                </c:manualLayout>
              </c:layout>
              <c:tx>
                <c:rich>
                  <a:bodyPr/>
                  <a:lstStyle/>
                  <a:p>
                    <a:r>
                      <a:rPr lang="en-US" baseline="0"/>
                      <a:t>
</a:t>
                    </a:r>
                    <a:fld id="{9808AA45-761B-4E95-9508-605747744867}"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A7F0-4060-96BC-C2830A8E27F4}"/>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solidFill>
                    <a:latin typeface="+mn-lt"/>
                    <a:ea typeface="+mn-ea"/>
                    <a:cs typeface="+mn-cs"/>
                  </a:defRPr>
                </a:pPr>
                <a:endParaRPr lang="es-ES"/>
              </a:p>
            </c:txPr>
            <c:dLblPos val="inEnd"/>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Empleador!$B$7:$C$7</c:f>
              <c:strCache>
                <c:ptCount val="2"/>
                <c:pt idx="0">
                  <c:v>Público (RD$)</c:v>
                </c:pt>
                <c:pt idx="1">
                  <c:v>Privado (RD$)</c:v>
                </c:pt>
              </c:strCache>
            </c:strRef>
          </c:cat>
          <c:val>
            <c:numRef>
              <c:f>Empleador!$B$25:$C$25</c:f>
              <c:numCache>
                <c:formatCode>0%</c:formatCode>
                <c:ptCount val="2"/>
                <c:pt idx="0">
                  <c:v>0.88000000001091228</c:v>
                </c:pt>
                <c:pt idx="1">
                  <c:v>0.1199999999890879</c:v>
                </c:pt>
              </c:numCache>
            </c:numRef>
          </c:val>
          <c:extLst>
            <c:ext xmlns:c16="http://schemas.microsoft.com/office/drawing/2014/chart" uri="{C3380CC4-5D6E-409C-BE32-E72D297353CC}">
              <c16:uniqueId val="{00000004-A7F0-4060-96BC-C2830A8E27F4}"/>
            </c:ext>
          </c:extLst>
        </c:ser>
        <c:dLbls>
          <c:dLblPos val="inEnd"/>
          <c:showLegendKey val="0"/>
          <c:showVal val="0"/>
          <c:showCatName val="1"/>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6">
  <a:schemeClr val="accent3"/>
</cs:colorStyle>
</file>

<file path=xl/charts/colors5.xml><?xml version="1.0" encoding="utf-8"?>
<cs:colorStyle xmlns:cs="http://schemas.microsoft.com/office/drawing/2012/chartStyle" xmlns:a="http://schemas.openxmlformats.org/drawingml/2006/main" meth="withinLinear" id="16">
  <a:schemeClr val="accent3"/>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Reversed" id="23">
  <a:schemeClr val="accent3"/>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6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7.xml"/><Relationship Id="rId5" Type="http://schemas.openxmlformats.org/officeDocument/2006/relationships/image" Target="../media/image2.png"/><Relationship Id="rId4"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1.png"/><Relationship Id="rId1" Type="http://schemas.openxmlformats.org/officeDocument/2006/relationships/chart" Target="../charts/chart19.xml"/><Relationship Id="rId4" Type="http://schemas.openxmlformats.org/officeDocument/2006/relationships/image" Target="../media/image2.png"/></Relationships>
</file>

<file path=xl/drawings/_rels/drawing14.xml.rels><?xml version="1.0" encoding="UTF-8" standalone="yes"?>
<Relationships xmlns="http://schemas.openxmlformats.org/package/2006/relationships"><Relationship Id="rId8" Type="http://schemas.openxmlformats.org/officeDocument/2006/relationships/chart" Target="../charts/chart26.xml"/><Relationship Id="rId3" Type="http://schemas.openxmlformats.org/officeDocument/2006/relationships/chart" Target="../charts/chart21.xml"/><Relationship Id="rId7" Type="http://schemas.openxmlformats.org/officeDocument/2006/relationships/chart" Target="../charts/chart25.xml"/><Relationship Id="rId2" Type="http://schemas.openxmlformats.org/officeDocument/2006/relationships/image" Target="../media/image1.png"/><Relationship Id="rId1" Type="http://schemas.openxmlformats.org/officeDocument/2006/relationships/image" Target="../media/image5.png"/><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 Id="rId9" Type="http://schemas.openxmlformats.org/officeDocument/2006/relationships/image" Target="../media/image2.png"/></Relationships>
</file>

<file path=xl/drawings/_rels/drawing1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7.xml"/><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28.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chart" Target="../charts/chart2.xml"/><Relationship Id="rId6" Type="http://schemas.openxmlformats.org/officeDocument/2006/relationships/chart" Target="../charts/chart5.xml"/><Relationship Id="rId5" Type="http://schemas.openxmlformats.org/officeDocument/2006/relationships/image" Target="../media/image2.png"/><Relationship Id="rId4"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31.xml"/></Relationships>
</file>

<file path=xl/drawings/_rels/drawing2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33.xml"/><Relationship Id="rId1" Type="http://schemas.openxmlformats.org/officeDocument/2006/relationships/chart" Target="../charts/chart32.xml"/><Relationship Id="rId5" Type="http://schemas.openxmlformats.org/officeDocument/2006/relationships/chart" Target="../charts/chart34.xml"/><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1.png"/><Relationship Id="rId1" Type="http://schemas.openxmlformats.org/officeDocument/2006/relationships/chart" Target="../charts/chart6.xml"/><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1.png"/><Relationship Id="rId1" Type="http://schemas.openxmlformats.org/officeDocument/2006/relationships/chart" Target="../charts/chart8.xml"/><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chart" Target="../charts/chart11.xml"/><Relationship Id="rId4"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644769</xdr:colOff>
      <xdr:row>32</xdr:row>
      <xdr:rowOff>153866</xdr:rowOff>
    </xdr:from>
    <xdr:to>
      <xdr:col>5</xdr:col>
      <xdr:colOff>223471</xdr:colOff>
      <xdr:row>49</xdr:row>
      <xdr:rowOff>21982</xdr:rowOff>
    </xdr:to>
    <xdr:graphicFrame macro="">
      <xdr:nvGraphicFramePr>
        <xdr:cNvPr id="3" name="2 Gráfico">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154372</xdr:colOff>
      <xdr:row>1</xdr:row>
      <xdr:rowOff>43961</xdr:rowOff>
    </xdr:from>
    <xdr:to>
      <xdr:col>1</xdr:col>
      <xdr:colOff>213178</xdr:colOff>
      <xdr:row>4</xdr:row>
      <xdr:rowOff>7327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154372" y="234461"/>
          <a:ext cx="842787" cy="534866"/>
        </a:xfrm>
        <a:prstGeom prst="rect">
          <a:avLst/>
        </a:prstGeom>
      </xdr:spPr>
    </xdr:pic>
    <xdr:clientData/>
  </xdr:twoCellAnchor>
  <xdr:twoCellAnchor editAs="oneCell">
    <xdr:from>
      <xdr:col>3</xdr:col>
      <xdr:colOff>662353</xdr:colOff>
      <xdr:row>1</xdr:row>
      <xdr:rowOff>22900</xdr:rowOff>
    </xdr:from>
    <xdr:to>
      <xdr:col>6</xdr:col>
      <xdr:colOff>370115</xdr:colOff>
      <xdr:row>4</xdr:row>
      <xdr:rowOff>9338</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02622" y="213400"/>
          <a:ext cx="2235551" cy="557938"/>
        </a:xfrm>
        <a:prstGeom prst="rect">
          <a:avLst/>
        </a:prstGeom>
      </xdr:spPr>
    </xdr:pic>
    <xdr:clientData/>
  </xdr:twoCellAnchor>
  <xdr:twoCellAnchor>
    <xdr:from>
      <xdr:col>2</xdr:col>
      <xdr:colOff>197827</xdr:colOff>
      <xdr:row>30</xdr:row>
      <xdr:rowOff>153865</xdr:rowOff>
    </xdr:from>
    <xdr:to>
      <xdr:col>4</xdr:col>
      <xdr:colOff>190500</xdr:colOff>
      <xdr:row>32</xdr:row>
      <xdr:rowOff>21980</xdr:rowOff>
    </xdr:to>
    <xdr:sp macro="" textlink="">
      <xdr:nvSpPr>
        <xdr:cNvPr id="4" name="CuadroTexto 3">
          <a:extLst>
            <a:ext uri="{FF2B5EF4-FFF2-40B4-BE49-F238E27FC236}">
              <a16:creationId xmlns:a16="http://schemas.microsoft.com/office/drawing/2014/main" id="{D505F560-0670-97A6-6B39-0A52AC835241}"/>
            </a:ext>
          </a:extLst>
        </xdr:cNvPr>
        <xdr:cNvSpPr txBox="1"/>
      </xdr:nvSpPr>
      <xdr:spPr>
        <a:xfrm>
          <a:off x="2007577" y="2842846"/>
          <a:ext cx="1685192" cy="2491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s-ES" sz="1100" b="1" i="0" baseline="0">
              <a:solidFill>
                <a:schemeClr val="accent1"/>
              </a:solidFill>
              <a:effectLst/>
              <a:latin typeface="+mn-lt"/>
              <a:ea typeface="+mn-ea"/>
              <a:cs typeface="+mn-cs"/>
            </a:rPr>
            <a:t>Programado vs Ejecutado</a:t>
          </a:r>
          <a:endParaRPr lang="es-DO">
            <a:solidFill>
              <a:schemeClr val="accent1"/>
            </a:solidFill>
            <a:effectLst/>
          </a:endParaRPr>
        </a:p>
        <a:p>
          <a:endParaRPr lang="es-DO" sz="1100">
            <a:solidFill>
              <a:schemeClr val="accent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153056</xdr:colOff>
      <xdr:row>30</xdr:row>
      <xdr:rowOff>42243</xdr:rowOff>
    </xdr:from>
    <xdr:to>
      <xdr:col>6</xdr:col>
      <xdr:colOff>17807</xdr:colOff>
      <xdr:row>42</xdr:row>
      <xdr:rowOff>67089</xdr:rowOff>
    </xdr:to>
    <xdr:graphicFrame macro="">
      <xdr:nvGraphicFramePr>
        <xdr:cNvPr id="2" name="1 Gráfico">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98425</xdr:colOff>
      <xdr:row>44</xdr:row>
      <xdr:rowOff>137386</xdr:rowOff>
    </xdr:from>
    <xdr:to>
      <xdr:col>6</xdr:col>
      <xdr:colOff>482622</xdr:colOff>
      <xdr:row>56</xdr:row>
      <xdr:rowOff>60187</xdr:rowOff>
    </xdr:to>
    <xdr:graphicFrame macro="">
      <xdr:nvGraphicFramePr>
        <xdr:cNvPr id="3" name="2 Gráfico">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455544</xdr:colOff>
      <xdr:row>31</xdr:row>
      <xdr:rowOff>37272</xdr:rowOff>
    </xdr:from>
    <xdr:to>
      <xdr:col>12</xdr:col>
      <xdr:colOff>463827</xdr:colOff>
      <xdr:row>43</xdr:row>
      <xdr:rowOff>49696</xdr:rowOff>
    </xdr:to>
    <xdr:graphicFrame macro="">
      <xdr:nvGraphicFramePr>
        <xdr:cNvPr id="4" name="3 Gráfico">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431109</xdr:colOff>
      <xdr:row>43</xdr:row>
      <xdr:rowOff>113089</xdr:rowOff>
    </xdr:from>
    <xdr:to>
      <xdr:col>3</xdr:col>
      <xdr:colOff>630637</xdr:colOff>
      <xdr:row>44</xdr:row>
      <xdr:rowOff>132139</xdr:rowOff>
    </xdr:to>
    <xdr:sp macro="" textlink="">
      <xdr:nvSpPr>
        <xdr:cNvPr id="5" name="4 CuadroTexto">
          <a:extLst>
            <a:ext uri="{FF2B5EF4-FFF2-40B4-BE49-F238E27FC236}">
              <a16:creationId xmlns:a16="http://schemas.microsoft.com/office/drawing/2014/main" id="{00000000-0008-0000-0700-000005000000}"/>
            </a:ext>
          </a:extLst>
        </xdr:cNvPr>
        <xdr:cNvSpPr txBox="1"/>
      </xdr:nvSpPr>
      <xdr:spPr>
        <a:xfrm>
          <a:off x="1983684" y="5389939"/>
          <a:ext cx="961528" cy="2095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1100" b="1">
              <a:solidFill>
                <a:schemeClr val="accent5">
                  <a:lumMod val="75000"/>
                </a:schemeClr>
              </a:solidFill>
            </a:rPr>
            <a:t>Pensiones</a:t>
          </a:r>
        </a:p>
      </xdr:txBody>
    </xdr:sp>
    <xdr:clientData/>
  </xdr:twoCellAnchor>
  <xdr:twoCellAnchor>
    <xdr:from>
      <xdr:col>6</xdr:col>
      <xdr:colOff>542299</xdr:colOff>
      <xdr:row>30</xdr:row>
      <xdr:rowOff>4141</xdr:rowOff>
    </xdr:from>
    <xdr:to>
      <xdr:col>12</xdr:col>
      <xdr:colOff>324932</xdr:colOff>
      <xdr:row>30</xdr:row>
      <xdr:rowOff>58353</xdr:rowOff>
    </xdr:to>
    <xdr:sp macro="" textlink="">
      <xdr:nvSpPr>
        <xdr:cNvPr id="11" name="1 CuadroTexto">
          <a:extLst>
            <a:ext uri="{FF2B5EF4-FFF2-40B4-BE49-F238E27FC236}">
              <a16:creationId xmlns:a16="http://schemas.microsoft.com/office/drawing/2014/main" id="{00000000-0008-0000-0700-00000B000000}"/>
            </a:ext>
          </a:extLst>
        </xdr:cNvPr>
        <xdr:cNvSpPr txBox="1"/>
      </xdr:nvSpPr>
      <xdr:spPr>
        <a:xfrm>
          <a:off x="7681908" y="2994163"/>
          <a:ext cx="2060350" cy="5421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s-DO" sz="1100" b="1">
              <a:solidFill>
                <a:schemeClr val="accent5">
                  <a:lumMod val="75000"/>
                </a:schemeClr>
              </a:solidFill>
            </a:rPr>
            <a:t>Monto</a:t>
          </a:r>
        </a:p>
      </xdr:txBody>
    </xdr:sp>
    <xdr:clientData/>
  </xdr:twoCellAnchor>
  <xdr:twoCellAnchor editAs="oneCell">
    <xdr:from>
      <xdr:col>2</xdr:col>
      <xdr:colOff>446942</xdr:colOff>
      <xdr:row>1</xdr:row>
      <xdr:rowOff>36635</xdr:rowOff>
    </xdr:from>
    <xdr:to>
      <xdr:col>3</xdr:col>
      <xdr:colOff>667472</xdr:colOff>
      <xdr:row>4</xdr:row>
      <xdr:rowOff>87923</xdr:rowOff>
    </xdr:to>
    <xdr:pic>
      <xdr:nvPicPr>
        <xdr:cNvPr id="10" name="Picture 9">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4"/>
        <a:stretch>
          <a:fillRect/>
        </a:stretch>
      </xdr:blipFill>
      <xdr:spPr>
        <a:xfrm>
          <a:off x="2154115" y="227135"/>
          <a:ext cx="989857" cy="622788"/>
        </a:xfrm>
        <a:prstGeom prst="rect">
          <a:avLst/>
        </a:prstGeom>
      </xdr:spPr>
    </xdr:pic>
    <xdr:clientData/>
  </xdr:twoCellAnchor>
  <xdr:twoCellAnchor editAs="oneCell">
    <xdr:from>
      <xdr:col>9</xdr:col>
      <xdr:colOff>140805</xdr:colOff>
      <xdr:row>0</xdr:row>
      <xdr:rowOff>124240</xdr:rowOff>
    </xdr:from>
    <xdr:to>
      <xdr:col>11</xdr:col>
      <xdr:colOff>520755</xdr:colOff>
      <xdr:row>3</xdr:row>
      <xdr:rowOff>110678</xdr:rowOff>
    </xdr:to>
    <xdr:pic>
      <xdr:nvPicPr>
        <xdr:cNvPr id="14" name="Picture 13">
          <a:extLst>
            <a:ext uri="{FF2B5EF4-FFF2-40B4-BE49-F238E27FC236}">
              <a16:creationId xmlns:a16="http://schemas.microsoft.com/office/drawing/2014/main" id="{00000000-0008-0000-0700-00000E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205870" y="124240"/>
          <a:ext cx="2246436" cy="557938"/>
        </a:xfrm>
        <a:prstGeom prst="rect">
          <a:avLst/>
        </a:prstGeom>
      </xdr:spPr>
    </xdr:pic>
    <xdr:clientData/>
  </xdr:twoCellAnchor>
  <xdr:twoCellAnchor>
    <xdr:from>
      <xdr:col>6</xdr:col>
      <xdr:colOff>609600</xdr:colOff>
      <xdr:row>44</xdr:row>
      <xdr:rowOff>109537</xdr:rowOff>
    </xdr:from>
    <xdr:to>
      <xdr:col>12</xdr:col>
      <xdr:colOff>438150</xdr:colOff>
      <xdr:row>58</xdr:row>
      <xdr:rowOff>185737</xdr:rowOff>
    </xdr:to>
    <xdr:graphicFrame macro="">
      <xdr:nvGraphicFramePr>
        <xdr:cNvPr id="7" name="Gráfico 6">
          <a:extLst>
            <a:ext uri="{FF2B5EF4-FFF2-40B4-BE49-F238E27FC236}">
              <a16:creationId xmlns:a16="http://schemas.microsoft.com/office/drawing/2014/main" id="{A42BF6BF-17CA-41F1-AC5B-7C97748ADB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0.30281</cdr:x>
      <cdr:y>0</cdr:y>
    </cdr:from>
    <cdr:to>
      <cdr:x>0.71115</cdr:x>
      <cdr:y>0.09722</cdr:y>
    </cdr:to>
    <cdr:sp macro="" textlink="">
      <cdr:nvSpPr>
        <cdr:cNvPr id="2" name="1 CuadroTexto"/>
        <cdr:cNvSpPr txBox="1"/>
      </cdr:nvSpPr>
      <cdr:spPr>
        <a:xfrm xmlns:a="http://schemas.openxmlformats.org/drawingml/2006/main">
          <a:off x="1631919" y="0"/>
          <a:ext cx="2200646" cy="2535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DO" sz="1100" b="1">
              <a:solidFill>
                <a:schemeClr val="accent5">
                  <a:lumMod val="75000"/>
                </a:schemeClr>
              </a:solidFill>
            </a:rPr>
            <a:t>Pensionados</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1</xdr:col>
      <xdr:colOff>115639</xdr:colOff>
      <xdr:row>0</xdr:row>
      <xdr:rowOff>177439</xdr:rowOff>
    </xdr:from>
    <xdr:to>
      <xdr:col>2</xdr:col>
      <xdr:colOff>390164</xdr:colOff>
      <xdr:row>4</xdr:row>
      <xdr:rowOff>38227</xdr:rowOff>
    </xdr:to>
    <xdr:pic>
      <xdr:nvPicPr>
        <xdr:cNvPr id="2" name="Picture 7">
          <a:extLst>
            <a:ext uri="{FF2B5EF4-FFF2-40B4-BE49-F238E27FC236}">
              <a16:creationId xmlns:a16="http://schemas.microsoft.com/office/drawing/2014/main" id="{E942B9E2-F9D1-4E35-8E7F-20E9BC51523D}"/>
            </a:ext>
          </a:extLst>
        </xdr:cNvPr>
        <xdr:cNvPicPr>
          <a:picLocks noChangeAspect="1"/>
        </xdr:cNvPicPr>
      </xdr:nvPicPr>
      <xdr:blipFill>
        <a:blip xmlns:r="http://schemas.openxmlformats.org/officeDocument/2006/relationships" r:embed="rId1"/>
        <a:stretch>
          <a:fillRect/>
        </a:stretch>
      </xdr:blipFill>
      <xdr:spPr>
        <a:xfrm>
          <a:off x="935617" y="177439"/>
          <a:ext cx="986830" cy="622788"/>
        </a:xfrm>
        <a:prstGeom prst="rect">
          <a:avLst/>
        </a:prstGeom>
      </xdr:spPr>
    </xdr:pic>
    <xdr:clientData/>
  </xdr:twoCellAnchor>
  <xdr:twoCellAnchor editAs="oneCell">
    <xdr:from>
      <xdr:col>13</xdr:col>
      <xdr:colOff>969894</xdr:colOff>
      <xdr:row>0</xdr:row>
      <xdr:rowOff>175177</xdr:rowOff>
    </xdr:from>
    <xdr:to>
      <xdr:col>16</xdr:col>
      <xdr:colOff>315642</xdr:colOff>
      <xdr:row>3</xdr:row>
      <xdr:rowOff>161615</xdr:rowOff>
    </xdr:to>
    <xdr:pic>
      <xdr:nvPicPr>
        <xdr:cNvPr id="3" name="Picture 8">
          <a:extLst>
            <a:ext uri="{FF2B5EF4-FFF2-40B4-BE49-F238E27FC236}">
              <a16:creationId xmlns:a16="http://schemas.microsoft.com/office/drawing/2014/main" id="{F0EDD90A-9281-44E9-A447-233166329F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720720" y="175177"/>
          <a:ext cx="2261226" cy="557938"/>
        </a:xfrm>
        <a:prstGeom prst="rect">
          <a:avLst/>
        </a:prstGeom>
      </xdr:spPr>
    </xdr:pic>
    <xdr:clientData/>
  </xdr:twoCellAnchor>
  <xdr:twoCellAnchor>
    <xdr:from>
      <xdr:col>2</xdr:col>
      <xdr:colOff>23594</xdr:colOff>
      <xdr:row>13</xdr:row>
      <xdr:rowOff>172726</xdr:rowOff>
    </xdr:from>
    <xdr:to>
      <xdr:col>12</xdr:col>
      <xdr:colOff>198781</xdr:colOff>
      <xdr:row>26</xdr:row>
      <xdr:rowOff>149087</xdr:rowOff>
    </xdr:to>
    <xdr:graphicFrame macro="">
      <xdr:nvGraphicFramePr>
        <xdr:cNvPr id="6" name="Gráfico 5">
          <a:extLst>
            <a:ext uri="{FF2B5EF4-FFF2-40B4-BE49-F238E27FC236}">
              <a16:creationId xmlns:a16="http://schemas.microsoft.com/office/drawing/2014/main" id="{E89759A0-5C3E-1BAD-FEDD-D69933DC8E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7</xdr:col>
      <xdr:colOff>248089</xdr:colOff>
      <xdr:row>30</xdr:row>
      <xdr:rowOff>105815</xdr:rowOff>
    </xdr:from>
    <xdr:to>
      <xdr:col>12</xdr:col>
      <xdr:colOff>886240</xdr:colOff>
      <xdr:row>45</xdr:row>
      <xdr:rowOff>99392</xdr:rowOff>
    </xdr:to>
    <xdr:graphicFrame macro="">
      <xdr:nvGraphicFramePr>
        <xdr:cNvPr id="2" name="1 Gráfico">
          <a:extLst>
            <a:ext uri="{FF2B5EF4-FFF2-40B4-BE49-F238E27FC236}">
              <a16:creationId xmlns:a16="http://schemas.microsoft.com/office/drawing/2014/main" id="{608E5EA0-87A6-489D-A102-39C905707E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674077</xdr:colOff>
      <xdr:row>2</xdr:row>
      <xdr:rowOff>0</xdr:rowOff>
    </xdr:from>
    <xdr:to>
      <xdr:col>3</xdr:col>
      <xdr:colOff>770050</xdr:colOff>
      <xdr:row>5</xdr:row>
      <xdr:rowOff>51288</xdr:rowOff>
    </xdr:to>
    <xdr:pic>
      <xdr:nvPicPr>
        <xdr:cNvPr id="3" name="Picture 2">
          <a:extLst>
            <a:ext uri="{FF2B5EF4-FFF2-40B4-BE49-F238E27FC236}">
              <a16:creationId xmlns:a16="http://schemas.microsoft.com/office/drawing/2014/main" id="{ED303029-753E-46CF-9AE6-8340C7F23165}"/>
            </a:ext>
          </a:extLst>
        </xdr:cNvPr>
        <xdr:cNvPicPr>
          <a:picLocks noChangeAspect="1"/>
        </xdr:cNvPicPr>
      </xdr:nvPicPr>
      <xdr:blipFill>
        <a:blip xmlns:r="http://schemas.openxmlformats.org/officeDocument/2006/relationships" r:embed="rId2"/>
        <a:stretch>
          <a:fillRect/>
        </a:stretch>
      </xdr:blipFill>
      <xdr:spPr>
        <a:xfrm>
          <a:off x="2331427" y="381000"/>
          <a:ext cx="991323" cy="622788"/>
        </a:xfrm>
        <a:prstGeom prst="rect">
          <a:avLst/>
        </a:prstGeom>
      </xdr:spPr>
    </xdr:pic>
    <xdr:clientData/>
  </xdr:twoCellAnchor>
  <xdr:twoCellAnchor>
    <xdr:from>
      <xdr:col>0</xdr:col>
      <xdr:colOff>82827</xdr:colOff>
      <xdr:row>29</xdr:row>
      <xdr:rowOff>92489</xdr:rowOff>
    </xdr:from>
    <xdr:to>
      <xdr:col>6</xdr:col>
      <xdr:colOff>182217</xdr:colOff>
      <xdr:row>44</xdr:row>
      <xdr:rowOff>99391</xdr:rowOff>
    </xdr:to>
    <xdr:graphicFrame macro="">
      <xdr:nvGraphicFramePr>
        <xdr:cNvPr id="4" name="1 Gráfico">
          <a:extLst>
            <a:ext uri="{FF2B5EF4-FFF2-40B4-BE49-F238E27FC236}">
              <a16:creationId xmlns:a16="http://schemas.microsoft.com/office/drawing/2014/main" id="{B882A147-3351-46DD-B052-100241B59C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865187</xdr:colOff>
      <xdr:row>1</xdr:row>
      <xdr:rowOff>119062</xdr:rowOff>
    </xdr:from>
    <xdr:to>
      <xdr:col>13</xdr:col>
      <xdr:colOff>420811</xdr:colOff>
      <xdr:row>4</xdr:row>
      <xdr:rowOff>105500</xdr:rowOff>
    </xdr:to>
    <xdr:pic>
      <xdr:nvPicPr>
        <xdr:cNvPr id="5" name="Picture 4">
          <a:extLst>
            <a:ext uri="{FF2B5EF4-FFF2-40B4-BE49-F238E27FC236}">
              <a16:creationId xmlns:a16="http://schemas.microsoft.com/office/drawing/2014/main" id="{C2132418-C961-4545-82D6-330F26F777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685337" y="309562"/>
          <a:ext cx="2241674" cy="557938"/>
        </a:xfrm>
        <a:prstGeom prst="rect">
          <a:avLst/>
        </a:prstGeom>
      </xdr:spPr>
    </xdr:pic>
    <xdr:clientData/>
  </xdr:twoCellAnchor>
  <xdr:twoCellAnchor>
    <xdr:from>
      <xdr:col>9</xdr:col>
      <xdr:colOff>438978</xdr:colOff>
      <xdr:row>28</xdr:row>
      <xdr:rowOff>182217</xdr:rowOff>
    </xdr:from>
    <xdr:to>
      <xdr:col>10</xdr:col>
      <xdr:colOff>397565</xdr:colOff>
      <xdr:row>30</xdr:row>
      <xdr:rowOff>41413</xdr:rowOff>
    </xdr:to>
    <xdr:sp macro="" textlink="">
      <xdr:nvSpPr>
        <xdr:cNvPr id="6" name="CuadroTexto 2">
          <a:extLst>
            <a:ext uri="{FF2B5EF4-FFF2-40B4-BE49-F238E27FC236}">
              <a16:creationId xmlns:a16="http://schemas.microsoft.com/office/drawing/2014/main" id="{8587D218-959D-45F1-8620-EDEFAA76CF39}"/>
            </a:ext>
          </a:extLst>
        </xdr:cNvPr>
        <xdr:cNvSpPr txBox="1"/>
      </xdr:nvSpPr>
      <xdr:spPr>
        <a:xfrm>
          <a:off x="8363778" y="5468592"/>
          <a:ext cx="853937" cy="2401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100" b="1">
              <a:solidFill>
                <a:schemeClr val="tx2">
                  <a:lumMod val="60000"/>
                  <a:lumOff val="40000"/>
                </a:schemeClr>
              </a:solidFill>
            </a:rPr>
            <a:t>PENSIONES</a:t>
          </a:r>
        </a:p>
      </xdr:txBody>
    </xdr:sp>
    <xdr:clientData/>
  </xdr:twoCellAnchor>
  <xdr:twoCellAnchor>
    <xdr:from>
      <xdr:col>2</xdr:col>
      <xdr:colOff>434009</xdr:colOff>
      <xdr:row>28</xdr:row>
      <xdr:rowOff>36444</xdr:rowOff>
    </xdr:from>
    <xdr:to>
      <xdr:col>3</xdr:col>
      <xdr:colOff>273328</xdr:colOff>
      <xdr:row>29</xdr:row>
      <xdr:rowOff>86140</xdr:rowOff>
    </xdr:to>
    <xdr:sp macro="" textlink="">
      <xdr:nvSpPr>
        <xdr:cNvPr id="7" name="CuadroTexto 3">
          <a:extLst>
            <a:ext uri="{FF2B5EF4-FFF2-40B4-BE49-F238E27FC236}">
              <a16:creationId xmlns:a16="http://schemas.microsoft.com/office/drawing/2014/main" id="{A921A9C9-820E-4CAF-854C-39006CD45DCB}"/>
            </a:ext>
          </a:extLst>
        </xdr:cNvPr>
        <xdr:cNvSpPr txBox="1"/>
      </xdr:nvSpPr>
      <xdr:spPr>
        <a:xfrm>
          <a:off x="2091359" y="5322819"/>
          <a:ext cx="734669" cy="2401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100" b="1">
              <a:solidFill>
                <a:schemeClr val="tx2">
                  <a:lumMod val="60000"/>
                  <a:lumOff val="40000"/>
                </a:schemeClr>
              </a:solidFill>
            </a:rPr>
            <a:t>MONTO</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499965</xdr:colOff>
      <xdr:row>5</xdr:row>
      <xdr:rowOff>106479</xdr:rowOff>
    </xdr:from>
    <xdr:to>
      <xdr:col>17</xdr:col>
      <xdr:colOff>965641</xdr:colOff>
      <xdr:row>7</xdr:row>
      <xdr:rowOff>266099</xdr:rowOff>
    </xdr:to>
    <xdr:pic>
      <xdr:nvPicPr>
        <xdr:cNvPr id="11" name="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90878" y="868479"/>
          <a:ext cx="2238155" cy="548903"/>
        </a:xfrm>
        <a:prstGeom prst="rect">
          <a:avLst/>
        </a:prstGeom>
      </xdr:spPr>
    </xdr:pic>
    <xdr:clientData/>
  </xdr:twoCellAnchor>
  <xdr:oneCellAnchor>
    <xdr:from>
      <xdr:col>1</xdr:col>
      <xdr:colOff>198783</xdr:colOff>
      <xdr:row>0</xdr:row>
      <xdr:rowOff>82827</xdr:rowOff>
    </xdr:from>
    <xdr:ext cx="989857" cy="622788"/>
    <xdr:pic>
      <xdr:nvPicPr>
        <xdr:cNvPr id="12" name="Picture 9">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2"/>
        <a:stretch>
          <a:fillRect/>
        </a:stretch>
      </xdr:blipFill>
      <xdr:spPr>
        <a:xfrm>
          <a:off x="9433892" y="82827"/>
          <a:ext cx="989857" cy="622788"/>
        </a:xfrm>
        <a:prstGeom prst="rect">
          <a:avLst/>
        </a:prstGeom>
      </xdr:spPr>
    </xdr:pic>
    <xdr:clientData/>
  </xdr:oneCellAnchor>
  <xdr:twoCellAnchor>
    <xdr:from>
      <xdr:col>14</xdr:col>
      <xdr:colOff>11538</xdr:colOff>
      <xdr:row>7</xdr:row>
      <xdr:rowOff>349233</xdr:rowOff>
    </xdr:from>
    <xdr:to>
      <xdr:col>18</xdr:col>
      <xdr:colOff>932414</xdr:colOff>
      <xdr:row>22</xdr:row>
      <xdr:rowOff>95044</xdr:rowOff>
    </xdr:to>
    <xdr:graphicFrame macro="">
      <xdr:nvGraphicFramePr>
        <xdr:cNvPr id="3" name="Gráfico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637008</xdr:colOff>
      <xdr:row>7</xdr:row>
      <xdr:rowOff>375728</xdr:rowOff>
    </xdr:from>
    <xdr:to>
      <xdr:col>24</xdr:col>
      <xdr:colOff>221371</xdr:colOff>
      <xdr:row>22</xdr:row>
      <xdr:rowOff>115352</xdr:rowOff>
    </xdr:to>
    <xdr:graphicFrame macro="">
      <xdr:nvGraphicFramePr>
        <xdr:cNvPr id="14" name="Gráfico 13">
          <a:extLst>
            <a:ext uri="{FF2B5EF4-FFF2-40B4-BE49-F238E27FC236}">
              <a16:creationId xmlns:a16="http://schemas.microsoft.com/office/drawing/2014/main" id="{00000000-0008-0000-09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752257</xdr:colOff>
      <xdr:row>31</xdr:row>
      <xdr:rowOff>234350</xdr:rowOff>
    </xdr:from>
    <xdr:to>
      <xdr:col>19</xdr:col>
      <xdr:colOff>295252</xdr:colOff>
      <xdr:row>46</xdr:row>
      <xdr:rowOff>108845</xdr:rowOff>
    </xdr:to>
    <xdr:graphicFrame macro="">
      <xdr:nvGraphicFramePr>
        <xdr:cNvPr id="16" name="Gráfico 15">
          <a:extLst>
            <a:ext uri="{FF2B5EF4-FFF2-40B4-BE49-F238E27FC236}">
              <a16:creationId xmlns:a16="http://schemas.microsoft.com/office/drawing/2014/main" id="{00000000-0008-0000-09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840440</xdr:colOff>
      <xdr:row>31</xdr:row>
      <xdr:rowOff>526189</xdr:rowOff>
    </xdr:from>
    <xdr:to>
      <xdr:col>26</xdr:col>
      <xdr:colOff>78440</xdr:colOff>
      <xdr:row>46</xdr:row>
      <xdr:rowOff>22606</xdr:rowOff>
    </xdr:to>
    <xdr:graphicFrame macro="">
      <xdr:nvGraphicFramePr>
        <xdr:cNvPr id="17" name="Gráfico 16">
          <a:extLst>
            <a:ext uri="{FF2B5EF4-FFF2-40B4-BE49-F238E27FC236}">
              <a16:creationId xmlns:a16="http://schemas.microsoft.com/office/drawing/2014/main" id="{00000000-0008-0000-09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32644</xdr:colOff>
      <xdr:row>51</xdr:row>
      <xdr:rowOff>169062</xdr:rowOff>
    </xdr:from>
    <xdr:to>
      <xdr:col>18</xdr:col>
      <xdr:colOff>965169</xdr:colOff>
      <xdr:row>67</xdr:row>
      <xdr:rowOff>2143</xdr:rowOff>
    </xdr:to>
    <xdr:graphicFrame macro="">
      <xdr:nvGraphicFramePr>
        <xdr:cNvPr id="18" name="Gráfico 17">
          <a:extLst>
            <a:ext uri="{FF2B5EF4-FFF2-40B4-BE49-F238E27FC236}">
              <a16:creationId xmlns:a16="http://schemas.microsoft.com/office/drawing/2014/main" id="{00000000-0008-0000-09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20</xdr:col>
      <xdr:colOff>165562</xdr:colOff>
      <xdr:row>52</xdr:row>
      <xdr:rowOff>43432</xdr:rowOff>
    </xdr:from>
    <xdr:to>
      <xdr:col>25</xdr:col>
      <xdr:colOff>221591</xdr:colOff>
      <xdr:row>67</xdr:row>
      <xdr:rowOff>78219</xdr:rowOff>
    </xdr:to>
    <xdr:graphicFrame macro="">
      <xdr:nvGraphicFramePr>
        <xdr:cNvPr id="19" name="Gráfico 18">
          <a:extLst>
            <a:ext uri="{FF2B5EF4-FFF2-40B4-BE49-F238E27FC236}">
              <a16:creationId xmlns:a16="http://schemas.microsoft.com/office/drawing/2014/main" id="{00000000-0008-0000-09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20</xdr:col>
      <xdr:colOff>744862</xdr:colOff>
      <xdr:row>5</xdr:row>
      <xdr:rowOff>170527</xdr:rowOff>
    </xdr:from>
    <xdr:to>
      <xdr:col>22</xdr:col>
      <xdr:colOff>897568</xdr:colOff>
      <xdr:row>7</xdr:row>
      <xdr:rowOff>330147</xdr:rowOff>
    </xdr:to>
    <xdr:pic>
      <xdr:nvPicPr>
        <xdr:cNvPr id="10" name="Picture 10">
          <a:extLst>
            <a:ext uri="{FF2B5EF4-FFF2-40B4-BE49-F238E27FC236}">
              <a16:creationId xmlns:a16="http://schemas.microsoft.com/office/drawing/2014/main" id="{B8825771-E97A-4C02-BE46-B46CB47933B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0937862" y="932527"/>
          <a:ext cx="2231642" cy="548903"/>
        </a:xfrm>
        <a:prstGeom prst="rect">
          <a:avLst/>
        </a:prstGeom>
      </xdr:spPr>
    </xdr:pic>
    <xdr:clientData/>
  </xdr:twoCellAnchor>
  <xdr:twoCellAnchor editAs="oneCell">
    <xdr:from>
      <xdr:col>8</xdr:col>
      <xdr:colOff>530173</xdr:colOff>
      <xdr:row>0</xdr:row>
      <xdr:rowOff>0</xdr:rowOff>
    </xdr:from>
    <xdr:to>
      <xdr:col>11</xdr:col>
      <xdr:colOff>480379</xdr:colOff>
      <xdr:row>2</xdr:row>
      <xdr:rowOff>170826</xdr:rowOff>
    </xdr:to>
    <xdr:pic>
      <xdr:nvPicPr>
        <xdr:cNvPr id="13" name="Picture 10">
          <a:extLst>
            <a:ext uri="{FF2B5EF4-FFF2-40B4-BE49-F238E27FC236}">
              <a16:creationId xmlns:a16="http://schemas.microsoft.com/office/drawing/2014/main" id="{25D078B7-007D-43F3-B3A7-90E4A37401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50055" y="0"/>
          <a:ext cx="2236206" cy="551826"/>
        </a:xfrm>
        <a:prstGeom prst="rect">
          <a:avLst/>
        </a:prstGeom>
      </xdr:spPr>
    </xdr:pic>
    <xdr:clientData/>
  </xdr:twoCellAnchor>
  <xdr:twoCellAnchor editAs="oneCell">
    <xdr:from>
      <xdr:col>15</xdr:col>
      <xdr:colOff>416719</xdr:colOff>
      <xdr:row>30</xdr:row>
      <xdr:rowOff>130968</xdr:rowOff>
    </xdr:from>
    <xdr:to>
      <xdr:col>17</xdr:col>
      <xdr:colOff>882395</xdr:colOff>
      <xdr:row>31</xdr:row>
      <xdr:rowOff>242962</xdr:rowOff>
    </xdr:to>
    <xdr:pic>
      <xdr:nvPicPr>
        <xdr:cNvPr id="2" name="Picture 1">
          <a:extLst>
            <a:ext uri="{FF2B5EF4-FFF2-40B4-BE49-F238E27FC236}">
              <a16:creationId xmlns:a16="http://schemas.microsoft.com/office/drawing/2014/main" id="{9518A9BD-6433-440B-BCDE-7BC9BDB25F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68625" y="6476999"/>
          <a:ext cx="2239708" cy="552526"/>
        </a:xfrm>
        <a:prstGeom prst="rect">
          <a:avLst/>
        </a:prstGeom>
      </xdr:spPr>
    </xdr:pic>
    <xdr:clientData/>
  </xdr:twoCellAnchor>
  <xdr:twoCellAnchor editAs="oneCell">
    <xdr:from>
      <xdr:col>21</xdr:col>
      <xdr:colOff>164306</xdr:colOff>
      <xdr:row>30</xdr:row>
      <xdr:rowOff>330994</xdr:rowOff>
    </xdr:from>
    <xdr:to>
      <xdr:col>23</xdr:col>
      <xdr:colOff>725233</xdr:colOff>
      <xdr:row>31</xdr:row>
      <xdr:rowOff>442988</xdr:rowOff>
    </xdr:to>
    <xdr:pic>
      <xdr:nvPicPr>
        <xdr:cNvPr id="4" name="Picture 3">
          <a:extLst>
            <a:ext uri="{FF2B5EF4-FFF2-40B4-BE49-F238E27FC236}">
              <a16:creationId xmlns:a16="http://schemas.microsoft.com/office/drawing/2014/main" id="{F1F52993-961C-4243-8269-30CC5DF312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821775" y="6677025"/>
          <a:ext cx="2239708" cy="552526"/>
        </a:xfrm>
        <a:prstGeom prst="rect">
          <a:avLst/>
        </a:prstGeom>
      </xdr:spPr>
    </xdr:pic>
    <xdr:clientData/>
  </xdr:twoCellAnchor>
  <xdr:twoCellAnchor editAs="oneCell">
    <xdr:from>
      <xdr:col>15</xdr:col>
      <xdr:colOff>357187</xdr:colOff>
      <xdr:row>49</xdr:row>
      <xdr:rowOff>0</xdr:rowOff>
    </xdr:from>
    <xdr:to>
      <xdr:col>17</xdr:col>
      <xdr:colOff>822863</xdr:colOff>
      <xdr:row>51</xdr:row>
      <xdr:rowOff>171526</xdr:rowOff>
    </xdr:to>
    <xdr:pic>
      <xdr:nvPicPr>
        <xdr:cNvPr id="6" name="Picture 5">
          <a:extLst>
            <a:ext uri="{FF2B5EF4-FFF2-40B4-BE49-F238E27FC236}">
              <a16:creationId xmlns:a16="http://schemas.microsoft.com/office/drawing/2014/main" id="{835886D4-5826-453D-9F75-455E2A6B83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09093" y="10548938"/>
          <a:ext cx="2239708" cy="552526"/>
        </a:xfrm>
        <a:prstGeom prst="rect">
          <a:avLst/>
        </a:prstGeom>
      </xdr:spPr>
    </xdr:pic>
    <xdr:clientData/>
  </xdr:twoCellAnchor>
  <xdr:twoCellAnchor editAs="oneCell">
    <xdr:from>
      <xdr:col>21</xdr:col>
      <xdr:colOff>342900</xdr:colOff>
      <xdr:row>49</xdr:row>
      <xdr:rowOff>57151</xdr:rowOff>
    </xdr:from>
    <xdr:to>
      <xdr:col>24</xdr:col>
      <xdr:colOff>141827</xdr:colOff>
      <xdr:row>52</xdr:row>
      <xdr:rowOff>14365</xdr:rowOff>
    </xdr:to>
    <xdr:pic>
      <xdr:nvPicPr>
        <xdr:cNvPr id="7" name="Picture 6">
          <a:extLst>
            <a:ext uri="{FF2B5EF4-FFF2-40B4-BE49-F238E27FC236}">
              <a16:creationId xmlns:a16="http://schemas.microsoft.com/office/drawing/2014/main" id="{31EBED7F-FBFF-42C1-9E1A-CCB45A3675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17025" y="10606089"/>
          <a:ext cx="2239708" cy="55252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109904</xdr:colOff>
      <xdr:row>1</xdr:row>
      <xdr:rowOff>73270</xdr:rowOff>
    </xdr:from>
    <xdr:to>
      <xdr:col>4</xdr:col>
      <xdr:colOff>520935</xdr:colOff>
      <xdr:row>4</xdr:row>
      <xdr:rowOff>124558</xdr:rowOff>
    </xdr:to>
    <xdr:pic>
      <xdr:nvPicPr>
        <xdr:cNvPr id="5" name="Picture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a:stretch>
          <a:fillRect/>
        </a:stretch>
      </xdr:blipFill>
      <xdr:spPr>
        <a:xfrm>
          <a:off x="2718289" y="263770"/>
          <a:ext cx="989857" cy="622788"/>
        </a:xfrm>
        <a:prstGeom prst="rect">
          <a:avLst/>
        </a:prstGeom>
      </xdr:spPr>
    </xdr:pic>
    <xdr:clientData/>
  </xdr:twoCellAnchor>
  <xdr:twoCellAnchor>
    <xdr:from>
      <xdr:col>4</xdr:col>
      <xdr:colOff>383054</xdr:colOff>
      <xdr:row>33</xdr:row>
      <xdr:rowOff>112058</xdr:rowOff>
    </xdr:from>
    <xdr:to>
      <xdr:col>9</xdr:col>
      <xdr:colOff>476810</xdr:colOff>
      <xdr:row>49</xdr:row>
      <xdr:rowOff>43141</xdr:rowOff>
    </xdr:to>
    <xdr:graphicFrame macro="">
      <xdr:nvGraphicFramePr>
        <xdr:cNvPr id="3" name="Gráfico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476250</xdr:colOff>
      <xdr:row>1</xdr:row>
      <xdr:rowOff>38100</xdr:rowOff>
    </xdr:from>
    <xdr:to>
      <xdr:col>14</xdr:col>
      <xdr:colOff>474786</xdr:colOff>
      <xdr:row>4</xdr:row>
      <xdr:rowOff>24538</xdr:rowOff>
    </xdr:to>
    <xdr:pic>
      <xdr:nvPicPr>
        <xdr:cNvPr id="7" name="Picture 6">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439275" y="228600"/>
          <a:ext cx="2246436" cy="55793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139054</xdr:colOff>
      <xdr:row>32</xdr:row>
      <xdr:rowOff>123627</xdr:rowOff>
    </xdr:from>
    <xdr:to>
      <xdr:col>11</xdr:col>
      <xdr:colOff>116541</xdr:colOff>
      <xdr:row>47</xdr:row>
      <xdr:rowOff>98050</xdr:rowOff>
    </xdr:to>
    <xdr:graphicFrame macro="">
      <xdr:nvGraphicFramePr>
        <xdr:cNvPr id="7" name="6 Gráfico">
          <a:extLst>
            <a:ext uri="{FF2B5EF4-FFF2-40B4-BE49-F238E27FC236}">
              <a16:creationId xmlns:a16="http://schemas.microsoft.com/office/drawing/2014/main" id="{00000000-0008-0000-0C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170245</xdr:colOff>
      <xdr:row>30</xdr:row>
      <xdr:rowOff>108315</xdr:rowOff>
    </xdr:from>
    <xdr:to>
      <xdr:col>9</xdr:col>
      <xdr:colOff>637021</xdr:colOff>
      <xdr:row>31</xdr:row>
      <xdr:rowOff>181584</xdr:rowOff>
    </xdr:to>
    <xdr:sp macro="" textlink="">
      <xdr:nvSpPr>
        <xdr:cNvPr id="4" name="3 CuadroTexto">
          <a:extLst>
            <a:ext uri="{FF2B5EF4-FFF2-40B4-BE49-F238E27FC236}">
              <a16:creationId xmlns:a16="http://schemas.microsoft.com/office/drawing/2014/main" id="{00000000-0008-0000-0C00-000004000000}"/>
            </a:ext>
          </a:extLst>
        </xdr:cNvPr>
        <xdr:cNvSpPr txBox="1"/>
      </xdr:nvSpPr>
      <xdr:spPr>
        <a:xfrm>
          <a:off x="1665670" y="3280140"/>
          <a:ext cx="3743376" cy="26376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1100" b="1">
              <a:solidFill>
                <a:schemeClr val="tx2">
                  <a:lumMod val="60000"/>
                  <a:lumOff val="40000"/>
                </a:schemeClr>
              </a:solidFill>
            </a:rPr>
            <a:t>Pago de Retroactivos</a:t>
          </a:r>
        </a:p>
      </xdr:txBody>
    </xdr:sp>
    <xdr:clientData/>
  </xdr:twoCellAnchor>
  <xdr:twoCellAnchor editAs="oneCell">
    <xdr:from>
      <xdr:col>1</xdr:col>
      <xdr:colOff>203688</xdr:colOff>
      <xdr:row>1</xdr:row>
      <xdr:rowOff>27842</xdr:rowOff>
    </xdr:from>
    <xdr:to>
      <xdr:col>2</xdr:col>
      <xdr:colOff>458209</xdr:colOff>
      <xdr:row>4</xdr:row>
      <xdr:rowOff>79130</xdr:rowOff>
    </xdr:to>
    <xdr:pic>
      <xdr:nvPicPr>
        <xdr:cNvPr id="12" name="Picture 11">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2"/>
        <a:stretch>
          <a:fillRect/>
        </a:stretch>
      </xdr:blipFill>
      <xdr:spPr>
        <a:xfrm>
          <a:off x="965688" y="218342"/>
          <a:ext cx="987946" cy="622788"/>
        </a:xfrm>
        <a:prstGeom prst="rect">
          <a:avLst/>
        </a:prstGeom>
      </xdr:spPr>
    </xdr:pic>
    <xdr:clientData/>
  </xdr:twoCellAnchor>
  <xdr:twoCellAnchor editAs="oneCell">
    <xdr:from>
      <xdr:col>9</xdr:col>
      <xdr:colOff>747506</xdr:colOff>
      <xdr:row>1</xdr:row>
      <xdr:rowOff>33545</xdr:rowOff>
    </xdr:from>
    <xdr:to>
      <xdr:col>12</xdr:col>
      <xdr:colOff>628527</xdr:colOff>
      <xdr:row>4</xdr:row>
      <xdr:rowOff>19983</xdr:rowOff>
    </xdr:to>
    <xdr:pic>
      <xdr:nvPicPr>
        <xdr:cNvPr id="6" name="Picture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519531" y="224045"/>
          <a:ext cx="2224171" cy="55793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222738</xdr:colOff>
      <xdr:row>1</xdr:row>
      <xdr:rowOff>46892</xdr:rowOff>
    </xdr:from>
    <xdr:to>
      <xdr:col>2</xdr:col>
      <xdr:colOff>677730</xdr:colOff>
      <xdr:row>4</xdr:row>
      <xdr:rowOff>98180</xdr:rowOff>
    </xdr:to>
    <xdr:pic>
      <xdr:nvPicPr>
        <xdr:cNvPr id="4" name="Picture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984738" y="237392"/>
          <a:ext cx="1188417" cy="622788"/>
        </a:xfrm>
        <a:prstGeom prst="rect">
          <a:avLst/>
        </a:prstGeom>
      </xdr:spPr>
    </xdr:pic>
    <xdr:clientData/>
  </xdr:twoCellAnchor>
  <xdr:twoCellAnchor editAs="oneCell">
    <xdr:from>
      <xdr:col>6</xdr:col>
      <xdr:colOff>219808</xdr:colOff>
      <xdr:row>1</xdr:row>
      <xdr:rowOff>14654</xdr:rowOff>
    </xdr:from>
    <xdr:to>
      <xdr:col>9</xdr:col>
      <xdr:colOff>261573</xdr:colOff>
      <xdr:row>4</xdr:row>
      <xdr:rowOff>1092</xdr:rowOff>
    </xdr:to>
    <xdr:pic>
      <xdr:nvPicPr>
        <xdr:cNvPr id="5" name="Picture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25233" y="205154"/>
          <a:ext cx="2242040" cy="557938"/>
        </a:xfrm>
        <a:prstGeom prst="rect">
          <a:avLst/>
        </a:prstGeom>
      </xdr:spPr>
    </xdr:pic>
    <xdr:clientData/>
  </xdr:twoCellAnchor>
  <xdr:twoCellAnchor>
    <xdr:from>
      <xdr:col>9</xdr:col>
      <xdr:colOff>247650</xdr:colOff>
      <xdr:row>1</xdr:row>
      <xdr:rowOff>185737</xdr:rowOff>
    </xdr:from>
    <xdr:to>
      <xdr:col>14</xdr:col>
      <xdr:colOff>971550</xdr:colOff>
      <xdr:row>29</xdr:row>
      <xdr:rowOff>14287</xdr:rowOff>
    </xdr:to>
    <xdr:graphicFrame macro="">
      <xdr:nvGraphicFramePr>
        <xdr:cNvPr id="6" name="Chart 5">
          <a:extLst>
            <a:ext uri="{FF2B5EF4-FFF2-40B4-BE49-F238E27FC236}">
              <a16:creationId xmlns:a16="http://schemas.microsoft.com/office/drawing/2014/main" id="{00000000-0008-0000-0D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498230</xdr:colOff>
      <xdr:row>2</xdr:row>
      <xdr:rowOff>109903</xdr:rowOff>
    </xdr:from>
    <xdr:to>
      <xdr:col>13</xdr:col>
      <xdr:colOff>747345</xdr:colOff>
      <xdr:row>3</xdr:row>
      <xdr:rowOff>183172</xdr:rowOff>
    </xdr:to>
    <xdr:sp macro="" textlink="">
      <xdr:nvSpPr>
        <xdr:cNvPr id="3" name="3 CuadroTexto">
          <a:extLst>
            <a:ext uri="{FF2B5EF4-FFF2-40B4-BE49-F238E27FC236}">
              <a16:creationId xmlns:a16="http://schemas.microsoft.com/office/drawing/2014/main" id="{00000000-0008-0000-0E00-000003000000}"/>
            </a:ext>
          </a:extLst>
        </xdr:cNvPr>
        <xdr:cNvSpPr txBox="1"/>
      </xdr:nvSpPr>
      <xdr:spPr>
        <a:xfrm>
          <a:off x="10137530" y="490903"/>
          <a:ext cx="1792165" cy="26376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1100" b="1">
              <a:solidFill>
                <a:schemeClr val="tx2">
                  <a:lumMod val="60000"/>
                  <a:lumOff val="40000"/>
                </a:schemeClr>
              </a:solidFill>
            </a:rPr>
            <a:t>Créditos</a:t>
          </a:r>
          <a:r>
            <a:rPr lang="es-DO" sz="1100" b="1" baseline="0">
              <a:solidFill>
                <a:schemeClr val="tx2">
                  <a:lumMod val="60000"/>
                  <a:lumOff val="40000"/>
                </a:schemeClr>
              </a:solidFill>
            </a:rPr>
            <a:t> Rechazados</a:t>
          </a:r>
          <a:endParaRPr lang="es-DO" sz="1100" b="1">
            <a:solidFill>
              <a:schemeClr val="tx2">
                <a:lumMod val="60000"/>
                <a:lumOff val="40000"/>
              </a:schemeClr>
            </a:solidFill>
          </a:endParaRPr>
        </a:p>
      </xdr:txBody>
    </xdr:sp>
    <xdr:clientData/>
  </xdr:twoCellAnchor>
  <xdr:twoCellAnchor editAs="oneCell">
    <xdr:from>
      <xdr:col>1</xdr:col>
      <xdr:colOff>365613</xdr:colOff>
      <xdr:row>0</xdr:row>
      <xdr:rowOff>189767</xdr:rowOff>
    </xdr:from>
    <xdr:to>
      <xdr:col>2</xdr:col>
      <xdr:colOff>820605</xdr:colOff>
      <xdr:row>4</xdr:row>
      <xdr:rowOff>50555</xdr:rowOff>
    </xdr:to>
    <xdr:pic>
      <xdr:nvPicPr>
        <xdr:cNvPr id="4" name="Picture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1127613" y="189767"/>
          <a:ext cx="1188417" cy="622788"/>
        </a:xfrm>
        <a:prstGeom prst="rect">
          <a:avLst/>
        </a:prstGeom>
      </xdr:spPr>
    </xdr:pic>
    <xdr:clientData/>
  </xdr:twoCellAnchor>
  <xdr:twoCellAnchor editAs="oneCell">
    <xdr:from>
      <xdr:col>6</xdr:col>
      <xdr:colOff>0</xdr:colOff>
      <xdr:row>1</xdr:row>
      <xdr:rowOff>43962</xdr:rowOff>
    </xdr:from>
    <xdr:to>
      <xdr:col>8</xdr:col>
      <xdr:colOff>908540</xdr:colOff>
      <xdr:row>4</xdr:row>
      <xdr:rowOff>30400</xdr:rowOff>
    </xdr:to>
    <xdr:pic>
      <xdr:nvPicPr>
        <xdr:cNvPr id="5" name="Picture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05425" y="234462"/>
          <a:ext cx="2242040" cy="557938"/>
        </a:xfrm>
        <a:prstGeom prst="rect">
          <a:avLst/>
        </a:prstGeom>
      </xdr:spPr>
    </xdr:pic>
    <xdr:clientData/>
  </xdr:twoCellAnchor>
  <xdr:twoCellAnchor>
    <xdr:from>
      <xdr:col>9</xdr:col>
      <xdr:colOff>285750</xdr:colOff>
      <xdr:row>2</xdr:row>
      <xdr:rowOff>119062</xdr:rowOff>
    </xdr:from>
    <xdr:to>
      <xdr:col>14</xdr:col>
      <xdr:colOff>1009650</xdr:colOff>
      <xdr:row>28</xdr:row>
      <xdr:rowOff>138112</xdr:rowOff>
    </xdr:to>
    <xdr:graphicFrame macro="">
      <xdr:nvGraphicFramePr>
        <xdr:cNvPr id="6" name="Chart 5">
          <a:extLst>
            <a:ext uri="{FF2B5EF4-FFF2-40B4-BE49-F238E27FC236}">
              <a16:creationId xmlns:a16="http://schemas.microsoft.com/office/drawing/2014/main" id="{00000000-0008-0000-0E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266700</xdr:colOff>
      <xdr:row>1</xdr:row>
      <xdr:rowOff>89547</xdr:rowOff>
    </xdr:from>
    <xdr:to>
      <xdr:col>2</xdr:col>
      <xdr:colOff>378346</xdr:colOff>
      <xdr:row>4</xdr:row>
      <xdr:rowOff>140835</xdr:rowOff>
    </xdr:to>
    <xdr:pic>
      <xdr:nvPicPr>
        <xdr:cNvPr id="2" name="Picture 1">
          <a:extLst>
            <a:ext uri="{FF2B5EF4-FFF2-40B4-BE49-F238E27FC236}">
              <a16:creationId xmlns:a16="http://schemas.microsoft.com/office/drawing/2014/main" id="{1FD885CE-A212-4769-998C-D1677A36476A}"/>
            </a:ext>
          </a:extLst>
        </xdr:cNvPr>
        <xdr:cNvPicPr>
          <a:picLocks noChangeAspect="1"/>
        </xdr:cNvPicPr>
      </xdr:nvPicPr>
      <xdr:blipFill>
        <a:blip xmlns:r="http://schemas.openxmlformats.org/officeDocument/2006/relationships" r:embed="rId1"/>
        <a:stretch>
          <a:fillRect/>
        </a:stretch>
      </xdr:blipFill>
      <xdr:spPr>
        <a:xfrm>
          <a:off x="1323975" y="280047"/>
          <a:ext cx="987946" cy="622788"/>
        </a:xfrm>
        <a:prstGeom prst="rect">
          <a:avLst/>
        </a:prstGeom>
      </xdr:spPr>
    </xdr:pic>
    <xdr:clientData/>
  </xdr:twoCellAnchor>
  <xdr:twoCellAnchor editAs="oneCell">
    <xdr:from>
      <xdr:col>6</xdr:col>
      <xdr:colOff>477143</xdr:colOff>
      <xdr:row>1</xdr:row>
      <xdr:rowOff>95250</xdr:rowOff>
    </xdr:from>
    <xdr:to>
      <xdr:col>9</xdr:col>
      <xdr:colOff>224814</xdr:colOff>
      <xdr:row>4</xdr:row>
      <xdr:rowOff>81688</xdr:rowOff>
    </xdr:to>
    <xdr:pic>
      <xdr:nvPicPr>
        <xdr:cNvPr id="3" name="Picture 2">
          <a:extLst>
            <a:ext uri="{FF2B5EF4-FFF2-40B4-BE49-F238E27FC236}">
              <a16:creationId xmlns:a16="http://schemas.microsoft.com/office/drawing/2014/main" id="{1A801DD6-C7F5-451B-A1B2-AAA2065284A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77843" y="285750"/>
          <a:ext cx="2224171" cy="557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88058</xdr:colOff>
      <xdr:row>29</xdr:row>
      <xdr:rowOff>17516</xdr:rowOff>
    </xdr:from>
    <xdr:to>
      <xdr:col>5</xdr:col>
      <xdr:colOff>175314</xdr:colOff>
      <xdr:row>40</xdr:row>
      <xdr:rowOff>151599</xdr:rowOff>
    </xdr:to>
    <xdr:graphicFrame macro="">
      <xdr:nvGraphicFramePr>
        <xdr:cNvPr id="2" name="10 Gráfico">
          <a:extLst>
            <a:ext uri="{FF2B5EF4-FFF2-40B4-BE49-F238E27FC236}">
              <a16:creationId xmlns:a16="http://schemas.microsoft.com/office/drawing/2014/main" id="{7412F171-EEEB-49E2-966D-2F1CACD4AD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588089</xdr:colOff>
      <xdr:row>64</xdr:row>
      <xdr:rowOff>44161</xdr:rowOff>
    </xdr:from>
    <xdr:to>
      <xdr:col>17</xdr:col>
      <xdr:colOff>702388</xdr:colOff>
      <xdr:row>65</xdr:row>
      <xdr:rowOff>120361</xdr:rowOff>
    </xdr:to>
    <xdr:sp macro="" textlink="">
      <xdr:nvSpPr>
        <xdr:cNvPr id="3" name="1 CuadroTexto">
          <a:extLst>
            <a:ext uri="{FF2B5EF4-FFF2-40B4-BE49-F238E27FC236}">
              <a16:creationId xmlns:a16="http://schemas.microsoft.com/office/drawing/2014/main" id="{7E3A95FC-AC94-4EE6-8655-9FEDB168D4F6}"/>
            </a:ext>
          </a:extLst>
        </xdr:cNvPr>
        <xdr:cNvSpPr txBox="1"/>
      </xdr:nvSpPr>
      <xdr:spPr>
        <a:xfrm>
          <a:off x="12018089" y="12426661"/>
          <a:ext cx="1638299" cy="2667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100" b="1">
              <a:solidFill>
                <a:schemeClr val="accent1"/>
              </a:solidFill>
            </a:rPr>
            <a:t>Afiliados/Cotizantes</a:t>
          </a:r>
        </a:p>
      </xdr:txBody>
    </xdr:sp>
    <xdr:clientData/>
  </xdr:twoCellAnchor>
  <xdr:twoCellAnchor>
    <xdr:from>
      <xdr:col>7</xdr:col>
      <xdr:colOff>294817</xdr:colOff>
      <xdr:row>27</xdr:row>
      <xdr:rowOff>61737</xdr:rowOff>
    </xdr:from>
    <xdr:to>
      <xdr:col>9</xdr:col>
      <xdr:colOff>641381</xdr:colOff>
      <xdr:row>28</xdr:row>
      <xdr:rowOff>137937</xdr:rowOff>
    </xdr:to>
    <xdr:sp macro="" textlink="">
      <xdr:nvSpPr>
        <xdr:cNvPr id="4" name="2 CuadroTexto">
          <a:extLst>
            <a:ext uri="{FF2B5EF4-FFF2-40B4-BE49-F238E27FC236}">
              <a16:creationId xmlns:a16="http://schemas.microsoft.com/office/drawing/2014/main" id="{1641605F-E6E2-484F-A7BE-C823C39B7978}"/>
            </a:ext>
          </a:extLst>
        </xdr:cNvPr>
        <xdr:cNvSpPr txBox="1"/>
      </xdr:nvSpPr>
      <xdr:spPr>
        <a:xfrm>
          <a:off x="6266992" y="3119262"/>
          <a:ext cx="1870564" cy="2667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100" b="1">
              <a:solidFill>
                <a:schemeClr val="accent1"/>
              </a:solidFill>
            </a:rPr>
            <a:t>Afiliados/No Cotizantes</a:t>
          </a:r>
        </a:p>
      </xdr:txBody>
    </xdr:sp>
    <xdr:clientData/>
  </xdr:twoCellAnchor>
  <xdr:oneCellAnchor>
    <xdr:from>
      <xdr:col>0</xdr:col>
      <xdr:colOff>346908</xdr:colOff>
      <xdr:row>1</xdr:row>
      <xdr:rowOff>113567</xdr:rowOff>
    </xdr:from>
    <xdr:ext cx="871814" cy="549520"/>
    <xdr:pic>
      <xdr:nvPicPr>
        <xdr:cNvPr id="5" name="Picture 8">
          <a:extLst>
            <a:ext uri="{FF2B5EF4-FFF2-40B4-BE49-F238E27FC236}">
              <a16:creationId xmlns:a16="http://schemas.microsoft.com/office/drawing/2014/main" id="{4DD5A5D0-8A9D-405C-BF51-D9919A6643E5}"/>
            </a:ext>
          </a:extLst>
        </xdr:cNvPr>
        <xdr:cNvPicPr>
          <a:picLocks noChangeAspect="1"/>
        </xdr:cNvPicPr>
      </xdr:nvPicPr>
      <xdr:blipFill>
        <a:blip xmlns:r="http://schemas.openxmlformats.org/officeDocument/2006/relationships" r:embed="rId2"/>
        <a:stretch>
          <a:fillRect/>
        </a:stretch>
      </xdr:blipFill>
      <xdr:spPr>
        <a:xfrm>
          <a:off x="346908" y="304067"/>
          <a:ext cx="871814" cy="549520"/>
        </a:xfrm>
        <a:prstGeom prst="rect">
          <a:avLst/>
        </a:prstGeom>
      </xdr:spPr>
    </xdr:pic>
    <xdr:clientData/>
  </xdr:oneCellAnchor>
  <xdr:twoCellAnchor>
    <xdr:from>
      <xdr:col>5</xdr:col>
      <xdr:colOff>414854</xdr:colOff>
      <xdr:row>29</xdr:row>
      <xdr:rowOff>81357</xdr:rowOff>
    </xdr:from>
    <xdr:to>
      <xdr:col>11</xdr:col>
      <xdr:colOff>217865</xdr:colOff>
      <xdr:row>41</xdr:row>
      <xdr:rowOff>19707</xdr:rowOff>
    </xdr:to>
    <xdr:graphicFrame macro="">
      <xdr:nvGraphicFramePr>
        <xdr:cNvPr id="6" name="10 Gráfico">
          <a:extLst>
            <a:ext uri="{FF2B5EF4-FFF2-40B4-BE49-F238E27FC236}">
              <a16:creationId xmlns:a16="http://schemas.microsoft.com/office/drawing/2014/main" id="{3C96AE7C-3C81-42F8-9061-2945E252F7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727085</xdr:colOff>
      <xdr:row>43</xdr:row>
      <xdr:rowOff>895</xdr:rowOff>
    </xdr:from>
    <xdr:to>
      <xdr:col>11</xdr:col>
      <xdr:colOff>182800</xdr:colOff>
      <xdr:row>57</xdr:row>
      <xdr:rowOff>77095</xdr:rowOff>
    </xdr:to>
    <xdr:graphicFrame macro="">
      <xdr:nvGraphicFramePr>
        <xdr:cNvPr id="7" name="Gráfico 6">
          <a:extLst>
            <a:ext uri="{FF2B5EF4-FFF2-40B4-BE49-F238E27FC236}">
              <a16:creationId xmlns:a16="http://schemas.microsoft.com/office/drawing/2014/main" id="{3918E741-4A5F-4509-AAD0-034771F703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4</xdr:col>
      <xdr:colOff>816953</xdr:colOff>
      <xdr:row>1</xdr:row>
      <xdr:rowOff>43229</xdr:rowOff>
    </xdr:from>
    <xdr:ext cx="2232100" cy="557938"/>
    <xdr:pic>
      <xdr:nvPicPr>
        <xdr:cNvPr id="8" name="Picture 9">
          <a:extLst>
            <a:ext uri="{FF2B5EF4-FFF2-40B4-BE49-F238E27FC236}">
              <a16:creationId xmlns:a16="http://schemas.microsoft.com/office/drawing/2014/main" id="{F8AF9267-88C4-44C4-A567-EB0184EBA86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074503" y="233729"/>
          <a:ext cx="2232100" cy="557938"/>
        </a:xfrm>
        <a:prstGeom prst="rect">
          <a:avLst/>
        </a:prstGeom>
      </xdr:spPr>
    </xdr:pic>
    <xdr:clientData/>
  </xdr:oneCellAnchor>
  <xdr:twoCellAnchor>
    <xdr:from>
      <xdr:col>1</xdr:col>
      <xdr:colOff>638175</xdr:colOff>
      <xdr:row>27</xdr:row>
      <xdr:rowOff>71537</xdr:rowOff>
    </xdr:from>
    <xdr:to>
      <xdr:col>3</xdr:col>
      <xdr:colOff>323850</xdr:colOff>
      <xdr:row>28</xdr:row>
      <xdr:rowOff>147737</xdr:rowOff>
    </xdr:to>
    <xdr:sp macro="" textlink="">
      <xdr:nvSpPr>
        <xdr:cNvPr id="9" name="1 CuadroTexto">
          <a:extLst>
            <a:ext uri="{FF2B5EF4-FFF2-40B4-BE49-F238E27FC236}">
              <a16:creationId xmlns:a16="http://schemas.microsoft.com/office/drawing/2014/main" id="{53C8BA23-7508-4CB1-81D8-368BB9F6EE14}"/>
            </a:ext>
          </a:extLst>
        </xdr:cNvPr>
        <xdr:cNvSpPr txBox="1"/>
      </xdr:nvSpPr>
      <xdr:spPr>
        <a:xfrm>
          <a:off x="1447800" y="3129062"/>
          <a:ext cx="1323975" cy="2667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100" b="1">
              <a:solidFill>
                <a:schemeClr val="accent1"/>
              </a:solidFill>
            </a:rPr>
            <a:t>Afiliados/Cotizantes</a:t>
          </a:r>
        </a:p>
      </xdr:txBody>
    </xdr:sp>
    <xdr:clientData/>
  </xdr:twoCellAnchor>
  <xdr:twoCellAnchor>
    <xdr:from>
      <xdr:col>0</xdr:col>
      <xdr:colOff>291351</xdr:colOff>
      <xdr:row>42</xdr:row>
      <xdr:rowOff>126625</xdr:rowOff>
    </xdr:from>
    <xdr:to>
      <xdr:col>5</xdr:col>
      <xdr:colOff>717175</xdr:colOff>
      <xdr:row>57</xdr:row>
      <xdr:rowOff>13446</xdr:rowOff>
    </xdr:to>
    <xdr:graphicFrame macro="">
      <xdr:nvGraphicFramePr>
        <xdr:cNvPr id="13" name="Gráfico 12">
          <a:extLst>
            <a:ext uri="{FF2B5EF4-FFF2-40B4-BE49-F238E27FC236}">
              <a16:creationId xmlns:a16="http://schemas.microsoft.com/office/drawing/2014/main" id="{FB5FE624-4100-C68A-BE51-0D04822C9B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24668</xdr:colOff>
      <xdr:row>36</xdr:row>
      <xdr:rowOff>98668</xdr:rowOff>
    </xdr:from>
    <xdr:to>
      <xdr:col>5</xdr:col>
      <xdr:colOff>503603</xdr:colOff>
      <xdr:row>54</xdr:row>
      <xdr:rowOff>51288</xdr:rowOff>
    </xdr:to>
    <xdr:graphicFrame macro="">
      <xdr:nvGraphicFramePr>
        <xdr:cNvPr id="2" name="7 Gráfico">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307410</xdr:colOff>
      <xdr:row>1</xdr:row>
      <xdr:rowOff>79640</xdr:rowOff>
    </xdr:from>
    <xdr:ext cx="989857" cy="622788"/>
    <xdr:pic>
      <xdr:nvPicPr>
        <xdr:cNvPr id="4" name="Picture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2"/>
        <a:stretch>
          <a:fillRect/>
        </a:stretch>
      </xdr:blipFill>
      <xdr:spPr>
        <a:xfrm>
          <a:off x="307410" y="270140"/>
          <a:ext cx="989857" cy="622788"/>
        </a:xfrm>
        <a:prstGeom prst="rect">
          <a:avLst/>
        </a:prstGeom>
      </xdr:spPr>
    </xdr:pic>
    <xdr:clientData/>
  </xdr:oneCellAnchor>
  <xdr:twoCellAnchor editAs="oneCell">
    <xdr:from>
      <xdr:col>4</xdr:col>
      <xdr:colOff>679177</xdr:colOff>
      <xdr:row>1</xdr:row>
      <xdr:rowOff>62758</xdr:rowOff>
    </xdr:from>
    <xdr:to>
      <xdr:col>7</xdr:col>
      <xdr:colOff>287921</xdr:colOff>
      <xdr:row>4</xdr:row>
      <xdr:rowOff>49196</xdr:rowOff>
    </xdr:to>
    <xdr:pic>
      <xdr:nvPicPr>
        <xdr:cNvPr id="5" name="Picture 4">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191003" y="253258"/>
          <a:ext cx="2242614" cy="557938"/>
        </a:xfrm>
        <a:prstGeom prst="rect">
          <a:avLst/>
        </a:prstGeom>
      </xdr:spPr>
    </xdr:pic>
    <xdr:clientData/>
  </xdr:twoCellAnchor>
  <xdr:twoCellAnchor>
    <xdr:from>
      <xdr:col>1</xdr:col>
      <xdr:colOff>836544</xdr:colOff>
      <xdr:row>34</xdr:row>
      <xdr:rowOff>107675</xdr:rowOff>
    </xdr:from>
    <xdr:to>
      <xdr:col>5</xdr:col>
      <xdr:colOff>91109</xdr:colOff>
      <xdr:row>36</xdr:row>
      <xdr:rowOff>182218</xdr:rowOff>
    </xdr:to>
    <xdr:sp macro="" textlink="">
      <xdr:nvSpPr>
        <xdr:cNvPr id="3" name="CuadroTexto 2">
          <a:extLst>
            <a:ext uri="{FF2B5EF4-FFF2-40B4-BE49-F238E27FC236}">
              <a16:creationId xmlns:a16="http://schemas.microsoft.com/office/drawing/2014/main" id="{53CF2A34-922B-238A-7CE5-F0C850928E51}"/>
            </a:ext>
          </a:extLst>
        </xdr:cNvPr>
        <xdr:cNvSpPr txBox="1"/>
      </xdr:nvSpPr>
      <xdr:spPr>
        <a:xfrm>
          <a:off x="1714501" y="2658718"/>
          <a:ext cx="2766391" cy="4555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s-ES" sz="1100" b="1" i="0" baseline="0">
              <a:solidFill>
                <a:schemeClr val="accent1"/>
              </a:solidFill>
              <a:effectLst/>
              <a:latin typeface="+mn-lt"/>
              <a:ea typeface="+mn-ea"/>
              <a:cs typeface="+mn-cs"/>
            </a:rPr>
            <a:t>Recuperación de Fondos</a:t>
          </a:r>
          <a:endParaRPr lang="es-DO">
            <a:solidFill>
              <a:schemeClr val="accent1"/>
            </a:solidFill>
            <a:effectLst/>
          </a:endParaRPr>
        </a:p>
        <a:p>
          <a:pPr algn="ctr" rtl="0"/>
          <a:r>
            <a:rPr lang="es-ES" sz="1100" b="1" i="0" baseline="0">
              <a:solidFill>
                <a:schemeClr val="accent1"/>
              </a:solidFill>
              <a:effectLst/>
              <a:latin typeface="+mn-lt"/>
              <a:ea typeface="+mn-ea"/>
              <a:cs typeface="+mn-cs"/>
            </a:rPr>
            <a:t>Monto solicitado / Total Recuperado</a:t>
          </a:r>
          <a:endParaRPr lang="es-DO">
            <a:solidFill>
              <a:schemeClr val="accent1"/>
            </a:solidFill>
            <a:effectLst/>
          </a:endParaRPr>
        </a:p>
        <a:p>
          <a:pPr algn="ctr"/>
          <a:endParaRPr lang="es-DO" sz="1100">
            <a:solidFill>
              <a:schemeClr val="accent1"/>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14</xdr:col>
      <xdr:colOff>730069</xdr:colOff>
      <xdr:row>6</xdr:row>
      <xdr:rowOff>175005</xdr:rowOff>
    </xdr:from>
    <xdr:to>
      <xdr:col>22</xdr:col>
      <xdr:colOff>120463</xdr:colOff>
      <xdr:row>29</xdr:row>
      <xdr:rowOff>197224</xdr:rowOff>
    </xdr:to>
    <xdr:graphicFrame macro="">
      <xdr:nvGraphicFramePr>
        <xdr:cNvPr id="5" name="4 Gráfico">
          <a:extLst>
            <a:ext uri="{FF2B5EF4-FFF2-40B4-BE49-F238E27FC236}">
              <a16:creationId xmlns:a16="http://schemas.microsoft.com/office/drawing/2014/main" id="{00000000-0008-0000-1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436284</xdr:colOff>
      <xdr:row>31</xdr:row>
      <xdr:rowOff>99919</xdr:rowOff>
    </xdr:from>
    <xdr:to>
      <xdr:col>21</xdr:col>
      <xdr:colOff>588678</xdr:colOff>
      <xdr:row>56</xdr:row>
      <xdr:rowOff>138013</xdr:rowOff>
    </xdr:to>
    <xdr:graphicFrame macro="">
      <xdr:nvGraphicFramePr>
        <xdr:cNvPr id="6" name="5 Gráfico">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123825</xdr:colOff>
      <xdr:row>3</xdr:row>
      <xdr:rowOff>0</xdr:rowOff>
    </xdr:from>
    <xdr:to>
      <xdr:col>1</xdr:col>
      <xdr:colOff>1113682</xdr:colOff>
      <xdr:row>6</xdr:row>
      <xdr:rowOff>51288</xdr:rowOff>
    </xdr:to>
    <xdr:pic>
      <xdr:nvPicPr>
        <xdr:cNvPr id="7" name="Picture 6">
          <a:extLst>
            <a:ext uri="{FF2B5EF4-FFF2-40B4-BE49-F238E27FC236}">
              <a16:creationId xmlns:a16="http://schemas.microsoft.com/office/drawing/2014/main" id="{00000000-0008-0000-1000-000007000000}"/>
            </a:ext>
          </a:extLst>
        </xdr:cNvPr>
        <xdr:cNvPicPr>
          <a:picLocks noChangeAspect="1"/>
        </xdr:cNvPicPr>
      </xdr:nvPicPr>
      <xdr:blipFill>
        <a:blip xmlns:r="http://schemas.openxmlformats.org/officeDocument/2006/relationships" r:embed="rId3"/>
        <a:stretch>
          <a:fillRect/>
        </a:stretch>
      </xdr:blipFill>
      <xdr:spPr>
        <a:xfrm>
          <a:off x="885825" y="571500"/>
          <a:ext cx="989857" cy="622788"/>
        </a:xfrm>
        <a:prstGeom prst="rect">
          <a:avLst/>
        </a:prstGeom>
      </xdr:spPr>
    </xdr:pic>
    <xdr:clientData/>
  </xdr:twoCellAnchor>
  <xdr:twoCellAnchor editAs="oneCell">
    <xdr:from>
      <xdr:col>11</xdr:col>
      <xdr:colOff>419100</xdr:colOff>
      <xdr:row>2</xdr:row>
      <xdr:rowOff>133350</xdr:rowOff>
    </xdr:from>
    <xdr:to>
      <xdr:col>14</xdr:col>
      <xdr:colOff>379536</xdr:colOff>
      <xdr:row>5</xdr:row>
      <xdr:rowOff>119788</xdr:rowOff>
    </xdr:to>
    <xdr:pic>
      <xdr:nvPicPr>
        <xdr:cNvPr id="8" name="Picture 7">
          <a:extLst>
            <a:ext uri="{FF2B5EF4-FFF2-40B4-BE49-F238E27FC236}">
              <a16:creationId xmlns:a16="http://schemas.microsoft.com/office/drawing/2014/main" id="{00000000-0008-0000-10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219575" y="514350"/>
          <a:ext cx="2246436" cy="557938"/>
        </a:xfrm>
        <a:prstGeom prst="rect">
          <a:avLst/>
        </a:prstGeom>
      </xdr:spPr>
    </xdr:pic>
    <xdr:clientData/>
  </xdr:twoCellAnchor>
  <xdr:twoCellAnchor>
    <xdr:from>
      <xdr:col>16</xdr:col>
      <xdr:colOff>437030</xdr:colOff>
      <xdr:row>60</xdr:row>
      <xdr:rowOff>78442</xdr:rowOff>
    </xdr:from>
    <xdr:to>
      <xdr:col>22</xdr:col>
      <xdr:colOff>87661</xdr:colOff>
      <xdr:row>78</xdr:row>
      <xdr:rowOff>50441</xdr:rowOff>
    </xdr:to>
    <xdr:graphicFrame macro="">
      <xdr:nvGraphicFramePr>
        <xdr:cNvPr id="2" name="4 Gráfico">
          <a:extLst>
            <a:ext uri="{FF2B5EF4-FFF2-40B4-BE49-F238E27FC236}">
              <a16:creationId xmlns:a16="http://schemas.microsoft.com/office/drawing/2014/main" id="{601405CA-A455-4EE1-81E2-87C3B89AB2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0.37758</cdr:x>
      <cdr:y>0.0195</cdr:y>
    </cdr:from>
    <cdr:to>
      <cdr:x>0.65124</cdr:x>
      <cdr:y>0.08894</cdr:y>
    </cdr:to>
    <cdr:sp macro="" textlink="">
      <cdr:nvSpPr>
        <cdr:cNvPr id="2" name="1 CuadroTexto"/>
        <cdr:cNvSpPr txBox="1"/>
      </cdr:nvSpPr>
      <cdr:spPr>
        <a:xfrm xmlns:a="http://schemas.openxmlformats.org/drawingml/2006/main">
          <a:off x="1900604" y="53486"/>
          <a:ext cx="1377461"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DO" sz="1100"/>
        </a:p>
      </cdr:txBody>
    </cdr:sp>
  </cdr:relSizeAnchor>
</c:userShapes>
</file>

<file path=xl/drawings/drawing4.xml><?xml version="1.0" encoding="utf-8"?>
<c:userShapes xmlns:c="http://schemas.openxmlformats.org/drawingml/2006/chart">
  <cdr:relSizeAnchor xmlns:cdr="http://schemas.openxmlformats.org/drawingml/2006/chartDrawing">
    <cdr:from>
      <cdr:x>0.37758</cdr:x>
      <cdr:y>0.0195</cdr:y>
    </cdr:from>
    <cdr:to>
      <cdr:x>0.65124</cdr:x>
      <cdr:y>0.08894</cdr:y>
    </cdr:to>
    <cdr:sp macro="" textlink="">
      <cdr:nvSpPr>
        <cdr:cNvPr id="2" name="1 CuadroTexto"/>
        <cdr:cNvSpPr txBox="1"/>
      </cdr:nvSpPr>
      <cdr:spPr>
        <a:xfrm xmlns:a="http://schemas.openxmlformats.org/drawingml/2006/main">
          <a:off x="1900604" y="53486"/>
          <a:ext cx="1377461"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DO" sz="11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29</xdr:row>
      <xdr:rowOff>72443</xdr:rowOff>
    </xdr:from>
    <xdr:to>
      <xdr:col>5</xdr:col>
      <xdr:colOff>492125</xdr:colOff>
      <xdr:row>41</xdr:row>
      <xdr:rowOff>128858</xdr:rowOff>
    </xdr:to>
    <xdr:graphicFrame macro="">
      <xdr:nvGraphicFramePr>
        <xdr:cNvPr id="4" name="3 Gráfico">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141832</xdr:colOff>
      <xdr:row>1</xdr:row>
      <xdr:rowOff>87924</xdr:rowOff>
    </xdr:from>
    <xdr:to>
      <xdr:col>1</xdr:col>
      <xdr:colOff>206650</xdr:colOff>
      <xdr:row>4</xdr:row>
      <xdr:rowOff>80596</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141832" y="278424"/>
          <a:ext cx="896694" cy="564172"/>
        </a:xfrm>
        <a:prstGeom prst="rect">
          <a:avLst/>
        </a:prstGeom>
      </xdr:spPr>
    </xdr:pic>
    <xdr:clientData/>
  </xdr:twoCellAnchor>
  <xdr:twoCellAnchor>
    <xdr:from>
      <xdr:col>5</xdr:col>
      <xdr:colOff>352488</xdr:colOff>
      <xdr:row>28</xdr:row>
      <xdr:rowOff>20495</xdr:rowOff>
    </xdr:from>
    <xdr:to>
      <xdr:col>10</xdr:col>
      <xdr:colOff>363479</xdr:colOff>
      <xdr:row>39</xdr:row>
      <xdr:rowOff>159707</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534866</xdr:colOff>
      <xdr:row>1</xdr:row>
      <xdr:rowOff>58616</xdr:rowOff>
    </xdr:from>
    <xdr:to>
      <xdr:col>6</xdr:col>
      <xdr:colOff>495302</xdr:colOff>
      <xdr:row>4</xdr:row>
      <xdr:rowOff>45054</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91962" y="249116"/>
          <a:ext cx="2246436" cy="557938"/>
        </a:xfrm>
        <a:prstGeom prst="rect">
          <a:avLst/>
        </a:prstGeom>
      </xdr:spPr>
    </xdr:pic>
    <xdr:clientData/>
  </xdr:twoCellAnchor>
  <xdr:oneCellAnchor>
    <xdr:from>
      <xdr:col>0</xdr:col>
      <xdr:colOff>770283</xdr:colOff>
      <xdr:row>27</xdr:row>
      <xdr:rowOff>115957</xdr:rowOff>
    </xdr:from>
    <xdr:ext cx="2898914" cy="298174"/>
    <xdr:sp macro="" textlink="">
      <xdr:nvSpPr>
        <xdr:cNvPr id="2" name="CuadroTexto 1">
          <a:extLst>
            <a:ext uri="{FF2B5EF4-FFF2-40B4-BE49-F238E27FC236}">
              <a16:creationId xmlns:a16="http://schemas.microsoft.com/office/drawing/2014/main" id="{708D513B-E3E0-7594-8479-50134A15EED6}"/>
            </a:ext>
          </a:extLst>
        </xdr:cNvPr>
        <xdr:cNvSpPr txBox="1"/>
      </xdr:nvSpPr>
      <xdr:spPr>
        <a:xfrm>
          <a:off x="770283" y="3114261"/>
          <a:ext cx="2898914" cy="298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rtl="0"/>
          <a:r>
            <a:rPr lang="es-ES" sz="1100" b="1" i="0" baseline="0">
              <a:solidFill>
                <a:srgbClr val="0070C0"/>
              </a:solidFill>
              <a:effectLst/>
              <a:latin typeface="+mn-lt"/>
              <a:ea typeface="+mn-ea"/>
              <a:cs typeface="+mn-cs"/>
            </a:rPr>
            <a:t>Cantidad de cotizantes por tipo de empleador</a:t>
          </a:r>
          <a:endParaRPr lang="es-DO">
            <a:solidFill>
              <a:srgbClr val="0070C0"/>
            </a:solidFill>
            <a:effectLst/>
          </a:endParaRPr>
        </a:p>
        <a:p>
          <a:endParaRPr lang="es-DO"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75710</xdr:colOff>
      <xdr:row>31</xdr:row>
      <xdr:rowOff>65165</xdr:rowOff>
    </xdr:from>
    <xdr:to>
      <xdr:col>4</xdr:col>
      <xdr:colOff>538370</xdr:colOff>
      <xdr:row>41</xdr:row>
      <xdr:rowOff>59305</xdr:rowOff>
    </xdr:to>
    <xdr:graphicFrame macro="">
      <xdr:nvGraphicFramePr>
        <xdr:cNvPr id="5" name="4 Gráfico">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80597</xdr:colOff>
      <xdr:row>2</xdr:row>
      <xdr:rowOff>36634</xdr:rowOff>
    </xdr:from>
    <xdr:to>
      <xdr:col>0</xdr:col>
      <xdr:colOff>639575</xdr:colOff>
      <xdr:row>4</xdr:row>
      <xdr:rowOff>7326</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a:stretch>
          <a:fillRect/>
        </a:stretch>
      </xdr:blipFill>
      <xdr:spPr>
        <a:xfrm>
          <a:off x="80597" y="608134"/>
          <a:ext cx="558978" cy="351692"/>
        </a:xfrm>
        <a:prstGeom prst="rect">
          <a:avLst/>
        </a:prstGeom>
      </xdr:spPr>
    </xdr:pic>
    <xdr:clientData/>
  </xdr:twoCellAnchor>
  <xdr:twoCellAnchor>
    <xdr:from>
      <xdr:col>5</xdr:col>
      <xdr:colOff>188334</xdr:colOff>
      <xdr:row>29</xdr:row>
      <xdr:rowOff>4236</xdr:rowOff>
    </xdr:from>
    <xdr:to>
      <xdr:col>10</xdr:col>
      <xdr:colOff>364181</xdr:colOff>
      <xdr:row>40</xdr:row>
      <xdr:rowOff>71643</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1273014</xdr:colOff>
      <xdr:row>1</xdr:row>
      <xdr:rowOff>163271</xdr:rowOff>
    </xdr:from>
    <xdr:to>
      <xdr:col>4</xdr:col>
      <xdr:colOff>275020</xdr:colOff>
      <xdr:row>4</xdr:row>
      <xdr:rowOff>1943</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153166" y="353771"/>
          <a:ext cx="1652441" cy="410172"/>
        </a:xfrm>
        <a:prstGeom prst="rect">
          <a:avLst/>
        </a:prstGeom>
      </xdr:spPr>
    </xdr:pic>
    <xdr:clientData/>
  </xdr:twoCellAnchor>
  <xdr:twoCellAnchor>
    <xdr:from>
      <xdr:col>1</xdr:col>
      <xdr:colOff>554935</xdr:colOff>
      <xdr:row>29</xdr:row>
      <xdr:rowOff>91109</xdr:rowOff>
    </xdr:from>
    <xdr:to>
      <xdr:col>3</xdr:col>
      <xdr:colOff>844826</xdr:colOff>
      <xdr:row>30</xdr:row>
      <xdr:rowOff>140804</xdr:rowOff>
    </xdr:to>
    <xdr:sp macro="" textlink="">
      <xdr:nvSpPr>
        <xdr:cNvPr id="2" name="TextBox 1">
          <a:extLst>
            <a:ext uri="{FF2B5EF4-FFF2-40B4-BE49-F238E27FC236}">
              <a16:creationId xmlns:a16="http://schemas.microsoft.com/office/drawing/2014/main" id="{1FAB721E-8696-1E7D-CC68-9C6E3EC787D8}"/>
            </a:ext>
          </a:extLst>
        </xdr:cNvPr>
        <xdr:cNvSpPr txBox="1"/>
      </xdr:nvSpPr>
      <xdr:spPr>
        <a:xfrm>
          <a:off x="1333500" y="3139109"/>
          <a:ext cx="2708413" cy="2401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accent1"/>
              </a:solidFill>
            </a:rPr>
            <a:t>Montos mensuales por sector empleador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31</xdr:row>
      <xdr:rowOff>29392</xdr:rowOff>
    </xdr:from>
    <xdr:to>
      <xdr:col>2</xdr:col>
      <xdr:colOff>1006896</xdr:colOff>
      <xdr:row>43</xdr:row>
      <xdr:rowOff>29308</xdr:rowOff>
    </xdr:to>
    <xdr:graphicFrame macro="">
      <xdr:nvGraphicFramePr>
        <xdr:cNvPr id="3" name="2 Gráfico">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175844</xdr:colOff>
      <xdr:row>1</xdr:row>
      <xdr:rowOff>131885</xdr:rowOff>
    </xdr:from>
    <xdr:to>
      <xdr:col>0</xdr:col>
      <xdr:colOff>1060893</xdr:colOff>
      <xdr:row>4</xdr:row>
      <xdr:rowOff>117231</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stretch>
          <a:fillRect/>
        </a:stretch>
      </xdr:blipFill>
      <xdr:spPr>
        <a:xfrm>
          <a:off x="175844" y="322385"/>
          <a:ext cx="885049" cy="556846"/>
        </a:xfrm>
        <a:prstGeom prst="rect">
          <a:avLst/>
        </a:prstGeom>
      </xdr:spPr>
    </xdr:pic>
    <xdr:clientData/>
  </xdr:twoCellAnchor>
  <xdr:twoCellAnchor editAs="oneCell">
    <xdr:from>
      <xdr:col>2</xdr:col>
      <xdr:colOff>725368</xdr:colOff>
      <xdr:row>1</xdr:row>
      <xdr:rowOff>58616</xdr:rowOff>
    </xdr:from>
    <xdr:to>
      <xdr:col>4</xdr:col>
      <xdr:colOff>451343</xdr:colOff>
      <xdr:row>4</xdr:row>
      <xdr:rowOff>45054</xdr:rowOff>
    </xdr:to>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01868" y="249116"/>
          <a:ext cx="2246437" cy="55793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158312</xdr:colOff>
      <xdr:row>28</xdr:row>
      <xdr:rowOff>53066</xdr:rowOff>
    </xdr:from>
    <xdr:to>
      <xdr:col>2</xdr:col>
      <xdr:colOff>1031437</xdr:colOff>
      <xdr:row>41</xdr:row>
      <xdr:rowOff>104598</xdr:rowOff>
    </xdr:to>
    <xdr:graphicFrame macro="">
      <xdr:nvGraphicFramePr>
        <xdr:cNvPr id="3" name="2 Gráfico">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389843</xdr:colOff>
      <xdr:row>2</xdr:row>
      <xdr:rowOff>23496</xdr:rowOff>
    </xdr:from>
    <xdr:to>
      <xdr:col>0</xdr:col>
      <xdr:colOff>968670</xdr:colOff>
      <xdr:row>4</xdr:row>
      <xdr:rowOff>6676</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a:stretch>
          <a:fillRect/>
        </a:stretch>
      </xdr:blipFill>
      <xdr:spPr>
        <a:xfrm>
          <a:off x="389843" y="404496"/>
          <a:ext cx="578827" cy="364180"/>
        </a:xfrm>
        <a:prstGeom prst="rect">
          <a:avLst/>
        </a:prstGeom>
      </xdr:spPr>
    </xdr:pic>
    <xdr:clientData/>
  </xdr:twoCellAnchor>
  <xdr:twoCellAnchor editAs="oneCell">
    <xdr:from>
      <xdr:col>2</xdr:col>
      <xdr:colOff>1137948</xdr:colOff>
      <xdr:row>1</xdr:row>
      <xdr:rowOff>141991</xdr:rowOff>
    </xdr:from>
    <xdr:to>
      <xdr:col>4</xdr:col>
      <xdr:colOff>59523</xdr:colOff>
      <xdr:row>3</xdr:row>
      <xdr:rowOff>171163</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01310" y="332491"/>
          <a:ext cx="1641127" cy="410172"/>
        </a:xfrm>
        <a:prstGeom prst="rect">
          <a:avLst/>
        </a:prstGeom>
      </xdr:spPr>
    </xdr:pic>
    <xdr:clientData/>
  </xdr:twoCellAnchor>
  <xdr:twoCellAnchor>
    <xdr:from>
      <xdr:col>3</xdr:col>
      <xdr:colOff>488403</xdr:colOff>
      <xdr:row>28</xdr:row>
      <xdr:rowOff>183110</xdr:rowOff>
    </xdr:from>
    <xdr:to>
      <xdr:col>8</xdr:col>
      <xdr:colOff>707478</xdr:colOff>
      <xdr:row>42</xdr:row>
      <xdr:rowOff>54523</xdr:rowOff>
    </xdr:to>
    <xdr:graphicFrame macro="">
      <xdr:nvGraphicFramePr>
        <xdr:cNvPr id="4" name="Gráfico 3">
          <a:extLst>
            <a:ext uri="{FF2B5EF4-FFF2-40B4-BE49-F238E27FC236}">
              <a16:creationId xmlns:a16="http://schemas.microsoft.com/office/drawing/2014/main" id="{77BBF88E-78EE-4615-A07B-EE21FD6649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163767</xdr:colOff>
      <xdr:row>35</xdr:row>
      <xdr:rowOff>177678</xdr:rowOff>
    </xdr:from>
    <xdr:to>
      <xdr:col>6</xdr:col>
      <xdr:colOff>707619</xdr:colOff>
      <xdr:row>55</xdr:row>
      <xdr:rowOff>80432</xdr:rowOff>
    </xdr:to>
    <xdr:graphicFrame macro="">
      <xdr:nvGraphicFramePr>
        <xdr:cNvPr id="2" name="1 Gráfico">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301325</xdr:colOff>
      <xdr:row>1</xdr:row>
      <xdr:rowOff>109903</xdr:rowOff>
    </xdr:from>
    <xdr:to>
      <xdr:col>1</xdr:col>
      <xdr:colOff>329514</xdr:colOff>
      <xdr:row>4</xdr:row>
      <xdr:rowOff>58615</xdr:rowOff>
    </xdr:to>
    <xdr:pic>
      <xdr:nvPicPr>
        <xdr:cNvPr id="6" name="Pictur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2"/>
        <a:stretch>
          <a:fillRect/>
        </a:stretch>
      </xdr:blipFill>
      <xdr:spPr>
        <a:xfrm>
          <a:off x="301325" y="300403"/>
          <a:ext cx="826824" cy="520212"/>
        </a:xfrm>
        <a:prstGeom prst="rect">
          <a:avLst/>
        </a:prstGeom>
      </xdr:spPr>
    </xdr:pic>
    <xdr:clientData/>
  </xdr:twoCellAnchor>
  <xdr:twoCellAnchor editAs="oneCell">
    <xdr:from>
      <xdr:col>5</xdr:col>
      <xdr:colOff>696058</xdr:colOff>
      <xdr:row>1</xdr:row>
      <xdr:rowOff>7326</xdr:rowOff>
    </xdr:from>
    <xdr:to>
      <xdr:col>7</xdr:col>
      <xdr:colOff>901402</xdr:colOff>
      <xdr:row>3</xdr:row>
      <xdr:rowOff>184264</xdr:rowOff>
    </xdr:to>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22077" y="197826"/>
          <a:ext cx="2246436" cy="557938"/>
        </a:xfrm>
        <a:prstGeom prst="rect">
          <a:avLst/>
        </a:prstGeom>
      </xdr:spPr>
    </xdr:pic>
    <xdr:clientData/>
  </xdr:twoCellAnchor>
  <xdr:twoCellAnchor>
    <xdr:from>
      <xdr:col>2</xdr:col>
      <xdr:colOff>751418</xdr:colOff>
      <xdr:row>33</xdr:row>
      <xdr:rowOff>105833</xdr:rowOff>
    </xdr:from>
    <xdr:to>
      <xdr:col>4</xdr:col>
      <xdr:colOff>518584</xdr:colOff>
      <xdr:row>34</xdr:row>
      <xdr:rowOff>137582</xdr:rowOff>
    </xdr:to>
    <xdr:sp macro="" textlink="">
      <xdr:nvSpPr>
        <xdr:cNvPr id="3" name="CuadroTexto 2">
          <a:extLst>
            <a:ext uri="{FF2B5EF4-FFF2-40B4-BE49-F238E27FC236}">
              <a16:creationId xmlns:a16="http://schemas.microsoft.com/office/drawing/2014/main" id="{56DFC084-82C1-FD55-AFDF-8B4E1841BABD}"/>
            </a:ext>
          </a:extLst>
        </xdr:cNvPr>
        <xdr:cNvSpPr txBox="1"/>
      </xdr:nvSpPr>
      <xdr:spPr>
        <a:xfrm>
          <a:off x="2762251" y="3302000"/>
          <a:ext cx="2180166" cy="2222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solidFill>
                <a:schemeClr val="accent1"/>
              </a:solidFill>
            </a:rPr>
            <a:t>Programado Total</a:t>
          </a:r>
          <a:r>
            <a:rPr lang="es-DO" sz="1200" b="1" baseline="0">
              <a:solidFill>
                <a:schemeClr val="accent1"/>
              </a:solidFill>
            </a:rPr>
            <a:t> vs Ejecutado</a:t>
          </a:r>
          <a:endParaRPr lang="es-DO" sz="1200" b="1">
            <a:solidFill>
              <a:schemeClr val="accent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6.xml"/><Relationship Id="rId1" Type="http://schemas.openxmlformats.org/officeDocument/2006/relationships/printerSettings" Target="../printerSettings/printerSettings14.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49"/>
  <sheetViews>
    <sheetView showGridLines="0" tabSelected="1" zoomScale="130" zoomScaleNormal="130" workbookViewId="0">
      <selection activeCell="K7" sqref="K7"/>
    </sheetView>
  </sheetViews>
  <sheetFormatPr defaultColWidth="11.42578125" defaultRowHeight="15" x14ac:dyDescent="0.25"/>
  <cols>
    <col min="1" max="1" width="11.7109375" style="1" customWidth="1"/>
    <col min="2" max="2" width="15.42578125" style="1" customWidth="1"/>
    <col min="3" max="3" width="14" style="1" bestFit="1" customWidth="1"/>
    <col min="4" max="4" width="11.42578125" style="1" bestFit="1" customWidth="1"/>
    <col min="5" max="5" width="15" style="1" customWidth="1"/>
    <col min="6" max="6" width="11.42578125" style="1" bestFit="1" customWidth="1"/>
    <col min="7" max="16384" width="11.42578125" style="1"/>
  </cols>
  <sheetData>
    <row r="1" spans="1:8" x14ac:dyDescent="0.25">
      <c r="A1" s="335" t="s">
        <v>0</v>
      </c>
      <c r="B1" s="335"/>
      <c r="C1" s="335"/>
      <c r="D1" s="335"/>
      <c r="E1" s="335"/>
      <c r="F1" s="335"/>
    </row>
    <row r="2" spans="1:8" x14ac:dyDescent="0.25">
      <c r="A2" s="335" t="s">
        <v>1</v>
      </c>
      <c r="B2" s="335"/>
      <c r="C2" s="335"/>
      <c r="D2" s="335"/>
      <c r="E2" s="335"/>
      <c r="F2" s="335"/>
    </row>
    <row r="3" spans="1:8" x14ac:dyDescent="0.25">
      <c r="A3" s="335" t="s">
        <v>2</v>
      </c>
      <c r="B3" s="335"/>
      <c r="C3" s="335"/>
      <c r="D3" s="335"/>
      <c r="E3" s="335"/>
      <c r="F3" s="335"/>
    </row>
    <row r="4" spans="1:8" x14ac:dyDescent="0.25">
      <c r="A4" s="335" t="s">
        <v>276</v>
      </c>
      <c r="B4" s="335"/>
      <c r="C4" s="335"/>
      <c r="D4" s="335"/>
      <c r="E4" s="335"/>
      <c r="F4" s="335"/>
    </row>
    <row r="5" spans="1:8" x14ac:dyDescent="0.25">
      <c r="A5" s="335" t="s">
        <v>274</v>
      </c>
      <c r="B5" s="335"/>
      <c r="C5" s="335"/>
      <c r="D5" s="335"/>
      <c r="E5" s="335"/>
      <c r="F5" s="335"/>
    </row>
    <row r="6" spans="1:8" x14ac:dyDescent="0.25">
      <c r="A6" s="334" t="s">
        <v>3</v>
      </c>
      <c r="B6" s="334" t="s">
        <v>4</v>
      </c>
      <c r="C6" s="334" t="s">
        <v>5</v>
      </c>
      <c r="D6" s="334"/>
      <c r="E6" s="334" t="s">
        <v>6</v>
      </c>
      <c r="F6" s="334"/>
    </row>
    <row r="7" spans="1:8" ht="11.25" customHeight="1" x14ac:dyDescent="0.25">
      <c r="A7" s="334"/>
      <c r="B7" s="334"/>
      <c r="C7" s="334"/>
      <c r="D7" s="334"/>
      <c r="E7" s="334"/>
      <c r="F7" s="334"/>
    </row>
    <row r="8" spans="1:8" x14ac:dyDescent="0.25">
      <c r="A8" s="129"/>
      <c r="B8" s="130" t="s">
        <v>7</v>
      </c>
      <c r="C8" s="130" t="s">
        <v>8</v>
      </c>
      <c r="D8" s="130" t="s">
        <v>9</v>
      </c>
      <c r="E8" s="130" t="s">
        <v>8</v>
      </c>
      <c r="F8" s="130" t="s">
        <v>9</v>
      </c>
      <c r="G8"/>
      <c r="H8"/>
    </row>
    <row r="9" spans="1:8" hidden="1" x14ac:dyDescent="0.25">
      <c r="A9" s="187" t="s">
        <v>10</v>
      </c>
      <c r="B9" s="291"/>
      <c r="C9" s="291"/>
      <c r="D9" s="254" t="e">
        <f>C9/B9</f>
        <v>#DIV/0!</v>
      </c>
      <c r="E9" s="298">
        <f>B9-C9</f>
        <v>0</v>
      </c>
      <c r="F9" s="238" t="e">
        <f>E9/B9</f>
        <v>#DIV/0!</v>
      </c>
      <c r="G9"/>
      <c r="H9"/>
    </row>
    <row r="10" spans="1:8" x14ac:dyDescent="0.25">
      <c r="A10" s="87" t="s">
        <v>21</v>
      </c>
      <c r="B10" s="292">
        <v>37604991.979999997</v>
      </c>
      <c r="C10" s="292">
        <v>38795252.299999997</v>
      </c>
      <c r="D10" s="293">
        <f>+C10/B10</f>
        <v>1.031651657328714</v>
      </c>
      <c r="E10" s="136">
        <f>+B10-C10</f>
        <v>-1190260.3200000003</v>
      </c>
      <c r="F10" s="299">
        <f>(E10/B10)</f>
        <v>-3.1651657328714056E-2</v>
      </c>
      <c r="G10"/>
      <c r="H10"/>
    </row>
    <row r="11" spans="1:8" x14ac:dyDescent="0.25">
      <c r="A11" s="87" t="s">
        <v>20</v>
      </c>
      <c r="B11" s="292">
        <v>40072491.200000003</v>
      </c>
      <c r="C11" s="292">
        <v>40356914.799999997</v>
      </c>
      <c r="D11" s="293">
        <f>+C11/B11</f>
        <v>1.0070977269314365</v>
      </c>
      <c r="E11" s="136">
        <f>+B11-C11</f>
        <v>-284423.59999999404</v>
      </c>
      <c r="F11" s="299">
        <f>(E11/B11)</f>
        <v>-7.0977269314365463E-3</v>
      </c>
      <c r="G11"/>
      <c r="H11"/>
    </row>
    <row r="12" spans="1:8" x14ac:dyDescent="0.25">
      <c r="A12" s="87" t="s">
        <v>19</v>
      </c>
      <c r="B12" s="292">
        <v>39204991.979999997</v>
      </c>
      <c r="C12" s="292">
        <v>38249803.68</v>
      </c>
      <c r="D12" s="293">
        <f>+C12/B12</f>
        <v>0.97563605419209687</v>
      </c>
      <c r="E12" s="136">
        <f>+B12-C12</f>
        <v>955188.29999999702</v>
      </c>
      <c r="F12" s="299">
        <f>(E12/B12)</f>
        <v>2.4363945807903138E-2</v>
      </c>
      <c r="G12"/>
      <c r="H12"/>
    </row>
    <row r="13" spans="1:8" x14ac:dyDescent="0.25">
      <c r="A13" s="133" t="s">
        <v>22</v>
      </c>
      <c r="B13" s="253">
        <f>SUM(B9:B12)</f>
        <v>116882475.16</v>
      </c>
      <c r="C13" s="253">
        <f>SUM(C9:C12)</f>
        <v>117401970.78</v>
      </c>
      <c r="D13" s="296">
        <f>(C13/B13)</f>
        <v>1.0044445980399446</v>
      </c>
      <c r="E13" s="320">
        <f>SUM(E9:E12)</f>
        <v>-519495.61999999732</v>
      </c>
      <c r="F13" s="297">
        <f>(E13/B13)</f>
        <v>-4.4445980399444966E-3</v>
      </c>
      <c r="G13"/>
      <c r="H13"/>
    </row>
    <row r="14" spans="1:8" hidden="1" x14ac:dyDescent="0.25">
      <c r="A14" s="87" t="s">
        <v>15</v>
      </c>
      <c r="B14" s="134"/>
      <c r="C14" s="135"/>
      <c r="D14" s="2" t="e">
        <f t="shared" ref="D14:D25" si="0">+C14/B14</f>
        <v>#DIV/0!</v>
      </c>
      <c r="E14" s="136"/>
      <c r="F14" s="4" t="e">
        <f t="shared" ref="F14:F25" si="1">(E14/B14)</f>
        <v>#DIV/0!</v>
      </c>
      <c r="G14"/>
      <c r="H14"/>
    </row>
    <row r="15" spans="1:8" hidden="1" x14ac:dyDescent="0.25">
      <c r="A15" s="87" t="s">
        <v>16</v>
      </c>
      <c r="B15" s="134"/>
      <c r="C15" s="135"/>
      <c r="D15" s="2" t="e">
        <f t="shared" si="0"/>
        <v>#DIV/0!</v>
      </c>
      <c r="E15" s="136"/>
      <c r="F15" s="4" t="e">
        <f t="shared" si="1"/>
        <v>#DIV/0!</v>
      </c>
      <c r="G15"/>
      <c r="H15"/>
    </row>
    <row r="16" spans="1:8" hidden="1" x14ac:dyDescent="0.25">
      <c r="A16" s="87" t="s">
        <v>17</v>
      </c>
      <c r="B16" s="134"/>
      <c r="C16" s="135"/>
      <c r="D16" s="2" t="e">
        <f t="shared" si="0"/>
        <v>#DIV/0!</v>
      </c>
      <c r="E16" s="136"/>
      <c r="F16" s="4" t="e">
        <f t="shared" si="1"/>
        <v>#DIV/0!</v>
      </c>
      <c r="G16"/>
      <c r="H16"/>
    </row>
    <row r="17" spans="1:9" hidden="1" x14ac:dyDescent="0.25">
      <c r="A17" s="133" t="s">
        <v>18</v>
      </c>
      <c r="B17" s="8">
        <f>SUM(B14:B16)</f>
        <v>0</v>
      </c>
      <c r="C17" s="8">
        <f>SUM(C14:C16)</f>
        <v>0</v>
      </c>
      <c r="D17" s="3" t="e">
        <f>(C17/B17)</f>
        <v>#DIV/0!</v>
      </c>
      <c r="E17" s="9">
        <f>SUM(E14:E16)</f>
        <v>0</v>
      </c>
      <c r="F17" s="5" t="e">
        <f>(E17/B17)</f>
        <v>#DIV/0!</v>
      </c>
      <c r="G17"/>
      <c r="H17"/>
    </row>
    <row r="18" spans="1:9" hidden="1" x14ac:dyDescent="0.25">
      <c r="A18" s="87" t="s">
        <v>19</v>
      </c>
      <c r="B18" s="134"/>
      <c r="C18" s="135"/>
      <c r="D18" s="2" t="e">
        <f t="shared" si="0"/>
        <v>#DIV/0!</v>
      </c>
      <c r="E18" s="136"/>
      <c r="F18" s="4" t="e">
        <f t="shared" si="1"/>
        <v>#DIV/0!</v>
      </c>
      <c r="G18"/>
      <c r="H18"/>
    </row>
    <row r="19" spans="1:9" hidden="1" x14ac:dyDescent="0.25">
      <c r="A19" s="87" t="s">
        <v>20</v>
      </c>
      <c r="B19" s="134"/>
      <c r="C19" s="135"/>
      <c r="D19" s="2" t="e">
        <f t="shared" si="0"/>
        <v>#DIV/0!</v>
      </c>
      <c r="E19" s="136"/>
      <c r="F19" s="4" t="e">
        <f t="shared" si="1"/>
        <v>#DIV/0!</v>
      </c>
      <c r="G19"/>
      <c r="H19"/>
    </row>
    <row r="20" spans="1:9" hidden="1" x14ac:dyDescent="0.25">
      <c r="A20" s="87" t="s">
        <v>21</v>
      </c>
      <c r="B20" s="134"/>
      <c r="C20" s="135"/>
      <c r="D20" s="2" t="e">
        <f t="shared" si="0"/>
        <v>#DIV/0!</v>
      </c>
      <c r="E20" s="136"/>
      <c r="F20" s="4" t="e">
        <f t="shared" si="1"/>
        <v>#DIV/0!</v>
      </c>
      <c r="G20"/>
      <c r="H20"/>
    </row>
    <row r="21" spans="1:9" hidden="1" x14ac:dyDescent="0.25">
      <c r="A21" s="133" t="s">
        <v>22</v>
      </c>
      <c r="B21" s="8">
        <f>SUM(B18:B20)</f>
        <v>0</v>
      </c>
      <c r="C21" s="8">
        <f>SUM(C18:C20)</f>
        <v>0</v>
      </c>
      <c r="D21" s="3" t="e">
        <f>(C21/B21)</f>
        <v>#DIV/0!</v>
      </c>
      <c r="E21" s="9">
        <f>SUM(E18:E20)</f>
        <v>0</v>
      </c>
      <c r="F21" s="5" t="e">
        <f>(E21/B21)</f>
        <v>#DIV/0!</v>
      </c>
      <c r="G21"/>
      <c r="H21"/>
    </row>
    <row r="22" spans="1:9" hidden="1" x14ac:dyDescent="0.25">
      <c r="A22" s="87" t="s">
        <v>13</v>
      </c>
      <c r="B22" s="134"/>
      <c r="C22" s="135"/>
      <c r="D22" s="2" t="e">
        <f t="shared" si="0"/>
        <v>#DIV/0!</v>
      </c>
      <c r="E22" s="136"/>
      <c r="F22" s="4" t="e">
        <f t="shared" si="1"/>
        <v>#DIV/0!</v>
      </c>
      <c r="G22"/>
      <c r="H22"/>
    </row>
    <row r="23" spans="1:9" hidden="1" x14ac:dyDescent="0.25">
      <c r="A23" s="87" t="s">
        <v>12</v>
      </c>
      <c r="B23" s="134"/>
      <c r="C23" s="135"/>
      <c r="D23" s="2" t="e">
        <f t="shared" si="0"/>
        <v>#DIV/0!</v>
      </c>
      <c r="E23" s="136"/>
      <c r="F23" s="4" t="e">
        <f t="shared" si="1"/>
        <v>#DIV/0!</v>
      </c>
      <c r="G23"/>
      <c r="H23"/>
    </row>
    <row r="24" spans="1:9" hidden="1" x14ac:dyDescent="0.25">
      <c r="A24" s="87" t="s">
        <v>11</v>
      </c>
      <c r="B24" s="134"/>
      <c r="C24" s="135"/>
      <c r="D24" s="2" t="e">
        <f t="shared" si="0"/>
        <v>#DIV/0!</v>
      </c>
      <c r="E24" s="136"/>
      <c r="F24" s="4" t="e">
        <f t="shared" si="1"/>
        <v>#DIV/0!</v>
      </c>
      <c r="G24"/>
      <c r="H24"/>
    </row>
    <row r="25" spans="1:9" hidden="1" x14ac:dyDescent="0.25">
      <c r="A25" s="87" t="s">
        <v>10</v>
      </c>
      <c r="B25" s="134"/>
      <c r="C25" s="135"/>
      <c r="D25" s="2" t="e">
        <f t="shared" si="0"/>
        <v>#DIV/0!</v>
      </c>
      <c r="E25" s="136"/>
      <c r="F25" s="4" t="e">
        <f t="shared" si="1"/>
        <v>#DIV/0!</v>
      </c>
      <c r="G25"/>
      <c r="H25"/>
    </row>
    <row r="26" spans="1:9" hidden="1" x14ac:dyDescent="0.25">
      <c r="A26" s="133" t="s">
        <v>14</v>
      </c>
      <c r="B26" s="8">
        <f>SUM(B22:B25)</f>
        <v>0</v>
      </c>
      <c r="C26" s="8">
        <f>SUM(C22:C25)</f>
        <v>0</v>
      </c>
      <c r="D26" s="3" t="e">
        <f>(C26/B26)</f>
        <v>#DIV/0!</v>
      </c>
      <c r="E26" s="9">
        <f>SUM(E22:E25)</f>
        <v>0</v>
      </c>
      <c r="F26" s="5" t="e">
        <f>(E26/B26)</f>
        <v>#DIV/0!</v>
      </c>
      <c r="G26"/>
      <c r="H26"/>
    </row>
    <row r="27" spans="1:9" hidden="1" x14ac:dyDescent="0.25">
      <c r="A27" s="137" t="s">
        <v>23</v>
      </c>
      <c r="B27" s="10">
        <f>+B13+B17+B21+B26</f>
        <v>116882475.16</v>
      </c>
      <c r="C27" s="10">
        <f>+C13+C17+C21+C26</f>
        <v>117401970.78</v>
      </c>
      <c r="D27" s="7">
        <f>(C27/B27)</f>
        <v>1.0044445980399446</v>
      </c>
      <c r="E27" s="11">
        <f>+E13+E17+E21+E26</f>
        <v>-519495.61999999732</v>
      </c>
      <c r="F27" s="6">
        <f>(E27/B27)</f>
        <v>-4.4445980399444966E-3</v>
      </c>
      <c r="G27"/>
      <c r="H27"/>
    </row>
    <row r="28" spans="1:9" ht="0.75" customHeight="1" x14ac:dyDescent="0.25">
      <c r="A28" s="332" t="s">
        <v>24</v>
      </c>
      <c r="B28" s="333"/>
      <c r="C28" s="333"/>
      <c r="D28" s="333"/>
      <c r="E28" s="333"/>
      <c r="F28" s="333"/>
      <c r="G28"/>
      <c r="H28"/>
    </row>
    <row r="29" spans="1:9" ht="19.5" customHeight="1" x14ac:dyDescent="0.25">
      <c r="A29" s="332" t="s">
        <v>284</v>
      </c>
      <c r="B29" s="333"/>
      <c r="C29" s="333"/>
      <c r="D29" s="333"/>
      <c r="E29" s="333"/>
      <c r="F29" s="333"/>
      <c r="G29"/>
      <c r="H29"/>
    </row>
    <row r="30" spans="1:9" x14ac:dyDescent="0.25">
      <c r="A30" s="332" t="s">
        <v>289</v>
      </c>
      <c r="B30" s="333"/>
      <c r="C30" s="333"/>
      <c r="D30" s="333"/>
      <c r="E30" s="333"/>
      <c r="F30" s="333"/>
      <c r="G30"/>
      <c r="H30"/>
    </row>
    <row r="31" spans="1:9" x14ac:dyDescent="0.25">
      <c r="A31"/>
      <c r="B31"/>
      <c r="C31"/>
      <c r="D31"/>
      <c r="E31"/>
      <c r="F31"/>
      <c r="G31"/>
      <c r="H31"/>
      <c r="I31" s="292"/>
    </row>
    <row r="32" spans="1:9"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row r="49" spans="1:6" x14ac:dyDescent="0.25">
      <c r="A49" s="87"/>
      <c r="B49" s="131"/>
      <c r="C49" s="131"/>
      <c r="D49" s="2"/>
      <c r="E49" s="132"/>
      <c r="F49" s="4"/>
    </row>
  </sheetData>
  <mergeCells count="12">
    <mergeCell ref="A1:F1"/>
    <mergeCell ref="A2:F2"/>
    <mergeCell ref="A3:F3"/>
    <mergeCell ref="A5:F5"/>
    <mergeCell ref="C6:D7"/>
    <mergeCell ref="E6:F7"/>
    <mergeCell ref="A4:F4"/>
    <mergeCell ref="A30:F30"/>
    <mergeCell ref="A28:F28"/>
    <mergeCell ref="A29:F29"/>
    <mergeCell ref="B6:B7"/>
    <mergeCell ref="A6:A7"/>
  </mergeCells>
  <pageMargins left="0.7" right="0.7" top="0.75" bottom="0.75" header="0.3" footer="0.3"/>
  <pageSetup paperSize="9" scale="99" orientation="portrait" r:id="rId1"/>
  <ignoredErrors>
    <ignoredError sqref="E11" unlockedFormula="1"/>
    <ignoredError sqref="D13"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4278C-BA39-4F00-919F-B47AB0755D7F}">
  <sheetPr>
    <tabColor rgb="FF00B0F0"/>
    <pageSetUpPr fitToPage="1"/>
  </sheetPr>
  <dimension ref="A1:Q44"/>
  <sheetViews>
    <sheetView showGridLines="0" zoomScale="115" zoomScaleNormal="115" workbookViewId="0">
      <selection activeCell="P32" sqref="P32"/>
    </sheetView>
  </sheetViews>
  <sheetFormatPr defaultColWidth="11.42578125" defaultRowHeight="15" x14ac:dyDescent="0.25"/>
  <cols>
    <col min="1" max="1" width="11.42578125" style="1"/>
    <col min="2" max="15" width="13.42578125" style="1" customWidth="1"/>
    <col min="16" max="16384" width="11.42578125" style="1"/>
  </cols>
  <sheetData>
    <row r="1" spans="1:17" x14ac:dyDescent="0.25">
      <c r="A1" s="335" t="s">
        <v>0</v>
      </c>
      <c r="B1" s="335"/>
      <c r="C1" s="335"/>
      <c r="D1" s="335"/>
      <c r="E1" s="335"/>
      <c r="F1" s="335"/>
      <c r="G1" s="335"/>
      <c r="H1" s="335"/>
      <c r="I1" s="335"/>
      <c r="J1" s="335"/>
      <c r="K1" s="335"/>
      <c r="L1" s="335"/>
      <c r="M1" s="335"/>
      <c r="N1" s="335"/>
      <c r="O1" s="335"/>
    </row>
    <row r="2" spans="1:17" x14ac:dyDescent="0.25">
      <c r="A2" s="335" t="s">
        <v>65</v>
      </c>
      <c r="B2" s="335"/>
      <c r="C2" s="335"/>
      <c r="D2" s="335"/>
      <c r="E2" s="335"/>
      <c r="F2" s="335"/>
      <c r="G2" s="335"/>
      <c r="H2" s="335"/>
      <c r="I2" s="335"/>
      <c r="J2" s="335"/>
      <c r="K2" s="335"/>
      <c r="L2" s="335"/>
      <c r="M2" s="335"/>
      <c r="N2" s="335"/>
      <c r="O2" s="335"/>
    </row>
    <row r="3" spans="1:17" x14ac:dyDescent="0.25">
      <c r="A3" s="335" t="s">
        <v>107</v>
      </c>
      <c r="B3" s="335"/>
      <c r="C3" s="335"/>
      <c r="D3" s="335"/>
      <c r="E3" s="335"/>
      <c r="F3" s="335"/>
      <c r="G3" s="335"/>
      <c r="H3" s="335"/>
      <c r="I3" s="335"/>
      <c r="J3" s="335"/>
      <c r="K3" s="335"/>
      <c r="L3" s="335"/>
      <c r="M3" s="335"/>
      <c r="N3" s="335"/>
      <c r="O3" s="335"/>
    </row>
    <row r="4" spans="1:17" x14ac:dyDescent="0.25">
      <c r="A4" s="335" t="s">
        <v>276</v>
      </c>
      <c r="B4" s="335"/>
      <c r="C4" s="335"/>
      <c r="D4" s="335"/>
      <c r="E4" s="335"/>
      <c r="F4" s="335"/>
      <c r="G4" s="335"/>
      <c r="H4" s="335"/>
      <c r="I4" s="335"/>
      <c r="J4" s="335"/>
      <c r="K4" s="335"/>
      <c r="L4" s="335"/>
      <c r="M4" s="335"/>
      <c r="N4" s="335"/>
      <c r="O4" s="335"/>
      <c r="P4" s="22"/>
      <c r="Q4" s="22"/>
    </row>
    <row r="5" spans="1:17" x14ac:dyDescent="0.25">
      <c r="A5" s="335" t="s">
        <v>274</v>
      </c>
      <c r="B5" s="335"/>
      <c r="C5" s="335"/>
      <c r="D5" s="335"/>
      <c r="E5" s="335"/>
      <c r="F5" s="335"/>
      <c r="G5" s="335"/>
      <c r="H5" s="335"/>
      <c r="I5" s="335"/>
      <c r="J5" s="335"/>
      <c r="K5" s="335"/>
      <c r="L5" s="335"/>
      <c r="M5" s="335"/>
      <c r="N5" s="335"/>
      <c r="O5" s="335"/>
    </row>
    <row r="6" spans="1:17" x14ac:dyDescent="0.25">
      <c r="A6" s="335" t="s">
        <v>108</v>
      </c>
      <c r="B6" s="335"/>
      <c r="C6" s="335"/>
      <c r="D6" s="335"/>
      <c r="E6" s="335"/>
      <c r="F6" s="335"/>
      <c r="G6" s="335"/>
      <c r="H6" s="335"/>
      <c r="I6" s="335"/>
      <c r="J6" s="335"/>
      <c r="K6" s="335"/>
      <c r="L6" s="335"/>
      <c r="M6" s="335"/>
      <c r="N6" s="335"/>
      <c r="O6" s="335"/>
    </row>
    <row r="7" spans="1:17" ht="15" customHeight="1" x14ac:dyDescent="0.25">
      <c r="A7" s="158"/>
      <c r="B7" s="337" t="s">
        <v>109</v>
      </c>
      <c r="C7" s="337"/>
      <c r="D7" s="337" t="s">
        <v>110</v>
      </c>
      <c r="E7" s="337"/>
      <c r="F7" s="337" t="s">
        <v>111</v>
      </c>
      <c r="G7" s="337"/>
      <c r="H7" s="337" t="s">
        <v>112</v>
      </c>
      <c r="I7" s="337"/>
      <c r="J7" s="337" t="s">
        <v>113</v>
      </c>
      <c r="K7" s="337"/>
      <c r="L7" s="368" t="s">
        <v>114</v>
      </c>
      <c r="M7" s="368"/>
      <c r="N7" s="368" t="s">
        <v>23</v>
      </c>
      <c r="O7" s="368"/>
      <c r="P7"/>
      <c r="Q7"/>
    </row>
    <row r="8" spans="1:17" x14ac:dyDescent="0.25">
      <c r="A8" s="144" t="s">
        <v>3</v>
      </c>
      <c r="B8" s="144" t="s">
        <v>115</v>
      </c>
      <c r="C8" s="144" t="s">
        <v>7</v>
      </c>
      <c r="D8" s="144" t="s">
        <v>115</v>
      </c>
      <c r="E8" s="144" t="s">
        <v>7</v>
      </c>
      <c r="F8" s="144" t="s">
        <v>115</v>
      </c>
      <c r="G8" s="144" t="s">
        <v>7</v>
      </c>
      <c r="H8" s="144" t="s">
        <v>115</v>
      </c>
      <c r="I8" s="144" t="s">
        <v>7</v>
      </c>
      <c r="J8" s="144" t="s">
        <v>115</v>
      </c>
      <c r="K8" s="144" t="s">
        <v>7</v>
      </c>
      <c r="L8" s="144" t="s">
        <v>115</v>
      </c>
      <c r="M8" s="144" t="s">
        <v>7</v>
      </c>
      <c r="N8" s="144" t="s">
        <v>115</v>
      </c>
      <c r="O8" s="144" t="s">
        <v>7</v>
      </c>
      <c r="P8"/>
      <c r="Q8"/>
    </row>
    <row r="9" spans="1:17" x14ac:dyDescent="0.25">
      <c r="A9" s="70" t="s">
        <v>21</v>
      </c>
      <c r="B9" s="159">
        <v>1404</v>
      </c>
      <c r="C9" s="246">
        <v>22561365.919999998</v>
      </c>
      <c r="D9" s="159">
        <v>155</v>
      </c>
      <c r="E9" s="246">
        <v>2619658.96</v>
      </c>
      <c r="F9" s="159">
        <v>62</v>
      </c>
      <c r="G9" s="246">
        <v>896287.28999999992</v>
      </c>
      <c r="H9" s="159">
        <v>19</v>
      </c>
      <c r="I9" s="246">
        <v>365108.01</v>
      </c>
      <c r="J9" s="159">
        <v>681</v>
      </c>
      <c r="K9" s="246">
        <v>8320227.4299999997</v>
      </c>
      <c r="L9" s="159">
        <v>56</v>
      </c>
      <c r="M9" s="246">
        <v>1023455.99</v>
      </c>
      <c r="N9" s="47">
        <f>(B9+D9+F9)-(J9+L9)</f>
        <v>884</v>
      </c>
      <c r="O9" s="270">
        <f>(C9+E9+G9+I9)-(K9+M9)</f>
        <v>17098736.759999998</v>
      </c>
      <c r="P9"/>
      <c r="Q9"/>
    </row>
    <row r="10" spans="1:17" x14ac:dyDescent="0.25">
      <c r="A10" s="70" t="s">
        <v>20</v>
      </c>
      <c r="B10" s="159">
        <v>1837</v>
      </c>
      <c r="C10" s="246">
        <v>32427484.34</v>
      </c>
      <c r="D10" s="159">
        <v>141</v>
      </c>
      <c r="E10" s="246">
        <v>1913955.7399999998</v>
      </c>
      <c r="F10" s="159">
        <v>50</v>
      </c>
      <c r="G10" s="246">
        <v>672093.92999999993</v>
      </c>
      <c r="H10" s="159">
        <v>49</v>
      </c>
      <c r="I10" s="246">
        <v>808695.82</v>
      </c>
      <c r="J10" s="159">
        <v>681</v>
      </c>
      <c r="K10" s="246">
        <v>7958147.8700000001</v>
      </c>
      <c r="L10" s="159">
        <v>69</v>
      </c>
      <c r="M10" s="246">
        <v>920604.13</v>
      </c>
      <c r="N10" s="47">
        <f>(B10+D10+F10)-(J10+L10)</f>
        <v>1278</v>
      </c>
      <c r="O10" s="270">
        <f>(C10+E10+G10+I10)-(K10+M10)</f>
        <v>26943477.829999998</v>
      </c>
      <c r="P10"/>
      <c r="Q10"/>
    </row>
    <row r="11" spans="1:17" x14ac:dyDescent="0.25">
      <c r="A11" s="70" t="s">
        <v>34</v>
      </c>
      <c r="B11" s="159">
        <v>1441</v>
      </c>
      <c r="C11" s="246">
        <v>27593992.859999999</v>
      </c>
      <c r="D11" s="159">
        <v>171</v>
      </c>
      <c r="E11" s="246">
        <v>2746162.81</v>
      </c>
      <c r="F11" s="159">
        <v>81</v>
      </c>
      <c r="G11" s="246">
        <v>910718.36</v>
      </c>
      <c r="H11" s="159">
        <v>41</v>
      </c>
      <c r="I11" s="246">
        <v>482718.19999999995</v>
      </c>
      <c r="J11" s="159">
        <v>511</v>
      </c>
      <c r="K11" s="246">
        <v>6199060.9000000004</v>
      </c>
      <c r="L11" s="159">
        <v>144</v>
      </c>
      <c r="M11" s="246">
        <v>1889217.37</v>
      </c>
      <c r="N11" s="47">
        <f>(B11+D11+F11)-(J11+L11)</f>
        <v>1038</v>
      </c>
      <c r="O11" s="270">
        <f>(C11+E11+G11+I11)-(K11+M11)</f>
        <v>23645313.959999997</v>
      </c>
      <c r="P11"/>
      <c r="Q11"/>
    </row>
    <row r="12" spans="1:17" x14ac:dyDescent="0.25">
      <c r="A12" s="46" t="s">
        <v>22</v>
      </c>
      <c r="B12" s="8">
        <f t="shared" ref="B12:I12" si="0">SUM(B9:B11)</f>
        <v>4682</v>
      </c>
      <c r="C12" s="253">
        <f t="shared" si="0"/>
        <v>82582843.120000005</v>
      </c>
      <c r="D12" s="8">
        <f t="shared" si="0"/>
        <v>467</v>
      </c>
      <c r="E12" s="253">
        <f t="shared" si="0"/>
        <v>7279777.5099999998</v>
      </c>
      <c r="F12" s="8">
        <f t="shared" si="0"/>
        <v>193</v>
      </c>
      <c r="G12" s="253">
        <f t="shared" si="0"/>
        <v>2479099.5799999996</v>
      </c>
      <c r="H12" s="8">
        <f t="shared" si="0"/>
        <v>109</v>
      </c>
      <c r="I12" s="253">
        <f t="shared" si="0"/>
        <v>1656522.03</v>
      </c>
      <c r="J12" s="8">
        <f t="shared" ref="J12:M12" si="1">SUM(J9:J11)</f>
        <v>1873</v>
      </c>
      <c r="K12" s="253">
        <f t="shared" si="1"/>
        <v>22477436.200000003</v>
      </c>
      <c r="L12" s="8">
        <f t="shared" si="1"/>
        <v>269</v>
      </c>
      <c r="M12" s="253">
        <f t="shared" si="1"/>
        <v>3833277.49</v>
      </c>
      <c r="N12" s="8">
        <f>SUM(N9:N11)</f>
        <v>3200</v>
      </c>
      <c r="O12" s="252">
        <f>SUM(O9:O11)</f>
        <v>67687528.549999997</v>
      </c>
      <c r="P12"/>
      <c r="Q12"/>
    </row>
    <row r="13" spans="1:17" hidden="1" x14ac:dyDescent="0.25">
      <c r="A13" s="70" t="s">
        <v>15</v>
      </c>
      <c r="B13" s="159"/>
      <c r="C13" s="159"/>
      <c r="D13" s="159"/>
      <c r="E13" s="159"/>
      <c r="F13" s="159"/>
      <c r="G13" s="159"/>
      <c r="H13" s="159"/>
      <c r="I13" s="159"/>
      <c r="J13" s="159"/>
      <c r="K13" s="159"/>
      <c r="L13" s="159"/>
      <c r="M13" s="159"/>
      <c r="N13" s="47">
        <f t="shared" ref="N13:N23" si="2">+B13-(J13+L13)</f>
        <v>0</v>
      </c>
      <c r="O13" s="47">
        <f t="shared" ref="O13:O23" si="3">+K13+M13+I13+C13</f>
        <v>0</v>
      </c>
      <c r="P13"/>
      <c r="Q13"/>
    </row>
    <row r="14" spans="1:17" hidden="1" x14ac:dyDescent="0.25">
      <c r="A14" s="70" t="s">
        <v>16</v>
      </c>
      <c r="B14" s="159"/>
      <c r="C14" s="159"/>
      <c r="D14" s="159"/>
      <c r="E14" s="159"/>
      <c r="F14" s="159"/>
      <c r="G14" s="159"/>
      <c r="H14" s="159"/>
      <c r="I14" s="159"/>
      <c r="J14" s="159"/>
      <c r="K14" s="159"/>
      <c r="L14" s="159"/>
      <c r="M14" s="159"/>
      <c r="N14" s="47">
        <f t="shared" si="2"/>
        <v>0</v>
      </c>
      <c r="O14" s="47">
        <f t="shared" si="3"/>
        <v>0</v>
      </c>
      <c r="P14"/>
      <c r="Q14"/>
    </row>
    <row r="15" spans="1:17" hidden="1" x14ac:dyDescent="0.25">
      <c r="A15" s="70" t="s">
        <v>17</v>
      </c>
      <c r="B15" s="159"/>
      <c r="C15" s="159"/>
      <c r="D15" s="159"/>
      <c r="E15" s="159"/>
      <c r="F15" s="159"/>
      <c r="G15" s="159"/>
      <c r="H15" s="159"/>
      <c r="I15" s="159"/>
      <c r="J15" s="159"/>
      <c r="K15" s="159"/>
      <c r="L15" s="159"/>
      <c r="M15" s="159"/>
      <c r="N15" s="47">
        <f t="shared" si="2"/>
        <v>0</v>
      </c>
      <c r="O15" s="47">
        <f t="shared" si="3"/>
        <v>0</v>
      </c>
      <c r="P15"/>
      <c r="Q15"/>
    </row>
    <row r="16" spans="1:17" hidden="1" x14ac:dyDescent="0.25">
      <c r="A16" s="46" t="s">
        <v>18</v>
      </c>
      <c r="B16" s="8">
        <f t="shared" ref="B16:O16" si="4">SUM(B13:B15)</f>
        <v>0</v>
      </c>
      <c r="C16" s="8">
        <f t="shared" si="4"/>
        <v>0</v>
      </c>
      <c r="D16" s="8"/>
      <c r="E16" s="8"/>
      <c r="F16" s="8"/>
      <c r="G16" s="8"/>
      <c r="H16" s="8">
        <f t="shared" si="4"/>
        <v>0</v>
      </c>
      <c r="I16" s="8">
        <f t="shared" si="4"/>
        <v>0</v>
      </c>
      <c r="J16" s="8">
        <f t="shared" si="4"/>
        <v>0</v>
      </c>
      <c r="K16" s="8">
        <f t="shared" si="4"/>
        <v>0</v>
      </c>
      <c r="L16" s="8">
        <f t="shared" si="4"/>
        <v>0</v>
      </c>
      <c r="M16" s="8">
        <f t="shared" si="4"/>
        <v>0</v>
      </c>
      <c r="N16" s="8">
        <f t="shared" si="4"/>
        <v>0</v>
      </c>
      <c r="O16" s="8">
        <f t="shared" si="4"/>
        <v>0</v>
      </c>
      <c r="P16"/>
      <c r="Q16"/>
    </row>
    <row r="17" spans="1:17" hidden="1" x14ac:dyDescent="0.25">
      <c r="A17" s="70" t="s">
        <v>34</v>
      </c>
      <c r="B17" s="159"/>
      <c r="C17" s="159"/>
      <c r="D17" s="159"/>
      <c r="E17" s="159"/>
      <c r="F17" s="159"/>
      <c r="G17" s="159"/>
      <c r="H17" s="159"/>
      <c r="I17" s="159"/>
      <c r="J17" s="159"/>
      <c r="K17" s="159"/>
      <c r="L17" s="159"/>
      <c r="M17" s="159"/>
      <c r="N17" s="47">
        <f t="shared" si="2"/>
        <v>0</v>
      </c>
      <c r="O17" s="47">
        <f t="shared" si="3"/>
        <v>0</v>
      </c>
      <c r="P17"/>
      <c r="Q17"/>
    </row>
    <row r="18" spans="1:17" hidden="1" x14ac:dyDescent="0.25">
      <c r="A18" s="70" t="s">
        <v>20</v>
      </c>
      <c r="B18" s="159"/>
      <c r="C18" s="159"/>
      <c r="D18" s="159"/>
      <c r="E18" s="159"/>
      <c r="F18" s="159"/>
      <c r="G18" s="159"/>
      <c r="H18" s="159"/>
      <c r="I18" s="159"/>
      <c r="J18" s="159"/>
      <c r="K18" s="159"/>
      <c r="L18" s="159"/>
      <c r="M18" s="159"/>
      <c r="N18" s="47">
        <f t="shared" si="2"/>
        <v>0</v>
      </c>
      <c r="O18" s="47">
        <f t="shared" si="3"/>
        <v>0</v>
      </c>
      <c r="P18"/>
      <c r="Q18"/>
    </row>
    <row r="19" spans="1:17" hidden="1" x14ac:dyDescent="0.25">
      <c r="A19" s="70" t="s">
        <v>21</v>
      </c>
      <c r="B19" s="159"/>
      <c r="C19" s="159"/>
      <c r="D19" s="159"/>
      <c r="E19" s="159"/>
      <c r="F19" s="159"/>
      <c r="G19" s="159"/>
      <c r="H19" s="159"/>
      <c r="I19" s="159"/>
      <c r="J19" s="159"/>
      <c r="K19" s="159"/>
      <c r="L19" s="159"/>
      <c r="M19" s="159"/>
      <c r="N19" s="47">
        <f t="shared" si="2"/>
        <v>0</v>
      </c>
      <c r="O19" s="47">
        <f t="shared" si="3"/>
        <v>0</v>
      </c>
      <c r="P19"/>
      <c r="Q19"/>
    </row>
    <row r="20" spans="1:17" hidden="1" x14ac:dyDescent="0.25">
      <c r="A20" s="46" t="s">
        <v>22</v>
      </c>
      <c r="B20" s="8">
        <f t="shared" ref="B20:O20" si="5">SUM(B17:B19)</f>
        <v>0</v>
      </c>
      <c r="C20" s="8">
        <f t="shared" si="5"/>
        <v>0</v>
      </c>
      <c r="D20" s="8"/>
      <c r="E20" s="8"/>
      <c r="F20" s="8"/>
      <c r="G20" s="8"/>
      <c r="H20" s="8">
        <f t="shared" si="5"/>
        <v>0</v>
      </c>
      <c r="I20" s="8">
        <f t="shared" si="5"/>
        <v>0</v>
      </c>
      <c r="J20" s="8">
        <f t="shared" si="5"/>
        <v>0</v>
      </c>
      <c r="K20" s="8">
        <f t="shared" si="5"/>
        <v>0</v>
      </c>
      <c r="L20" s="8">
        <f t="shared" si="5"/>
        <v>0</v>
      </c>
      <c r="M20" s="8">
        <f t="shared" si="5"/>
        <v>0</v>
      </c>
      <c r="N20" s="8">
        <f t="shared" si="5"/>
        <v>0</v>
      </c>
      <c r="O20" s="8">
        <f t="shared" si="5"/>
        <v>0</v>
      </c>
      <c r="P20"/>
      <c r="Q20"/>
    </row>
    <row r="21" spans="1:17" hidden="1" x14ac:dyDescent="0.25">
      <c r="A21" s="70" t="s">
        <v>13</v>
      </c>
      <c r="B21" s="159"/>
      <c r="C21" s="159"/>
      <c r="D21" s="159"/>
      <c r="E21" s="159"/>
      <c r="F21" s="159"/>
      <c r="G21" s="159"/>
      <c r="H21" s="159"/>
      <c r="I21" s="159"/>
      <c r="J21" s="159"/>
      <c r="K21" s="159"/>
      <c r="L21" s="159"/>
      <c r="M21" s="159"/>
      <c r="N21" s="47">
        <f t="shared" si="2"/>
        <v>0</v>
      </c>
      <c r="O21" s="47">
        <f t="shared" si="3"/>
        <v>0</v>
      </c>
      <c r="P21"/>
      <c r="Q21"/>
    </row>
    <row r="22" spans="1:17" hidden="1" x14ac:dyDescent="0.25">
      <c r="A22" s="70" t="s">
        <v>12</v>
      </c>
      <c r="B22" s="159"/>
      <c r="C22" s="159"/>
      <c r="D22" s="159"/>
      <c r="E22" s="159"/>
      <c r="F22" s="159"/>
      <c r="G22" s="159"/>
      <c r="H22" s="159"/>
      <c r="I22" s="159"/>
      <c r="J22" s="159"/>
      <c r="K22" s="159"/>
      <c r="L22" s="159"/>
      <c r="M22" s="159"/>
      <c r="N22" s="47">
        <f t="shared" si="2"/>
        <v>0</v>
      </c>
      <c r="O22" s="47">
        <f t="shared" si="3"/>
        <v>0</v>
      </c>
      <c r="P22"/>
      <c r="Q22"/>
    </row>
    <row r="23" spans="1:17" hidden="1" x14ac:dyDescent="0.25">
      <c r="A23" s="70" t="s">
        <v>11</v>
      </c>
      <c r="B23" s="159"/>
      <c r="C23" s="159"/>
      <c r="D23" s="159"/>
      <c r="E23" s="159"/>
      <c r="F23" s="159"/>
      <c r="G23" s="159"/>
      <c r="H23" s="159"/>
      <c r="I23" s="159"/>
      <c r="J23" s="159"/>
      <c r="K23" s="159"/>
      <c r="L23" s="159"/>
      <c r="M23" s="159"/>
      <c r="N23" s="47">
        <f t="shared" si="2"/>
        <v>0</v>
      </c>
      <c r="O23" s="47">
        <f t="shared" si="3"/>
        <v>0</v>
      </c>
      <c r="P23"/>
      <c r="Q23"/>
    </row>
    <row r="24" spans="1:17" hidden="1" x14ac:dyDescent="0.25">
      <c r="A24" s="46" t="s">
        <v>14</v>
      </c>
      <c r="B24" s="8">
        <f t="shared" ref="B24:O24" si="6">SUM(B21:B23)</f>
        <v>0</v>
      </c>
      <c r="C24" s="8">
        <f t="shared" si="6"/>
        <v>0</v>
      </c>
      <c r="D24" s="8"/>
      <c r="E24" s="8"/>
      <c r="F24" s="8"/>
      <c r="G24" s="8"/>
      <c r="H24" s="8">
        <f t="shared" si="6"/>
        <v>0</v>
      </c>
      <c r="I24" s="8">
        <f t="shared" si="6"/>
        <v>0</v>
      </c>
      <c r="J24" s="8">
        <f t="shared" si="6"/>
        <v>0</v>
      </c>
      <c r="K24" s="8">
        <f t="shared" si="6"/>
        <v>0</v>
      </c>
      <c r="L24" s="8">
        <f t="shared" si="6"/>
        <v>0</v>
      </c>
      <c r="M24" s="8">
        <f t="shared" si="6"/>
        <v>0</v>
      </c>
      <c r="N24" s="8">
        <f t="shared" si="6"/>
        <v>0</v>
      </c>
      <c r="O24" s="8">
        <f t="shared" si="6"/>
        <v>0</v>
      </c>
      <c r="P24"/>
      <c r="Q24"/>
    </row>
    <row r="25" spans="1:17" hidden="1" x14ac:dyDescent="0.25">
      <c r="A25" s="49" t="s">
        <v>23</v>
      </c>
      <c r="B25" s="50">
        <f>+B12+B16+B20+B24</f>
        <v>4682</v>
      </c>
      <c r="C25" s="48">
        <f t="shared" ref="C25:O25" si="7">+C12+C16+C20+C24</f>
        <v>82582843.120000005</v>
      </c>
      <c r="D25" s="48"/>
      <c r="E25" s="48"/>
      <c r="F25" s="48"/>
      <c r="G25" s="48"/>
      <c r="H25" s="48">
        <f t="shared" si="7"/>
        <v>109</v>
      </c>
      <c r="I25" s="48">
        <f t="shared" si="7"/>
        <v>1656522.03</v>
      </c>
      <c r="J25" s="48">
        <f t="shared" si="7"/>
        <v>1873</v>
      </c>
      <c r="K25" s="48">
        <f t="shared" si="7"/>
        <v>22477436.200000003</v>
      </c>
      <c r="L25" s="48">
        <f t="shared" si="7"/>
        <v>269</v>
      </c>
      <c r="M25" s="48">
        <f t="shared" si="7"/>
        <v>3833277.49</v>
      </c>
      <c r="N25" s="48">
        <f t="shared" si="7"/>
        <v>3200</v>
      </c>
      <c r="O25" s="48">
        <f t="shared" si="7"/>
        <v>67687528.549999997</v>
      </c>
      <c r="P25"/>
      <c r="Q25"/>
    </row>
    <row r="26" spans="1:17" x14ac:dyDescent="0.25">
      <c r="A26" s="139" t="s">
        <v>84</v>
      </c>
      <c r="B26"/>
      <c r="C26"/>
      <c r="D26"/>
      <c r="E26"/>
      <c r="F26"/>
      <c r="G26"/>
      <c r="H26"/>
      <c r="I26"/>
      <c r="J26"/>
      <c r="K26"/>
      <c r="L26"/>
      <c r="M26"/>
      <c r="N26"/>
      <c r="O26"/>
      <c r="P26"/>
      <c r="Q26"/>
    </row>
    <row r="27" spans="1:17" s="15" customFormat="1" ht="11.25" x14ac:dyDescent="0.2">
      <c r="A27" s="214"/>
      <c r="B27" s="142"/>
      <c r="C27" s="142"/>
      <c r="D27" s="142"/>
      <c r="E27" s="142"/>
      <c r="F27" s="142"/>
      <c r="G27" s="142"/>
      <c r="H27" s="142"/>
      <c r="I27" s="142"/>
      <c r="J27" s="139"/>
      <c r="K27" s="139"/>
      <c r="L27" s="139"/>
      <c r="M27" s="139"/>
      <c r="N27" s="139"/>
      <c r="O27" s="139"/>
      <c r="P27" s="139"/>
      <c r="Q27" s="139"/>
    </row>
    <row r="28" spans="1:17" x14ac:dyDescent="0.25">
      <c r="A28"/>
      <c r="B28"/>
      <c r="C28"/>
      <c r="D28"/>
      <c r="E28"/>
      <c r="F28"/>
      <c r="G28"/>
      <c r="H28"/>
      <c r="I28"/>
      <c r="J28"/>
      <c r="K28"/>
      <c r="L28"/>
      <c r="M28"/>
      <c r="N28"/>
      <c r="O28"/>
      <c r="P28"/>
      <c r="Q28"/>
    </row>
    <row r="29" spans="1:17" x14ac:dyDescent="0.25">
      <c r="A29"/>
      <c r="B29"/>
      <c r="C29"/>
      <c r="D29"/>
      <c r="E29"/>
      <c r="F29"/>
      <c r="G29"/>
      <c r="H29"/>
      <c r="I29"/>
      <c r="J29"/>
      <c r="K29"/>
      <c r="L29"/>
      <c r="M29"/>
      <c r="N29"/>
      <c r="O29"/>
      <c r="P29"/>
      <c r="Q29"/>
    </row>
    <row r="30" spans="1:17" x14ac:dyDescent="0.25">
      <c r="A30"/>
      <c r="B30"/>
      <c r="C30"/>
      <c r="D30"/>
      <c r="E30"/>
      <c r="F30"/>
      <c r="G30"/>
      <c r="H30"/>
      <c r="I30"/>
      <c r="J30"/>
      <c r="K30"/>
      <c r="L30"/>
      <c r="M30"/>
      <c r="N30"/>
      <c r="O30"/>
      <c r="P30"/>
      <c r="Q30"/>
    </row>
    <row r="31" spans="1:17" x14ac:dyDescent="0.25">
      <c r="A31"/>
      <c r="B31"/>
      <c r="C31"/>
      <c r="D31"/>
      <c r="E31"/>
      <c r="F31"/>
      <c r="G31"/>
      <c r="H31"/>
      <c r="I31"/>
      <c r="J31"/>
      <c r="K31"/>
      <c r="L31"/>
      <c r="M31"/>
      <c r="N31"/>
      <c r="O31"/>
      <c r="P31"/>
      <c r="Q31"/>
    </row>
    <row r="32" spans="1:17" x14ac:dyDescent="0.25">
      <c r="A32"/>
      <c r="B32"/>
      <c r="C32"/>
      <c r="D32"/>
      <c r="E32"/>
      <c r="F32"/>
      <c r="G32"/>
      <c r="H32"/>
      <c r="I32"/>
      <c r="J32"/>
      <c r="K32"/>
      <c r="L32"/>
      <c r="M32"/>
      <c r="N32"/>
      <c r="O32"/>
      <c r="P32"/>
      <c r="Q32"/>
    </row>
    <row r="33" spans="1:17" x14ac:dyDescent="0.25">
      <c r="A33"/>
      <c r="B33"/>
      <c r="C33"/>
      <c r="D33"/>
      <c r="E33"/>
      <c r="F33"/>
      <c r="G33"/>
      <c r="H33"/>
      <c r="I33"/>
      <c r="J33"/>
      <c r="K33"/>
      <c r="L33"/>
      <c r="M33"/>
      <c r="N33"/>
      <c r="O33"/>
      <c r="P33"/>
      <c r="Q33"/>
    </row>
    <row r="34" spans="1:17" x14ac:dyDescent="0.25">
      <c r="A34"/>
      <c r="B34"/>
      <c r="C34"/>
      <c r="D34"/>
      <c r="E34"/>
      <c r="F34"/>
      <c r="G34"/>
      <c r="H34"/>
      <c r="I34"/>
      <c r="J34"/>
      <c r="K34"/>
      <c r="L34"/>
      <c r="M34"/>
      <c r="N34"/>
      <c r="O34"/>
      <c r="P34"/>
      <c r="Q34"/>
    </row>
    <row r="35" spans="1:17" x14ac:dyDescent="0.25">
      <c r="A35"/>
      <c r="B35"/>
      <c r="C35"/>
      <c r="D35"/>
      <c r="E35"/>
      <c r="F35"/>
      <c r="G35"/>
      <c r="H35"/>
      <c r="I35"/>
      <c r="J35"/>
      <c r="K35"/>
      <c r="L35"/>
      <c r="M35"/>
      <c r="N35"/>
      <c r="O35"/>
      <c r="P35"/>
      <c r="Q35"/>
    </row>
    <row r="36" spans="1:17" x14ac:dyDescent="0.25">
      <c r="A36"/>
      <c r="B36"/>
      <c r="C36"/>
      <c r="D36"/>
      <c r="E36"/>
      <c r="F36"/>
      <c r="G36"/>
      <c r="H36"/>
      <c r="I36"/>
      <c r="J36"/>
      <c r="K36"/>
      <c r="L36"/>
      <c r="M36"/>
      <c r="N36"/>
      <c r="O36"/>
      <c r="P36"/>
      <c r="Q36"/>
    </row>
    <row r="37" spans="1:17" x14ac:dyDescent="0.25">
      <c r="A37"/>
      <c r="B37"/>
      <c r="C37"/>
      <c r="D37"/>
      <c r="E37"/>
      <c r="F37"/>
      <c r="G37"/>
      <c r="H37"/>
      <c r="I37"/>
      <c r="J37"/>
      <c r="K37"/>
      <c r="L37"/>
      <c r="M37"/>
      <c r="N37"/>
      <c r="O37"/>
      <c r="P37"/>
      <c r="Q37"/>
    </row>
    <row r="38" spans="1:17" x14ac:dyDescent="0.25">
      <c r="A38"/>
      <c r="B38"/>
      <c r="C38"/>
      <c r="D38"/>
      <c r="E38"/>
      <c r="F38"/>
      <c r="G38"/>
      <c r="H38"/>
      <c r="I38"/>
      <c r="J38"/>
      <c r="K38"/>
      <c r="L38"/>
      <c r="M38"/>
      <c r="N38"/>
      <c r="O38"/>
      <c r="P38"/>
      <c r="Q38"/>
    </row>
    <row r="39" spans="1:17" x14ac:dyDescent="0.25">
      <c r="A39"/>
      <c r="B39"/>
      <c r="C39"/>
      <c r="D39"/>
      <c r="E39"/>
      <c r="F39"/>
      <c r="G39"/>
      <c r="H39"/>
      <c r="I39"/>
      <c r="J39"/>
      <c r="K39"/>
      <c r="L39"/>
      <c r="M39"/>
      <c r="N39"/>
      <c r="O39"/>
      <c r="P39"/>
      <c r="Q39"/>
    </row>
    <row r="42" spans="1:17" x14ac:dyDescent="0.25">
      <c r="B42" s="70"/>
      <c r="C42" s="159"/>
      <c r="D42" s="159"/>
      <c r="E42" s="159"/>
      <c r="F42" s="159"/>
      <c r="G42" s="159"/>
      <c r="H42" s="159"/>
      <c r="I42" s="159"/>
      <c r="J42" s="159"/>
      <c r="K42" s="159"/>
      <c r="L42" s="159"/>
      <c r="M42" s="159"/>
      <c r="N42" s="159"/>
      <c r="O42" s="47"/>
      <c r="P42" s="79"/>
    </row>
    <row r="44" spans="1:17" x14ac:dyDescent="0.25">
      <c r="B44" s="70"/>
      <c r="C44" s="159"/>
      <c r="D44" s="159"/>
      <c r="E44" s="159"/>
      <c r="F44" s="159"/>
      <c r="G44" s="159"/>
      <c r="H44" s="159"/>
      <c r="I44" s="159"/>
      <c r="J44" s="159"/>
      <c r="K44" s="159"/>
      <c r="L44" s="159"/>
      <c r="M44" s="159"/>
      <c r="N44" s="159"/>
      <c r="O44" s="47"/>
      <c r="P44" s="79"/>
    </row>
  </sheetData>
  <mergeCells count="13">
    <mergeCell ref="A6:O6"/>
    <mergeCell ref="A1:O1"/>
    <mergeCell ref="A2:O2"/>
    <mergeCell ref="A3:O3"/>
    <mergeCell ref="A4:O4"/>
    <mergeCell ref="A5:O5"/>
    <mergeCell ref="N7:O7"/>
    <mergeCell ref="B7:C7"/>
    <mergeCell ref="D7:E7"/>
    <mergeCell ref="F7:G7"/>
    <mergeCell ref="H7:I7"/>
    <mergeCell ref="J7:K7"/>
    <mergeCell ref="L7:M7"/>
  </mergeCells>
  <pageMargins left="0.7" right="0.7" top="0.75" bottom="0.75" header="0.3" footer="0.3"/>
  <pageSetup paperSize="9" scale="5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5:H72"/>
  <sheetViews>
    <sheetView topLeftCell="A10" workbookViewId="0">
      <selection activeCell="H23" sqref="H23"/>
    </sheetView>
  </sheetViews>
  <sheetFormatPr defaultColWidth="11.42578125" defaultRowHeight="15" x14ac:dyDescent="0.25"/>
  <cols>
    <col min="1" max="1" width="18.42578125" customWidth="1"/>
    <col min="3" max="3" width="18.140625" customWidth="1"/>
    <col min="6" max="6" width="13.7109375" bestFit="1" customWidth="1"/>
  </cols>
  <sheetData>
    <row r="5" spans="1:8" x14ac:dyDescent="0.25">
      <c r="A5" t="s">
        <v>116</v>
      </c>
    </row>
    <row r="6" spans="1:8" x14ac:dyDescent="0.25">
      <c r="A6" t="s">
        <v>117</v>
      </c>
      <c r="B6" t="s">
        <v>118</v>
      </c>
      <c r="C6" s="74">
        <v>31310</v>
      </c>
      <c r="D6" s="103">
        <v>0.2</v>
      </c>
      <c r="E6" s="74">
        <v>391848281</v>
      </c>
      <c r="F6" s="103">
        <v>0.19</v>
      </c>
    </row>
    <row r="7" spans="1:8" x14ac:dyDescent="0.25">
      <c r="A7" t="s">
        <v>119</v>
      </c>
      <c r="B7" s="74">
        <v>58606</v>
      </c>
      <c r="C7" s="103">
        <v>0.37</v>
      </c>
      <c r="D7" s="74">
        <v>502596251</v>
      </c>
      <c r="E7" s="103">
        <v>0.25</v>
      </c>
    </row>
    <row r="8" spans="1:8" x14ac:dyDescent="0.25">
      <c r="A8" t="s">
        <v>120</v>
      </c>
      <c r="B8" t="s">
        <v>121</v>
      </c>
      <c r="C8" t="s">
        <v>122</v>
      </c>
      <c r="D8">
        <v>280</v>
      </c>
      <c r="E8" s="104">
        <v>2E-3</v>
      </c>
      <c r="F8" s="74">
        <v>4723136</v>
      </c>
      <c r="G8" s="104">
        <v>2E-3</v>
      </c>
    </row>
    <row r="9" spans="1:8" x14ac:dyDescent="0.25">
      <c r="A9" t="s">
        <v>123</v>
      </c>
      <c r="B9" t="s">
        <v>124</v>
      </c>
      <c r="C9" t="s">
        <v>125</v>
      </c>
      <c r="D9" t="s">
        <v>126</v>
      </c>
      <c r="E9">
        <v>164</v>
      </c>
      <c r="F9" s="104">
        <v>1E-3</v>
      </c>
      <c r="G9" s="74">
        <v>4627394</v>
      </c>
      <c r="H9" s="104">
        <v>2E-3</v>
      </c>
    </row>
    <row r="10" spans="1:8" x14ac:dyDescent="0.25">
      <c r="A10" t="s">
        <v>127</v>
      </c>
      <c r="B10" t="s">
        <v>128</v>
      </c>
      <c r="C10">
        <v>311</v>
      </c>
      <c r="D10" s="104">
        <v>2E-3</v>
      </c>
      <c r="E10" s="74">
        <v>8307901</v>
      </c>
      <c r="F10" s="104">
        <v>4.0000000000000001E-3</v>
      </c>
    </row>
    <row r="11" spans="1:8" x14ac:dyDescent="0.25">
      <c r="A11" t="s">
        <v>127</v>
      </c>
      <c r="B11" t="s">
        <v>129</v>
      </c>
      <c r="C11" s="74">
        <v>19019</v>
      </c>
      <c r="D11" s="103">
        <v>0.12</v>
      </c>
      <c r="E11" s="74">
        <v>425653300</v>
      </c>
      <c r="F11" s="103">
        <v>0.21</v>
      </c>
    </row>
    <row r="12" spans="1:8" x14ac:dyDescent="0.25">
      <c r="A12" t="s">
        <v>130</v>
      </c>
      <c r="B12" t="s">
        <v>131</v>
      </c>
      <c r="C12" s="74">
        <v>21131</v>
      </c>
      <c r="D12" s="103">
        <v>0.13</v>
      </c>
      <c r="E12" s="74">
        <v>448771667</v>
      </c>
      <c r="F12" s="103">
        <v>0.22</v>
      </c>
    </row>
    <row r="13" spans="1:8" x14ac:dyDescent="0.25">
      <c r="A13" t="s">
        <v>117</v>
      </c>
      <c r="B13" t="s">
        <v>132</v>
      </c>
      <c r="C13" s="74">
        <v>10163</v>
      </c>
      <c r="D13" s="103">
        <v>0.06</v>
      </c>
      <c r="E13" s="74">
        <v>60978000</v>
      </c>
      <c r="F13" s="103">
        <v>0.03</v>
      </c>
    </row>
    <row r="14" spans="1:8" x14ac:dyDescent="0.25">
      <c r="A14" t="s">
        <v>133</v>
      </c>
      <c r="B14" t="s">
        <v>134</v>
      </c>
      <c r="C14" t="s">
        <v>135</v>
      </c>
      <c r="D14" s="74">
        <v>16719</v>
      </c>
      <c r="E14" s="103">
        <v>0.11</v>
      </c>
      <c r="F14" s="74">
        <v>171659274</v>
      </c>
      <c r="G14" s="103">
        <v>0.09</v>
      </c>
    </row>
    <row r="17" spans="1:7" x14ac:dyDescent="0.25">
      <c r="A17" t="s">
        <v>136</v>
      </c>
      <c r="B17" t="s">
        <v>137</v>
      </c>
      <c r="C17" t="s">
        <v>52</v>
      </c>
      <c r="D17" t="s">
        <v>138</v>
      </c>
      <c r="E17" t="s">
        <v>52</v>
      </c>
    </row>
    <row r="18" spans="1:7" x14ac:dyDescent="0.25">
      <c r="A18" t="s">
        <v>139</v>
      </c>
      <c r="B18" t="s">
        <v>140</v>
      </c>
      <c r="C18" t="s">
        <v>141</v>
      </c>
      <c r="D18">
        <v>42</v>
      </c>
      <c r="E18" s="104">
        <v>2.9999999999999997E-4</v>
      </c>
      <c r="F18" s="105">
        <v>167356.85</v>
      </c>
      <c r="G18" s="103">
        <v>0</v>
      </c>
    </row>
    <row r="19" spans="1:7" x14ac:dyDescent="0.25">
      <c r="A19" t="s">
        <v>142</v>
      </c>
      <c r="B19" t="s">
        <v>143</v>
      </c>
      <c r="C19" t="s">
        <v>144</v>
      </c>
      <c r="D19">
        <v>1</v>
      </c>
      <c r="E19" s="104">
        <v>0</v>
      </c>
      <c r="F19" s="105">
        <v>5117.5</v>
      </c>
      <c r="G19" s="103">
        <v>0</v>
      </c>
    </row>
    <row r="20" spans="1:7" x14ac:dyDescent="0.25">
      <c r="A20" s="105">
        <v>5117.5</v>
      </c>
      <c r="B20" t="s">
        <v>105</v>
      </c>
      <c r="C20" s="105">
        <v>10000</v>
      </c>
      <c r="D20" s="74">
        <v>93522</v>
      </c>
      <c r="E20" s="104">
        <v>0.73980000000000001</v>
      </c>
      <c r="F20" s="105">
        <v>750253033.45000005</v>
      </c>
      <c r="G20" s="103">
        <v>0.5</v>
      </c>
    </row>
    <row r="21" spans="1:7" x14ac:dyDescent="0.25">
      <c r="A21" s="105">
        <v>10000</v>
      </c>
      <c r="B21" t="s">
        <v>105</v>
      </c>
      <c r="C21" s="105">
        <v>20000</v>
      </c>
      <c r="D21" s="74">
        <v>18138</v>
      </c>
      <c r="E21" s="104">
        <v>0.14349999999999999</v>
      </c>
      <c r="F21" s="105">
        <v>227429836.90000001</v>
      </c>
      <c r="G21" s="103">
        <v>0.15</v>
      </c>
    </row>
    <row r="22" spans="1:7" x14ac:dyDescent="0.25">
      <c r="A22" s="105">
        <v>20000</v>
      </c>
      <c r="B22" t="s">
        <v>105</v>
      </c>
      <c r="C22" s="105">
        <v>30000</v>
      </c>
      <c r="D22" s="74">
        <v>6578</v>
      </c>
      <c r="E22" s="104">
        <v>5.1999999999999998E-2</v>
      </c>
      <c r="F22" s="105">
        <v>161421192.27000001</v>
      </c>
      <c r="G22" s="103">
        <v>0.11</v>
      </c>
    </row>
    <row r="23" spans="1:7" x14ac:dyDescent="0.25">
      <c r="A23" s="105">
        <v>30000</v>
      </c>
      <c r="B23" t="s">
        <v>105</v>
      </c>
      <c r="C23" s="105">
        <v>40000</v>
      </c>
      <c r="D23" s="74">
        <v>3651</v>
      </c>
      <c r="E23" s="104">
        <v>2.8899999999999999E-2</v>
      </c>
      <c r="F23" s="105">
        <v>122505219.92</v>
      </c>
      <c r="G23" s="103">
        <v>0.08</v>
      </c>
    </row>
    <row r="24" spans="1:7" x14ac:dyDescent="0.25">
      <c r="A24" s="105">
        <v>40000</v>
      </c>
      <c r="B24" t="s">
        <v>105</v>
      </c>
      <c r="C24" s="105">
        <v>50000</v>
      </c>
      <c r="D24" s="74">
        <v>2228</v>
      </c>
      <c r="E24" s="104">
        <v>1.7600000000000001E-2</v>
      </c>
      <c r="F24" s="105">
        <v>96897867.079999998</v>
      </c>
      <c r="G24" s="103">
        <v>0.06</v>
      </c>
    </row>
    <row r="25" spans="1:7" x14ac:dyDescent="0.25">
      <c r="A25" s="105">
        <v>50000</v>
      </c>
      <c r="B25" t="s">
        <v>105</v>
      </c>
      <c r="C25" s="105">
        <v>60000</v>
      </c>
      <c r="D25" s="74">
        <v>1212</v>
      </c>
      <c r="E25" s="104">
        <v>9.5999999999999992E-3</v>
      </c>
      <c r="F25" s="105">
        <v>63870772.049999997</v>
      </c>
      <c r="G25" s="103">
        <v>0.04</v>
      </c>
    </row>
    <row r="26" spans="1:7" x14ac:dyDescent="0.25">
      <c r="A26" s="105">
        <v>60000</v>
      </c>
      <c r="B26" t="s">
        <v>105</v>
      </c>
      <c r="C26" s="105">
        <v>70000</v>
      </c>
      <c r="D26">
        <v>256</v>
      </c>
      <c r="E26" s="104">
        <v>2E-3</v>
      </c>
      <c r="F26" s="105">
        <v>15987935.460000001</v>
      </c>
      <c r="G26" s="103">
        <v>0.01</v>
      </c>
    </row>
    <row r="27" spans="1:7" x14ac:dyDescent="0.25">
      <c r="A27" s="105">
        <v>70000</v>
      </c>
      <c r="B27" t="s">
        <v>105</v>
      </c>
      <c r="C27" s="105">
        <v>80000</v>
      </c>
      <c r="D27">
        <v>185</v>
      </c>
      <c r="E27" s="104">
        <v>1.5E-3</v>
      </c>
      <c r="F27" s="105">
        <v>13603340.310000001</v>
      </c>
      <c r="G27" s="103">
        <v>0.01</v>
      </c>
    </row>
    <row r="28" spans="1:7" x14ac:dyDescent="0.25">
      <c r="A28" s="105">
        <v>80000</v>
      </c>
      <c r="B28" t="s">
        <v>105</v>
      </c>
      <c r="C28" s="105">
        <v>90000</v>
      </c>
      <c r="D28">
        <v>246</v>
      </c>
      <c r="E28" s="104">
        <v>1.9E-3</v>
      </c>
      <c r="F28" s="105">
        <v>20637258.829999998</v>
      </c>
      <c r="G28" s="103">
        <v>0.01</v>
      </c>
    </row>
    <row r="29" spans="1:7" x14ac:dyDescent="0.25">
      <c r="A29" s="105">
        <v>90000</v>
      </c>
      <c r="B29" t="s">
        <v>105</v>
      </c>
      <c r="C29" s="105">
        <v>100000</v>
      </c>
      <c r="D29">
        <v>300</v>
      </c>
      <c r="E29" s="104">
        <v>2.3999999999999998E-3</v>
      </c>
      <c r="F29" s="105">
        <v>28790914.350000001</v>
      </c>
      <c r="G29" s="103">
        <v>0.02</v>
      </c>
    </row>
    <row r="30" spans="1:7" x14ac:dyDescent="0.25">
      <c r="A30" t="s">
        <v>145</v>
      </c>
      <c r="B30">
        <v>50</v>
      </c>
      <c r="C30" s="104">
        <v>4.0000000000000002E-4</v>
      </c>
      <c r="D30" s="105">
        <v>7845693.5999999996</v>
      </c>
      <c r="E30" s="103">
        <v>0.01</v>
      </c>
    </row>
    <row r="32" spans="1:7" x14ac:dyDescent="0.25">
      <c r="A32" t="s">
        <v>136</v>
      </c>
      <c r="B32" t="s">
        <v>137</v>
      </c>
      <c r="C32" t="s">
        <v>52</v>
      </c>
      <c r="D32" t="s">
        <v>138</v>
      </c>
      <c r="E32" t="s">
        <v>52</v>
      </c>
    </row>
    <row r="33" spans="1:7" x14ac:dyDescent="0.25">
      <c r="A33" t="s">
        <v>146</v>
      </c>
      <c r="B33">
        <v>8</v>
      </c>
      <c r="C33" s="104">
        <v>1E-4</v>
      </c>
      <c r="D33" s="74">
        <v>120807</v>
      </c>
      <c r="E33" s="104">
        <v>1E-4</v>
      </c>
    </row>
    <row r="34" spans="1:7" x14ac:dyDescent="0.25">
      <c r="A34" t="s">
        <v>147</v>
      </c>
      <c r="B34">
        <v>105</v>
      </c>
      <c r="C34" s="104">
        <v>8.9999999999999998E-4</v>
      </c>
      <c r="D34" s="74">
        <v>1623898</v>
      </c>
      <c r="E34" s="104">
        <v>1.1000000000000001E-3</v>
      </c>
    </row>
    <row r="35" spans="1:7" x14ac:dyDescent="0.25">
      <c r="A35" t="s">
        <v>148</v>
      </c>
      <c r="B35">
        <v>662</v>
      </c>
      <c r="C35" s="104">
        <v>5.7999999999999996E-3</v>
      </c>
      <c r="D35" s="74">
        <v>8844351</v>
      </c>
      <c r="E35" s="104">
        <v>5.8999999999999999E-3</v>
      </c>
    </row>
    <row r="36" spans="1:7" x14ac:dyDescent="0.25">
      <c r="A36" t="s">
        <v>149</v>
      </c>
      <c r="B36" s="74">
        <v>3613</v>
      </c>
      <c r="C36" s="104">
        <v>3.1699999999999999E-2</v>
      </c>
      <c r="D36" s="74">
        <v>58835635</v>
      </c>
      <c r="E36" s="104">
        <v>3.9E-2</v>
      </c>
    </row>
    <row r="37" spans="1:7" x14ac:dyDescent="0.25">
      <c r="A37" t="s">
        <v>150</v>
      </c>
      <c r="B37" s="74">
        <v>37680</v>
      </c>
      <c r="C37" s="104">
        <v>0.3306</v>
      </c>
      <c r="D37" s="74">
        <v>525796423</v>
      </c>
      <c r="E37" s="104">
        <v>0.3483</v>
      </c>
    </row>
    <row r="38" spans="1:7" x14ac:dyDescent="0.25">
      <c r="A38" t="s">
        <v>151</v>
      </c>
      <c r="B38" s="74">
        <v>44491</v>
      </c>
      <c r="C38" s="104">
        <v>0.39040000000000002</v>
      </c>
      <c r="D38" s="74">
        <v>593494378</v>
      </c>
      <c r="E38" s="104">
        <v>0.39319999999999999</v>
      </c>
    </row>
    <row r="39" spans="1:7" x14ac:dyDescent="0.25">
      <c r="A39" t="s">
        <v>152</v>
      </c>
      <c r="B39" s="74">
        <v>22199</v>
      </c>
      <c r="C39" s="104">
        <v>0.1948</v>
      </c>
      <c r="D39" s="74">
        <v>263071212</v>
      </c>
      <c r="E39" s="104">
        <v>0.17430000000000001</v>
      </c>
    </row>
    <row r="40" spans="1:7" x14ac:dyDescent="0.25">
      <c r="A40" t="s">
        <v>153</v>
      </c>
      <c r="B40" s="74">
        <v>4787</v>
      </c>
      <c r="C40" s="104">
        <v>4.2000000000000003E-2</v>
      </c>
      <c r="D40" s="74">
        <v>53293459</v>
      </c>
      <c r="E40" s="104">
        <v>3.5299999999999998E-2</v>
      </c>
    </row>
    <row r="41" spans="1:7" x14ac:dyDescent="0.25">
      <c r="A41">
        <v>100</v>
      </c>
      <c r="B41">
        <v>273</v>
      </c>
      <c r="C41" s="104">
        <v>2.3999999999999998E-3</v>
      </c>
      <c r="D41" s="74">
        <v>3036509</v>
      </c>
      <c r="E41" s="104">
        <v>2E-3</v>
      </c>
    </row>
    <row r="42" spans="1:7" x14ac:dyDescent="0.25">
      <c r="A42">
        <v>0</v>
      </c>
      <c r="B42">
        <v>148</v>
      </c>
      <c r="C42" s="104">
        <v>1.2999999999999999E-3</v>
      </c>
      <c r="D42" s="74">
        <v>1202867</v>
      </c>
      <c r="E42" s="104">
        <v>8.0000000000000004E-4</v>
      </c>
    </row>
    <row r="43" spans="1:7" x14ac:dyDescent="0.25">
      <c r="A43" t="s">
        <v>154</v>
      </c>
      <c r="B43" t="s">
        <v>155</v>
      </c>
      <c r="C43" s="111">
        <v>1</v>
      </c>
      <c r="D43">
        <v>11</v>
      </c>
      <c r="E43" s="104">
        <v>1E-4</v>
      </c>
      <c r="F43" s="74">
        <v>96000</v>
      </c>
      <c r="G43" s="104">
        <v>1E-4</v>
      </c>
    </row>
    <row r="60" spans="1:4" ht="1.5" customHeight="1" thickBot="1" x14ac:dyDescent="0.3"/>
    <row r="61" spans="1:4" ht="31.5" customHeight="1" x14ac:dyDescent="0.25">
      <c r="A61" s="369" t="s">
        <v>156</v>
      </c>
      <c r="B61" s="370"/>
      <c r="C61" s="370"/>
      <c r="D61" s="371"/>
    </row>
    <row r="62" spans="1:4" x14ac:dyDescent="0.25">
      <c r="A62" s="116" t="s">
        <v>157</v>
      </c>
      <c r="B62" s="117" t="s">
        <v>52</v>
      </c>
      <c r="C62" s="118" t="s">
        <v>7</v>
      </c>
      <c r="D62" s="119" t="s">
        <v>52</v>
      </c>
    </row>
    <row r="63" spans="1:4" x14ac:dyDescent="0.25">
      <c r="A63" s="93">
        <v>31137</v>
      </c>
      <c r="B63" s="77">
        <f>A63/$F$18</f>
        <v>0.18605154195959114</v>
      </c>
      <c r="C63" s="51">
        <v>395798200.03000003</v>
      </c>
      <c r="D63" s="94">
        <f>C63/C72</f>
        <v>0.19391687100775967</v>
      </c>
    </row>
    <row r="64" spans="1:4" x14ac:dyDescent="0.25">
      <c r="A64" s="93">
        <v>59538</v>
      </c>
      <c r="B64" s="77">
        <f t="shared" ref="B64:B71" si="0">A64/$F$18</f>
        <v>0.35575478386453857</v>
      </c>
      <c r="C64" s="51">
        <v>514655292.12</v>
      </c>
      <c r="D64" s="94">
        <f>C64/C72</f>
        <v>0.25214956482351464</v>
      </c>
    </row>
    <row r="65" spans="1:4" x14ac:dyDescent="0.25">
      <c r="A65" s="93">
        <v>272</v>
      </c>
      <c r="B65" s="78">
        <f t="shared" si="0"/>
        <v>1.6252695960756909E-3</v>
      </c>
      <c r="C65" s="51">
        <v>4588034.25</v>
      </c>
      <c r="D65" s="95">
        <f>C65/C72</f>
        <v>2.2478557147783836E-3</v>
      </c>
    </row>
    <row r="66" spans="1:4" x14ac:dyDescent="0.25">
      <c r="A66" s="93">
        <v>165</v>
      </c>
      <c r="B66" s="78">
        <f t="shared" si="0"/>
        <v>9.8591721820768022E-4</v>
      </c>
      <c r="C66" s="51">
        <v>4769926.3500000006</v>
      </c>
      <c r="D66" s="95">
        <f>C66/C72</f>
        <v>2.3369717008802837E-3</v>
      </c>
    </row>
    <row r="67" spans="1:4" x14ac:dyDescent="0.25">
      <c r="A67" s="93">
        <v>291</v>
      </c>
      <c r="B67" s="78">
        <f t="shared" si="0"/>
        <v>1.7387994575662723E-3</v>
      </c>
      <c r="C67" s="51">
        <v>7859081.6799999997</v>
      </c>
      <c r="D67" s="95">
        <f>C67/C72</f>
        <v>3.8504685677309622E-3</v>
      </c>
    </row>
    <row r="68" spans="1:4" x14ac:dyDescent="0.25">
      <c r="A68" s="93">
        <v>18719</v>
      </c>
      <c r="B68" s="77">
        <f t="shared" si="0"/>
        <v>0.11185081459169433</v>
      </c>
      <c r="C68" s="51">
        <v>422264407.25999999</v>
      </c>
      <c r="D68" s="94">
        <f>C68/C72</f>
        <v>0.20688369120324193</v>
      </c>
    </row>
    <row r="69" spans="1:4" x14ac:dyDescent="0.25">
      <c r="A69" s="93">
        <v>21144</v>
      </c>
      <c r="B69" s="77">
        <f t="shared" si="0"/>
        <v>0.12634081007141326</v>
      </c>
      <c r="C69" s="51">
        <v>451598843.05000001</v>
      </c>
      <c r="D69" s="94">
        <f>C69/C72</f>
        <v>0.22125576768247726</v>
      </c>
    </row>
    <row r="70" spans="1:4" x14ac:dyDescent="0.25">
      <c r="A70" s="93">
        <v>9753</v>
      </c>
      <c r="B70" s="77">
        <f t="shared" si="0"/>
        <v>5.8276670479875788E-2</v>
      </c>
      <c r="C70" s="51">
        <v>58518000</v>
      </c>
      <c r="D70" s="94">
        <f>C70/C72</f>
        <v>2.8670235126819606E-2</v>
      </c>
    </row>
    <row r="71" spans="1:4" x14ac:dyDescent="0.25">
      <c r="A71" s="93">
        <v>17481</v>
      </c>
      <c r="B71" s="77">
        <f t="shared" si="0"/>
        <v>0.10445344782720277</v>
      </c>
      <c r="C71" s="51">
        <v>181019721.69</v>
      </c>
      <c r="D71" s="94">
        <f>C71/C72</f>
        <v>8.8688574172797213E-2</v>
      </c>
    </row>
    <row r="72" spans="1:4" ht="15.75" thickBot="1" x14ac:dyDescent="0.3">
      <c r="A72" s="96">
        <f t="shared" ref="A72:D72" si="1">SUM(A63:A71)</f>
        <v>158500</v>
      </c>
      <c r="B72" s="97">
        <f t="shared" si="1"/>
        <v>0.9470780550661656</v>
      </c>
      <c r="C72" s="98">
        <f t="shared" si="1"/>
        <v>2041071506.4300001</v>
      </c>
      <c r="D72" s="99">
        <f t="shared" si="1"/>
        <v>0.99999999999999989</v>
      </c>
    </row>
  </sheetData>
  <mergeCells count="1">
    <mergeCell ref="A61:D6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AA70"/>
  <sheetViews>
    <sheetView showGridLines="0" zoomScale="80" zoomScaleNormal="80" workbookViewId="0">
      <selection activeCell="A6" sqref="A6"/>
    </sheetView>
  </sheetViews>
  <sheetFormatPr defaultColWidth="11.42578125" defaultRowHeight="15" x14ac:dyDescent="0.25"/>
  <cols>
    <col min="1" max="1" width="28.85546875" style="1" customWidth="1"/>
    <col min="2" max="2" width="13.42578125" style="1" customWidth="1"/>
    <col min="3" max="3" width="15.7109375" style="1" customWidth="1"/>
    <col min="4" max="4" width="17.7109375" style="1" bestFit="1" customWidth="1"/>
    <col min="5" max="5" width="11.42578125" style="1"/>
    <col min="6" max="6" width="13.42578125" style="1" customWidth="1"/>
    <col min="7" max="7" width="15.7109375" style="1" customWidth="1"/>
    <col min="8" max="8" width="18.42578125" style="1" bestFit="1" customWidth="1"/>
    <col min="9" max="9" width="11.42578125" style="1"/>
    <col min="10" max="11" width="11.42578125" style="1" bestFit="1" customWidth="1"/>
    <col min="12" max="12" width="18.5703125" style="1" customWidth="1"/>
    <col min="13" max="13" width="13" style="1" customWidth="1"/>
    <col min="14" max="14" width="16" style="1" customWidth="1"/>
    <col min="15" max="15" width="12.140625" style="1" customWidth="1"/>
    <col min="16" max="16" width="15.140625" style="1" customWidth="1"/>
    <col min="17" max="17" width="11.42578125" style="1" customWidth="1"/>
    <col min="18" max="19" width="15.7109375" style="1" customWidth="1"/>
    <col min="20" max="20" width="18.42578125" style="1" bestFit="1" customWidth="1"/>
    <col min="21" max="21" width="19.7109375" style="1" customWidth="1"/>
    <col min="22" max="22" width="11.42578125" style="1"/>
    <col min="23" max="23" width="13.7109375" style="1" bestFit="1" customWidth="1"/>
    <col min="24" max="16384" width="11.42578125" style="1"/>
  </cols>
  <sheetData>
    <row r="1" spans="1:27" x14ac:dyDescent="0.25">
      <c r="A1" s="335" t="s">
        <v>0</v>
      </c>
      <c r="B1" s="335"/>
      <c r="C1" s="335"/>
      <c r="D1" s="335"/>
      <c r="E1" s="335"/>
      <c r="F1" s="335"/>
      <c r="G1" s="335"/>
      <c r="H1" s="335"/>
      <c r="I1" s="335"/>
      <c r="J1" s="335"/>
      <c r="K1" s="335"/>
      <c r="L1" s="335"/>
      <c r="M1" s="335"/>
      <c r="N1" s="22"/>
      <c r="O1" s="22"/>
      <c r="P1" s="22"/>
      <c r="Q1" s="22"/>
      <c r="R1" s="22"/>
      <c r="S1" s="22"/>
      <c r="T1" s="22"/>
      <c r="U1" s="22"/>
      <c r="V1" s="22"/>
      <c r="W1" s="22"/>
      <c r="X1" s="22"/>
      <c r="Y1" s="22"/>
      <c r="Z1" s="22"/>
      <c r="AA1" s="22"/>
    </row>
    <row r="2" spans="1:27" x14ac:dyDescent="0.25">
      <c r="A2" s="335" t="s">
        <v>65</v>
      </c>
      <c r="B2" s="335"/>
      <c r="C2" s="335"/>
      <c r="D2" s="335"/>
      <c r="E2" s="335"/>
      <c r="F2" s="335"/>
      <c r="G2" s="335"/>
      <c r="H2" s="335"/>
      <c r="I2" s="335"/>
      <c r="J2" s="335"/>
      <c r="K2" s="335"/>
      <c r="L2" s="335"/>
      <c r="M2" s="335"/>
      <c r="N2" s="22"/>
      <c r="O2" s="22"/>
      <c r="P2" s="22"/>
      <c r="Q2" s="22"/>
      <c r="R2" s="22"/>
      <c r="S2" s="22"/>
      <c r="T2" s="22"/>
      <c r="U2" s="22"/>
      <c r="V2" s="22"/>
      <c r="W2" s="22"/>
      <c r="X2" s="22"/>
      <c r="Y2" s="22"/>
      <c r="Z2" s="22"/>
      <c r="AA2" s="22"/>
    </row>
    <row r="3" spans="1:27" x14ac:dyDescent="0.25">
      <c r="A3" s="335" t="s">
        <v>158</v>
      </c>
      <c r="B3" s="335"/>
      <c r="C3" s="335"/>
      <c r="D3" s="335"/>
      <c r="E3" s="335"/>
      <c r="F3" s="335"/>
      <c r="G3" s="335"/>
      <c r="H3" s="335"/>
      <c r="I3" s="335"/>
      <c r="J3" s="335"/>
      <c r="K3" s="335"/>
      <c r="L3" s="335"/>
      <c r="M3" s="335"/>
      <c r="N3" s="22"/>
      <c r="O3" s="22"/>
      <c r="P3" s="22"/>
      <c r="Q3" s="22"/>
      <c r="R3" s="22"/>
      <c r="S3" s="22"/>
      <c r="T3" s="22"/>
      <c r="U3" s="22"/>
      <c r="V3" s="22"/>
      <c r="W3" s="22"/>
      <c r="X3" s="22"/>
      <c r="Y3" s="22"/>
      <c r="Z3" s="22"/>
      <c r="AA3" s="22"/>
    </row>
    <row r="4" spans="1:27" x14ac:dyDescent="0.25">
      <c r="A4" s="335" t="s">
        <v>277</v>
      </c>
      <c r="B4" s="335"/>
      <c r="C4" s="335"/>
      <c r="D4" s="335"/>
      <c r="E4" s="335"/>
      <c r="F4" s="335"/>
      <c r="G4" s="335"/>
      <c r="H4" s="335"/>
      <c r="I4" s="335"/>
      <c r="J4" s="335"/>
      <c r="K4" s="335"/>
      <c r="L4" s="335"/>
      <c r="M4" s="335"/>
      <c r="N4" s="22"/>
      <c r="O4" s="22"/>
      <c r="P4" s="22"/>
      <c r="Q4" s="22"/>
      <c r="R4" s="22"/>
      <c r="S4" s="22"/>
      <c r="T4" s="22"/>
      <c r="U4" s="22"/>
      <c r="V4" s="22"/>
      <c r="W4" s="22"/>
      <c r="X4" s="22"/>
      <c r="Y4" s="22"/>
      <c r="Z4" s="22"/>
      <c r="AA4" s="22"/>
    </row>
    <row r="5" spans="1:27" x14ac:dyDescent="0.25">
      <c r="A5" s="335" t="s">
        <v>274</v>
      </c>
      <c r="B5" s="335"/>
      <c r="C5" s="335"/>
      <c r="D5" s="335"/>
      <c r="E5" s="335"/>
      <c r="F5" s="335"/>
      <c r="G5" s="335"/>
      <c r="H5" s="335"/>
      <c r="I5" s="335"/>
      <c r="J5" s="335"/>
      <c r="K5" s="335"/>
      <c r="L5" s="335"/>
      <c r="M5" s="335"/>
      <c r="N5" s="22"/>
      <c r="O5" s="22"/>
      <c r="P5" s="22"/>
      <c r="Q5" s="22"/>
      <c r="R5" s="22"/>
      <c r="S5" s="22"/>
      <c r="T5" s="22"/>
      <c r="U5" s="22"/>
      <c r="V5" s="22"/>
      <c r="W5" s="22"/>
      <c r="X5" s="22"/>
      <c r="Y5" s="22"/>
      <c r="Z5" s="22"/>
      <c r="AA5" s="22"/>
    </row>
    <row r="6" spans="1:27" x14ac:dyDescent="0.25">
      <c r="A6" s="329"/>
      <c r="B6" s="329"/>
      <c r="C6" s="329"/>
      <c r="D6" s="329"/>
      <c r="E6" s="329"/>
      <c r="F6" s="329"/>
      <c r="G6" s="329"/>
      <c r="H6" s="329"/>
      <c r="I6" s="329"/>
      <c r="J6" s="329"/>
      <c r="K6" s="329"/>
      <c r="L6" s="329"/>
      <c r="M6" s="329"/>
      <c r="N6" s="329"/>
      <c r="O6" s="329"/>
      <c r="P6" s="329"/>
      <c r="Q6" s="329"/>
      <c r="R6" s="329"/>
      <c r="S6" s="329"/>
      <c r="T6" s="329"/>
      <c r="U6" s="329"/>
      <c r="V6" s="329"/>
      <c r="W6" s="329"/>
      <c r="X6" s="329"/>
      <c r="Y6" s="329"/>
      <c r="Z6" s="329"/>
      <c r="AA6" s="329"/>
    </row>
    <row r="7" spans="1:27" ht="15.75" customHeight="1" thickBot="1" x14ac:dyDescent="0.3">
      <c r="A7" s="377" t="s">
        <v>159</v>
      </c>
      <c r="B7" s="377"/>
      <c r="C7" s="377"/>
      <c r="D7" s="377"/>
      <c r="E7" s="377"/>
      <c r="F7" s="377"/>
      <c r="G7" s="377"/>
      <c r="H7" s="377"/>
      <c r="I7" s="377"/>
      <c r="J7" s="377"/>
      <c r="K7" s="377"/>
      <c r="L7" s="377"/>
      <c r="M7" s="377"/>
      <c r="N7" s="129"/>
      <c r="O7" s="129"/>
      <c r="P7" s="129"/>
      <c r="Q7"/>
      <c r="R7"/>
      <c r="S7"/>
    </row>
    <row r="8" spans="1:27" ht="31.5" customHeight="1" x14ac:dyDescent="0.25">
      <c r="A8" s="160"/>
      <c r="B8" s="372" t="s">
        <v>278</v>
      </c>
      <c r="C8" s="375"/>
      <c r="D8" s="375"/>
      <c r="E8" s="376"/>
      <c r="F8" s="372" t="s">
        <v>279</v>
      </c>
      <c r="G8" s="375"/>
      <c r="H8" s="375"/>
      <c r="I8" s="376"/>
      <c r="J8" s="372" t="s">
        <v>85</v>
      </c>
      <c r="K8" s="375"/>
      <c r="L8" s="375"/>
      <c r="M8" s="376"/>
      <c r="N8" s="161"/>
      <c r="O8" s="161"/>
      <c r="P8" s="161"/>
      <c r="Q8"/>
      <c r="R8"/>
      <c r="S8"/>
    </row>
    <row r="9" spans="1:27" ht="45" x14ac:dyDescent="0.25">
      <c r="A9" s="108" t="s">
        <v>160</v>
      </c>
      <c r="B9" s="162" t="s">
        <v>157</v>
      </c>
      <c r="C9" s="117" t="s">
        <v>52</v>
      </c>
      <c r="D9" s="117" t="s">
        <v>7</v>
      </c>
      <c r="E9" s="119" t="s">
        <v>52</v>
      </c>
      <c r="F9" s="162" t="s">
        <v>157</v>
      </c>
      <c r="G9" s="117" t="s">
        <v>52</v>
      </c>
      <c r="H9" s="117" t="s">
        <v>7</v>
      </c>
      <c r="I9" s="119" t="s">
        <v>52</v>
      </c>
      <c r="J9" s="163" t="s">
        <v>161</v>
      </c>
      <c r="K9" s="120" t="s">
        <v>162</v>
      </c>
      <c r="L9" s="120" t="s">
        <v>163</v>
      </c>
      <c r="M9" s="121" t="s">
        <v>162</v>
      </c>
      <c r="N9"/>
      <c r="O9"/>
      <c r="P9"/>
      <c r="Q9"/>
      <c r="R9"/>
      <c r="S9"/>
    </row>
    <row r="10" spans="1:27" x14ac:dyDescent="0.25">
      <c r="A10" s="100" t="s">
        <v>164</v>
      </c>
      <c r="B10" s="93">
        <v>33108</v>
      </c>
      <c r="C10" s="83">
        <f>B10/$B$19</f>
        <v>0.15676136363636364</v>
      </c>
      <c r="D10" s="169">
        <v>1578707199.1700001</v>
      </c>
      <c r="E10" s="83">
        <f>D10/D19</f>
        <v>0.16466439243762568</v>
      </c>
      <c r="F10" s="164">
        <v>33837</v>
      </c>
      <c r="G10" s="83">
        <f>F10/$F$19</f>
        <v>0.14250578033464872</v>
      </c>
      <c r="H10" s="169">
        <v>1665437747.8299999</v>
      </c>
      <c r="I10" s="109">
        <f>H10/H19</f>
        <v>0.15096963551154099</v>
      </c>
      <c r="J10" s="164">
        <f>+F10-B10</f>
        <v>729</v>
      </c>
      <c r="K10" s="83">
        <f>+(F10-B10)/B10</f>
        <v>2.2018847408481333E-2</v>
      </c>
      <c r="L10" s="169">
        <f>+H10-D10</f>
        <v>86730548.659999847</v>
      </c>
      <c r="M10" s="109">
        <f>+(H10-D10)/D10</f>
        <v>5.4937703904560729E-2</v>
      </c>
      <c r="N10"/>
      <c r="O10"/>
      <c r="P10"/>
      <c r="Q10"/>
      <c r="R10"/>
      <c r="S10"/>
    </row>
    <row r="11" spans="1:27" x14ac:dyDescent="0.25">
      <c r="A11" s="101" t="s">
        <v>119</v>
      </c>
      <c r="B11" s="93">
        <v>65802</v>
      </c>
      <c r="C11" s="83">
        <f t="shared" ref="C11:C18" si="0">B11/$B$19</f>
        <v>0.31156250000000002</v>
      </c>
      <c r="D11" s="169">
        <v>2032761091.6600001</v>
      </c>
      <c r="E11" s="83">
        <f>D11/D19</f>
        <v>0.21202371808085649</v>
      </c>
      <c r="F11" s="164">
        <v>73057</v>
      </c>
      <c r="G11" s="83">
        <f t="shared" ref="G11:G18" si="1">F11/$F$19</f>
        <v>0.30768226479618266</v>
      </c>
      <c r="H11" s="169">
        <v>2236627080.0500002</v>
      </c>
      <c r="I11" s="109">
        <f>H11/H19</f>
        <v>0.20274716091331069</v>
      </c>
      <c r="J11" s="164">
        <f t="shared" ref="J11:J19" si="2">+F11-B11</f>
        <v>7255</v>
      </c>
      <c r="K11" s="83">
        <f t="shared" ref="K11:K19" si="3">+(F11-B11)/B11</f>
        <v>0.11025500744658218</v>
      </c>
      <c r="L11" s="169">
        <f t="shared" ref="L11:L19" si="4">+H11-D11</f>
        <v>203865988.3900001</v>
      </c>
      <c r="M11" s="109">
        <f t="shared" ref="M11:M19" si="5">+(H11-D11)/D11</f>
        <v>0.10029018620359287</v>
      </c>
      <c r="N11"/>
      <c r="O11"/>
      <c r="P11"/>
      <c r="Q11"/>
      <c r="R11"/>
      <c r="S11"/>
    </row>
    <row r="12" spans="1:27" x14ac:dyDescent="0.25">
      <c r="A12" s="101" t="s">
        <v>165</v>
      </c>
      <c r="B12" s="93">
        <v>252</v>
      </c>
      <c r="C12" s="83">
        <f t="shared" si="0"/>
        <v>1.1931818181818183E-3</v>
      </c>
      <c r="D12" s="169">
        <v>22734438.75</v>
      </c>
      <c r="E12" s="83">
        <f>D12/D19</f>
        <v>2.3712772996457633E-3</v>
      </c>
      <c r="F12" s="164">
        <v>254</v>
      </c>
      <c r="G12" s="83">
        <f t="shared" si="1"/>
        <v>1.069730419511209E-3</v>
      </c>
      <c r="H12" s="169">
        <v>22730663.25</v>
      </c>
      <c r="I12" s="109">
        <f>H12/H19</f>
        <v>2.0605032822507909E-3</v>
      </c>
      <c r="J12" s="164">
        <f t="shared" si="2"/>
        <v>2</v>
      </c>
      <c r="K12" s="83">
        <f t="shared" si="3"/>
        <v>7.9365079365079361E-3</v>
      </c>
      <c r="L12" s="169">
        <f t="shared" si="4"/>
        <v>-3775.5</v>
      </c>
      <c r="M12" s="109">
        <f t="shared" si="5"/>
        <v>-1.6606963741297551E-4</v>
      </c>
      <c r="N12"/>
      <c r="O12"/>
      <c r="P12"/>
      <c r="Q12"/>
      <c r="R12"/>
      <c r="S12"/>
    </row>
    <row r="13" spans="1:27" x14ac:dyDescent="0.25">
      <c r="A13" s="101" t="s">
        <v>166</v>
      </c>
      <c r="B13" s="93">
        <v>168</v>
      </c>
      <c r="C13" s="83">
        <f t="shared" si="0"/>
        <v>7.9545454545454548E-4</v>
      </c>
      <c r="D13" s="169">
        <v>24988068.16</v>
      </c>
      <c r="E13" s="83">
        <f>D13/D19</f>
        <v>2.6063383152491099E-3</v>
      </c>
      <c r="F13" s="164">
        <v>175</v>
      </c>
      <c r="G13" s="83">
        <f t="shared" si="1"/>
        <v>7.3701898982071485E-4</v>
      </c>
      <c r="H13" s="169">
        <v>26211201.280000001</v>
      </c>
      <c r="I13" s="109">
        <f>H13/H19</f>
        <v>2.3760092556549635E-3</v>
      </c>
      <c r="J13" s="164">
        <f t="shared" si="2"/>
        <v>7</v>
      </c>
      <c r="K13" s="83">
        <f t="shared" si="3"/>
        <v>4.1666666666666664E-2</v>
      </c>
      <c r="L13" s="169">
        <f t="shared" si="4"/>
        <v>1223133.120000001</v>
      </c>
      <c r="M13" s="109">
        <f t="shared" si="5"/>
        <v>4.8948686715924221E-2</v>
      </c>
      <c r="N13"/>
      <c r="O13"/>
      <c r="P13"/>
      <c r="Q13"/>
      <c r="R13"/>
      <c r="S13"/>
    </row>
    <row r="14" spans="1:27" x14ac:dyDescent="0.25">
      <c r="A14" s="101" t="s">
        <v>167</v>
      </c>
      <c r="B14" s="93">
        <v>239</v>
      </c>
      <c r="C14" s="83">
        <f>B14/$B$19</f>
        <v>1.1316287878787878E-3</v>
      </c>
      <c r="D14" s="169">
        <v>22278664.289999999</v>
      </c>
      <c r="E14" s="83">
        <f>D14/D19</f>
        <v>2.3237385131095745E-3</v>
      </c>
      <c r="F14" s="164">
        <v>226</v>
      </c>
      <c r="G14" s="83">
        <f t="shared" si="1"/>
        <v>9.5180738113989465E-4</v>
      </c>
      <c r="H14" s="169">
        <v>21599855.700000003</v>
      </c>
      <c r="I14" s="109">
        <f>H14/H19</f>
        <v>1.9579971370168206E-3</v>
      </c>
      <c r="J14" s="164">
        <f t="shared" si="2"/>
        <v>-13</v>
      </c>
      <c r="K14" s="83">
        <f t="shared" si="3"/>
        <v>-5.4393305439330547E-2</v>
      </c>
      <c r="L14" s="169">
        <f t="shared" si="4"/>
        <v>-678808.58999999613</v>
      </c>
      <c r="M14" s="109">
        <f t="shared" si="5"/>
        <v>-3.0468998552336288E-2</v>
      </c>
      <c r="N14"/>
      <c r="O14"/>
      <c r="P14"/>
      <c r="Q14"/>
      <c r="R14"/>
      <c r="S14"/>
    </row>
    <row r="15" spans="1:27" x14ac:dyDescent="0.25">
      <c r="A15" s="101" t="s">
        <v>168</v>
      </c>
      <c r="B15" s="93">
        <v>30628</v>
      </c>
      <c r="C15" s="83">
        <f t="shared" si="0"/>
        <v>0.14501893939393939</v>
      </c>
      <c r="D15" s="169">
        <v>2511304344.4400001</v>
      </c>
      <c r="E15" s="83">
        <f>D15/D19</f>
        <v>0.26193736515586324</v>
      </c>
      <c r="F15" s="164">
        <v>35405</v>
      </c>
      <c r="G15" s="83">
        <f t="shared" si="1"/>
        <v>0.14910947048344234</v>
      </c>
      <c r="H15" s="169">
        <v>3154059082.2600002</v>
      </c>
      <c r="I15" s="109">
        <f>H15/H19</f>
        <v>0.28591110694535704</v>
      </c>
      <c r="J15" s="164">
        <f t="shared" si="2"/>
        <v>4777</v>
      </c>
      <c r="K15" s="83">
        <f t="shared" si="3"/>
        <v>0.15596839493274128</v>
      </c>
      <c r="L15" s="169">
        <f>+H15-D15</f>
        <v>642754737.82000017</v>
      </c>
      <c r="M15" s="109">
        <f t="shared" si="5"/>
        <v>0.2559445808482162</v>
      </c>
      <c r="N15"/>
      <c r="O15"/>
      <c r="P15"/>
      <c r="Q15"/>
      <c r="R15"/>
      <c r="S15"/>
    </row>
    <row r="16" spans="1:27" x14ac:dyDescent="0.25">
      <c r="A16" s="101" t="s">
        <v>169</v>
      </c>
      <c r="B16" s="93">
        <v>25022</v>
      </c>
      <c r="C16" s="83">
        <f t="shared" si="0"/>
        <v>0.11847537878787878</v>
      </c>
      <c r="D16" s="169">
        <v>2033307597.4800003</v>
      </c>
      <c r="E16" s="83">
        <f>D16/D19</f>
        <v>0.2120807204489088</v>
      </c>
      <c r="F16" s="164">
        <v>25600</v>
      </c>
      <c r="G16" s="83">
        <f t="shared" si="1"/>
        <v>0.10781534936805887</v>
      </c>
      <c r="H16" s="169">
        <v>2263988788.4200001</v>
      </c>
      <c r="I16" s="109">
        <f>H16/H19</f>
        <v>0.20522746205033859</v>
      </c>
      <c r="J16" s="164">
        <f t="shared" si="2"/>
        <v>578</v>
      </c>
      <c r="K16" s="83">
        <f t="shared" si="3"/>
        <v>2.3099672288386219E-2</v>
      </c>
      <c r="L16" s="169">
        <f t="shared" si="4"/>
        <v>230681190.93999982</v>
      </c>
      <c r="M16" s="109">
        <f t="shared" si="5"/>
        <v>0.1134512019853252</v>
      </c>
      <c r="N16"/>
      <c r="O16"/>
      <c r="P16"/>
      <c r="Q16"/>
      <c r="R16"/>
      <c r="S16"/>
    </row>
    <row r="17" spans="1:27" x14ac:dyDescent="0.25">
      <c r="A17" s="101" t="s">
        <v>170</v>
      </c>
      <c r="B17" s="93">
        <v>36486</v>
      </c>
      <c r="C17" s="83">
        <f t="shared" si="0"/>
        <v>0.17275568181818182</v>
      </c>
      <c r="D17" s="169">
        <v>635622000</v>
      </c>
      <c r="E17" s="83">
        <f>D17/D19</f>
        <v>6.629748094201092E-2</v>
      </c>
      <c r="F17" s="164">
        <v>48574</v>
      </c>
      <c r="G17" s="83">
        <f t="shared" si="1"/>
        <v>0.2045712023517223</v>
      </c>
      <c r="H17" s="169">
        <v>873408000</v>
      </c>
      <c r="I17" s="109">
        <f>H17/H19</f>
        <v>7.9173230932630123E-2</v>
      </c>
      <c r="J17" s="164">
        <f t="shared" si="2"/>
        <v>12088</v>
      </c>
      <c r="K17" s="83">
        <f t="shared" si="3"/>
        <v>0.33130515814284933</v>
      </c>
      <c r="L17" s="169">
        <f t="shared" si="4"/>
        <v>237786000</v>
      </c>
      <c r="M17" s="109">
        <f t="shared" si="5"/>
        <v>0.37409970076554933</v>
      </c>
      <c r="N17"/>
      <c r="O17"/>
      <c r="P17"/>
      <c r="Q17"/>
      <c r="R17"/>
      <c r="S17"/>
    </row>
    <row r="18" spans="1:27" x14ac:dyDescent="0.25">
      <c r="A18" s="101" t="s">
        <v>171</v>
      </c>
      <c r="B18" s="93">
        <v>19495</v>
      </c>
      <c r="C18" s="83">
        <f t="shared" si="0"/>
        <v>9.2305871212121207E-2</v>
      </c>
      <c r="D18" s="169">
        <v>725719692.20000005</v>
      </c>
      <c r="E18" s="83">
        <f>D18/D19</f>
        <v>7.5694968806730309E-2</v>
      </c>
      <c r="F18" s="164">
        <v>20315</v>
      </c>
      <c r="G18" s="83">
        <f t="shared" si="1"/>
        <v>8.5557375875473268E-2</v>
      </c>
      <c r="H18" s="169">
        <v>767544978.20000005</v>
      </c>
      <c r="I18" s="109">
        <f>H18/H19</f>
        <v>6.9576893971899909E-2</v>
      </c>
      <c r="J18" s="164">
        <f t="shared" si="2"/>
        <v>820</v>
      </c>
      <c r="K18" s="83">
        <f t="shared" si="3"/>
        <v>4.2062067196717109E-2</v>
      </c>
      <c r="L18" s="169">
        <f t="shared" si="4"/>
        <v>41825286</v>
      </c>
      <c r="M18" s="109">
        <f t="shared" si="5"/>
        <v>5.7632838752394541E-2</v>
      </c>
      <c r="N18"/>
      <c r="O18"/>
      <c r="P18"/>
      <c r="Q18"/>
      <c r="R18"/>
      <c r="S18"/>
    </row>
    <row r="19" spans="1:27" ht="15.75" thickBot="1" x14ac:dyDescent="0.3">
      <c r="A19" s="102" t="s">
        <v>172</v>
      </c>
      <c r="B19" s="96">
        <f t="shared" ref="B19:I19" si="6">SUM(B10:B18)</f>
        <v>211200</v>
      </c>
      <c r="C19" s="271">
        <f t="shared" si="6"/>
        <v>1.0000000000000002</v>
      </c>
      <c r="D19" s="274">
        <f t="shared" si="6"/>
        <v>9587423096.1500015</v>
      </c>
      <c r="E19" s="272">
        <f t="shared" si="6"/>
        <v>0.99999999999999989</v>
      </c>
      <c r="F19" s="96">
        <f t="shared" si="6"/>
        <v>237443</v>
      </c>
      <c r="G19" s="271">
        <f t="shared" si="6"/>
        <v>1</v>
      </c>
      <c r="H19" s="273">
        <f>SUM(H10:H18)</f>
        <v>11031607396.990002</v>
      </c>
      <c r="I19" s="272">
        <f t="shared" si="6"/>
        <v>1</v>
      </c>
      <c r="J19" s="96">
        <f t="shared" si="2"/>
        <v>26243</v>
      </c>
      <c r="K19" s="271">
        <f t="shared" si="3"/>
        <v>0.12425662878787878</v>
      </c>
      <c r="L19" s="274">
        <f t="shared" si="4"/>
        <v>1444184300.8400002</v>
      </c>
      <c r="M19" s="272">
        <f t="shared" si="5"/>
        <v>0.15063320835605323</v>
      </c>
      <c r="N19" s="166"/>
      <c r="O19"/>
      <c r="P19"/>
      <c r="Q19"/>
      <c r="R19"/>
      <c r="S19"/>
    </row>
    <row r="20" spans="1:27" ht="14.25" customHeight="1" x14ac:dyDescent="0.25">
      <c r="A20" s="378" t="s">
        <v>173</v>
      </c>
      <c r="B20" s="378"/>
      <c r="C20" s="378"/>
      <c r="D20" s="378"/>
      <c r="E20" s="378"/>
      <c r="F20" s="378"/>
      <c r="G20" s="378"/>
      <c r="H20" s="378"/>
      <c r="I20" s="378"/>
      <c r="J20" s="167"/>
      <c r="K20" s="167"/>
      <c r="L20" s="167"/>
      <c r="M20" s="167"/>
      <c r="N20" s="167"/>
      <c r="O20" s="167"/>
      <c r="P20" s="167"/>
      <c r="Q20" s="167"/>
      <c r="R20" s="167"/>
      <c r="S20" s="167"/>
      <c r="T20" s="167"/>
      <c r="U20" s="167"/>
      <c r="V20"/>
      <c r="W20"/>
      <c r="X20"/>
      <c r="Y20"/>
      <c r="Z20"/>
      <c r="AA20"/>
    </row>
    <row r="21" spans="1:27" ht="15" customHeight="1" x14ac:dyDescent="0.25">
      <c r="A21" s="378"/>
      <c r="B21" s="378"/>
      <c r="C21" s="378"/>
      <c r="D21" s="378"/>
      <c r="E21" s="378"/>
      <c r="F21" s="378"/>
      <c r="G21" s="378"/>
      <c r="H21" s="378"/>
      <c r="I21" s="378"/>
      <c r="J21"/>
      <c r="K21"/>
      <c r="L21"/>
      <c r="M21"/>
      <c r="N21"/>
      <c r="O21"/>
      <c r="P21"/>
      <c r="Q21"/>
      <c r="R21"/>
      <c r="S21"/>
      <c r="T21"/>
      <c r="U21"/>
      <c r="V21"/>
      <c r="W21"/>
      <c r="X21"/>
      <c r="Y21"/>
      <c r="Z21"/>
      <c r="AA21"/>
    </row>
    <row r="22" spans="1:27" x14ac:dyDescent="0.25">
      <c r="A22"/>
      <c r="B22" s="224"/>
      <c r="C22"/>
      <c r="D22"/>
      <c r="E22"/>
      <c r="F22"/>
      <c r="G22"/>
      <c r="H22"/>
      <c r="I22"/>
      <c r="J22"/>
      <c r="K22"/>
      <c r="L22"/>
      <c r="M22"/>
      <c r="N22"/>
      <c r="O22"/>
      <c r="P22"/>
      <c r="Q22"/>
      <c r="R22"/>
      <c r="S22"/>
      <c r="T22"/>
      <c r="U22"/>
      <c r="V22"/>
      <c r="W22"/>
      <c r="X22"/>
      <c r="Y22"/>
      <c r="Z22"/>
      <c r="AA22"/>
    </row>
    <row r="23" spans="1:27" x14ac:dyDescent="0.25">
      <c r="A23"/>
      <c r="B23" s="224"/>
      <c r="C23" s="74"/>
      <c r="D23"/>
      <c r="E23"/>
      <c r="F23" s="74"/>
      <c r="G23"/>
      <c r="H23"/>
      <c r="I23"/>
      <c r="J23"/>
      <c r="K23"/>
      <c r="L23"/>
      <c r="M23"/>
      <c r="N23"/>
      <c r="O23"/>
      <c r="P23"/>
      <c r="Q23"/>
      <c r="R23"/>
      <c r="S23"/>
      <c r="T23"/>
      <c r="U23"/>
      <c r="V23"/>
      <c r="W23"/>
      <c r="X23"/>
      <c r="Y23"/>
      <c r="Z23"/>
      <c r="AA23"/>
    </row>
    <row r="24" spans="1:27" x14ac:dyDescent="0.25">
      <c r="A24"/>
      <c r="B24" s="224"/>
      <c r="C24"/>
      <c r="D24"/>
      <c r="E24"/>
      <c r="F24"/>
      <c r="G24"/>
      <c r="H24" s="224"/>
      <c r="I24"/>
      <c r="J24"/>
      <c r="K24"/>
      <c r="L24"/>
      <c r="M24"/>
      <c r="N24"/>
      <c r="O24"/>
      <c r="P24"/>
      <c r="Q24"/>
      <c r="R24"/>
      <c r="S24"/>
      <c r="T24"/>
      <c r="U24"/>
      <c r="V24"/>
      <c r="W24"/>
      <c r="X24"/>
      <c r="Y24"/>
      <c r="Z24"/>
      <c r="AA24"/>
    </row>
    <row r="25" spans="1:27" x14ac:dyDescent="0.25">
      <c r="A25"/>
      <c r="B25" s="32"/>
      <c r="C25"/>
      <c r="D25" s="224"/>
      <c r="E25"/>
      <c r="F25" s="176"/>
      <c r="G25"/>
      <c r="H25" s="169"/>
      <c r="I25"/>
      <c r="J25"/>
      <c r="K25"/>
      <c r="L25"/>
      <c r="M25"/>
      <c r="N25"/>
      <c r="O25"/>
      <c r="P25"/>
      <c r="Q25"/>
      <c r="R25"/>
      <c r="S25"/>
      <c r="T25"/>
      <c r="U25"/>
      <c r="V25"/>
      <c r="W25"/>
      <c r="X25"/>
      <c r="Y25"/>
      <c r="Z25"/>
      <c r="AA25"/>
    </row>
    <row r="26" spans="1:27" x14ac:dyDescent="0.25">
      <c r="A26"/>
      <c r="B26"/>
      <c r="C26"/>
      <c r="D26"/>
      <c r="E26"/>
      <c r="F26" s="165"/>
      <c r="G26" s="176"/>
      <c r="H26"/>
      <c r="I26"/>
      <c r="J26"/>
      <c r="K26"/>
      <c r="L26"/>
      <c r="M26"/>
      <c r="N26"/>
      <c r="O26"/>
      <c r="P26"/>
      <c r="Q26"/>
      <c r="R26"/>
      <c r="S26"/>
      <c r="T26"/>
      <c r="U26"/>
      <c r="V26"/>
      <c r="W26"/>
      <c r="X26"/>
      <c r="Y26"/>
      <c r="Z26"/>
      <c r="AA26"/>
    </row>
    <row r="27" spans="1:27" x14ac:dyDescent="0.25">
      <c r="A27"/>
      <c r="B27" s="32"/>
      <c r="C27"/>
      <c r="D27" s="176"/>
      <c r="E27" s="126"/>
      <c r="F27" s="126"/>
      <c r="G27" s="176"/>
      <c r="H27" s="126"/>
      <c r="I27"/>
      <c r="J27"/>
      <c r="K27"/>
      <c r="L27"/>
      <c r="M27"/>
      <c r="N27"/>
      <c r="O27"/>
      <c r="P27"/>
      <c r="Q27"/>
      <c r="R27"/>
      <c r="S27"/>
      <c r="T27"/>
      <c r="U27"/>
      <c r="V27"/>
      <c r="W27"/>
      <c r="X27"/>
      <c r="Y27"/>
      <c r="Z27"/>
      <c r="AA27"/>
    </row>
    <row r="28" spans="1:27" x14ac:dyDescent="0.25">
      <c r="A28"/>
      <c r="B28"/>
      <c r="C28"/>
      <c r="D28"/>
      <c r="E28"/>
      <c r="F28"/>
      <c r="G28" s="176"/>
      <c r="H28" s="74"/>
      <c r="I28"/>
      <c r="J28"/>
      <c r="K28"/>
      <c r="L28"/>
      <c r="M28"/>
      <c r="N28"/>
      <c r="O28"/>
      <c r="P28"/>
      <c r="Q28"/>
      <c r="R28"/>
      <c r="S28"/>
      <c r="T28"/>
      <c r="U28"/>
      <c r="V28"/>
      <c r="W28"/>
      <c r="X28"/>
      <c r="Y28"/>
      <c r="Z28"/>
      <c r="AA28"/>
    </row>
    <row r="29" spans="1:27" x14ac:dyDescent="0.25">
      <c r="A29"/>
      <c r="B29"/>
      <c r="C29"/>
      <c r="D29"/>
      <c r="E29"/>
      <c r="F29"/>
      <c r="G29"/>
      <c r="H29"/>
      <c r="I29"/>
      <c r="J29"/>
      <c r="K29"/>
      <c r="L29"/>
      <c r="M29"/>
      <c r="N29"/>
      <c r="O29"/>
      <c r="P29"/>
      <c r="Q29"/>
      <c r="R29"/>
      <c r="S29"/>
      <c r="T29"/>
      <c r="U29"/>
      <c r="V29"/>
      <c r="W29"/>
      <c r="X29"/>
      <c r="Y29"/>
      <c r="Z29"/>
      <c r="AA29"/>
    </row>
    <row r="30" spans="1:27" ht="16.5" thickBot="1" x14ac:dyDescent="0.3">
      <c r="A30" s="377" t="s">
        <v>174</v>
      </c>
      <c r="B30" s="377"/>
      <c r="C30" s="377"/>
      <c r="D30" s="377"/>
      <c r="E30" s="377"/>
      <c r="F30" s="377"/>
      <c r="G30" s="377"/>
      <c r="H30" s="377"/>
      <c r="I30" s="377"/>
      <c r="J30" s="377"/>
      <c r="K30" s="377"/>
      <c r="L30" s="377"/>
      <c r="M30" s="377"/>
      <c r="N30"/>
      <c r="O30"/>
      <c r="P30"/>
      <c r="Q30"/>
      <c r="R30"/>
    </row>
    <row r="31" spans="1:27" ht="34.5" customHeight="1" x14ac:dyDescent="0.25">
      <c r="A31" s="160"/>
      <c r="B31" s="372" t="s">
        <v>280</v>
      </c>
      <c r="C31" s="375"/>
      <c r="D31" s="375"/>
      <c r="E31" s="376"/>
      <c r="F31" s="372" t="s">
        <v>279</v>
      </c>
      <c r="G31" s="375"/>
      <c r="H31" s="375"/>
      <c r="I31" s="376"/>
      <c r="J31" s="375" t="s">
        <v>85</v>
      </c>
      <c r="K31" s="373"/>
      <c r="L31" s="373"/>
      <c r="M31" s="374"/>
      <c r="N31"/>
      <c r="O31"/>
      <c r="P31"/>
      <c r="Q31"/>
      <c r="R31"/>
      <c r="S31"/>
    </row>
    <row r="32" spans="1:27" ht="45" x14ac:dyDescent="0.25">
      <c r="A32" s="106" t="s">
        <v>136</v>
      </c>
      <c r="B32" s="168" t="s">
        <v>157</v>
      </c>
      <c r="C32" s="54" t="s">
        <v>52</v>
      </c>
      <c r="D32" s="54" t="s">
        <v>7</v>
      </c>
      <c r="E32" s="92" t="s">
        <v>52</v>
      </c>
      <c r="F32" s="54" t="s">
        <v>157</v>
      </c>
      <c r="G32" s="54" t="s">
        <v>52</v>
      </c>
      <c r="H32" s="54" t="s">
        <v>7</v>
      </c>
      <c r="I32" s="92" t="s">
        <v>52</v>
      </c>
      <c r="J32" s="120" t="s">
        <v>161</v>
      </c>
      <c r="K32" s="120" t="s">
        <v>162</v>
      </c>
      <c r="L32" s="120" t="s">
        <v>163</v>
      </c>
      <c r="M32" s="121" t="s">
        <v>162</v>
      </c>
      <c r="N32"/>
      <c r="O32"/>
      <c r="P32"/>
      <c r="Q32"/>
      <c r="R32"/>
      <c r="S32"/>
    </row>
    <row r="33" spans="1:27" x14ac:dyDescent="0.25">
      <c r="A33" s="107" t="s">
        <v>175</v>
      </c>
      <c r="B33" s="198">
        <v>39</v>
      </c>
      <c r="C33" s="83">
        <f>B33/$B$46</f>
        <v>2.0947695216405805E-4</v>
      </c>
      <c r="D33" s="169">
        <v>574379.04</v>
      </c>
      <c r="E33" s="122">
        <f>D33/D46</f>
        <v>7.6035247290185968E-5</v>
      </c>
      <c r="F33" s="165">
        <v>38</v>
      </c>
      <c r="G33" s="83">
        <f>F33/$F$46</f>
        <v>2.3274473415038985E-4</v>
      </c>
      <c r="H33" s="169">
        <v>564379.04</v>
      </c>
      <c r="I33" s="109">
        <f>H33/H46</f>
        <v>7.1492777173604523E-5</v>
      </c>
      <c r="J33" s="165">
        <f>+F33-B33</f>
        <v>-1</v>
      </c>
      <c r="K33" s="83">
        <f>+(F33-B33)/B33</f>
        <v>-2.564102564102564E-2</v>
      </c>
      <c r="L33" s="169">
        <f>+H33-D33</f>
        <v>-10000</v>
      </c>
      <c r="M33" s="122">
        <f>+(H33-D33)/D33</f>
        <v>-1.7410106051223596E-2</v>
      </c>
      <c r="N33"/>
      <c r="O33"/>
      <c r="P33"/>
      <c r="Q33"/>
      <c r="R33"/>
      <c r="S33"/>
    </row>
    <row r="34" spans="1:27" x14ac:dyDescent="0.25">
      <c r="A34" s="107" t="s">
        <v>176</v>
      </c>
      <c r="B34" s="198">
        <v>0</v>
      </c>
      <c r="C34" s="83">
        <f t="shared" ref="C34:C45" si="7">B34/$B$46</f>
        <v>0</v>
      </c>
      <c r="D34" s="169">
        <v>0</v>
      </c>
      <c r="E34" s="122">
        <f>D34/D46</f>
        <v>0</v>
      </c>
      <c r="F34" s="165">
        <v>0</v>
      </c>
      <c r="G34" s="85">
        <f>F34/$F$46</f>
        <v>0</v>
      </c>
      <c r="H34" s="169">
        <v>0</v>
      </c>
      <c r="I34" s="110">
        <f>H34/H46</f>
        <v>0</v>
      </c>
      <c r="J34" s="165">
        <f>+F34-B34</f>
        <v>0</v>
      </c>
      <c r="K34" s="83" t="e">
        <f>+(F34-B34)/B34</f>
        <v>#DIV/0!</v>
      </c>
      <c r="L34" s="169">
        <f>+H34-D34</f>
        <v>0</v>
      </c>
      <c r="M34" s="122" t="e">
        <f t="shared" ref="M34:M46" si="8">+(H34-D34)/D34</f>
        <v>#DIV/0!</v>
      </c>
      <c r="N34"/>
      <c r="O34"/>
      <c r="P34"/>
      <c r="Q34"/>
      <c r="R34"/>
      <c r="S34"/>
    </row>
    <row r="35" spans="1:27" x14ac:dyDescent="0.25">
      <c r="A35" s="108" t="s">
        <v>177</v>
      </c>
      <c r="B35" s="198">
        <v>36499</v>
      </c>
      <c r="C35" s="83">
        <f t="shared" si="7"/>
        <v>0.19604357120605012</v>
      </c>
      <c r="D35" s="169">
        <v>635912612.42999995</v>
      </c>
      <c r="E35" s="122">
        <f>D35/D46</f>
        <v>8.4180949118657311E-2</v>
      </c>
      <c r="F35" s="165">
        <v>11</v>
      </c>
      <c r="G35" s="83">
        <f>F35/$F$46</f>
        <v>6.7373475675112845E-5</v>
      </c>
      <c r="H35" s="169">
        <v>255672.72000000003</v>
      </c>
      <c r="I35" s="94">
        <f>H35/H46</f>
        <v>3.2387370020561676E-5</v>
      </c>
      <c r="J35" s="165">
        <f t="shared" ref="J35:J46" si="9">+F35-B35</f>
        <v>-36488</v>
      </c>
      <c r="K35" s="83">
        <f t="shared" ref="K35:K46" si="10">+(F35-B35)/B35</f>
        <v>-0.99969862188005154</v>
      </c>
      <c r="L35" s="169">
        <f t="shared" ref="L35:L46" si="11">+H35-D35</f>
        <v>-635656939.70999992</v>
      </c>
      <c r="M35" s="122">
        <f t="shared" si="8"/>
        <v>-0.99959794362463883</v>
      </c>
      <c r="N35"/>
      <c r="O35"/>
      <c r="P35"/>
      <c r="Q35"/>
      <c r="R35"/>
      <c r="S35"/>
    </row>
    <row r="36" spans="1:27" x14ac:dyDescent="0.25">
      <c r="A36" s="108" t="s">
        <v>178</v>
      </c>
      <c r="B36" s="198">
        <v>124310</v>
      </c>
      <c r="C36" s="83">
        <f t="shared" si="7"/>
        <v>0.66769435701318092</v>
      </c>
      <c r="D36" s="169">
        <v>3864308309.3699999</v>
      </c>
      <c r="E36" s="122">
        <f>D36/D46</f>
        <v>0.51155006963427563</v>
      </c>
      <c r="F36" s="165">
        <v>133225</v>
      </c>
      <c r="G36" s="83">
        <f t="shared" ref="G36:G45" si="12">F36/$F$46</f>
        <v>0.81598466334699182</v>
      </c>
      <c r="H36" s="169">
        <v>4121665286.6400003</v>
      </c>
      <c r="I36" s="94">
        <f>H36/H46</f>
        <v>0.52211240502824896</v>
      </c>
      <c r="J36" s="165">
        <f t="shared" si="9"/>
        <v>8915</v>
      </c>
      <c r="K36" s="83">
        <f t="shared" si="10"/>
        <v>7.1715871611294349E-2</v>
      </c>
      <c r="L36" s="169">
        <f t="shared" si="11"/>
        <v>257356977.27000046</v>
      </c>
      <c r="M36" s="122">
        <f t="shared" si="8"/>
        <v>6.6598458680424882E-2</v>
      </c>
      <c r="N36"/>
      <c r="O36"/>
      <c r="P36"/>
      <c r="Q36"/>
      <c r="R36"/>
      <c r="S36"/>
    </row>
    <row r="37" spans="1:27" ht="15" customHeight="1" x14ac:dyDescent="0.25">
      <c r="A37" s="108" t="s">
        <v>179</v>
      </c>
      <c r="B37" s="198">
        <v>9346</v>
      </c>
      <c r="C37" s="83">
        <f t="shared" si="7"/>
        <v>5.0199271664750938E-2</v>
      </c>
      <c r="D37" s="169">
        <v>644918634.25999999</v>
      </c>
      <c r="E37" s="122">
        <f>D37/D46</f>
        <v>8.5373149824562011E-2</v>
      </c>
      <c r="F37" s="165">
        <v>10422</v>
      </c>
      <c r="G37" s="83">
        <f t="shared" si="12"/>
        <v>6.3833305771456919E-2</v>
      </c>
      <c r="H37" s="169">
        <v>717894755.63</v>
      </c>
      <c r="I37" s="94">
        <f>H37/H46</f>
        <v>9.0939397392140672E-2</v>
      </c>
      <c r="J37" s="165">
        <f t="shared" si="9"/>
        <v>1076</v>
      </c>
      <c r="K37" s="83">
        <f t="shared" si="10"/>
        <v>0.11512946715172266</v>
      </c>
      <c r="L37" s="169">
        <f t="shared" si="11"/>
        <v>72976121.370000005</v>
      </c>
      <c r="M37" s="122">
        <f t="shared" si="8"/>
        <v>0.11315554783703081</v>
      </c>
      <c r="N37"/>
      <c r="O37"/>
      <c r="P37"/>
      <c r="Q37"/>
      <c r="R37"/>
      <c r="S37"/>
    </row>
    <row r="38" spans="1:27" x14ac:dyDescent="0.25">
      <c r="A38" s="108" t="s">
        <v>180</v>
      </c>
      <c r="B38" s="198">
        <v>5510</v>
      </c>
      <c r="C38" s="83">
        <f t="shared" si="7"/>
        <v>2.9595333498050252E-2</v>
      </c>
      <c r="D38" s="169">
        <v>537102334.09000003</v>
      </c>
      <c r="E38" s="122">
        <f>D38/D46</f>
        <v>7.1100625107540893E-2</v>
      </c>
      <c r="F38" s="165">
        <v>6555</v>
      </c>
      <c r="G38" s="83">
        <f t="shared" si="12"/>
        <v>4.0148466640942251E-2</v>
      </c>
      <c r="H38" s="169">
        <v>644995667.74000001</v>
      </c>
      <c r="I38" s="94">
        <f>H38/H46</f>
        <v>8.1704897388953479E-2</v>
      </c>
      <c r="J38" s="165">
        <f t="shared" si="9"/>
        <v>1045</v>
      </c>
      <c r="K38" s="83">
        <f t="shared" si="10"/>
        <v>0.18965517241379309</v>
      </c>
      <c r="L38" s="169">
        <f t="shared" si="11"/>
        <v>107893333.64999998</v>
      </c>
      <c r="M38" s="122">
        <f t="shared" si="8"/>
        <v>0.20088040360651407</v>
      </c>
      <c r="N38"/>
      <c r="O38"/>
      <c r="P38"/>
      <c r="Q38"/>
      <c r="R38"/>
      <c r="S38"/>
    </row>
    <row r="39" spans="1:27" x14ac:dyDescent="0.25">
      <c r="A39" s="108" t="s">
        <v>181</v>
      </c>
      <c r="B39" s="198">
        <v>2619</v>
      </c>
      <c r="C39" s="83">
        <f t="shared" si="7"/>
        <v>1.4067183018401744E-2</v>
      </c>
      <c r="D39" s="169">
        <v>321165791.10000002</v>
      </c>
      <c r="E39" s="122">
        <f>D39/D46</f>
        <v>4.2515340301130605E-2</v>
      </c>
      <c r="F39" s="165">
        <v>3460</v>
      </c>
      <c r="G39" s="83">
        <f t="shared" si="12"/>
        <v>2.1192020530535496E-2</v>
      </c>
      <c r="H39" s="169">
        <v>438969770.36000001</v>
      </c>
      <c r="I39" s="94">
        <f>H39/H46</f>
        <v>5.5606544102516323E-2</v>
      </c>
      <c r="J39" s="165">
        <f t="shared" si="9"/>
        <v>841</v>
      </c>
      <c r="K39" s="83">
        <f t="shared" si="10"/>
        <v>0.32111492936235203</v>
      </c>
      <c r="L39" s="169">
        <f t="shared" si="11"/>
        <v>117803979.25999999</v>
      </c>
      <c r="M39" s="122">
        <f t="shared" si="8"/>
        <v>0.36680114297515537</v>
      </c>
      <c r="N39"/>
      <c r="O39"/>
      <c r="P39"/>
      <c r="Q39"/>
      <c r="R39"/>
      <c r="S39"/>
    </row>
    <row r="40" spans="1:27" x14ac:dyDescent="0.25">
      <c r="A40" s="108" t="s">
        <v>182</v>
      </c>
      <c r="B40" s="198">
        <v>3965</v>
      </c>
      <c r="C40" s="83">
        <f t="shared" si="7"/>
        <v>2.129682347001257E-2</v>
      </c>
      <c r="D40" s="169">
        <v>588304841.33999991</v>
      </c>
      <c r="E40" s="122">
        <f>D40/D46</f>
        <v>7.7878719413752476E-2</v>
      </c>
      <c r="F40" s="165">
        <v>4637</v>
      </c>
      <c r="G40" s="83">
        <f t="shared" si="12"/>
        <v>2.8400982427772573E-2</v>
      </c>
      <c r="H40" s="169">
        <v>704952151.23000002</v>
      </c>
      <c r="I40" s="94">
        <f>H40/H46</f>
        <v>8.9299891551499755E-2</v>
      </c>
      <c r="J40" s="165">
        <f t="shared" si="9"/>
        <v>672</v>
      </c>
      <c r="K40" s="83">
        <f t="shared" si="10"/>
        <v>0.16948297604035309</v>
      </c>
      <c r="L40" s="169">
        <f t="shared" si="11"/>
        <v>116647309.8900001</v>
      </c>
      <c r="M40" s="122">
        <f t="shared" si="8"/>
        <v>0.19827698447000533</v>
      </c>
      <c r="N40"/>
      <c r="O40"/>
      <c r="P40"/>
      <c r="Q40"/>
      <c r="R40"/>
      <c r="S40"/>
    </row>
    <row r="41" spans="1:27" x14ac:dyDescent="0.25">
      <c r="A41" s="108" t="s">
        <v>183</v>
      </c>
      <c r="B41" s="198">
        <v>1117</v>
      </c>
      <c r="C41" s="83">
        <f t="shared" si="7"/>
        <v>5.9996347581346881E-3</v>
      </c>
      <c r="D41" s="169">
        <v>206785289.81999999</v>
      </c>
      <c r="E41" s="122">
        <f>D41/D46</f>
        <v>2.7373858641214475E-2</v>
      </c>
      <c r="F41" s="165">
        <v>1344</v>
      </c>
      <c r="G41" s="83">
        <f t="shared" si="12"/>
        <v>8.2318137552137884E-3</v>
      </c>
      <c r="H41" s="169">
        <v>254321643.39000002</v>
      </c>
      <c r="I41" s="94">
        <f>H41/H46</f>
        <v>3.2216222241892932E-2</v>
      </c>
      <c r="J41" s="165">
        <f t="shared" si="9"/>
        <v>227</v>
      </c>
      <c r="K41" s="83">
        <f t="shared" si="10"/>
        <v>0.20322291853178157</v>
      </c>
      <c r="L41" s="169">
        <f t="shared" si="11"/>
        <v>47536353.570000023</v>
      </c>
      <c r="M41" s="122">
        <f t="shared" si="8"/>
        <v>0.22988266530650658</v>
      </c>
      <c r="N41"/>
      <c r="O41"/>
      <c r="P41"/>
      <c r="Q41"/>
      <c r="R41"/>
      <c r="S41"/>
    </row>
    <row r="42" spans="1:27" ht="15" customHeight="1" x14ac:dyDescent="0.25">
      <c r="A42" s="108" t="s">
        <v>184</v>
      </c>
      <c r="B42" s="198">
        <v>818</v>
      </c>
      <c r="C42" s="83">
        <f t="shared" si="7"/>
        <v>4.3936447915435767E-3</v>
      </c>
      <c r="D42" s="169">
        <v>174371704.64999998</v>
      </c>
      <c r="E42" s="122">
        <f>D42/D46</f>
        <v>2.3083007491836782E-2</v>
      </c>
      <c r="F42" s="165">
        <v>992</v>
      </c>
      <c r="G42" s="83">
        <f t="shared" si="12"/>
        <v>6.0758625336101773E-3</v>
      </c>
      <c r="H42" s="169">
        <v>218573348.88000003</v>
      </c>
      <c r="I42" s="94">
        <f>H42/H46</f>
        <v>2.7687803089863794E-2</v>
      </c>
      <c r="J42" s="165">
        <f t="shared" si="9"/>
        <v>174</v>
      </c>
      <c r="K42" s="83">
        <f t="shared" si="10"/>
        <v>0.21271393643031786</v>
      </c>
      <c r="L42" s="169">
        <f t="shared" si="11"/>
        <v>44201644.230000049</v>
      </c>
      <c r="M42" s="122">
        <f t="shared" si="8"/>
        <v>0.25349092227274994</v>
      </c>
      <c r="N42"/>
      <c r="O42"/>
      <c r="P42"/>
      <c r="Q42"/>
      <c r="R42"/>
      <c r="S42"/>
    </row>
    <row r="43" spans="1:27" x14ac:dyDescent="0.25">
      <c r="A43" s="108" t="s">
        <v>185</v>
      </c>
      <c r="B43" s="198">
        <v>815</v>
      </c>
      <c r="C43" s="83">
        <f t="shared" si="7"/>
        <v>4.3775311798386488E-3</v>
      </c>
      <c r="D43" s="169">
        <v>195328957.34</v>
      </c>
      <c r="E43" s="122">
        <f>D43/D46</f>
        <v>2.5857290290887156E-2</v>
      </c>
      <c r="F43" s="165">
        <v>1105</v>
      </c>
      <c r="G43" s="83">
        <f t="shared" si="12"/>
        <v>6.7679718746363367E-3</v>
      </c>
      <c r="H43" s="169">
        <v>270875047.37</v>
      </c>
      <c r="I43" s="94">
        <f>H43/H46</f>
        <v>3.4313126517797291E-2</v>
      </c>
      <c r="J43" s="165">
        <f t="shared" si="9"/>
        <v>290</v>
      </c>
      <c r="K43" s="83">
        <f t="shared" si="10"/>
        <v>0.35582822085889571</v>
      </c>
      <c r="L43" s="169">
        <f t="shared" si="11"/>
        <v>75546090.030000001</v>
      </c>
      <c r="M43" s="122">
        <f t="shared" si="8"/>
        <v>0.38676339165882323</v>
      </c>
      <c r="N43"/>
      <c r="O43"/>
      <c r="P43"/>
      <c r="Q43"/>
      <c r="R43"/>
      <c r="S43"/>
    </row>
    <row r="44" spans="1:27" x14ac:dyDescent="0.25">
      <c r="A44" s="108" t="s">
        <v>186</v>
      </c>
      <c r="B44" s="198">
        <v>523</v>
      </c>
      <c r="C44" s="83">
        <f t="shared" si="7"/>
        <v>2.8091396405590351E-3</v>
      </c>
      <c r="D44" s="169">
        <v>143116216.22</v>
      </c>
      <c r="E44" s="122">
        <f>D44/D46</f>
        <v>1.8945463071778218E-2</v>
      </c>
      <c r="F44" s="165">
        <v>685</v>
      </c>
      <c r="G44" s="83">
        <f t="shared" si="12"/>
        <v>4.1955300761320272E-3</v>
      </c>
      <c r="H44" s="169">
        <v>190819494.85000002</v>
      </c>
      <c r="I44" s="94">
        <f>H44/H46</f>
        <v>2.4172080567858838E-2</v>
      </c>
      <c r="J44" s="165">
        <f t="shared" si="9"/>
        <v>162</v>
      </c>
      <c r="K44" s="83">
        <f t="shared" si="10"/>
        <v>0.30975143403441685</v>
      </c>
      <c r="L44" s="169">
        <f t="shared" si="11"/>
        <v>47703278.630000025</v>
      </c>
      <c r="M44" s="122">
        <f t="shared" si="8"/>
        <v>0.33331847284636118</v>
      </c>
      <c r="N44"/>
      <c r="O44"/>
      <c r="P44"/>
      <c r="Q44"/>
      <c r="R44"/>
      <c r="S44"/>
    </row>
    <row r="45" spans="1:27" x14ac:dyDescent="0.25">
      <c r="A45" s="108" t="s">
        <v>145</v>
      </c>
      <c r="B45" s="198">
        <v>617</v>
      </c>
      <c r="C45" s="83">
        <f t="shared" si="7"/>
        <v>3.3140328073134311E-3</v>
      </c>
      <c r="D45" s="169">
        <v>242226429.00999999</v>
      </c>
      <c r="E45" s="122">
        <f>D45/D46</f>
        <v>3.2065491857074073E-2</v>
      </c>
      <c r="F45" s="165">
        <v>795</v>
      </c>
      <c r="G45" s="83">
        <f t="shared" si="12"/>
        <v>4.8692648328831564E-3</v>
      </c>
      <c r="H45" s="169">
        <v>330323390.72000003</v>
      </c>
      <c r="I45" s="95">
        <f>H45/H46</f>
        <v>4.184375197203366E-2</v>
      </c>
      <c r="J45" s="165">
        <f t="shared" si="9"/>
        <v>178</v>
      </c>
      <c r="K45" s="83">
        <f t="shared" si="10"/>
        <v>0.28849270664505672</v>
      </c>
      <c r="L45" s="169">
        <f t="shared" si="11"/>
        <v>88096961.710000038</v>
      </c>
      <c r="M45" s="122">
        <f t="shared" si="8"/>
        <v>0.36369673643813272</v>
      </c>
      <c r="N45"/>
      <c r="O45"/>
      <c r="P45"/>
      <c r="Q45"/>
      <c r="R45"/>
      <c r="S45"/>
    </row>
    <row r="46" spans="1:27" ht="15.75" thickBot="1" x14ac:dyDescent="0.3">
      <c r="A46" s="102" t="s">
        <v>172</v>
      </c>
      <c r="B46" s="96">
        <f t="shared" ref="B46:I46" si="13">SUM(B33:B45)</f>
        <v>186178</v>
      </c>
      <c r="C46" s="97">
        <f t="shared" si="13"/>
        <v>1</v>
      </c>
      <c r="D46" s="274">
        <f>SUM(D33:D45)</f>
        <v>7554115498.670001</v>
      </c>
      <c r="E46" s="99">
        <f t="shared" si="13"/>
        <v>0.99999999999999978</v>
      </c>
      <c r="F46" s="225">
        <f>SUM(F33:F45)</f>
        <v>163269</v>
      </c>
      <c r="G46" s="97">
        <f t="shared" si="13"/>
        <v>1</v>
      </c>
      <c r="H46" s="273">
        <f>SUM(H33:H45)</f>
        <v>7894210608.5700016</v>
      </c>
      <c r="I46" s="99">
        <f t="shared" si="13"/>
        <v>0.99999999999999978</v>
      </c>
      <c r="J46" s="98">
        <f t="shared" si="9"/>
        <v>-22909</v>
      </c>
      <c r="K46" s="97">
        <f t="shared" si="10"/>
        <v>-0.12304891018272836</v>
      </c>
      <c r="L46" s="274">
        <f t="shared" si="11"/>
        <v>340095109.90000057</v>
      </c>
      <c r="M46" s="99">
        <f t="shared" si="8"/>
        <v>4.5021168919098298E-2</v>
      </c>
      <c r="N46"/>
      <c r="O46" s="74"/>
      <c r="P46" s="74"/>
      <c r="Q46"/>
      <c r="R46"/>
      <c r="S46"/>
    </row>
    <row r="47" spans="1:27" ht="13.5" customHeight="1" x14ac:dyDescent="0.25">
      <c r="A47" s="170" t="s">
        <v>292</v>
      </c>
      <c r="B47" s="135"/>
      <c r="C47" s="135"/>
      <c r="D47" s="135"/>
      <c r="E47"/>
      <c r="F47" s="135"/>
      <c r="G47" s="135"/>
      <c r="H47" s="135"/>
      <c r="I47"/>
      <c r="J47"/>
      <c r="K47"/>
      <c r="L47"/>
      <c r="M47"/>
      <c r="N47"/>
      <c r="O47"/>
      <c r="P47"/>
      <c r="Q47"/>
      <c r="R47" s="135"/>
      <c r="S47" s="135"/>
      <c r="T47" s="135"/>
      <c r="U47"/>
      <c r="V47"/>
      <c r="W47"/>
      <c r="X47"/>
      <c r="Y47"/>
      <c r="Z47"/>
      <c r="AA47"/>
    </row>
    <row r="48" spans="1:27" ht="13.5" customHeight="1" x14ac:dyDescent="0.25">
      <c r="A48" s="170" t="s">
        <v>187</v>
      </c>
      <c r="B48" s="135"/>
      <c r="C48" s="135"/>
      <c r="D48" s="135"/>
      <c r="E48"/>
      <c r="F48"/>
      <c r="G48"/>
      <c r="H48"/>
      <c r="I48"/>
      <c r="J48"/>
      <c r="K48"/>
      <c r="L48"/>
      <c r="M48"/>
      <c r="N48"/>
      <c r="O48"/>
      <c r="P48"/>
      <c r="Q48"/>
      <c r="R48" s="135"/>
      <c r="S48" s="135"/>
      <c r="T48" s="135"/>
      <c r="U48"/>
      <c r="V48"/>
      <c r="W48"/>
      <c r="X48"/>
      <c r="Y48"/>
      <c r="Z48"/>
      <c r="AA48"/>
    </row>
    <row r="49" spans="1:27" ht="14.25" customHeight="1" x14ac:dyDescent="0.25">
      <c r="A49" s="139" t="s">
        <v>188</v>
      </c>
      <c r="B49"/>
      <c r="C49"/>
      <c r="D49"/>
      <c r="E49"/>
      <c r="F49"/>
      <c r="G49"/>
      <c r="H49"/>
      <c r="I49"/>
      <c r="J49"/>
      <c r="K49"/>
      <c r="L49" s="74"/>
      <c r="M49" s="74"/>
      <c r="N49" s="74"/>
      <c r="O49"/>
      <c r="P49"/>
      <c r="Q49"/>
      <c r="R49"/>
      <c r="S49"/>
      <c r="T49"/>
      <c r="U49"/>
      <c r="V49"/>
      <c r="W49"/>
      <c r="X49"/>
      <c r="Y49"/>
      <c r="Z49"/>
      <c r="AA49"/>
    </row>
    <row r="50" spans="1:27" x14ac:dyDescent="0.25">
      <c r="A50"/>
      <c r="B50"/>
      <c r="C50"/>
      <c r="D50"/>
      <c r="E50"/>
      <c r="F50"/>
      <c r="G50"/>
      <c r="H50"/>
      <c r="I50"/>
      <c r="J50"/>
      <c r="K50"/>
      <c r="L50"/>
      <c r="M50" s="169"/>
      <c r="N50" s="105"/>
      <c r="O50"/>
      <c r="P50"/>
      <c r="Q50"/>
      <c r="R50"/>
      <c r="S50"/>
      <c r="T50"/>
      <c r="V50"/>
      <c r="W50"/>
      <c r="X50"/>
      <c r="Y50"/>
      <c r="Z50"/>
      <c r="AA50"/>
    </row>
    <row r="51" spans="1:27" x14ac:dyDescent="0.25">
      <c r="A51"/>
      <c r="B51"/>
      <c r="C51"/>
      <c r="D51"/>
      <c r="E51"/>
      <c r="F51"/>
      <c r="G51"/>
      <c r="H51"/>
      <c r="I51"/>
      <c r="J51"/>
      <c r="K51"/>
      <c r="L51"/>
      <c r="M51"/>
      <c r="N51"/>
      <c r="O51"/>
      <c r="P51"/>
      <c r="Q51"/>
      <c r="R51"/>
      <c r="S51"/>
      <c r="T51"/>
      <c r="U51"/>
      <c r="V51"/>
      <c r="W51"/>
      <c r="X51"/>
      <c r="Y51"/>
      <c r="Z51"/>
      <c r="AA51"/>
    </row>
    <row r="52" spans="1:27" ht="16.5" thickBot="1" x14ac:dyDescent="0.3">
      <c r="A52" s="377" t="s">
        <v>189</v>
      </c>
      <c r="B52" s="377"/>
      <c r="C52" s="377"/>
      <c r="D52" s="377"/>
      <c r="E52" s="377"/>
      <c r="F52" s="377"/>
      <c r="G52" s="377"/>
      <c r="H52" s="377"/>
      <c r="I52" s="377"/>
      <c r="J52" s="377"/>
      <c r="K52" s="377"/>
      <c r="L52" s="377"/>
      <c r="M52" s="377"/>
      <c r="N52"/>
      <c r="O52"/>
      <c r="P52"/>
      <c r="Q52"/>
      <c r="R52"/>
      <c r="S52"/>
    </row>
    <row r="53" spans="1:27" ht="33" customHeight="1" x14ac:dyDescent="0.25">
      <c r="A53" s="160"/>
      <c r="B53" s="372" t="s">
        <v>280</v>
      </c>
      <c r="C53" s="375"/>
      <c r="D53" s="375"/>
      <c r="E53" s="376"/>
      <c r="F53" s="372" t="s">
        <v>279</v>
      </c>
      <c r="G53" s="375"/>
      <c r="H53" s="375"/>
      <c r="I53" s="376"/>
      <c r="J53" s="372" t="s">
        <v>85</v>
      </c>
      <c r="K53" s="373"/>
      <c r="L53" s="373"/>
      <c r="M53" s="374"/>
      <c r="N53"/>
      <c r="O53"/>
      <c r="P53"/>
      <c r="Q53"/>
      <c r="R53"/>
      <c r="S53"/>
    </row>
    <row r="54" spans="1:27" ht="45" x14ac:dyDescent="0.25">
      <c r="A54" s="112" t="s">
        <v>136</v>
      </c>
      <c r="B54" s="168" t="s">
        <v>115</v>
      </c>
      <c r="C54" s="54" t="s">
        <v>52</v>
      </c>
      <c r="D54" s="54" t="s">
        <v>7</v>
      </c>
      <c r="E54" s="92" t="s">
        <v>52</v>
      </c>
      <c r="F54" s="54" t="s">
        <v>190</v>
      </c>
      <c r="G54" s="54" t="s">
        <v>52</v>
      </c>
      <c r="H54" s="54" t="s">
        <v>7</v>
      </c>
      <c r="I54" s="92" t="s">
        <v>52</v>
      </c>
      <c r="J54" s="163" t="s">
        <v>161</v>
      </c>
      <c r="K54" s="120" t="s">
        <v>162</v>
      </c>
      <c r="L54" s="120" t="s">
        <v>163</v>
      </c>
      <c r="M54" s="121" t="s">
        <v>162</v>
      </c>
      <c r="N54"/>
      <c r="O54"/>
      <c r="P54"/>
      <c r="Q54"/>
      <c r="R54"/>
      <c r="S54"/>
    </row>
    <row r="55" spans="1:27" ht="0.75" hidden="1" customHeight="1" x14ac:dyDescent="0.25">
      <c r="A55" s="113" t="s">
        <v>191</v>
      </c>
      <c r="B55" s="164">
        <v>0</v>
      </c>
      <c r="C55" s="84">
        <f t="shared" ref="C55" si="14">B55/$F$67</f>
        <v>0</v>
      </c>
      <c r="D55" s="169">
        <v>0</v>
      </c>
      <c r="E55" s="114">
        <f>D55/D67</f>
        <v>0</v>
      </c>
      <c r="F55" s="165">
        <v>0</v>
      </c>
      <c r="G55" s="84">
        <f t="shared" ref="G55:G66" si="15">F55/$F$67</f>
        <v>0</v>
      </c>
      <c r="H55" s="169">
        <v>0</v>
      </c>
      <c r="I55" s="114">
        <f>H55/H67</f>
        <v>0</v>
      </c>
      <c r="J55" s="164">
        <f>+F55-B55</f>
        <v>0</v>
      </c>
      <c r="K55" s="84"/>
      <c r="L55" s="169">
        <f>+H55-D55</f>
        <v>0</v>
      </c>
      <c r="M55" s="114"/>
      <c r="N55"/>
      <c r="O55"/>
      <c r="P55"/>
      <c r="Q55"/>
      <c r="R55"/>
      <c r="S55"/>
    </row>
    <row r="56" spans="1:27" ht="18" customHeight="1" x14ac:dyDescent="0.25">
      <c r="A56" s="227" t="s">
        <v>192</v>
      </c>
      <c r="B56" s="164">
        <v>9</v>
      </c>
      <c r="C56" s="83">
        <f>B56/$B$67</f>
        <v>6.5633067397867655E-5</v>
      </c>
      <c r="D56" s="169">
        <v>301520.01</v>
      </c>
      <c r="E56" s="228">
        <v>0</v>
      </c>
      <c r="F56" s="165">
        <v>1</v>
      </c>
      <c r="G56" s="83">
        <f t="shared" si="15"/>
        <v>6.6430616542552127E-6</v>
      </c>
      <c r="H56" s="169">
        <v>30000</v>
      </c>
      <c r="I56" s="109">
        <f>H56/H67</f>
        <v>3.8002821946963592E-6</v>
      </c>
      <c r="J56" s="164">
        <f>+F56-B56</f>
        <v>-8</v>
      </c>
      <c r="K56" s="229">
        <f>J56/J67</f>
        <v>-5.9670321473856945E-4</v>
      </c>
      <c r="L56" s="169">
        <f>+H56-D56</f>
        <v>-271520.01</v>
      </c>
      <c r="M56" s="109">
        <f>L56/L67</f>
        <v>-2.7827738926073314E-4</v>
      </c>
      <c r="N56"/>
      <c r="O56"/>
      <c r="P56"/>
      <c r="Q56"/>
      <c r="R56"/>
      <c r="S56"/>
    </row>
    <row r="57" spans="1:27" x14ac:dyDescent="0.25">
      <c r="A57" s="107" t="s">
        <v>146</v>
      </c>
      <c r="B57" s="164">
        <v>9</v>
      </c>
      <c r="C57" s="83">
        <f>B57/$B$67</f>
        <v>6.5633067397867655E-5</v>
      </c>
      <c r="D57" s="169">
        <v>485422.05000000005</v>
      </c>
      <c r="E57" s="122">
        <f>D57/D67</f>
        <v>7.016357822812311E-5</v>
      </c>
      <c r="F57" s="164">
        <v>10</v>
      </c>
      <c r="G57" s="83">
        <f t="shared" si="15"/>
        <v>6.6430616542552132E-5</v>
      </c>
      <c r="H57" s="165">
        <v>677739.66</v>
      </c>
      <c r="I57" s="109">
        <f>H57/H67</f>
        <v>8.5853398751252144E-5</v>
      </c>
      <c r="J57" s="164">
        <f>+F57-B57</f>
        <v>1</v>
      </c>
      <c r="K57" s="85">
        <f>+(F57-B57)/B57</f>
        <v>0.1111111111111111</v>
      </c>
      <c r="L57" s="169">
        <f>+H57-D57</f>
        <v>192317.61</v>
      </c>
      <c r="M57" s="123">
        <f>+(H57-D57)/D57</f>
        <v>0.39618639079127116</v>
      </c>
      <c r="N57"/>
      <c r="O57"/>
      <c r="P57"/>
      <c r="Q57"/>
      <c r="R57"/>
      <c r="S57"/>
    </row>
    <row r="58" spans="1:27" x14ac:dyDescent="0.25">
      <c r="A58" s="107" t="s">
        <v>147</v>
      </c>
      <c r="B58" s="164">
        <v>68</v>
      </c>
      <c r="C58" s="83">
        <f t="shared" ref="C58:C65" si="16">B58/$B$67</f>
        <v>4.9589428700611113E-4</v>
      </c>
      <c r="D58" s="169">
        <v>3624780.91</v>
      </c>
      <c r="E58" s="122">
        <f>D58/D67</f>
        <v>5.2393087404783588E-4</v>
      </c>
      <c r="F58" s="164">
        <v>65</v>
      </c>
      <c r="G58" s="83">
        <f t="shared" si="15"/>
        <v>4.3179900752658885E-4</v>
      </c>
      <c r="H58" s="165">
        <v>3646310.5200000005</v>
      </c>
      <c r="I58" s="109">
        <f>H58/H67</f>
        <v>4.6190029818300081E-4</v>
      </c>
      <c r="J58" s="164">
        <f t="shared" ref="J58:J67" si="17">+F58-B58</f>
        <v>-3</v>
      </c>
      <c r="K58" s="85">
        <f t="shared" ref="K58:K67" si="18">+(F58-B58)/B58</f>
        <v>-4.4117647058823532E-2</v>
      </c>
      <c r="L58" s="169">
        <f t="shared" ref="L58:L67" si="19">+H58-D58</f>
        <v>21529.610000000335</v>
      </c>
      <c r="M58" s="123">
        <f t="shared" ref="M58:M67" si="20">+(H58-D58)/D58</f>
        <v>5.9395617375396998E-3</v>
      </c>
      <c r="N58"/>
      <c r="O58"/>
      <c r="P58"/>
      <c r="Q58"/>
      <c r="R58"/>
      <c r="S58"/>
    </row>
    <row r="59" spans="1:27" x14ac:dyDescent="0.25">
      <c r="A59" s="107" t="s">
        <v>148</v>
      </c>
      <c r="B59" s="164">
        <v>538</v>
      </c>
      <c r="C59" s="83">
        <f t="shared" si="16"/>
        <v>3.923398917783644E-3</v>
      </c>
      <c r="D59" s="169">
        <v>30178179.849999998</v>
      </c>
      <c r="E59" s="122">
        <f>D59/D67</f>
        <v>4.3619960870913124E-3</v>
      </c>
      <c r="F59" s="164">
        <v>495</v>
      </c>
      <c r="G59" s="83">
        <f t="shared" si="15"/>
        <v>3.2883155188563307E-3</v>
      </c>
      <c r="H59" s="165">
        <v>31934180.43</v>
      </c>
      <c r="I59" s="109">
        <f>H59/H67</f>
        <v>4.0452965763449972E-3</v>
      </c>
      <c r="J59" s="164">
        <f t="shared" si="17"/>
        <v>-43</v>
      </c>
      <c r="K59" s="85">
        <f t="shared" si="18"/>
        <v>-7.9925650557620811E-2</v>
      </c>
      <c r="L59" s="169">
        <f t="shared" si="19"/>
        <v>1756000.5800000019</v>
      </c>
      <c r="M59" s="123">
        <f t="shared" si="20"/>
        <v>5.818775647597587E-2</v>
      </c>
      <c r="N59"/>
      <c r="O59"/>
      <c r="P59"/>
      <c r="Q59"/>
      <c r="R59"/>
      <c r="S59"/>
    </row>
    <row r="60" spans="1:27" x14ac:dyDescent="0.25">
      <c r="A60" s="107" t="s">
        <v>149</v>
      </c>
      <c r="B60" s="164">
        <v>2964</v>
      </c>
      <c r="C60" s="83">
        <f t="shared" si="16"/>
        <v>2.1615156863031081E-2</v>
      </c>
      <c r="D60" s="169">
        <v>177987378.87</v>
      </c>
      <c r="E60" s="122">
        <f>D60/D67</f>
        <v>2.5726543285299528E-2</v>
      </c>
      <c r="F60" s="164">
        <v>2847</v>
      </c>
      <c r="G60" s="83">
        <f t="shared" si="15"/>
        <v>1.8912796529664593E-2</v>
      </c>
      <c r="H60" s="165">
        <v>185571438.93000001</v>
      </c>
      <c r="I60" s="109">
        <f>H60/H67</f>
        <v>2.3507461173662061E-2</v>
      </c>
      <c r="J60" s="164">
        <f t="shared" si="17"/>
        <v>-117</v>
      </c>
      <c r="K60" s="85">
        <f t="shared" si="18"/>
        <v>-3.9473684210526314E-2</v>
      </c>
      <c r="L60" s="169">
        <f t="shared" si="19"/>
        <v>7584060.0600000024</v>
      </c>
      <c r="M60" s="123">
        <f t="shared" si="20"/>
        <v>4.2610100267498827E-2</v>
      </c>
      <c r="N60"/>
      <c r="O60"/>
      <c r="P60"/>
      <c r="Q60"/>
      <c r="R60"/>
      <c r="S60"/>
    </row>
    <row r="61" spans="1:27" x14ac:dyDescent="0.25">
      <c r="A61" s="107" t="s">
        <v>150</v>
      </c>
      <c r="B61" s="164">
        <v>45717</v>
      </c>
      <c r="C61" s="83">
        <f t="shared" si="16"/>
        <v>0.33339410469203506</v>
      </c>
      <c r="D61" s="169">
        <v>2481270172.7799997</v>
      </c>
      <c r="E61" s="122">
        <f>D61/D67</f>
        <v>0.35864624170442616</v>
      </c>
      <c r="F61" s="164">
        <v>51435</v>
      </c>
      <c r="G61" s="83">
        <f t="shared" si="15"/>
        <v>0.34168587618661689</v>
      </c>
      <c r="H61" s="165">
        <v>2893899352.3100004</v>
      </c>
      <c r="I61" s="109">
        <f>H61/H67</f>
        <v>0.36658780606090069</v>
      </c>
      <c r="J61" s="164">
        <f t="shared" si="17"/>
        <v>5718</v>
      </c>
      <c r="K61" s="85">
        <f t="shared" si="18"/>
        <v>0.12507382374171533</v>
      </c>
      <c r="L61" s="169">
        <f t="shared" si="19"/>
        <v>412629179.53000069</v>
      </c>
      <c r="M61" s="123">
        <f t="shared" si="20"/>
        <v>0.16629756165073048</v>
      </c>
      <c r="N61"/>
      <c r="O61"/>
      <c r="P61"/>
      <c r="Q61"/>
      <c r="R61"/>
      <c r="S61"/>
    </row>
    <row r="62" spans="1:27" x14ac:dyDescent="0.25">
      <c r="A62" s="107" t="s">
        <v>151</v>
      </c>
      <c r="B62" s="164">
        <v>55131</v>
      </c>
      <c r="C62" s="83">
        <f t="shared" si="16"/>
        <v>0.40204629319020463</v>
      </c>
      <c r="D62" s="169">
        <v>2786621465.4300003</v>
      </c>
      <c r="E62" s="122">
        <f>D62/D67</f>
        <v>0.40278214222420444</v>
      </c>
      <c r="F62" s="164">
        <v>61074</v>
      </c>
      <c r="G62" s="83">
        <f t="shared" si="15"/>
        <v>0.40571834747198288</v>
      </c>
      <c r="H62" s="165">
        <v>3218249946.77</v>
      </c>
      <c r="I62" s="109">
        <f>H62/H67</f>
        <v>0.40767526569308454</v>
      </c>
      <c r="J62" s="164">
        <f t="shared" si="17"/>
        <v>5943</v>
      </c>
      <c r="K62" s="85">
        <f t="shared" si="18"/>
        <v>0.1077977907166567</v>
      </c>
      <c r="L62" s="169">
        <f t="shared" si="19"/>
        <v>431628481.33999968</v>
      </c>
      <c r="M62" s="123">
        <f t="shared" si="20"/>
        <v>0.15489311580157356</v>
      </c>
      <c r="N62"/>
      <c r="O62"/>
      <c r="P62"/>
      <c r="Q62"/>
      <c r="R62"/>
      <c r="S62"/>
    </row>
    <row r="63" spans="1:27" x14ac:dyDescent="0.25">
      <c r="A63" s="107" t="s">
        <v>152</v>
      </c>
      <c r="B63" s="164">
        <v>26827</v>
      </c>
      <c r="C63" s="83">
        <f t="shared" si="16"/>
        <v>0.19563758878695506</v>
      </c>
      <c r="D63" s="169">
        <v>1189637634.03</v>
      </c>
      <c r="E63" s="122">
        <f>D63/D67</f>
        <v>0.17195187816124791</v>
      </c>
      <c r="F63" s="164">
        <v>28205</v>
      </c>
      <c r="G63" s="83">
        <f t="shared" si="15"/>
        <v>0.18736755395826829</v>
      </c>
      <c r="H63" s="165">
        <v>1285040062.1200001</v>
      </c>
      <c r="I63" s="109">
        <f>H63/H67</f>
        <v>0.16278382891820464</v>
      </c>
      <c r="J63" s="164">
        <f t="shared" si="17"/>
        <v>1378</v>
      </c>
      <c r="K63" s="85">
        <f t="shared" si="18"/>
        <v>5.1366160957244569E-2</v>
      </c>
      <c r="L63" s="169">
        <f t="shared" si="19"/>
        <v>95402428.090000153</v>
      </c>
      <c r="M63" s="123">
        <f t="shared" si="20"/>
        <v>8.0194527611585562E-2</v>
      </c>
      <c r="N63"/>
      <c r="O63"/>
      <c r="P63"/>
      <c r="Q63"/>
      <c r="R63"/>
      <c r="S63"/>
      <c r="V63"/>
    </row>
    <row r="64" spans="1:27" x14ac:dyDescent="0.25">
      <c r="A64" s="107" t="s">
        <v>153</v>
      </c>
      <c r="B64" s="164">
        <v>5497</v>
      </c>
      <c r="C64" s="83">
        <f t="shared" si="16"/>
        <v>4.0087219054008721E-2</v>
      </c>
      <c r="D64" s="169">
        <v>232981753.55000001</v>
      </c>
      <c r="E64" s="122">
        <f>D64/D67</f>
        <v>3.3675506687285271E-2</v>
      </c>
      <c r="F64" s="164">
        <v>5986</v>
      </c>
      <c r="G64" s="83">
        <f t="shared" si="15"/>
        <v>3.9765367062371708E-2</v>
      </c>
      <c r="H64" s="165">
        <v>257886388.75</v>
      </c>
      <c r="I64" s="109">
        <f>H64/H67</f>
        <v>3.2668035047372278E-2</v>
      </c>
      <c r="J64" s="164">
        <f t="shared" si="17"/>
        <v>489</v>
      </c>
      <c r="K64" s="85">
        <f t="shared" si="18"/>
        <v>8.8957613243587405E-2</v>
      </c>
      <c r="L64" s="169">
        <f t="shared" si="19"/>
        <v>24904635.199999988</v>
      </c>
      <c r="M64" s="123">
        <f t="shared" si="20"/>
        <v>0.10689521741733833</v>
      </c>
      <c r="N64"/>
      <c r="O64"/>
      <c r="P64"/>
      <c r="Q64"/>
      <c r="R64"/>
      <c r="S64"/>
    </row>
    <row r="65" spans="1:27" x14ac:dyDescent="0.25">
      <c r="A65" s="108">
        <v>100</v>
      </c>
      <c r="B65" s="164">
        <v>312</v>
      </c>
      <c r="C65" s="83">
        <f t="shared" si="16"/>
        <v>2.2752796697927454E-3</v>
      </c>
      <c r="D65" s="169">
        <v>12025593.52</v>
      </c>
      <c r="E65" s="122">
        <f>D65/D67</f>
        <v>1.738196012480542E-3</v>
      </c>
      <c r="F65" s="164">
        <v>356</v>
      </c>
      <c r="G65" s="83">
        <f t="shared" si="15"/>
        <v>2.364929948914856E-3</v>
      </c>
      <c r="H65" s="165">
        <v>13864071.399999999</v>
      </c>
      <c r="I65" s="109">
        <f>H65/H67</f>
        <v>1.7562461229139671E-3</v>
      </c>
      <c r="J65" s="164">
        <f t="shared" si="17"/>
        <v>44</v>
      </c>
      <c r="K65" s="85">
        <f t="shared" si="18"/>
        <v>0.14102564102564102</v>
      </c>
      <c r="L65" s="169">
        <f t="shared" si="19"/>
        <v>1838477.879999999</v>
      </c>
      <c r="M65" s="123">
        <f t="shared" si="20"/>
        <v>0.15288042764312551</v>
      </c>
      <c r="N65"/>
      <c r="O65"/>
      <c r="P65"/>
      <c r="Q65"/>
      <c r="R65"/>
      <c r="S65"/>
    </row>
    <row r="66" spans="1:27" x14ac:dyDescent="0.25">
      <c r="A66" s="108" t="s">
        <v>193</v>
      </c>
      <c r="B66" s="164">
        <v>54</v>
      </c>
      <c r="C66" s="83">
        <f>B66/$B$67</f>
        <v>3.937984043872059E-4</v>
      </c>
      <c r="D66" s="169">
        <v>3319597.67</v>
      </c>
      <c r="E66" s="122">
        <f>D66/D67</f>
        <v>4.7981926409181491E-4</v>
      </c>
      <c r="F66" s="164">
        <v>59</v>
      </c>
      <c r="G66" s="83">
        <f t="shared" si="15"/>
        <v>3.9194063760105758E-4</v>
      </c>
      <c r="H66" s="165">
        <v>3351117.6799999997</v>
      </c>
      <c r="I66" s="109">
        <f>H66/H67</f>
        <v>4.2450642838787233E-4</v>
      </c>
      <c r="J66" s="164">
        <f t="shared" si="17"/>
        <v>5</v>
      </c>
      <c r="K66" s="85">
        <f t="shared" si="18"/>
        <v>9.2592592592592587E-2</v>
      </c>
      <c r="L66" s="169">
        <f t="shared" si="19"/>
        <v>31520.009999999776</v>
      </c>
      <c r="M66" s="123">
        <f t="shared" si="20"/>
        <v>9.495129570927725E-3</v>
      </c>
      <c r="N66"/>
      <c r="O66"/>
      <c r="P66"/>
      <c r="Q66"/>
      <c r="R66"/>
      <c r="S66"/>
    </row>
    <row r="67" spans="1:27" ht="15.75" thickBot="1" x14ac:dyDescent="0.3">
      <c r="A67" s="102" t="s">
        <v>172</v>
      </c>
      <c r="B67" s="96">
        <f t="shared" ref="B67:I67" si="21">SUM(B55:B66)</f>
        <v>137126</v>
      </c>
      <c r="C67" s="97">
        <f t="shared" si="21"/>
        <v>1</v>
      </c>
      <c r="D67" s="274">
        <f>SUM(D55:D66)</f>
        <v>6918433498.6700001</v>
      </c>
      <c r="E67" s="99">
        <f t="shared" si="21"/>
        <v>0.99995641787840295</v>
      </c>
      <c r="F67" s="225">
        <f>SUM(F55:F66)</f>
        <v>150533</v>
      </c>
      <c r="G67" s="97">
        <f t="shared" si="21"/>
        <v>1</v>
      </c>
      <c r="H67" s="273">
        <f>SUM(H56:H66)</f>
        <v>7894150608.5700006</v>
      </c>
      <c r="I67" s="99">
        <f t="shared" si="21"/>
        <v>1</v>
      </c>
      <c r="J67" s="98">
        <f t="shared" si="17"/>
        <v>13407</v>
      </c>
      <c r="K67" s="97">
        <f t="shared" si="18"/>
        <v>9.7771392733690177E-2</v>
      </c>
      <c r="L67" s="274">
        <f t="shared" si="19"/>
        <v>975717109.90000057</v>
      </c>
      <c r="M67" s="99">
        <f t="shared" si="20"/>
        <v>0.14103150808453568</v>
      </c>
      <c r="N67"/>
      <c r="O67"/>
      <c r="P67"/>
      <c r="Q67"/>
      <c r="R67"/>
      <c r="S67"/>
    </row>
    <row r="68" spans="1:27" x14ac:dyDescent="0.25">
      <c r="A68" s="15" t="s">
        <v>293</v>
      </c>
      <c r="B68" s="135"/>
      <c r="C68" s="135"/>
      <c r="D68" s="135"/>
      <c r="E68"/>
      <c r="F68" s="135"/>
      <c r="G68" s="135"/>
      <c r="H68" s="135"/>
      <c r="I68"/>
      <c r="J68"/>
      <c r="K68"/>
      <c r="L68"/>
      <c r="M68"/>
      <c r="N68"/>
      <c r="O68"/>
      <c r="P68"/>
      <c r="Q68"/>
      <c r="R68" s="135"/>
      <c r="S68" s="135"/>
      <c r="T68" s="135"/>
      <c r="U68"/>
      <c r="V68"/>
      <c r="W68"/>
      <c r="X68"/>
      <c r="Y68"/>
      <c r="Z68"/>
      <c r="AA68"/>
    </row>
    <row r="69" spans="1:27" x14ac:dyDescent="0.25">
      <c r="A69" s="171" t="s">
        <v>194</v>
      </c>
      <c r="B69"/>
      <c r="C69"/>
      <c r="D69"/>
      <c r="E69"/>
      <c r="J69"/>
      <c r="K69"/>
      <c r="L69"/>
      <c r="M69"/>
      <c r="N69"/>
      <c r="O69"/>
      <c r="P69"/>
      <c r="Q69"/>
      <c r="R69"/>
      <c r="S69"/>
      <c r="T69"/>
      <c r="U69"/>
      <c r="V69"/>
      <c r="W69"/>
      <c r="X69"/>
      <c r="Y69"/>
      <c r="Z69"/>
      <c r="AA69"/>
    </row>
    <row r="70" spans="1:27" x14ac:dyDescent="0.25">
      <c r="A70" s="139" t="s">
        <v>188</v>
      </c>
      <c r="B70" s="74"/>
      <c r="C70"/>
      <c r="D70" s="105"/>
      <c r="E70"/>
      <c r="F70" s="74"/>
      <c r="G70"/>
      <c r="H70" s="105"/>
      <c r="I70"/>
      <c r="J70"/>
      <c r="K70"/>
      <c r="L70"/>
      <c r="M70"/>
      <c r="N70"/>
      <c r="O70"/>
      <c r="P70"/>
      <c r="Q70"/>
      <c r="R70" s="74"/>
      <c r="S70"/>
      <c r="T70" s="105"/>
      <c r="U70"/>
      <c r="V70"/>
      <c r="W70"/>
      <c r="X70"/>
      <c r="Y70"/>
      <c r="Z70"/>
      <c r="AA70"/>
    </row>
  </sheetData>
  <mergeCells count="19">
    <mergeCell ref="A1:M1"/>
    <mergeCell ref="A2:M2"/>
    <mergeCell ref="J31:M31"/>
    <mergeCell ref="A20:I20"/>
    <mergeCell ref="B8:E8"/>
    <mergeCell ref="F8:I8"/>
    <mergeCell ref="J8:M8"/>
    <mergeCell ref="A7:M7"/>
    <mergeCell ref="A21:I21"/>
    <mergeCell ref="A3:M3"/>
    <mergeCell ref="A4:M4"/>
    <mergeCell ref="A5:M5"/>
    <mergeCell ref="A30:M30"/>
    <mergeCell ref="J53:M53"/>
    <mergeCell ref="B53:E53"/>
    <mergeCell ref="F53:I53"/>
    <mergeCell ref="B31:E31"/>
    <mergeCell ref="F31:I31"/>
    <mergeCell ref="A52:M52"/>
  </mergeCells>
  <pageMargins left="0.7" right="0.7" top="0.75" bottom="0.75" header="0.3" footer="0.3"/>
  <pageSetup paperSize="9" scale="18" orientation="portrait" r:id="rId1"/>
  <rowBreaks count="1" manualBreakCount="1">
    <brk id="48" max="17" man="1"/>
  </rowBreaks>
  <ignoredErrors>
    <ignoredError sqref="K33:K46 K10:K19 K57:K67 L10:L19 L33:L46 L56:L67 J56" formula="1"/>
    <ignoredError sqref="H67" formula="1"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S50"/>
  <sheetViews>
    <sheetView showGridLines="0" zoomScaleNormal="100" workbookViewId="0">
      <selection activeCell="S28" sqref="S28"/>
    </sheetView>
  </sheetViews>
  <sheetFormatPr defaultColWidth="11.42578125" defaultRowHeight="15" x14ac:dyDescent="0.25"/>
  <cols>
    <col min="1" max="1" width="11.42578125" style="1"/>
    <col min="2" max="2" width="10.140625" style="1" customWidth="1"/>
    <col min="3" max="3" width="16.5703125" style="1" bestFit="1" customWidth="1"/>
    <col min="4" max="4" width="8.7109375" style="1" customWidth="1"/>
    <col min="5" max="5" width="14.140625" style="1" bestFit="1" customWidth="1"/>
    <col min="6" max="6" width="11.42578125" style="1"/>
    <col min="7" max="7" width="14.5703125" style="1" bestFit="1" customWidth="1"/>
    <col min="8" max="8" width="8.7109375" style="1" customWidth="1"/>
    <col min="9" max="9" width="14.7109375" style="1" customWidth="1"/>
    <col min="10" max="10" width="11.42578125" style="1"/>
    <col min="11" max="11" width="17.42578125" style="1" customWidth="1"/>
    <col min="12" max="12" width="9" style="1" customWidth="1"/>
    <col min="13" max="13" width="13.42578125" style="1" customWidth="1"/>
    <col min="14" max="14" width="11.140625" style="1" customWidth="1"/>
    <col min="15" max="15" width="17.140625" style="1" customWidth="1"/>
    <col min="16" max="16" width="7.7109375" style="1" customWidth="1"/>
    <col min="17" max="18" width="15.7109375" style="1" customWidth="1"/>
    <col min="19" max="19" width="20.42578125" style="1" customWidth="1"/>
    <col min="20" max="16384" width="11.42578125" style="1"/>
  </cols>
  <sheetData>
    <row r="1" spans="1:19" x14ac:dyDescent="0.25">
      <c r="A1" s="335" t="s">
        <v>0</v>
      </c>
      <c r="B1" s="335"/>
      <c r="C1" s="335"/>
      <c r="D1" s="335"/>
      <c r="E1" s="335"/>
      <c r="F1" s="335"/>
      <c r="G1" s="335"/>
      <c r="H1" s="335"/>
      <c r="I1" s="335"/>
      <c r="J1" s="335"/>
      <c r="K1" s="335"/>
      <c r="L1" s="335"/>
      <c r="M1" s="335"/>
      <c r="N1" s="335"/>
      <c r="O1" s="335"/>
      <c r="P1" s="335"/>
      <c r="Q1" s="335"/>
      <c r="R1" s="231"/>
    </row>
    <row r="2" spans="1:19" x14ac:dyDescent="0.25">
      <c r="A2" s="335" t="s">
        <v>65</v>
      </c>
      <c r="B2" s="335"/>
      <c r="C2" s="335"/>
      <c r="D2" s="335"/>
      <c r="E2" s="335"/>
      <c r="F2" s="335"/>
      <c r="G2" s="335"/>
      <c r="H2" s="335"/>
      <c r="I2" s="335"/>
      <c r="J2" s="335"/>
      <c r="K2" s="335"/>
      <c r="L2" s="335"/>
      <c r="M2" s="335"/>
      <c r="N2" s="335"/>
      <c r="O2" s="335"/>
      <c r="P2" s="335"/>
      <c r="Q2" s="335"/>
      <c r="R2" s="231"/>
    </row>
    <row r="3" spans="1:19" x14ac:dyDescent="0.25">
      <c r="A3" s="335" t="s">
        <v>195</v>
      </c>
      <c r="B3" s="335"/>
      <c r="C3" s="335"/>
      <c r="D3" s="335"/>
      <c r="E3" s="335"/>
      <c r="F3" s="335"/>
      <c r="G3" s="335"/>
      <c r="H3" s="335"/>
      <c r="I3" s="335"/>
      <c r="J3" s="335"/>
      <c r="K3" s="335"/>
      <c r="L3" s="335"/>
      <c r="M3" s="335"/>
      <c r="N3" s="335"/>
      <c r="O3" s="335"/>
      <c r="P3" s="335"/>
      <c r="Q3" s="335"/>
      <c r="R3" s="231"/>
    </row>
    <row r="4" spans="1:19" x14ac:dyDescent="0.25">
      <c r="A4" s="335" t="s">
        <v>276</v>
      </c>
      <c r="B4" s="335"/>
      <c r="C4" s="335"/>
      <c r="D4" s="335"/>
      <c r="E4" s="335"/>
      <c r="F4" s="335"/>
      <c r="G4" s="335"/>
      <c r="H4" s="335"/>
      <c r="I4" s="335"/>
      <c r="J4" s="335"/>
      <c r="K4" s="335"/>
      <c r="L4" s="335"/>
      <c r="M4" s="335"/>
      <c r="N4" s="335"/>
      <c r="O4" s="335"/>
      <c r="P4" s="335"/>
      <c r="Q4" s="335"/>
      <c r="R4" s="231"/>
    </row>
    <row r="5" spans="1:19" x14ac:dyDescent="0.25">
      <c r="A5" s="335" t="s">
        <v>274</v>
      </c>
      <c r="B5" s="335"/>
      <c r="C5" s="335"/>
      <c r="D5" s="335"/>
      <c r="E5" s="335"/>
      <c r="F5" s="335"/>
      <c r="G5" s="335"/>
      <c r="H5" s="335"/>
      <c r="I5" s="335"/>
      <c r="J5" s="335"/>
      <c r="K5" s="335"/>
      <c r="L5" s="335"/>
      <c r="M5" s="335"/>
      <c r="N5" s="335"/>
      <c r="O5" s="335"/>
      <c r="P5" s="335"/>
      <c r="Q5" s="335"/>
      <c r="R5" s="231"/>
    </row>
    <row r="6" spans="1:19" x14ac:dyDescent="0.25">
      <c r="A6" s="89"/>
      <c r="B6" s="382" t="s">
        <v>77</v>
      </c>
      <c r="C6" s="382"/>
      <c r="D6" s="382"/>
      <c r="E6" s="382"/>
      <c r="F6" s="383" t="s">
        <v>78</v>
      </c>
      <c r="G6" s="383"/>
      <c r="H6" s="383"/>
      <c r="I6" s="383"/>
      <c r="J6" s="381" t="s">
        <v>79</v>
      </c>
      <c r="K6" s="381"/>
      <c r="L6" s="381"/>
      <c r="M6" s="381"/>
      <c r="N6" s="380" t="s">
        <v>80</v>
      </c>
      <c r="O6" s="380"/>
      <c r="P6" s="380"/>
      <c r="Q6" s="380"/>
      <c r="R6" s="231"/>
    </row>
    <row r="7" spans="1:19" x14ac:dyDescent="0.25">
      <c r="A7" s="158"/>
      <c r="B7" s="379" t="s">
        <v>196</v>
      </c>
      <c r="C7" s="379"/>
      <c r="D7" s="379" t="s">
        <v>197</v>
      </c>
      <c r="E7" s="379"/>
      <c r="F7" s="379" t="s">
        <v>196</v>
      </c>
      <c r="G7" s="379"/>
      <c r="H7" s="379" t="s">
        <v>197</v>
      </c>
      <c r="I7" s="379"/>
      <c r="J7" s="379" t="s">
        <v>196</v>
      </c>
      <c r="K7" s="379"/>
      <c r="L7" s="379" t="s">
        <v>197</v>
      </c>
      <c r="M7" s="379"/>
      <c r="N7" s="379" t="s">
        <v>198</v>
      </c>
      <c r="O7" s="379"/>
      <c r="P7" s="379" t="s">
        <v>197</v>
      </c>
      <c r="Q7" s="379"/>
      <c r="R7" s="231"/>
    </row>
    <row r="8" spans="1:19" ht="32.25" customHeight="1" x14ac:dyDescent="0.25">
      <c r="A8" s="143" t="s">
        <v>3</v>
      </c>
      <c r="B8" s="130" t="s">
        <v>199</v>
      </c>
      <c r="C8" s="130" t="s">
        <v>7</v>
      </c>
      <c r="D8" s="130" t="s">
        <v>82</v>
      </c>
      <c r="E8" s="144" t="s">
        <v>7</v>
      </c>
      <c r="F8" s="130" t="s">
        <v>200</v>
      </c>
      <c r="G8" s="130" t="s">
        <v>7</v>
      </c>
      <c r="H8" s="130" t="s">
        <v>82</v>
      </c>
      <c r="I8" s="144" t="s">
        <v>7</v>
      </c>
      <c r="J8" s="130" t="s">
        <v>200</v>
      </c>
      <c r="K8" s="130" t="s">
        <v>7</v>
      </c>
      <c r="L8" s="130" t="s">
        <v>82</v>
      </c>
      <c r="M8" s="172" t="s">
        <v>7</v>
      </c>
      <c r="N8" s="130" t="s">
        <v>201</v>
      </c>
      <c r="O8" s="130" t="s">
        <v>7</v>
      </c>
      <c r="P8" s="130" t="s">
        <v>202</v>
      </c>
      <c r="Q8" s="144" t="s">
        <v>7</v>
      </c>
      <c r="R8" s="231"/>
    </row>
    <row r="9" spans="1:19" hidden="1" x14ac:dyDescent="0.25">
      <c r="A9" s="44" t="s">
        <v>10</v>
      </c>
      <c r="B9" s="199"/>
      <c r="C9" s="261"/>
      <c r="D9" s="199"/>
      <c r="E9" s="277"/>
      <c r="F9" s="199"/>
      <c r="G9" s="261"/>
      <c r="H9" s="199"/>
      <c r="I9" s="174"/>
      <c r="J9" s="199"/>
      <c r="K9" s="279"/>
      <c r="L9" s="156"/>
      <c r="M9" s="261"/>
      <c r="N9" s="172">
        <f>+B9+J9+F9</f>
        <v>0</v>
      </c>
      <c r="O9" s="57">
        <f>+C9+K9+G9</f>
        <v>0</v>
      </c>
      <c r="P9" s="200">
        <f>+D9+L9+H9</f>
        <v>0</v>
      </c>
      <c r="Q9" s="281">
        <f>+E9+M9+I9</f>
        <v>0</v>
      </c>
      <c r="R9" s="231"/>
    </row>
    <row r="10" spans="1:19" x14ac:dyDescent="0.25">
      <c r="A10" s="44" t="s">
        <v>21</v>
      </c>
      <c r="B10" s="199">
        <v>161837</v>
      </c>
      <c r="C10" s="275">
        <v>2629947558.4699998</v>
      </c>
      <c r="D10" s="199">
        <v>1432</v>
      </c>
      <c r="E10" s="275">
        <v>20744605.440000001</v>
      </c>
      <c r="F10" s="199">
        <v>48546</v>
      </c>
      <c r="G10" s="275">
        <v>291276000</v>
      </c>
      <c r="H10" s="199">
        <v>28</v>
      </c>
      <c r="I10" s="275">
        <v>168000</v>
      </c>
      <c r="J10" s="199">
        <v>25579</v>
      </c>
      <c r="K10" s="279">
        <v>755135421.69000006</v>
      </c>
      <c r="L10" s="156">
        <v>21</v>
      </c>
      <c r="M10" s="261">
        <v>311197.18</v>
      </c>
      <c r="N10" s="38">
        <f t="shared" ref="N10" si="0">+B10+J10+F10</f>
        <v>235962</v>
      </c>
      <c r="O10" s="57">
        <f t="shared" ref="O10" si="1">+C10+K10+G10</f>
        <v>3676358980.1599998</v>
      </c>
      <c r="P10" s="38">
        <f t="shared" ref="P10" si="2">+D10+L10+H10</f>
        <v>1481</v>
      </c>
      <c r="Q10" s="57">
        <f t="shared" ref="Q10" si="3">+E10+M10+I10</f>
        <v>21223802.620000001</v>
      </c>
      <c r="R10" s="231"/>
      <c r="S10" s="35"/>
    </row>
    <row r="11" spans="1:19" x14ac:dyDescent="0.25">
      <c r="A11" s="44" t="s">
        <v>20</v>
      </c>
      <c r="B11" s="199">
        <v>162385</v>
      </c>
      <c r="C11" s="275">
        <v>2633623094.6900001</v>
      </c>
      <c r="D11" s="199">
        <v>65</v>
      </c>
      <c r="E11" s="275">
        <v>1061507.22</v>
      </c>
      <c r="F11" s="199">
        <v>48492</v>
      </c>
      <c r="G11" s="275">
        <v>290952000</v>
      </c>
      <c r="H11" s="199">
        <v>16</v>
      </c>
      <c r="I11" s="275">
        <v>96000</v>
      </c>
      <c r="J11" s="199">
        <v>25596</v>
      </c>
      <c r="K11" s="279">
        <v>754613781.50999999</v>
      </c>
      <c r="L11" s="156">
        <v>5</v>
      </c>
      <c r="M11" s="261">
        <v>137662.6</v>
      </c>
      <c r="N11" s="38">
        <f t="shared" ref="N11:P12" si="4">+B11+J11+F11</f>
        <v>236473</v>
      </c>
      <c r="O11" s="57">
        <f t="shared" si="4"/>
        <v>3679188876.1999998</v>
      </c>
      <c r="P11" s="38">
        <f t="shared" si="4"/>
        <v>86</v>
      </c>
      <c r="Q11" s="57">
        <f>+E11+M11+I11</f>
        <v>1295169.82</v>
      </c>
      <c r="R11" s="231"/>
    </row>
    <row r="12" spans="1:19" x14ac:dyDescent="0.25">
      <c r="A12" s="44" t="s">
        <v>34</v>
      </c>
      <c r="B12" s="199">
        <v>161077</v>
      </c>
      <c r="C12" s="275">
        <v>2606770656.48</v>
      </c>
      <c r="D12" s="199">
        <v>121</v>
      </c>
      <c r="E12" s="275">
        <v>2063186.27</v>
      </c>
      <c r="F12" s="199">
        <v>48464</v>
      </c>
      <c r="G12" s="275">
        <v>290784000</v>
      </c>
      <c r="H12" s="199">
        <v>22</v>
      </c>
      <c r="I12" s="275">
        <v>132000</v>
      </c>
      <c r="J12" s="199">
        <v>25595</v>
      </c>
      <c r="K12" s="279">
        <v>753768639.84000003</v>
      </c>
      <c r="L12" s="199">
        <v>2</v>
      </c>
      <c r="M12" s="261">
        <v>22085.599999999999</v>
      </c>
      <c r="N12" s="38">
        <f t="shared" si="4"/>
        <v>235136</v>
      </c>
      <c r="O12" s="57">
        <f t="shared" si="4"/>
        <v>3651323296.3200002</v>
      </c>
      <c r="P12" s="38">
        <f t="shared" si="4"/>
        <v>145</v>
      </c>
      <c r="Q12" s="57">
        <f>+E12+M12+I12</f>
        <v>2217271.87</v>
      </c>
      <c r="R12" s="231"/>
    </row>
    <row r="13" spans="1:19" x14ac:dyDescent="0.25">
      <c r="A13" s="46" t="s">
        <v>22</v>
      </c>
      <c r="B13" s="55">
        <f>+B10</f>
        <v>161837</v>
      </c>
      <c r="C13" s="276">
        <f>SUM(C9:C12)</f>
        <v>7870341309.6399994</v>
      </c>
      <c r="D13" s="55">
        <f>+D10</f>
        <v>1432</v>
      </c>
      <c r="E13" s="276">
        <f>SUM(E9:E12)</f>
        <v>23869298.93</v>
      </c>
      <c r="F13" s="55">
        <f>+F10</f>
        <v>48546</v>
      </c>
      <c r="G13" s="278">
        <f>SUM(G9:G12)</f>
        <v>873012000</v>
      </c>
      <c r="H13" s="55">
        <f>SUM(H9:H12)</f>
        <v>66</v>
      </c>
      <c r="I13" s="276">
        <f>SUM(I9:I12)</f>
        <v>396000</v>
      </c>
      <c r="J13" s="55">
        <f>+J10</f>
        <v>25579</v>
      </c>
      <c r="K13" s="280">
        <f>SUM(K9:K12)</f>
        <v>2263517843.04</v>
      </c>
      <c r="L13" s="55">
        <f>SUM(L9:L12)</f>
        <v>28</v>
      </c>
      <c r="M13" s="276">
        <f>SUM(M9:M12)</f>
        <v>470945.38</v>
      </c>
      <c r="N13" s="55">
        <f>+N10</f>
        <v>235962</v>
      </c>
      <c r="O13" s="276">
        <f>SUM(O9:O12)</f>
        <v>11006871152.68</v>
      </c>
      <c r="P13" s="55">
        <f>P10</f>
        <v>1481</v>
      </c>
      <c r="Q13" s="276">
        <f>SUM(Q9:Q12)</f>
        <v>24736244.310000002</v>
      </c>
      <c r="R13" s="313">
        <f>N10+P10</f>
        <v>237443</v>
      </c>
      <c r="S13" s="314">
        <f>O13+Q13</f>
        <v>11031607396.99</v>
      </c>
    </row>
    <row r="14" spans="1:19" hidden="1" x14ac:dyDescent="0.25">
      <c r="A14" s="44" t="s">
        <v>15</v>
      </c>
      <c r="B14" s="156"/>
      <c r="C14" s="173"/>
      <c r="D14" s="156"/>
      <c r="E14" s="174"/>
      <c r="F14" s="156"/>
      <c r="G14" s="173"/>
      <c r="H14" s="156">
        <f>SUM(H10:H12)</f>
        <v>66</v>
      </c>
      <c r="I14" s="174"/>
      <c r="J14" s="156"/>
      <c r="K14" s="173"/>
      <c r="L14" s="156"/>
      <c r="M14" s="174"/>
      <c r="N14" s="38">
        <f t="shared" ref="N14:P16" si="5">+B14+J14+F14</f>
        <v>0</v>
      </c>
      <c r="O14" s="57">
        <f t="shared" si="5"/>
        <v>0</v>
      </c>
      <c r="P14" s="38">
        <f t="shared" si="5"/>
        <v>66</v>
      </c>
      <c r="Q14" s="57">
        <f>+E14+M14+I14</f>
        <v>0</v>
      </c>
      <c r="R14" s="315"/>
      <c r="S14" s="316"/>
    </row>
    <row r="15" spans="1:19" hidden="1" x14ac:dyDescent="0.25">
      <c r="A15" s="44" t="s">
        <v>16</v>
      </c>
      <c r="B15" s="156"/>
      <c r="C15" s="173"/>
      <c r="D15" s="156"/>
      <c r="E15" s="174"/>
      <c r="F15" s="156"/>
      <c r="G15" s="173"/>
      <c r="H15" s="156"/>
      <c r="I15" s="174"/>
      <c r="J15" s="156"/>
      <c r="K15" s="173"/>
      <c r="L15" s="156"/>
      <c r="M15" s="174"/>
      <c r="N15" s="38">
        <f t="shared" si="5"/>
        <v>0</v>
      </c>
      <c r="O15" s="57">
        <f t="shared" si="5"/>
        <v>0</v>
      </c>
      <c r="P15" s="38">
        <f t="shared" si="5"/>
        <v>0</v>
      </c>
      <c r="Q15" s="57">
        <f>+E15+M15+I15</f>
        <v>0</v>
      </c>
      <c r="R15" s="315"/>
      <c r="S15" s="316"/>
    </row>
    <row r="16" spans="1:19" hidden="1" x14ac:dyDescent="0.25">
      <c r="A16" s="44" t="s">
        <v>17</v>
      </c>
      <c r="B16" s="156"/>
      <c r="C16" s="173"/>
      <c r="D16" s="156"/>
      <c r="E16" s="174"/>
      <c r="F16" s="156"/>
      <c r="G16" s="173"/>
      <c r="H16" s="156"/>
      <c r="I16" s="174"/>
      <c r="J16" s="156"/>
      <c r="K16" s="173"/>
      <c r="L16" s="156"/>
      <c r="M16" s="174"/>
      <c r="N16" s="38">
        <f t="shared" si="5"/>
        <v>0</v>
      </c>
      <c r="O16" s="57">
        <f t="shared" si="5"/>
        <v>0</v>
      </c>
      <c r="P16" s="38">
        <f t="shared" si="5"/>
        <v>0</v>
      </c>
      <c r="Q16" s="57">
        <f>+E16+M16+I16</f>
        <v>0</v>
      </c>
      <c r="R16" s="315"/>
      <c r="S16" s="316"/>
    </row>
    <row r="17" spans="1:19" hidden="1" x14ac:dyDescent="0.25">
      <c r="A17" s="46" t="s">
        <v>18</v>
      </c>
      <c r="B17" s="55">
        <f>+B16</f>
        <v>0</v>
      </c>
      <c r="C17" s="56">
        <f>SUM(C14:C16)</f>
        <v>0</v>
      </c>
      <c r="D17" s="55">
        <f>+D16</f>
        <v>0</v>
      </c>
      <c r="E17" s="56">
        <f>SUM(E14:E16)</f>
        <v>0</v>
      </c>
      <c r="F17" s="55">
        <f>+F16</f>
        <v>0</v>
      </c>
      <c r="G17" s="56">
        <f>SUM(G14:G16)</f>
        <v>0</v>
      </c>
      <c r="H17" s="55">
        <f>+H16</f>
        <v>0</v>
      </c>
      <c r="I17" s="56">
        <f>SUM(I14:I16)</f>
        <v>0</v>
      </c>
      <c r="J17" s="55">
        <f>+J16</f>
        <v>0</v>
      </c>
      <c r="K17" s="56">
        <f>SUM(K14:K16)</f>
        <v>0</v>
      </c>
      <c r="L17" s="55">
        <f>+L16</f>
        <v>0</v>
      </c>
      <c r="M17" s="56">
        <f>SUM(M14:M16)</f>
        <v>0</v>
      </c>
      <c r="N17" s="55">
        <f>+N16</f>
        <v>0</v>
      </c>
      <c r="O17" s="56">
        <f>SUM(O14:O16)</f>
        <v>0</v>
      </c>
      <c r="P17" s="55">
        <f>+P16</f>
        <v>0</v>
      </c>
      <c r="Q17" s="56">
        <f>SUM(Q14:Q16)</f>
        <v>0</v>
      </c>
      <c r="R17" s="315"/>
      <c r="S17" s="317"/>
    </row>
    <row r="18" spans="1:19" hidden="1" x14ac:dyDescent="0.25">
      <c r="A18" s="44" t="s">
        <v>34</v>
      </c>
      <c r="B18" s="156"/>
      <c r="C18" s="173"/>
      <c r="D18" s="156"/>
      <c r="E18" s="174"/>
      <c r="F18" s="156"/>
      <c r="G18" s="173"/>
      <c r="H18" s="156"/>
      <c r="I18" s="174"/>
      <c r="J18" s="156"/>
      <c r="K18" s="173"/>
      <c r="L18" s="156"/>
      <c r="M18" s="174"/>
      <c r="N18" s="38">
        <f t="shared" ref="N18:P20" si="6">+B18+J18+F18</f>
        <v>0</v>
      </c>
      <c r="O18" s="57">
        <f t="shared" si="6"/>
        <v>0</v>
      </c>
      <c r="P18" s="38">
        <f t="shared" si="6"/>
        <v>0</v>
      </c>
      <c r="Q18" s="57">
        <f>+E18+M18+I18</f>
        <v>0</v>
      </c>
      <c r="R18" s="315"/>
      <c r="S18" s="316"/>
    </row>
    <row r="19" spans="1:19" hidden="1" x14ac:dyDescent="0.25">
      <c r="A19" s="44" t="s">
        <v>20</v>
      </c>
      <c r="B19" s="156"/>
      <c r="C19" s="173"/>
      <c r="D19" s="156"/>
      <c r="E19" s="174"/>
      <c r="F19" s="156"/>
      <c r="G19" s="173"/>
      <c r="H19" s="156"/>
      <c r="I19" s="174"/>
      <c r="J19" s="156"/>
      <c r="K19" s="173"/>
      <c r="L19" s="156"/>
      <c r="M19" s="174"/>
      <c r="N19" s="38">
        <f t="shared" si="6"/>
        <v>0</v>
      </c>
      <c r="O19" s="57">
        <f t="shared" si="6"/>
        <v>0</v>
      </c>
      <c r="P19" s="38">
        <f t="shared" si="6"/>
        <v>0</v>
      </c>
      <c r="Q19" s="57">
        <f>+E19+M19+I19</f>
        <v>0</v>
      </c>
      <c r="R19" s="315"/>
      <c r="S19" s="316"/>
    </row>
    <row r="20" spans="1:19" hidden="1" x14ac:dyDescent="0.25">
      <c r="A20" s="44" t="s">
        <v>21</v>
      </c>
      <c r="B20" s="156"/>
      <c r="C20" s="173"/>
      <c r="D20" s="156"/>
      <c r="E20" s="174"/>
      <c r="F20" s="156"/>
      <c r="G20" s="173"/>
      <c r="H20" s="156"/>
      <c r="I20" s="174"/>
      <c r="J20" s="156"/>
      <c r="K20" s="173"/>
      <c r="L20" s="156"/>
      <c r="M20" s="174"/>
      <c r="N20" s="38">
        <f t="shared" si="6"/>
        <v>0</v>
      </c>
      <c r="O20" s="57">
        <f t="shared" si="6"/>
        <v>0</v>
      </c>
      <c r="P20" s="38">
        <f t="shared" si="6"/>
        <v>0</v>
      </c>
      <c r="Q20" s="57">
        <f>+E20+M20+I20</f>
        <v>0</v>
      </c>
      <c r="R20" s="315"/>
      <c r="S20" s="316"/>
    </row>
    <row r="21" spans="1:19" hidden="1" x14ac:dyDescent="0.25">
      <c r="A21" s="46" t="s">
        <v>22</v>
      </c>
      <c r="B21" s="55">
        <f>+B20</f>
        <v>0</v>
      </c>
      <c r="C21" s="56">
        <f>SUM(C18:C20)</f>
        <v>0</v>
      </c>
      <c r="D21" s="55">
        <f>+D20</f>
        <v>0</v>
      </c>
      <c r="E21" s="56">
        <f>SUM(E18:E20)</f>
        <v>0</v>
      </c>
      <c r="F21" s="55">
        <f>+F20</f>
        <v>0</v>
      </c>
      <c r="G21" s="56">
        <f>SUM(G18:G20)</f>
        <v>0</v>
      </c>
      <c r="H21" s="55">
        <f>+H20</f>
        <v>0</v>
      </c>
      <c r="I21" s="56">
        <f>SUM(I18:I20)</f>
        <v>0</v>
      </c>
      <c r="J21" s="55">
        <f>+J20</f>
        <v>0</v>
      </c>
      <c r="K21" s="56">
        <f>SUM(K18:K20)</f>
        <v>0</v>
      </c>
      <c r="L21" s="55">
        <f>+L20</f>
        <v>0</v>
      </c>
      <c r="M21" s="56">
        <f>SUM(M18:M20)</f>
        <v>0</v>
      </c>
      <c r="N21" s="55">
        <f>+N20</f>
        <v>0</v>
      </c>
      <c r="O21" s="56">
        <f>SUM(O18:O20)</f>
        <v>0</v>
      </c>
      <c r="P21" s="55">
        <f>+P20</f>
        <v>0</v>
      </c>
      <c r="Q21" s="56">
        <f>SUM(Q18:Q20)</f>
        <v>0</v>
      </c>
      <c r="R21" s="315"/>
      <c r="S21" s="317"/>
    </row>
    <row r="22" spans="1:19" hidden="1" x14ac:dyDescent="0.25">
      <c r="A22" s="44" t="s">
        <v>13</v>
      </c>
      <c r="B22" s="156"/>
      <c r="C22" s="173"/>
      <c r="D22" s="156"/>
      <c r="E22" s="174"/>
      <c r="F22" s="156"/>
      <c r="G22" s="173"/>
      <c r="H22" s="156"/>
      <c r="I22" s="174"/>
      <c r="J22" s="156"/>
      <c r="K22" s="173"/>
      <c r="L22" s="156"/>
      <c r="M22" s="174"/>
      <c r="N22" s="38">
        <f t="shared" ref="N22:P25" si="7">+B22+J22+F22</f>
        <v>0</v>
      </c>
      <c r="O22" s="57">
        <f t="shared" si="7"/>
        <v>0</v>
      </c>
      <c r="P22" s="38">
        <f t="shared" si="7"/>
        <v>0</v>
      </c>
      <c r="Q22" s="57">
        <f>+E22+M22+I22</f>
        <v>0</v>
      </c>
      <c r="R22" s="315"/>
      <c r="S22" s="316"/>
    </row>
    <row r="23" spans="1:19" hidden="1" x14ac:dyDescent="0.25">
      <c r="A23" s="44" t="s">
        <v>12</v>
      </c>
      <c r="B23" s="156"/>
      <c r="C23" s="173"/>
      <c r="D23" s="156"/>
      <c r="E23" s="174"/>
      <c r="F23" s="156"/>
      <c r="G23" s="173"/>
      <c r="H23" s="156"/>
      <c r="I23" s="174"/>
      <c r="J23" s="156"/>
      <c r="K23" s="173"/>
      <c r="L23" s="156"/>
      <c r="M23" s="174"/>
      <c r="N23" s="38">
        <f t="shared" si="7"/>
        <v>0</v>
      </c>
      <c r="O23" s="57">
        <f t="shared" si="7"/>
        <v>0</v>
      </c>
      <c r="P23" s="38">
        <f t="shared" si="7"/>
        <v>0</v>
      </c>
      <c r="Q23" s="57">
        <f>+E23+M23+I23</f>
        <v>0</v>
      </c>
      <c r="R23" s="315"/>
      <c r="S23" s="316"/>
    </row>
    <row r="24" spans="1:19" hidden="1" x14ac:dyDescent="0.25">
      <c r="A24" s="44" t="s">
        <v>11</v>
      </c>
      <c r="B24" s="156"/>
      <c r="C24" s="173"/>
      <c r="D24" s="156"/>
      <c r="E24" s="174"/>
      <c r="F24" s="156"/>
      <c r="G24" s="173"/>
      <c r="H24" s="156"/>
      <c r="I24" s="174"/>
      <c r="J24" s="156"/>
      <c r="K24" s="173"/>
      <c r="L24" s="156"/>
      <c r="M24" s="174"/>
      <c r="N24" s="38">
        <f t="shared" si="7"/>
        <v>0</v>
      </c>
      <c r="O24" s="57">
        <f t="shared" si="7"/>
        <v>0</v>
      </c>
      <c r="P24" s="38">
        <f t="shared" si="7"/>
        <v>0</v>
      </c>
      <c r="Q24" s="57">
        <f>+E24+M24+I24</f>
        <v>0</v>
      </c>
      <c r="R24" s="315"/>
      <c r="S24" s="316"/>
    </row>
    <row r="25" spans="1:19" hidden="1" x14ac:dyDescent="0.25">
      <c r="A25" s="44" t="s">
        <v>10</v>
      </c>
      <c r="B25" s="156"/>
      <c r="C25" s="173"/>
      <c r="D25" s="156"/>
      <c r="E25" s="174"/>
      <c r="F25" s="156"/>
      <c r="G25" s="173"/>
      <c r="H25" s="156"/>
      <c r="I25" s="174"/>
      <c r="J25" s="156"/>
      <c r="K25" s="173"/>
      <c r="L25" s="156"/>
      <c r="M25" s="174"/>
      <c r="N25" s="38">
        <f t="shared" si="7"/>
        <v>0</v>
      </c>
      <c r="O25" s="57">
        <f t="shared" si="7"/>
        <v>0</v>
      </c>
      <c r="P25" s="38">
        <f t="shared" si="7"/>
        <v>0</v>
      </c>
      <c r="Q25" s="57">
        <f>+E25+M25+I25</f>
        <v>0</v>
      </c>
      <c r="R25" s="315"/>
      <c r="S25" s="316"/>
    </row>
    <row r="26" spans="1:19" hidden="1" x14ac:dyDescent="0.25">
      <c r="A26" s="46" t="s">
        <v>14</v>
      </c>
      <c r="B26" s="55">
        <f>+B24</f>
        <v>0</v>
      </c>
      <c r="C26" s="55">
        <f>SUM(C22:C25)</f>
        <v>0</v>
      </c>
      <c r="D26" s="55">
        <f>+D24</f>
        <v>0</v>
      </c>
      <c r="E26" s="56">
        <f>SUM(E22:E25)</f>
        <v>0</v>
      </c>
      <c r="F26" s="55">
        <f>+F24</f>
        <v>0</v>
      </c>
      <c r="G26" s="56">
        <f>SUM(G22:G25)</f>
        <v>0</v>
      </c>
      <c r="H26" s="55">
        <f>+H24</f>
        <v>0</v>
      </c>
      <c r="I26" s="56">
        <f>SUM(I22:I25)</f>
        <v>0</v>
      </c>
      <c r="J26" s="55">
        <f>+J24</f>
        <v>0</v>
      </c>
      <c r="K26" s="56">
        <f>SUM(K22:K25)</f>
        <v>0</v>
      </c>
      <c r="L26" s="55">
        <f>+L24</f>
        <v>0</v>
      </c>
      <c r="M26" s="56">
        <f>SUM(M22:M25)</f>
        <v>0</v>
      </c>
      <c r="N26" s="55">
        <f>+N24</f>
        <v>0</v>
      </c>
      <c r="O26" s="56">
        <f>SUM(O22:O25)</f>
        <v>0</v>
      </c>
      <c r="P26" s="55">
        <f>+P24</f>
        <v>0</v>
      </c>
      <c r="Q26" s="56">
        <f>SUM(Q22:Q25)</f>
        <v>0</v>
      </c>
      <c r="R26" s="315"/>
      <c r="S26" s="317"/>
    </row>
    <row r="27" spans="1:19" hidden="1" x14ac:dyDescent="0.25">
      <c r="A27" s="49" t="s">
        <v>23</v>
      </c>
      <c r="B27" s="58">
        <f>+B26</f>
        <v>0</v>
      </c>
      <c r="C27" s="59">
        <f>+C13+C17+C21+C26</f>
        <v>7870341309.6399994</v>
      </c>
      <c r="D27" s="58">
        <f>+D26</f>
        <v>0</v>
      </c>
      <c r="E27" s="59">
        <f>+E13+E17+E21+E26</f>
        <v>23869298.93</v>
      </c>
      <c r="F27" s="58">
        <f>+F26</f>
        <v>0</v>
      </c>
      <c r="G27" s="59">
        <f>+G13+G17+G21+G26</f>
        <v>873012000</v>
      </c>
      <c r="H27" s="58">
        <f>+H26</f>
        <v>0</v>
      </c>
      <c r="I27" s="59">
        <f>+I13+I17+I21+I26</f>
        <v>396000</v>
      </c>
      <c r="J27" s="58">
        <f>+J26</f>
        <v>0</v>
      </c>
      <c r="K27" s="59">
        <f>+K13+K17+K21+K26</f>
        <v>2263517843.04</v>
      </c>
      <c r="L27" s="58">
        <f>+L26</f>
        <v>0</v>
      </c>
      <c r="M27" s="59">
        <f>+M13+M17+M21+M26</f>
        <v>470945.38</v>
      </c>
      <c r="N27" s="58">
        <f>+N26</f>
        <v>0</v>
      </c>
      <c r="O27" s="59">
        <f>+O13+O17+O21+O26</f>
        <v>11006871152.68</v>
      </c>
      <c r="P27" s="58">
        <f>+P26</f>
        <v>0</v>
      </c>
      <c r="Q27" s="59">
        <f>+Q13+Q17+Q21+Q26</f>
        <v>24736244.310000002</v>
      </c>
      <c r="R27" s="315"/>
      <c r="S27" s="317"/>
    </row>
    <row r="28" spans="1:19" x14ac:dyDescent="0.25">
      <c r="A28" s="147" t="s">
        <v>52</v>
      </c>
      <c r="B28" s="24"/>
      <c r="C28" s="24"/>
      <c r="D28" s="25"/>
      <c r="E28" s="147"/>
      <c r="F28" s="147"/>
      <c r="G28" s="147"/>
      <c r="H28" s="147"/>
      <c r="I28" s="147"/>
      <c r="J28" s="147"/>
      <c r="K28" s="147"/>
      <c r="L28" s="147"/>
      <c r="M28" s="147"/>
      <c r="N28" s="147"/>
      <c r="O28" s="175">
        <f>O13/S13</f>
        <v>0.99775769355998389</v>
      </c>
      <c r="P28" s="175"/>
      <c r="Q28" s="175">
        <f>Q13/S13</f>
        <v>2.2423064400161072E-3</v>
      </c>
      <c r="R28" s="315"/>
      <c r="S28" s="317"/>
    </row>
    <row r="29" spans="1:19" x14ac:dyDescent="0.25">
      <c r="A29" s="212" t="s">
        <v>203</v>
      </c>
      <c r="B29"/>
      <c r="C29" s="176"/>
      <c r="D29"/>
      <c r="E29"/>
      <c r="F29"/>
      <c r="G29" s="176"/>
      <c r="H29"/>
      <c r="I29"/>
      <c r="J29" s="176"/>
      <c r="K29" s="176"/>
      <c r="L29"/>
      <c r="M29"/>
      <c r="N29"/>
      <c r="O29" s="176"/>
      <c r="P29"/>
      <c r="Q29"/>
      <c r="R29" s="231"/>
      <c r="S29" s="35"/>
    </row>
    <row r="30" spans="1:19" x14ac:dyDescent="0.25">
      <c r="B30" s="35"/>
      <c r="C30" s="35"/>
      <c r="O30" s="35"/>
      <c r="R30" s="231"/>
    </row>
    <row r="31" spans="1:19" x14ac:dyDescent="0.25">
      <c r="R31" s="231"/>
    </row>
    <row r="32" spans="1:19" x14ac:dyDescent="0.25">
      <c r="R32" s="231"/>
    </row>
    <row r="34" spans="1:18" x14ac:dyDescent="0.25">
      <c r="O34" s="35"/>
    </row>
    <row r="36" spans="1:18" x14ac:dyDescent="0.25">
      <c r="N36" s="35"/>
    </row>
    <row r="38" spans="1:18" x14ac:dyDescent="0.25">
      <c r="M38" s="35"/>
    </row>
    <row r="43" spans="1:18" x14ac:dyDescent="0.25">
      <c r="N43" s="18"/>
    </row>
    <row r="48" spans="1:18" x14ac:dyDescent="0.25">
      <c r="A48" s="44"/>
      <c r="B48" s="156"/>
      <c r="C48" s="173"/>
      <c r="D48" s="156"/>
      <c r="E48" s="174"/>
      <c r="F48" s="156"/>
      <c r="G48" s="173"/>
      <c r="H48" s="156"/>
      <c r="I48" s="174"/>
      <c r="J48" s="156"/>
      <c r="K48" s="173"/>
      <c r="L48" s="156"/>
      <c r="M48" s="174"/>
      <c r="N48" s="38"/>
      <c r="O48" s="38"/>
      <c r="P48" s="38"/>
      <c r="Q48" s="57"/>
      <c r="R48" s="57"/>
    </row>
    <row r="50" spans="1:18" x14ac:dyDescent="0.25">
      <c r="A50" s="44"/>
      <c r="B50" s="156"/>
      <c r="C50" s="173"/>
      <c r="D50" s="156"/>
      <c r="E50" s="174"/>
      <c r="F50" s="156"/>
      <c r="G50" s="173"/>
      <c r="H50" s="156"/>
      <c r="I50" s="174"/>
      <c r="J50" s="156"/>
      <c r="K50" s="173"/>
      <c r="L50" s="156"/>
      <c r="M50" s="174"/>
      <c r="N50" s="38"/>
      <c r="O50" s="38"/>
      <c r="P50" s="38"/>
      <c r="Q50" s="57"/>
      <c r="R50" s="57"/>
    </row>
  </sheetData>
  <mergeCells count="17">
    <mergeCell ref="L7:M7"/>
    <mergeCell ref="A1:Q1"/>
    <mergeCell ref="A2:Q2"/>
    <mergeCell ref="A3:Q3"/>
    <mergeCell ref="A5:Q5"/>
    <mergeCell ref="B7:C7"/>
    <mergeCell ref="D7:E7"/>
    <mergeCell ref="J7:K7"/>
    <mergeCell ref="N6:Q6"/>
    <mergeCell ref="N7:O7"/>
    <mergeCell ref="P7:Q7"/>
    <mergeCell ref="A4:Q4"/>
    <mergeCell ref="F7:G7"/>
    <mergeCell ref="H7:I7"/>
    <mergeCell ref="J6:M6"/>
    <mergeCell ref="B6:E6"/>
    <mergeCell ref="F6:I6"/>
  </mergeCells>
  <pageMargins left="0.7" right="0.7" top="0.75" bottom="0.75" header="0.3" footer="0.3"/>
  <pageSetup paperSize="9" scale="42" orientation="portrait" r:id="rId1"/>
  <colBreaks count="1" manualBreakCount="1">
    <brk id="18" max="1048575" man="1"/>
  </colBreaks>
  <ignoredErrors>
    <ignoredError sqref="C26 E26 E13:F13 N13:Q13 J13 C13" formula="1"/>
    <ignoredError sqref="Q28 O28 R13:S13" unlockedFormula="1"/>
  </ignoredErrors>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T39"/>
  <sheetViews>
    <sheetView showGridLines="0" zoomScaleNormal="100" workbookViewId="0">
      <selection activeCell="O36" sqref="O36"/>
    </sheetView>
  </sheetViews>
  <sheetFormatPr defaultColWidth="11.42578125" defaultRowHeight="15" x14ac:dyDescent="0.25"/>
  <cols>
    <col min="1" max="1" width="11.42578125" style="1"/>
    <col min="2" max="2" width="11" style="1" customWidth="1"/>
    <col min="3" max="3" width="9" style="1" bestFit="1" customWidth="1"/>
    <col min="4" max="4" width="14.7109375" style="1" bestFit="1" customWidth="1"/>
    <col min="5" max="5" width="12.42578125" style="1" hidden="1" customWidth="1"/>
    <col min="6" max="6" width="8.7109375" style="1" hidden="1" customWidth="1"/>
    <col min="7" max="7" width="0.42578125" style="1" hidden="1" customWidth="1"/>
    <col min="8" max="8" width="11.42578125" style="1" customWidth="1"/>
    <col min="9" max="9" width="14" style="1" bestFit="1" customWidth="1"/>
    <col min="10" max="10" width="13.7109375" style="1" customWidth="1"/>
    <col min="11" max="12" width="10.7109375" style="1" customWidth="1"/>
    <col min="13" max="13" width="14.42578125" style="1" customWidth="1"/>
    <col min="14" max="14" width="11.42578125" style="1" customWidth="1"/>
    <col min="15" max="15" width="20.42578125" style="1" customWidth="1"/>
    <col min="16" max="16" width="35.140625" style="1" customWidth="1"/>
    <col min="17" max="17" width="11.7109375" style="1" bestFit="1" customWidth="1"/>
    <col min="18" max="18" width="18.42578125" style="1" customWidth="1"/>
    <col min="19" max="19" width="16" style="1" bestFit="1" customWidth="1"/>
    <col min="20" max="20" width="11.7109375" style="1" bestFit="1" customWidth="1"/>
    <col min="21" max="16384" width="11.42578125" style="1"/>
  </cols>
  <sheetData>
    <row r="1" spans="1:18" x14ac:dyDescent="0.25">
      <c r="A1" s="335" t="s">
        <v>0</v>
      </c>
      <c r="B1" s="335"/>
      <c r="C1" s="335"/>
      <c r="D1" s="335"/>
      <c r="E1" s="335"/>
      <c r="F1" s="335"/>
      <c r="G1" s="335"/>
      <c r="H1" s="335"/>
      <c r="I1" s="335"/>
      <c r="J1" s="335"/>
      <c r="K1" s="335"/>
      <c r="L1" s="335"/>
      <c r="M1" s="335"/>
    </row>
    <row r="2" spans="1:18" x14ac:dyDescent="0.25">
      <c r="A2" s="335" t="s">
        <v>65</v>
      </c>
      <c r="B2" s="335"/>
      <c r="C2" s="335"/>
      <c r="D2" s="335"/>
      <c r="E2" s="335"/>
      <c r="F2" s="335"/>
      <c r="G2" s="335"/>
      <c r="H2" s="335"/>
      <c r="I2" s="335"/>
      <c r="J2" s="335"/>
      <c r="K2" s="335"/>
      <c r="L2" s="335"/>
      <c r="M2" s="335"/>
    </row>
    <row r="3" spans="1:18" x14ac:dyDescent="0.25">
      <c r="A3" s="335" t="s">
        <v>204</v>
      </c>
      <c r="B3" s="335"/>
      <c r="C3" s="335"/>
      <c r="D3" s="335"/>
      <c r="E3" s="335"/>
      <c r="F3" s="335"/>
      <c r="G3" s="335"/>
      <c r="H3" s="335"/>
      <c r="I3" s="335"/>
      <c r="J3" s="335"/>
      <c r="K3" s="335"/>
      <c r="L3" s="335"/>
      <c r="M3" s="335"/>
    </row>
    <row r="4" spans="1:18" x14ac:dyDescent="0.25">
      <c r="A4" s="335" t="s">
        <v>281</v>
      </c>
      <c r="B4" s="335"/>
      <c r="C4" s="335"/>
      <c r="D4" s="335"/>
      <c r="E4" s="335"/>
      <c r="F4" s="335"/>
      <c r="G4" s="335"/>
      <c r="H4" s="335"/>
      <c r="I4" s="335"/>
      <c r="J4" s="335"/>
      <c r="K4" s="335"/>
      <c r="L4" s="335"/>
      <c r="M4" s="335"/>
    </row>
    <row r="5" spans="1:18" x14ac:dyDescent="0.25">
      <c r="A5" s="335" t="s">
        <v>274</v>
      </c>
      <c r="B5" s="335"/>
      <c r="C5" s="335"/>
      <c r="D5" s="335"/>
      <c r="E5" s="335"/>
      <c r="F5" s="335"/>
      <c r="G5" s="335"/>
      <c r="H5" s="335"/>
      <c r="I5" s="335"/>
      <c r="J5" s="335"/>
      <c r="K5" s="335"/>
      <c r="L5" s="335"/>
      <c r="M5" s="335"/>
    </row>
    <row r="6" spans="1:18" x14ac:dyDescent="0.25">
      <c r="A6" s="89"/>
      <c r="B6" s="382" t="s">
        <v>77</v>
      </c>
      <c r="C6" s="382"/>
      <c r="D6" s="382"/>
      <c r="E6" s="383" t="s">
        <v>78</v>
      </c>
      <c r="F6" s="383"/>
      <c r="G6" s="383"/>
      <c r="H6" s="381" t="s">
        <v>79</v>
      </c>
      <c r="I6" s="381"/>
      <c r="J6" s="381"/>
      <c r="K6" s="380" t="s">
        <v>80</v>
      </c>
      <c r="L6" s="380"/>
      <c r="M6" s="380"/>
      <c r="N6"/>
      <c r="O6"/>
      <c r="P6"/>
      <c r="Q6"/>
      <c r="R6"/>
    </row>
    <row r="7" spans="1:18" ht="39.75" customHeight="1" x14ac:dyDescent="0.25">
      <c r="A7" s="90" t="s">
        <v>3</v>
      </c>
      <c r="B7" s="45" t="s">
        <v>205</v>
      </c>
      <c r="C7" s="45" t="s">
        <v>206</v>
      </c>
      <c r="D7" s="45" t="s">
        <v>7</v>
      </c>
      <c r="E7" s="45" t="s">
        <v>205</v>
      </c>
      <c r="F7" s="45" t="s">
        <v>206</v>
      </c>
      <c r="G7" s="45" t="s">
        <v>7</v>
      </c>
      <c r="H7" s="45" t="s">
        <v>205</v>
      </c>
      <c r="I7" s="45" t="s">
        <v>206</v>
      </c>
      <c r="J7" s="45" t="s">
        <v>7</v>
      </c>
      <c r="K7" s="45" t="s">
        <v>81</v>
      </c>
      <c r="L7" s="45" t="s">
        <v>82</v>
      </c>
      <c r="M7" s="45" t="s">
        <v>7</v>
      </c>
      <c r="N7"/>
      <c r="O7"/>
      <c r="P7"/>
      <c r="Q7"/>
      <c r="R7"/>
    </row>
    <row r="8" spans="1:18" hidden="1" x14ac:dyDescent="0.25">
      <c r="A8" s="282" t="s">
        <v>207</v>
      </c>
      <c r="B8" s="199">
        <v>0</v>
      </c>
      <c r="C8" s="199">
        <v>0</v>
      </c>
      <c r="D8" s="126">
        <v>0</v>
      </c>
      <c r="E8" s="203"/>
      <c r="F8" s="203"/>
      <c r="G8" s="203"/>
      <c r="H8" s="201">
        <v>0</v>
      </c>
      <c r="I8" s="201">
        <v>0</v>
      </c>
      <c r="J8" s="60">
        <v>0</v>
      </c>
      <c r="K8" s="38">
        <f t="shared" ref="K8:M11" si="0">+B8+H8+E8</f>
        <v>0</v>
      </c>
      <c r="L8" s="38">
        <f t="shared" si="0"/>
        <v>0</v>
      </c>
      <c r="M8" s="38">
        <f t="shared" si="0"/>
        <v>0</v>
      </c>
      <c r="N8"/>
      <c r="O8"/>
      <c r="P8"/>
      <c r="Q8"/>
      <c r="R8"/>
    </row>
    <row r="9" spans="1:18" x14ac:dyDescent="0.25">
      <c r="A9" s="44" t="s">
        <v>21</v>
      </c>
      <c r="B9" s="155">
        <v>151</v>
      </c>
      <c r="C9" s="155">
        <v>166</v>
      </c>
      <c r="D9" s="177">
        <v>13235018.16</v>
      </c>
      <c r="E9" s="126"/>
      <c r="F9" s="126"/>
      <c r="G9" s="177"/>
      <c r="H9" s="126">
        <v>54</v>
      </c>
      <c r="I9" s="126">
        <v>53</v>
      </c>
      <c r="J9" s="177">
        <v>6123801.6200000001</v>
      </c>
      <c r="K9" s="38">
        <f t="shared" si="0"/>
        <v>205</v>
      </c>
      <c r="L9" s="38">
        <f t="shared" si="0"/>
        <v>219</v>
      </c>
      <c r="M9" s="57">
        <f t="shared" si="0"/>
        <v>19358819.780000001</v>
      </c>
      <c r="N9"/>
      <c r="O9"/>
      <c r="P9"/>
      <c r="Q9"/>
      <c r="R9"/>
    </row>
    <row r="10" spans="1:18" x14ac:dyDescent="0.25">
      <c r="A10" s="44" t="s">
        <v>20</v>
      </c>
      <c r="B10" s="155">
        <v>359</v>
      </c>
      <c r="C10" s="155">
        <v>401</v>
      </c>
      <c r="D10" s="177">
        <v>29016844.25</v>
      </c>
      <c r="E10" s="126"/>
      <c r="F10" s="126"/>
      <c r="G10" s="177"/>
      <c r="H10" s="126">
        <v>225</v>
      </c>
      <c r="I10" s="126">
        <v>220</v>
      </c>
      <c r="J10" s="177">
        <v>24275013.600000001</v>
      </c>
      <c r="K10" s="38">
        <f t="shared" si="0"/>
        <v>584</v>
      </c>
      <c r="L10" s="38">
        <f t="shared" si="0"/>
        <v>621</v>
      </c>
      <c r="M10" s="38">
        <f t="shared" si="0"/>
        <v>53291857.850000001</v>
      </c>
      <c r="N10"/>
      <c r="O10"/>
      <c r="P10"/>
      <c r="Q10"/>
      <c r="R10"/>
    </row>
    <row r="11" spans="1:18" x14ac:dyDescent="0.25">
      <c r="A11" s="44" t="s">
        <v>34</v>
      </c>
      <c r="B11" s="155">
        <v>0</v>
      </c>
      <c r="C11" s="155">
        <v>0</v>
      </c>
      <c r="D11" s="177">
        <v>0</v>
      </c>
      <c r="E11" s="126"/>
      <c r="F11" s="126"/>
      <c r="G11" s="177"/>
      <c r="H11" s="126">
        <v>0</v>
      </c>
      <c r="I11" s="126">
        <v>0</v>
      </c>
      <c r="J11" s="177">
        <v>0</v>
      </c>
      <c r="K11" s="38">
        <f t="shared" si="0"/>
        <v>0</v>
      </c>
      <c r="L11" s="38">
        <f t="shared" si="0"/>
        <v>0</v>
      </c>
      <c r="M11" s="57">
        <f t="shared" si="0"/>
        <v>0</v>
      </c>
      <c r="N11"/>
      <c r="O11"/>
      <c r="P11"/>
      <c r="Q11"/>
      <c r="R11"/>
    </row>
    <row r="12" spans="1:18" x14ac:dyDescent="0.25">
      <c r="A12" s="46" t="s">
        <v>22</v>
      </c>
      <c r="B12" s="40">
        <f t="shared" ref="B12:M12" si="1">SUM(B9:B11)</f>
        <v>510</v>
      </c>
      <c r="C12" s="40">
        <f t="shared" si="1"/>
        <v>567</v>
      </c>
      <c r="D12" s="283">
        <f t="shared" si="1"/>
        <v>42251862.409999996</v>
      </c>
      <c r="E12" s="40">
        <f t="shared" si="1"/>
        <v>0</v>
      </c>
      <c r="F12" s="40">
        <f t="shared" si="1"/>
        <v>0</v>
      </c>
      <c r="G12" s="40">
        <f t="shared" si="1"/>
        <v>0</v>
      </c>
      <c r="H12" s="204">
        <f t="shared" si="1"/>
        <v>279</v>
      </c>
      <c r="I12" s="204">
        <f t="shared" si="1"/>
        <v>273</v>
      </c>
      <c r="J12" s="283">
        <f t="shared" si="1"/>
        <v>30398815.220000003</v>
      </c>
      <c r="K12" s="40">
        <f t="shared" si="1"/>
        <v>789</v>
      </c>
      <c r="L12" s="40">
        <f t="shared" si="1"/>
        <v>840</v>
      </c>
      <c r="M12" s="283">
        <f t="shared" si="1"/>
        <v>72650677.629999995</v>
      </c>
      <c r="N12"/>
      <c r="O12"/>
      <c r="P12"/>
      <c r="Q12"/>
      <c r="R12"/>
    </row>
    <row r="13" spans="1:18" hidden="1" x14ac:dyDescent="0.25">
      <c r="A13" s="44" t="s">
        <v>15</v>
      </c>
      <c r="B13" s="126"/>
      <c r="C13" s="126"/>
      <c r="D13" s="177"/>
      <c r="E13" s="126"/>
      <c r="F13" s="126"/>
      <c r="G13" s="177"/>
      <c r="H13" s="126"/>
      <c r="I13" s="126"/>
      <c r="J13" s="177"/>
      <c r="K13" s="37">
        <f t="shared" ref="K13:M15" si="2">+B13+H13+E13</f>
        <v>0</v>
      </c>
      <c r="L13" s="37">
        <f t="shared" si="2"/>
        <v>0</v>
      </c>
      <c r="M13" s="65">
        <f t="shared" si="2"/>
        <v>0</v>
      </c>
      <c r="N13"/>
      <c r="O13"/>
      <c r="P13"/>
      <c r="Q13"/>
      <c r="R13"/>
    </row>
    <row r="14" spans="1:18" hidden="1" x14ac:dyDescent="0.25">
      <c r="A14" s="44" t="s">
        <v>16</v>
      </c>
      <c r="B14" s="126"/>
      <c r="C14" s="126"/>
      <c r="D14" s="177"/>
      <c r="E14" s="126"/>
      <c r="F14" s="126"/>
      <c r="G14" s="177"/>
      <c r="H14" s="126"/>
      <c r="I14" s="126"/>
      <c r="J14" s="177"/>
      <c r="K14" s="37">
        <f t="shared" si="2"/>
        <v>0</v>
      </c>
      <c r="L14" s="37">
        <f t="shared" si="2"/>
        <v>0</v>
      </c>
      <c r="M14" s="65">
        <f t="shared" si="2"/>
        <v>0</v>
      </c>
      <c r="N14"/>
      <c r="O14"/>
      <c r="P14"/>
      <c r="Q14"/>
      <c r="R14"/>
    </row>
    <row r="15" spans="1:18" hidden="1" x14ac:dyDescent="0.25">
      <c r="A15" s="44" t="s">
        <v>17</v>
      </c>
      <c r="B15" s="126"/>
      <c r="C15" s="126"/>
      <c r="D15" s="177"/>
      <c r="E15" s="126"/>
      <c r="F15" s="126"/>
      <c r="G15" s="177"/>
      <c r="H15" s="126"/>
      <c r="I15" s="126"/>
      <c r="J15" s="177"/>
      <c r="K15" s="37">
        <f t="shared" si="2"/>
        <v>0</v>
      </c>
      <c r="L15" s="37">
        <f t="shared" si="2"/>
        <v>0</v>
      </c>
      <c r="M15" s="65">
        <f t="shared" si="2"/>
        <v>0</v>
      </c>
      <c r="N15"/>
      <c r="O15"/>
      <c r="P15"/>
      <c r="Q15"/>
      <c r="R15"/>
    </row>
    <row r="16" spans="1:18" hidden="1" x14ac:dyDescent="0.25">
      <c r="A16" s="27" t="s">
        <v>18</v>
      </c>
      <c r="B16" s="39">
        <f t="shared" ref="B16:M16" si="3">SUM(B13:B15)</f>
        <v>0</v>
      </c>
      <c r="C16" s="39">
        <f t="shared" si="3"/>
        <v>0</v>
      </c>
      <c r="D16" s="39">
        <f t="shared" si="3"/>
        <v>0</v>
      </c>
      <c r="E16" s="39">
        <f t="shared" ref="E16:J16" si="4">SUM(E13:E15)</f>
        <v>0</v>
      </c>
      <c r="F16" s="39">
        <f t="shared" si="4"/>
        <v>0</v>
      </c>
      <c r="G16" s="39">
        <f t="shared" si="4"/>
        <v>0</v>
      </c>
      <c r="H16" s="39">
        <f t="shared" si="4"/>
        <v>0</v>
      </c>
      <c r="I16" s="39">
        <f t="shared" si="4"/>
        <v>0</v>
      </c>
      <c r="J16" s="39">
        <f t="shared" si="4"/>
        <v>0</v>
      </c>
      <c r="K16" s="39">
        <f t="shared" si="3"/>
        <v>0</v>
      </c>
      <c r="L16" s="39">
        <f t="shared" si="3"/>
        <v>0</v>
      </c>
      <c r="M16" s="39">
        <f t="shared" si="3"/>
        <v>0</v>
      </c>
      <c r="N16"/>
      <c r="O16"/>
      <c r="P16"/>
      <c r="Q16"/>
      <c r="R16"/>
    </row>
    <row r="17" spans="1:20" hidden="1" x14ac:dyDescent="0.25">
      <c r="A17" s="44" t="s">
        <v>34</v>
      </c>
      <c r="B17" s="126"/>
      <c r="C17" s="126"/>
      <c r="D17" s="177"/>
      <c r="E17" s="126"/>
      <c r="F17" s="126"/>
      <c r="G17" s="177"/>
      <c r="H17" s="126"/>
      <c r="I17" s="126"/>
      <c r="J17" s="177"/>
      <c r="K17" s="37">
        <f t="shared" ref="K17:M19" si="5">+B17+H17+E17</f>
        <v>0</v>
      </c>
      <c r="L17" s="37">
        <f t="shared" si="5"/>
        <v>0</v>
      </c>
      <c r="M17" s="65">
        <f t="shared" si="5"/>
        <v>0</v>
      </c>
      <c r="N17"/>
      <c r="O17"/>
      <c r="P17"/>
      <c r="Q17"/>
      <c r="R17"/>
    </row>
    <row r="18" spans="1:20" hidden="1" x14ac:dyDescent="0.25">
      <c r="A18" s="44" t="s">
        <v>20</v>
      </c>
      <c r="B18" s="126"/>
      <c r="C18" s="126"/>
      <c r="D18" s="177"/>
      <c r="E18" s="126"/>
      <c r="F18" s="126"/>
      <c r="G18" s="177"/>
      <c r="H18" s="126"/>
      <c r="I18" s="126"/>
      <c r="J18" s="177"/>
      <c r="K18" s="37">
        <f t="shared" si="5"/>
        <v>0</v>
      </c>
      <c r="L18" s="37">
        <f t="shared" si="5"/>
        <v>0</v>
      </c>
      <c r="M18" s="65">
        <f t="shared" si="5"/>
        <v>0</v>
      </c>
      <c r="N18"/>
      <c r="O18"/>
      <c r="P18"/>
      <c r="Q18"/>
      <c r="R18"/>
    </row>
    <row r="19" spans="1:20" hidden="1" x14ac:dyDescent="0.25">
      <c r="A19" s="44" t="s">
        <v>21</v>
      </c>
      <c r="B19" s="126"/>
      <c r="C19" s="126"/>
      <c r="D19" s="177"/>
      <c r="E19" s="126"/>
      <c r="F19" s="126"/>
      <c r="G19" s="177"/>
      <c r="H19" s="126"/>
      <c r="I19" s="126"/>
      <c r="J19" s="177"/>
      <c r="K19" s="37">
        <f t="shared" si="5"/>
        <v>0</v>
      </c>
      <c r="L19" s="37">
        <f t="shared" si="5"/>
        <v>0</v>
      </c>
      <c r="M19" s="65">
        <f t="shared" si="5"/>
        <v>0</v>
      </c>
      <c r="N19"/>
      <c r="O19"/>
      <c r="P19"/>
      <c r="Q19"/>
      <c r="R19"/>
    </row>
    <row r="20" spans="1:20" hidden="1" x14ac:dyDescent="0.25">
      <c r="A20" s="27" t="s">
        <v>22</v>
      </c>
      <c r="B20" s="39">
        <f t="shared" ref="B20:D20" si="6">SUM(B17:B19)</f>
        <v>0</v>
      </c>
      <c r="C20" s="39">
        <f t="shared" si="6"/>
        <v>0</v>
      </c>
      <c r="D20" s="39">
        <f t="shared" si="6"/>
        <v>0</v>
      </c>
      <c r="E20" s="39">
        <f t="shared" ref="E20:M20" si="7">SUM(E17:E19)</f>
        <v>0</v>
      </c>
      <c r="F20" s="39">
        <f t="shared" si="7"/>
        <v>0</v>
      </c>
      <c r="G20" s="39">
        <f t="shared" si="7"/>
        <v>0</v>
      </c>
      <c r="H20" s="39">
        <f>SUM(H17:H19)</f>
        <v>0</v>
      </c>
      <c r="I20" s="39">
        <f>SUM(I17:I19)</f>
        <v>0</v>
      </c>
      <c r="J20" s="39">
        <f>SUM(J17:J19)</f>
        <v>0</v>
      </c>
      <c r="K20" s="39">
        <f t="shared" si="7"/>
        <v>0</v>
      </c>
      <c r="L20" s="39">
        <f t="shared" si="7"/>
        <v>0</v>
      </c>
      <c r="M20" s="39">
        <f t="shared" si="7"/>
        <v>0</v>
      </c>
      <c r="N20"/>
      <c r="O20"/>
      <c r="P20"/>
      <c r="Q20"/>
      <c r="R20"/>
    </row>
    <row r="21" spans="1:20" hidden="1" x14ac:dyDescent="0.25">
      <c r="A21" s="44" t="s">
        <v>13</v>
      </c>
      <c r="B21" s="126"/>
      <c r="C21" s="126"/>
      <c r="D21" s="177"/>
      <c r="E21" s="126"/>
      <c r="F21" s="126"/>
      <c r="G21" s="177"/>
      <c r="H21" s="126"/>
      <c r="I21" s="126"/>
      <c r="J21" s="177"/>
      <c r="K21" s="37">
        <f t="shared" ref="K21:M23" si="8">+B21+H21+E21</f>
        <v>0</v>
      </c>
      <c r="L21" s="37">
        <f t="shared" si="8"/>
        <v>0</v>
      </c>
      <c r="M21" s="65">
        <f t="shared" si="8"/>
        <v>0</v>
      </c>
      <c r="N21"/>
      <c r="O21"/>
      <c r="P21"/>
      <c r="Q21"/>
      <c r="R21"/>
    </row>
    <row r="22" spans="1:20" hidden="1" x14ac:dyDescent="0.25">
      <c r="A22" s="44" t="s">
        <v>12</v>
      </c>
      <c r="B22" s="126"/>
      <c r="C22" s="126"/>
      <c r="D22" s="177"/>
      <c r="E22" s="126"/>
      <c r="F22" s="126"/>
      <c r="G22" s="177"/>
      <c r="H22" s="126"/>
      <c r="I22" s="126"/>
      <c r="J22" s="177"/>
      <c r="K22" s="37">
        <f t="shared" si="8"/>
        <v>0</v>
      </c>
      <c r="L22" s="37">
        <f t="shared" si="8"/>
        <v>0</v>
      </c>
      <c r="M22" s="65">
        <f t="shared" si="8"/>
        <v>0</v>
      </c>
      <c r="N22"/>
      <c r="O22"/>
      <c r="P22"/>
      <c r="Q22"/>
      <c r="R22"/>
    </row>
    <row r="23" spans="1:20" hidden="1" x14ac:dyDescent="0.25">
      <c r="A23" s="44" t="s">
        <v>208</v>
      </c>
      <c r="B23" s="126"/>
      <c r="C23" s="126"/>
      <c r="D23" s="177"/>
      <c r="E23" s="126"/>
      <c r="F23" s="126"/>
      <c r="G23" s="177"/>
      <c r="H23" s="126"/>
      <c r="I23" s="126"/>
      <c r="J23" s="177"/>
      <c r="K23" s="37">
        <f t="shared" si="8"/>
        <v>0</v>
      </c>
      <c r="L23" s="37">
        <f t="shared" si="8"/>
        <v>0</v>
      </c>
      <c r="M23" s="65">
        <f t="shared" si="8"/>
        <v>0</v>
      </c>
      <c r="N23"/>
      <c r="O23"/>
      <c r="P23"/>
      <c r="Q23"/>
      <c r="R23"/>
    </row>
    <row r="24" spans="1:20" hidden="1" x14ac:dyDescent="0.25">
      <c r="A24" s="27" t="s">
        <v>14</v>
      </c>
      <c r="B24" s="39">
        <f t="shared" ref="B24:M24" si="9">SUM(B21:B23)</f>
        <v>0</v>
      </c>
      <c r="C24" s="39">
        <f t="shared" si="9"/>
        <v>0</v>
      </c>
      <c r="D24" s="39">
        <f t="shared" si="9"/>
        <v>0</v>
      </c>
      <c r="E24" s="39">
        <f t="shared" ref="E24:J24" si="10">SUM(E21:E23)</f>
        <v>0</v>
      </c>
      <c r="F24" s="39">
        <f t="shared" si="10"/>
        <v>0</v>
      </c>
      <c r="G24" s="39">
        <f t="shared" si="10"/>
        <v>0</v>
      </c>
      <c r="H24" s="39">
        <f t="shared" si="10"/>
        <v>0</v>
      </c>
      <c r="I24" s="39">
        <f t="shared" si="10"/>
        <v>0</v>
      </c>
      <c r="J24" s="39">
        <f t="shared" si="10"/>
        <v>0</v>
      </c>
      <c r="K24" s="39">
        <f t="shared" si="9"/>
        <v>0</v>
      </c>
      <c r="L24" s="39">
        <f t="shared" si="9"/>
        <v>0</v>
      </c>
      <c r="M24" s="39">
        <f t="shared" si="9"/>
        <v>0</v>
      </c>
      <c r="N24"/>
      <c r="O24"/>
      <c r="P24"/>
      <c r="Q24"/>
      <c r="R24"/>
    </row>
    <row r="25" spans="1:20" hidden="1" x14ac:dyDescent="0.25">
      <c r="A25" s="71" t="s">
        <v>23</v>
      </c>
      <c r="B25" s="41">
        <f t="shared" ref="B25:K25" si="11">+B12+B16+B20+B24</f>
        <v>510</v>
      </c>
      <c r="C25" s="41">
        <f t="shared" si="11"/>
        <v>567</v>
      </c>
      <c r="D25" s="41">
        <f t="shared" si="11"/>
        <v>42251862.409999996</v>
      </c>
      <c r="E25" s="41">
        <f t="shared" si="11"/>
        <v>0</v>
      </c>
      <c r="F25" s="41">
        <f t="shared" si="11"/>
        <v>0</v>
      </c>
      <c r="G25" s="41">
        <f t="shared" si="11"/>
        <v>0</v>
      </c>
      <c r="H25" s="41">
        <f t="shared" si="11"/>
        <v>279</v>
      </c>
      <c r="I25" s="41">
        <f t="shared" si="11"/>
        <v>273</v>
      </c>
      <c r="J25" s="41">
        <f t="shared" si="11"/>
        <v>30398815.220000003</v>
      </c>
      <c r="K25" s="41">
        <f t="shared" si="11"/>
        <v>789</v>
      </c>
      <c r="L25" s="41">
        <f t="shared" ref="L25:M25" si="12">+L12+L16+L20+L24</f>
        <v>840</v>
      </c>
      <c r="M25" s="41">
        <f t="shared" si="12"/>
        <v>72650677.629999995</v>
      </c>
      <c r="N25"/>
      <c r="O25"/>
      <c r="P25"/>
      <c r="Q25"/>
      <c r="R25"/>
    </row>
    <row r="26" spans="1:20" hidden="1" x14ac:dyDescent="0.25">
      <c r="A26" s="180" t="s">
        <v>209</v>
      </c>
      <c r="B26"/>
      <c r="C26"/>
      <c r="D26"/>
      <c r="E26"/>
      <c r="F26"/>
      <c r="G26"/>
      <c r="H26"/>
      <c r="I26"/>
      <c r="J26"/>
      <c r="K26"/>
      <c r="L26"/>
      <c r="M26"/>
      <c r="N26"/>
      <c r="O26"/>
      <c r="P26"/>
      <c r="Q26"/>
      <c r="R26"/>
    </row>
    <row r="27" spans="1:20" x14ac:dyDescent="0.25">
      <c r="A27" s="212" t="s">
        <v>287</v>
      </c>
      <c r="B27"/>
      <c r="C27"/>
      <c r="D27"/>
      <c r="E27"/>
      <c r="F27"/>
      <c r="G27"/>
      <c r="H27"/>
      <c r="I27"/>
      <c r="J27"/>
      <c r="K27"/>
      <c r="L27"/>
      <c r="M27"/>
      <c r="N27"/>
      <c r="O27"/>
      <c r="P27"/>
      <c r="Q27"/>
      <c r="R27"/>
    </row>
    <row r="28" spans="1:20" x14ac:dyDescent="0.25">
      <c r="A28" s="212" t="s">
        <v>210</v>
      </c>
      <c r="B28"/>
      <c r="C28"/>
      <c r="D28"/>
      <c r="E28"/>
      <c r="F28"/>
      <c r="G28"/>
      <c r="H28"/>
      <c r="I28"/>
      <c r="J28"/>
      <c r="K28"/>
      <c r="L28"/>
      <c r="M28"/>
      <c r="N28"/>
      <c r="O28"/>
      <c r="P28"/>
      <c r="Q28"/>
      <c r="R28"/>
    </row>
    <row r="29" spans="1:20" x14ac:dyDescent="0.25">
      <c r="A29"/>
      <c r="B29"/>
      <c r="C29"/>
      <c r="D29"/>
      <c r="E29"/>
      <c r="F29"/>
      <c r="G29"/>
      <c r="H29"/>
      <c r="I29"/>
      <c r="J29"/>
      <c r="K29"/>
      <c r="L29"/>
      <c r="M29"/>
      <c r="N29" s="176"/>
      <c r="O29"/>
      <c r="P29"/>
      <c r="Q29"/>
      <c r="R29"/>
    </row>
    <row r="30" spans="1:20" x14ac:dyDescent="0.25">
      <c r="A30"/>
      <c r="B30"/>
      <c r="C30"/>
      <c r="D30"/>
      <c r="E30"/>
      <c r="F30"/>
      <c r="G30"/>
      <c r="H30"/>
      <c r="I30"/>
      <c r="J30"/>
      <c r="K30"/>
      <c r="L30"/>
      <c r="M30"/>
      <c r="N30" s="176"/>
      <c r="O30"/>
      <c r="P30"/>
      <c r="Q30"/>
      <c r="R30"/>
    </row>
    <row r="31" spans="1:20" x14ac:dyDescent="0.25">
      <c r="A31" s="44"/>
      <c r="B31" s="156"/>
      <c r="C31" s="156"/>
      <c r="D31" s="126"/>
      <c r="E31" s="126"/>
      <c r="F31" s="126"/>
      <c r="G31" s="177"/>
      <c r="H31" s="178"/>
      <c r="I31" s="179"/>
      <c r="J31" s="126"/>
      <c r="K31" s="38"/>
      <c r="L31" s="38"/>
      <c r="M31" s="38"/>
    </row>
    <row r="32" spans="1:20" x14ac:dyDescent="0.25">
      <c r="N32" s="36"/>
      <c r="Q32" s="51"/>
      <c r="R32" s="63"/>
      <c r="S32" s="52"/>
      <c r="T32" s="64"/>
    </row>
    <row r="33" spans="1:20" x14ac:dyDescent="0.25">
      <c r="A33" s="44"/>
      <c r="B33" s="156"/>
      <c r="C33" s="156"/>
      <c r="D33" s="126"/>
      <c r="E33" s="126"/>
      <c r="F33" s="126"/>
      <c r="G33" s="177"/>
      <c r="H33" s="178"/>
      <c r="I33" s="179"/>
      <c r="J33" s="126"/>
      <c r="K33" s="38"/>
      <c r="L33" s="38"/>
      <c r="M33" s="38"/>
      <c r="Q33" s="51"/>
      <c r="R33" s="63"/>
      <c r="S33" s="52"/>
      <c r="T33" s="64"/>
    </row>
    <row r="34" spans="1:20" x14ac:dyDescent="0.25">
      <c r="Q34" s="51"/>
      <c r="R34" s="63"/>
      <c r="S34" s="52"/>
      <c r="T34" s="64"/>
    </row>
    <row r="35" spans="1:20" x14ac:dyDescent="0.25">
      <c r="Q35" s="51"/>
      <c r="R35" s="63"/>
      <c r="S35" s="52"/>
      <c r="T35" s="64"/>
    </row>
    <row r="36" spans="1:20" x14ac:dyDescent="0.25">
      <c r="Q36" s="51"/>
      <c r="R36" s="63"/>
      <c r="S36" s="52"/>
      <c r="T36" s="64"/>
    </row>
    <row r="37" spans="1:20" x14ac:dyDescent="0.25">
      <c r="Q37" s="51"/>
      <c r="R37" s="63"/>
      <c r="S37" s="52"/>
      <c r="T37" s="64"/>
    </row>
    <row r="38" spans="1:20" x14ac:dyDescent="0.25">
      <c r="Q38" s="51"/>
      <c r="R38" s="63"/>
      <c r="S38" s="52"/>
      <c r="T38" s="64"/>
    </row>
    <row r="39" spans="1:20" x14ac:dyDescent="0.25">
      <c r="Q39" s="51"/>
      <c r="R39" s="63"/>
      <c r="S39" s="52"/>
      <c r="T39" s="64"/>
    </row>
  </sheetData>
  <mergeCells count="9">
    <mergeCell ref="A1:M1"/>
    <mergeCell ref="A2:M2"/>
    <mergeCell ref="A3:M3"/>
    <mergeCell ref="A5:M5"/>
    <mergeCell ref="B6:D6"/>
    <mergeCell ref="H6:J6"/>
    <mergeCell ref="K6:M6"/>
    <mergeCell ref="A4:M4"/>
    <mergeCell ref="E6:G6"/>
  </mergeCells>
  <pageMargins left="0.7" right="0.7" top="0.75" bottom="0.75" header="0.3" footer="0.3"/>
  <pageSetup paperSize="9" scale="72" orientation="portrait" r:id="rId1"/>
  <rowBreaks count="1" manualBreakCount="1">
    <brk id="45" max="9" man="1"/>
  </rowBreaks>
  <ignoredErrors>
    <ignoredError sqref="B12:D12 H12:J12" formulaRange="1"/>
    <ignoredError sqref="K12:M12" formula="1"/>
  </ignoredErrors>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P39"/>
  <sheetViews>
    <sheetView showGridLines="0" workbookViewId="0">
      <selection activeCell="F8" sqref="F8:G10"/>
    </sheetView>
  </sheetViews>
  <sheetFormatPr defaultColWidth="11.42578125" defaultRowHeight="15" x14ac:dyDescent="0.25"/>
  <cols>
    <col min="1" max="1" width="11.42578125" style="1"/>
    <col min="2" max="2" width="11" style="1" customWidth="1"/>
    <col min="3" max="3" width="14.140625" style="1" customWidth="1"/>
    <col min="4" max="4" width="12.42578125" style="1" customWidth="1"/>
    <col min="5" max="5" width="17.7109375" style="1" bestFit="1" customWidth="1"/>
    <col min="6" max="6" width="12.42578125" style="1" customWidth="1"/>
    <col min="7" max="7" width="16.140625" style="1" bestFit="1" customWidth="1"/>
    <col min="8" max="8" width="10.7109375" style="1" customWidth="1"/>
    <col min="9" max="9" width="15.28515625" style="1" bestFit="1" customWidth="1"/>
    <col min="10" max="10" width="11.42578125" style="1" customWidth="1"/>
    <col min="11" max="12" width="11.42578125" style="1"/>
    <col min="13" max="14" width="11.7109375" style="1" bestFit="1" customWidth="1"/>
    <col min="15" max="15" width="16" style="1" bestFit="1" customWidth="1"/>
    <col min="16" max="16" width="11.7109375" style="1" bestFit="1" customWidth="1"/>
    <col min="17" max="16384" width="11.42578125" style="1"/>
  </cols>
  <sheetData>
    <row r="1" spans="1:9" x14ac:dyDescent="0.25">
      <c r="A1" s="335" t="s">
        <v>211</v>
      </c>
      <c r="B1" s="335"/>
      <c r="C1" s="335"/>
      <c r="D1" s="335"/>
      <c r="E1" s="335"/>
      <c r="F1" s="335"/>
      <c r="G1" s="335"/>
      <c r="H1" s="335"/>
      <c r="I1" s="335"/>
    </row>
    <row r="2" spans="1:9" x14ac:dyDescent="0.25">
      <c r="A2" s="335" t="s">
        <v>65</v>
      </c>
      <c r="B2" s="335"/>
      <c r="C2" s="335"/>
      <c r="D2" s="335"/>
      <c r="E2" s="335"/>
      <c r="F2" s="335"/>
      <c r="G2" s="335"/>
      <c r="H2" s="335"/>
      <c r="I2" s="335"/>
    </row>
    <row r="3" spans="1:9" x14ac:dyDescent="0.25">
      <c r="A3" s="335" t="s">
        <v>212</v>
      </c>
      <c r="B3" s="335"/>
      <c r="C3" s="335"/>
      <c r="D3" s="335"/>
      <c r="E3" s="335"/>
      <c r="F3" s="335"/>
      <c r="G3" s="335"/>
      <c r="H3" s="335"/>
      <c r="I3" s="335"/>
    </row>
    <row r="4" spans="1:9" x14ac:dyDescent="0.25">
      <c r="A4" s="335" t="s">
        <v>213</v>
      </c>
      <c r="B4" s="335"/>
      <c r="C4" s="335"/>
      <c r="D4" s="335"/>
      <c r="E4" s="335"/>
      <c r="F4" s="335"/>
      <c r="G4" s="335"/>
      <c r="H4" s="335"/>
      <c r="I4" s="335"/>
    </row>
    <row r="5" spans="1:9" x14ac:dyDescent="0.25">
      <c r="A5" s="335" t="s">
        <v>214</v>
      </c>
      <c r="B5" s="335"/>
      <c r="C5" s="335"/>
      <c r="D5" s="335"/>
      <c r="E5" s="335"/>
      <c r="F5" s="335"/>
      <c r="G5" s="335"/>
      <c r="H5" s="335"/>
      <c r="I5" s="335"/>
    </row>
    <row r="6" spans="1:9" x14ac:dyDescent="0.25">
      <c r="A6" s="89"/>
      <c r="B6" s="382" t="s">
        <v>215</v>
      </c>
      <c r="C6" s="382"/>
      <c r="D6" s="381" t="s">
        <v>79</v>
      </c>
      <c r="E6" s="381"/>
      <c r="F6" s="383" t="s">
        <v>78</v>
      </c>
      <c r="G6" s="383"/>
      <c r="H6" s="380" t="s">
        <v>80</v>
      </c>
      <c r="I6" s="380"/>
    </row>
    <row r="7" spans="1:9" ht="34.5" customHeight="1" x14ac:dyDescent="0.25">
      <c r="A7" s="90" t="s">
        <v>3</v>
      </c>
      <c r="B7" s="45" t="s">
        <v>216</v>
      </c>
      <c r="C7" s="45" t="s">
        <v>7</v>
      </c>
      <c r="D7" s="45" t="s">
        <v>216</v>
      </c>
      <c r="E7" s="45" t="s">
        <v>7</v>
      </c>
      <c r="F7" s="45" t="s">
        <v>216</v>
      </c>
      <c r="G7" s="45" t="s">
        <v>7</v>
      </c>
      <c r="H7" s="45" t="s">
        <v>216</v>
      </c>
      <c r="I7" s="45" t="s">
        <v>7</v>
      </c>
    </row>
    <row r="8" spans="1:9" x14ac:dyDescent="0.25">
      <c r="A8" s="44" t="s">
        <v>15</v>
      </c>
      <c r="B8" s="32">
        <v>0</v>
      </c>
      <c r="C8" s="60">
        <v>0</v>
      </c>
      <c r="D8" s="32">
        <v>0</v>
      </c>
      <c r="E8" s="60">
        <v>0</v>
      </c>
      <c r="F8" s="32">
        <v>0</v>
      </c>
      <c r="G8" s="60">
        <v>0</v>
      </c>
      <c r="H8" s="37">
        <f t="shared" ref="H8:I10" si="0">+B8+D8+F8</f>
        <v>0</v>
      </c>
      <c r="I8" s="65">
        <f t="shared" si="0"/>
        <v>0</v>
      </c>
    </row>
    <row r="9" spans="1:9" x14ac:dyDescent="0.25">
      <c r="A9" s="44" t="s">
        <v>16</v>
      </c>
      <c r="B9" s="32">
        <f>4+28+31</f>
        <v>63</v>
      </c>
      <c r="C9" s="60">
        <f>30992+216880.44+240467.76</f>
        <v>488340.2</v>
      </c>
      <c r="D9" s="32">
        <v>3</v>
      </c>
      <c r="E9" s="60">
        <v>224872.69</v>
      </c>
      <c r="F9" s="32">
        <f>2+12</f>
        <v>14</v>
      </c>
      <c r="G9" s="60">
        <f>12000+72000</f>
        <v>84000</v>
      </c>
      <c r="H9" s="37">
        <f t="shared" si="0"/>
        <v>80</v>
      </c>
      <c r="I9" s="65">
        <f t="shared" si="0"/>
        <v>797212.89</v>
      </c>
    </row>
    <row r="10" spans="1:9" x14ac:dyDescent="0.25">
      <c r="A10" s="44" t="s">
        <v>17</v>
      </c>
      <c r="B10" s="32">
        <v>1413</v>
      </c>
      <c r="C10" s="60">
        <v>11172621.32</v>
      </c>
      <c r="D10" s="32">
        <v>34</v>
      </c>
      <c r="E10" s="60">
        <v>278309.3</v>
      </c>
      <c r="F10" s="32">
        <v>1549</v>
      </c>
      <c r="G10" s="60">
        <v>9294000</v>
      </c>
      <c r="H10" s="37">
        <f t="shared" si="0"/>
        <v>2996</v>
      </c>
      <c r="I10" s="37">
        <f t="shared" si="0"/>
        <v>20744930.620000001</v>
      </c>
    </row>
    <row r="11" spans="1:9" x14ac:dyDescent="0.25">
      <c r="A11" s="27" t="s">
        <v>18</v>
      </c>
      <c r="B11" s="39">
        <f t="shared" ref="B11:I11" si="1">SUM(B8:B10)</f>
        <v>1476</v>
      </c>
      <c r="C11" s="39">
        <f t="shared" si="1"/>
        <v>11660961.52</v>
      </c>
      <c r="D11" s="39">
        <f t="shared" si="1"/>
        <v>37</v>
      </c>
      <c r="E11" s="39">
        <f t="shared" si="1"/>
        <v>503181.99</v>
      </c>
      <c r="F11" s="39">
        <f>SUM(F8:F10)</f>
        <v>1563</v>
      </c>
      <c r="G11" s="39">
        <f t="shared" ref="G11" si="2">SUM(G8:G10)</f>
        <v>9378000</v>
      </c>
      <c r="H11" s="39">
        <f>SUM(H8:H10)</f>
        <v>3076</v>
      </c>
      <c r="I11" s="39">
        <f t="shared" si="1"/>
        <v>21542143.510000002</v>
      </c>
    </row>
    <row r="12" spans="1:9" hidden="1" x14ac:dyDescent="0.25">
      <c r="A12" s="44" t="s">
        <v>15</v>
      </c>
      <c r="B12" s="32"/>
      <c r="C12" s="60"/>
      <c r="D12" s="32"/>
      <c r="E12" s="60"/>
      <c r="F12" s="32"/>
      <c r="G12" s="60"/>
      <c r="H12" s="37">
        <f t="shared" ref="H12:I14" si="3">+B12+D12+F12</f>
        <v>0</v>
      </c>
      <c r="I12" s="65">
        <f t="shared" si="3"/>
        <v>0</v>
      </c>
    </row>
    <row r="13" spans="1:9" hidden="1" x14ac:dyDescent="0.25">
      <c r="A13" s="44" t="s">
        <v>16</v>
      </c>
      <c r="B13" s="32"/>
      <c r="C13" s="60"/>
      <c r="D13" s="32"/>
      <c r="E13" s="60"/>
      <c r="F13" s="32"/>
      <c r="G13" s="60"/>
      <c r="H13" s="37">
        <f t="shared" si="3"/>
        <v>0</v>
      </c>
      <c r="I13" s="65">
        <f t="shared" si="3"/>
        <v>0</v>
      </c>
    </row>
    <row r="14" spans="1:9" hidden="1" x14ac:dyDescent="0.25">
      <c r="A14" s="44" t="s">
        <v>17</v>
      </c>
      <c r="B14" s="32"/>
      <c r="C14" s="60"/>
      <c r="D14" s="32"/>
      <c r="E14" s="60"/>
      <c r="F14" s="32"/>
      <c r="G14" s="60"/>
      <c r="H14" s="37">
        <f t="shared" si="3"/>
        <v>0</v>
      </c>
      <c r="I14" s="65">
        <f t="shared" si="3"/>
        <v>0</v>
      </c>
    </row>
    <row r="15" spans="1:9" hidden="1" x14ac:dyDescent="0.25">
      <c r="A15" s="27" t="s">
        <v>18</v>
      </c>
      <c r="B15" s="39">
        <f t="shared" ref="B15:I15" si="4">SUM(B12:B14)</f>
        <v>0</v>
      </c>
      <c r="C15" s="39">
        <f t="shared" si="4"/>
        <v>0</v>
      </c>
      <c r="D15" s="39">
        <f t="shared" si="4"/>
        <v>0</v>
      </c>
      <c r="E15" s="39">
        <f t="shared" si="4"/>
        <v>0</v>
      </c>
      <c r="F15" s="39">
        <f t="shared" ref="F15:G15" si="5">SUM(F12:F14)</f>
        <v>0</v>
      </c>
      <c r="G15" s="39">
        <f t="shared" si="5"/>
        <v>0</v>
      </c>
      <c r="H15" s="39">
        <f t="shared" si="4"/>
        <v>0</v>
      </c>
      <c r="I15" s="39">
        <f t="shared" si="4"/>
        <v>0</v>
      </c>
    </row>
    <row r="16" spans="1:9" hidden="1" x14ac:dyDescent="0.25">
      <c r="A16" s="44" t="s">
        <v>34</v>
      </c>
      <c r="B16" s="32"/>
      <c r="C16" s="60"/>
      <c r="D16" s="32"/>
      <c r="E16" s="60"/>
      <c r="F16" s="32"/>
      <c r="G16" s="60"/>
      <c r="H16" s="37">
        <f t="shared" ref="H16:I18" si="6">+B16+D16+F16</f>
        <v>0</v>
      </c>
      <c r="I16" s="65">
        <f t="shared" si="6"/>
        <v>0</v>
      </c>
    </row>
    <row r="17" spans="1:16" hidden="1" x14ac:dyDescent="0.25">
      <c r="A17" s="44" t="s">
        <v>20</v>
      </c>
      <c r="B17" s="32"/>
      <c r="C17" s="60"/>
      <c r="D17" s="32"/>
      <c r="E17" s="60"/>
      <c r="F17" s="32"/>
      <c r="G17" s="60"/>
      <c r="H17" s="37">
        <f t="shared" si="6"/>
        <v>0</v>
      </c>
      <c r="I17" s="65">
        <f t="shared" si="6"/>
        <v>0</v>
      </c>
    </row>
    <row r="18" spans="1:16" hidden="1" x14ac:dyDescent="0.25">
      <c r="A18" s="44" t="s">
        <v>21</v>
      </c>
      <c r="B18" s="32"/>
      <c r="C18" s="60"/>
      <c r="D18" s="32"/>
      <c r="E18" s="60"/>
      <c r="F18" s="32"/>
      <c r="G18" s="60"/>
      <c r="H18" s="37">
        <f t="shared" si="6"/>
        <v>0</v>
      </c>
      <c r="I18" s="65">
        <f t="shared" si="6"/>
        <v>0</v>
      </c>
    </row>
    <row r="19" spans="1:16" hidden="1" x14ac:dyDescent="0.25">
      <c r="A19" s="27" t="s">
        <v>22</v>
      </c>
      <c r="B19" s="39">
        <f t="shared" ref="B19:E19" si="7">SUM(B16:B18)</f>
        <v>0</v>
      </c>
      <c r="C19" s="39">
        <f t="shared" si="7"/>
        <v>0</v>
      </c>
      <c r="D19" s="39">
        <f t="shared" si="7"/>
        <v>0</v>
      </c>
      <c r="E19" s="39">
        <f t="shared" si="7"/>
        <v>0</v>
      </c>
      <c r="F19" s="39">
        <f t="shared" ref="F19:G19" si="8">SUM(F16:F18)</f>
        <v>0</v>
      </c>
      <c r="G19" s="39">
        <f t="shared" si="8"/>
        <v>0</v>
      </c>
      <c r="H19" s="39">
        <f>SUM(H16:H18)</f>
        <v>0</v>
      </c>
      <c r="I19" s="39">
        <f>SUM(I16:I18)</f>
        <v>0</v>
      </c>
    </row>
    <row r="20" spans="1:16" hidden="1" x14ac:dyDescent="0.25">
      <c r="A20" s="31" t="s">
        <v>13</v>
      </c>
      <c r="B20" s="32"/>
      <c r="C20" s="60"/>
      <c r="D20" s="32"/>
      <c r="E20" s="60"/>
      <c r="F20" s="32"/>
      <c r="G20" s="60"/>
      <c r="H20" s="37">
        <f t="shared" ref="H20:I22" si="9">+B20+D20+F20</f>
        <v>0</v>
      </c>
      <c r="I20" s="65">
        <f t="shared" si="9"/>
        <v>0</v>
      </c>
    </row>
    <row r="21" spans="1:16" hidden="1" x14ac:dyDescent="0.25">
      <c r="A21" s="31" t="s">
        <v>12</v>
      </c>
      <c r="B21" s="32"/>
      <c r="C21" s="60"/>
      <c r="D21" s="32"/>
      <c r="E21" s="60"/>
      <c r="F21" s="32"/>
      <c r="G21" s="60"/>
      <c r="H21" s="37">
        <f t="shared" si="9"/>
        <v>0</v>
      </c>
      <c r="I21" s="65">
        <f t="shared" si="9"/>
        <v>0</v>
      </c>
    </row>
    <row r="22" spans="1:16" hidden="1" x14ac:dyDescent="0.25">
      <c r="A22" s="31" t="s">
        <v>11</v>
      </c>
      <c r="B22" s="32"/>
      <c r="C22" s="60"/>
      <c r="D22" s="32"/>
      <c r="E22" s="60"/>
      <c r="F22" s="32"/>
      <c r="G22" s="60"/>
      <c r="H22" s="37">
        <f t="shared" si="9"/>
        <v>0</v>
      </c>
      <c r="I22" s="65">
        <f t="shared" si="9"/>
        <v>0</v>
      </c>
    </row>
    <row r="23" spans="1:16" hidden="1" x14ac:dyDescent="0.25">
      <c r="A23" s="12" t="s">
        <v>14</v>
      </c>
      <c r="B23" s="39">
        <f t="shared" ref="B23:I23" si="10">SUM(B20:B22)</f>
        <v>0</v>
      </c>
      <c r="C23" s="39">
        <f t="shared" si="10"/>
        <v>0</v>
      </c>
      <c r="D23" s="39">
        <f t="shared" si="10"/>
        <v>0</v>
      </c>
      <c r="E23" s="39">
        <f t="shared" si="10"/>
        <v>0</v>
      </c>
      <c r="F23" s="39">
        <f t="shared" ref="F23:G23" si="11">SUM(F20:F22)</f>
        <v>0</v>
      </c>
      <c r="G23" s="39">
        <f t="shared" si="11"/>
        <v>0</v>
      </c>
      <c r="H23" s="39">
        <f t="shared" si="10"/>
        <v>0</v>
      </c>
      <c r="I23" s="39">
        <f t="shared" si="10"/>
        <v>0</v>
      </c>
    </row>
    <row r="24" spans="1:16" hidden="1" x14ac:dyDescent="0.25">
      <c r="A24" s="61" t="s">
        <v>23</v>
      </c>
      <c r="B24" s="41">
        <f>+B11+B15+B19+B23</f>
        <v>1476</v>
      </c>
      <c r="C24" s="41">
        <f>+C11+C15+C19+C23</f>
        <v>11660961.52</v>
      </c>
      <c r="D24" s="41">
        <f t="shared" ref="D24:I24" si="12">+D11+D15+D19+D23</f>
        <v>37</v>
      </c>
      <c r="E24" s="41">
        <f t="shared" si="12"/>
        <v>503181.99</v>
      </c>
      <c r="F24" s="41">
        <f t="shared" si="12"/>
        <v>1563</v>
      </c>
      <c r="G24" s="41">
        <f t="shared" si="12"/>
        <v>9378000</v>
      </c>
      <c r="H24" s="41">
        <f>+H11+H15+H19+H23</f>
        <v>3076</v>
      </c>
      <c r="I24" s="41">
        <f t="shared" si="12"/>
        <v>21542143.510000002</v>
      </c>
    </row>
    <row r="25" spans="1:16" hidden="1" x14ac:dyDescent="0.25">
      <c r="A25" s="62" t="s">
        <v>217</v>
      </c>
    </row>
    <row r="26" spans="1:16" x14ac:dyDescent="0.25">
      <c r="A26" s="15" t="s">
        <v>218</v>
      </c>
      <c r="E26" s="36"/>
      <c r="G26" s="36"/>
    </row>
    <row r="32" spans="1:16" x14ac:dyDescent="0.25">
      <c r="M32" s="51">
        <v>32154</v>
      </c>
      <c r="N32" s="63" t="e">
        <f t="shared" ref="N32:N39" si="13">M32/$B$29*100</f>
        <v>#DIV/0!</v>
      </c>
      <c r="O32" s="52">
        <v>386810064.19999999</v>
      </c>
      <c r="P32" s="64" t="e">
        <f>O32/O40*100</f>
        <v>#DIV/0!</v>
      </c>
    </row>
    <row r="33" spans="13:16" x14ac:dyDescent="0.25">
      <c r="M33" s="51">
        <v>56199</v>
      </c>
      <c r="N33" s="63" t="e">
        <f t="shared" si="13"/>
        <v>#DIV/0!</v>
      </c>
      <c r="O33" s="52">
        <v>471111842.94</v>
      </c>
      <c r="P33" s="64" t="e">
        <f>O33/O40*100</f>
        <v>#DIV/0!</v>
      </c>
    </row>
    <row r="34" spans="13:16" x14ac:dyDescent="0.25">
      <c r="M34" s="51">
        <v>297</v>
      </c>
      <c r="N34" s="63" t="e">
        <f t="shared" si="13"/>
        <v>#DIV/0!</v>
      </c>
      <c r="O34" s="52">
        <v>5010228</v>
      </c>
      <c r="P34" s="64" t="e">
        <f>O34/O40*100</f>
        <v>#DIV/0!</v>
      </c>
    </row>
    <row r="35" spans="13:16" x14ac:dyDescent="0.25">
      <c r="M35" s="51">
        <v>163</v>
      </c>
      <c r="N35" s="63" t="e">
        <f t="shared" si="13"/>
        <v>#DIV/0!</v>
      </c>
      <c r="O35" s="52">
        <v>4392328.91</v>
      </c>
      <c r="P35" s="64" t="e">
        <f>O35/O40*100</f>
        <v>#DIV/0!</v>
      </c>
    </row>
    <row r="36" spans="13:16" x14ac:dyDescent="0.25">
      <c r="M36" s="51">
        <v>366</v>
      </c>
      <c r="N36" s="63" t="e">
        <f t="shared" si="13"/>
        <v>#DIV/0!</v>
      </c>
      <c r="O36" s="52">
        <v>9034522.6500000004</v>
      </c>
      <c r="P36" s="64" t="e">
        <f>O36/O40*100</f>
        <v>#DIV/0!</v>
      </c>
    </row>
    <row r="37" spans="13:16" x14ac:dyDescent="0.25">
      <c r="M37" s="51">
        <v>17249</v>
      </c>
      <c r="N37" s="63" t="e">
        <f t="shared" si="13"/>
        <v>#DIV/0!</v>
      </c>
      <c r="O37" s="52">
        <v>405400068.69</v>
      </c>
      <c r="P37" s="64" t="e">
        <f>O37/O40*100</f>
        <v>#DIV/0!</v>
      </c>
    </row>
    <row r="38" spans="13:16" x14ac:dyDescent="0.25">
      <c r="M38" s="51">
        <v>18745</v>
      </c>
      <c r="N38" s="63" t="e">
        <f t="shared" si="13"/>
        <v>#DIV/0!</v>
      </c>
      <c r="O38" s="52">
        <v>369724631.60000002</v>
      </c>
      <c r="P38" s="64" t="e">
        <f>O38/O40*100</f>
        <v>#DIV/0!</v>
      </c>
    </row>
    <row r="39" spans="13:16" x14ac:dyDescent="0.25">
      <c r="M39" s="51">
        <v>15130</v>
      </c>
      <c r="N39" s="63" t="e">
        <f t="shared" si="13"/>
        <v>#DIV/0!</v>
      </c>
      <c r="O39" s="52">
        <v>151015428.50999999</v>
      </c>
      <c r="P39" s="64" t="e">
        <f>O39/O40*100</f>
        <v>#DIV/0!</v>
      </c>
    </row>
  </sheetData>
  <mergeCells count="9">
    <mergeCell ref="B6:C6"/>
    <mergeCell ref="D6:E6"/>
    <mergeCell ref="F6:G6"/>
    <mergeCell ref="H6:I6"/>
    <mergeCell ref="A1:I1"/>
    <mergeCell ref="A2:I2"/>
    <mergeCell ref="A3:I3"/>
    <mergeCell ref="A4:I4"/>
    <mergeCell ref="A5:I5"/>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A1:P39"/>
  <sheetViews>
    <sheetView showGridLines="0" workbookViewId="0">
      <selection activeCell="B27" sqref="B27"/>
    </sheetView>
  </sheetViews>
  <sheetFormatPr defaultColWidth="11.42578125" defaultRowHeight="15" x14ac:dyDescent="0.25"/>
  <cols>
    <col min="1" max="1" width="11.42578125" style="1"/>
    <col min="2" max="2" width="11" style="1" customWidth="1"/>
    <col min="3" max="3" width="14.140625" style="1" customWidth="1"/>
    <col min="4" max="4" width="12.42578125" style="1" customWidth="1"/>
    <col min="5" max="5" width="17.7109375" style="1" bestFit="1" customWidth="1"/>
    <col min="6" max="6" width="12.42578125" style="1" customWidth="1"/>
    <col min="7" max="7" width="16.140625" style="1" bestFit="1" customWidth="1"/>
    <col min="8" max="8" width="10.7109375" style="1" customWidth="1"/>
    <col min="9" max="9" width="15.28515625" style="1" bestFit="1" customWidth="1"/>
    <col min="10" max="10" width="11.42578125" style="1" customWidth="1"/>
    <col min="11" max="12" width="11.42578125" style="1"/>
    <col min="13" max="14" width="11.7109375" style="1" bestFit="1" customWidth="1"/>
    <col min="15" max="15" width="16" style="1" bestFit="1" customWidth="1"/>
    <col min="16" max="16" width="11.7109375" style="1" bestFit="1" customWidth="1"/>
    <col min="17" max="16384" width="11.42578125" style="1"/>
  </cols>
  <sheetData>
    <row r="1" spans="1:9" x14ac:dyDescent="0.25">
      <c r="A1" s="335" t="s">
        <v>211</v>
      </c>
      <c r="B1" s="335"/>
      <c r="C1" s="335"/>
      <c r="D1" s="335"/>
      <c r="E1" s="335"/>
      <c r="F1" s="335"/>
      <c r="G1" s="335"/>
      <c r="H1" s="335"/>
      <c r="I1" s="335"/>
    </row>
    <row r="2" spans="1:9" x14ac:dyDescent="0.25">
      <c r="A2" s="335" t="s">
        <v>65</v>
      </c>
      <c r="B2" s="335"/>
      <c r="C2" s="335"/>
      <c r="D2" s="335"/>
      <c r="E2" s="335"/>
      <c r="F2" s="335"/>
      <c r="G2" s="335"/>
      <c r="H2" s="335"/>
      <c r="I2" s="335"/>
    </row>
    <row r="3" spans="1:9" x14ac:dyDescent="0.25">
      <c r="A3" s="335" t="s">
        <v>219</v>
      </c>
      <c r="B3" s="335"/>
      <c r="C3" s="335"/>
      <c r="D3" s="335"/>
      <c r="E3" s="335"/>
      <c r="F3" s="335"/>
      <c r="G3" s="335"/>
      <c r="H3" s="335"/>
      <c r="I3" s="335"/>
    </row>
    <row r="4" spans="1:9" x14ac:dyDescent="0.25">
      <c r="A4" s="335" t="s">
        <v>220</v>
      </c>
      <c r="B4" s="335"/>
      <c r="C4" s="335"/>
      <c r="D4" s="335"/>
      <c r="E4" s="335"/>
      <c r="F4" s="335"/>
      <c r="G4" s="335"/>
      <c r="H4" s="335"/>
      <c r="I4" s="335"/>
    </row>
    <row r="5" spans="1:9" x14ac:dyDescent="0.25">
      <c r="A5" s="335" t="s">
        <v>214</v>
      </c>
      <c r="B5" s="335"/>
      <c r="C5" s="335"/>
      <c r="D5" s="335"/>
      <c r="E5" s="335"/>
      <c r="F5" s="335"/>
      <c r="G5" s="335"/>
      <c r="H5" s="335"/>
      <c r="I5" s="335"/>
    </row>
    <row r="6" spans="1:9" x14ac:dyDescent="0.25">
      <c r="A6" s="89"/>
      <c r="B6" s="382" t="s">
        <v>215</v>
      </c>
      <c r="C6" s="382"/>
      <c r="D6" s="381" t="s">
        <v>79</v>
      </c>
      <c r="E6" s="381"/>
      <c r="F6" s="383" t="s">
        <v>78</v>
      </c>
      <c r="G6" s="383"/>
      <c r="H6" s="380" t="s">
        <v>80</v>
      </c>
      <c r="I6" s="380"/>
    </row>
    <row r="7" spans="1:9" ht="34.5" customHeight="1" x14ac:dyDescent="0.25">
      <c r="A7" s="90" t="s">
        <v>3</v>
      </c>
      <c r="B7" s="45" t="s">
        <v>221</v>
      </c>
      <c r="C7" s="45" t="s">
        <v>7</v>
      </c>
      <c r="D7" s="45" t="s">
        <v>221</v>
      </c>
      <c r="E7" s="45" t="s">
        <v>7</v>
      </c>
      <c r="F7" s="45" t="s">
        <v>221</v>
      </c>
      <c r="G7" s="45" t="s">
        <v>7</v>
      </c>
      <c r="H7" s="45" t="s">
        <v>221</v>
      </c>
      <c r="I7" s="45" t="s">
        <v>7</v>
      </c>
    </row>
    <row r="8" spans="1:9" x14ac:dyDescent="0.25">
      <c r="A8" s="44" t="s">
        <v>15</v>
      </c>
      <c r="B8" s="32">
        <v>0</v>
      </c>
      <c r="C8" s="60">
        <v>0</v>
      </c>
      <c r="D8" s="32">
        <v>0</v>
      </c>
      <c r="E8" s="60">
        <v>0</v>
      </c>
      <c r="F8" s="32">
        <v>0</v>
      </c>
      <c r="G8" s="60">
        <v>0</v>
      </c>
      <c r="H8" s="37">
        <f t="shared" ref="H8:I10" si="0">+B8+D8+F8</f>
        <v>0</v>
      </c>
      <c r="I8" s="65">
        <f t="shared" si="0"/>
        <v>0</v>
      </c>
    </row>
    <row r="9" spans="1:9" x14ac:dyDescent="0.25">
      <c r="A9" s="44" t="s">
        <v>16</v>
      </c>
      <c r="B9" s="32">
        <v>36</v>
      </c>
      <c r="C9" s="60">
        <v>386001.61</v>
      </c>
      <c r="D9" s="32">
        <v>2</v>
      </c>
      <c r="E9" s="60">
        <v>16030.61</v>
      </c>
      <c r="F9" s="32">
        <v>2</v>
      </c>
      <c r="G9" s="60">
        <v>12000</v>
      </c>
      <c r="H9" s="37">
        <f t="shared" si="0"/>
        <v>40</v>
      </c>
      <c r="I9" s="65">
        <f t="shared" si="0"/>
        <v>414032.22</v>
      </c>
    </row>
    <row r="10" spans="1:9" x14ac:dyDescent="0.25">
      <c r="A10" s="44" t="s">
        <v>17</v>
      </c>
      <c r="B10" s="32">
        <v>131</v>
      </c>
      <c r="C10" s="60">
        <v>1444844.33</v>
      </c>
      <c r="D10" s="32">
        <v>5</v>
      </c>
      <c r="E10" s="60">
        <v>110598.45</v>
      </c>
      <c r="F10" s="32">
        <v>6</v>
      </c>
      <c r="G10" s="60">
        <v>36000</v>
      </c>
      <c r="H10" s="37">
        <f t="shared" si="0"/>
        <v>142</v>
      </c>
      <c r="I10" s="37">
        <f t="shared" si="0"/>
        <v>1591442.78</v>
      </c>
    </row>
    <row r="11" spans="1:9" x14ac:dyDescent="0.25">
      <c r="A11" s="27" t="s">
        <v>18</v>
      </c>
      <c r="B11" s="39">
        <f t="shared" ref="B11:I11" si="1">SUM(B8:B10)</f>
        <v>167</v>
      </c>
      <c r="C11" s="39">
        <f t="shared" si="1"/>
        <v>1830845.94</v>
      </c>
      <c r="D11" s="39">
        <f t="shared" si="1"/>
        <v>7</v>
      </c>
      <c r="E11" s="39">
        <f t="shared" si="1"/>
        <v>126629.06</v>
      </c>
      <c r="F11" s="39">
        <f>SUM(F8:F10)</f>
        <v>8</v>
      </c>
      <c r="G11" s="39">
        <f t="shared" ref="G11" si="2">SUM(G8:G10)</f>
        <v>48000</v>
      </c>
      <c r="H11" s="39">
        <f t="shared" si="1"/>
        <v>182</v>
      </c>
      <c r="I11" s="39">
        <f t="shared" si="1"/>
        <v>2005475</v>
      </c>
    </row>
    <row r="12" spans="1:9" hidden="1" x14ac:dyDescent="0.25">
      <c r="A12" s="44" t="s">
        <v>15</v>
      </c>
      <c r="B12" s="32">
        <v>52</v>
      </c>
      <c r="C12" s="60">
        <v>621254.41</v>
      </c>
      <c r="D12" s="32">
        <v>2</v>
      </c>
      <c r="E12" s="60">
        <v>15128.119999999999</v>
      </c>
      <c r="F12" s="32"/>
      <c r="G12" s="60"/>
      <c r="H12" s="37">
        <f t="shared" ref="H12:I14" si="3">+B12+D12+F12</f>
        <v>54</v>
      </c>
      <c r="I12" s="65">
        <f t="shared" si="3"/>
        <v>636382.53</v>
      </c>
    </row>
    <row r="13" spans="1:9" hidden="1" x14ac:dyDescent="0.25">
      <c r="A13" s="44" t="s">
        <v>16</v>
      </c>
      <c r="B13" s="32"/>
      <c r="C13" s="60"/>
      <c r="D13" s="32"/>
      <c r="E13" s="60"/>
      <c r="F13" s="32"/>
      <c r="G13" s="60"/>
      <c r="H13" s="37">
        <f t="shared" si="3"/>
        <v>0</v>
      </c>
      <c r="I13" s="65">
        <f t="shared" si="3"/>
        <v>0</v>
      </c>
    </row>
    <row r="14" spans="1:9" hidden="1" x14ac:dyDescent="0.25">
      <c r="A14" s="44" t="s">
        <v>17</v>
      </c>
      <c r="B14" s="32"/>
      <c r="C14" s="60"/>
      <c r="D14" s="32"/>
      <c r="E14" s="60"/>
      <c r="F14" s="32"/>
      <c r="G14" s="60"/>
      <c r="H14" s="37">
        <f t="shared" si="3"/>
        <v>0</v>
      </c>
      <c r="I14" s="65">
        <f t="shared" si="3"/>
        <v>0</v>
      </c>
    </row>
    <row r="15" spans="1:9" hidden="1" x14ac:dyDescent="0.25">
      <c r="A15" s="27" t="s">
        <v>18</v>
      </c>
      <c r="B15" s="39">
        <f t="shared" ref="B15:I15" si="4">SUM(B12:B14)</f>
        <v>52</v>
      </c>
      <c r="C15" s="39">
        <f t="shared" si="4"/>
        <v>621254.41</v>
      </c>
      <c r="D15" s="39">
        <f t="shared" si="4"/>
        <v>2</v>
      </c>
      <c r="E15" s="39">
        <f t="shared" si="4"/>
        <v>15128.119999999999</v>
      </c>
      <c r="F15" s="39">
        <f t="shared" ref="F15:G15" si="5">SUM(F12:F14)</f>
        <v>0</v>
      </c>
      <c r="G15" s="39">
        <f t="shared" si="5"/>
        <v>0</v>
      </c>
      <c r="H15" s="39">
        <f t="shared" si="4"/>
        <v>54</v>
      </c>
      <c r="I15" s="39">
        <f t="shared" si="4"/>
        <v>636382.53</v>
      </c>
    </row>
    <row r="16" spans="1:9" hidden="1" x14ac:dyDescent="0.25">
      <c r="A16" s="44" t="s">
        <v>34</v>
      </c>
      <c r="B16" s="32"/>
      <c r="C16" s="60"/>
      <c r="D16" s="32"/>
      <c r="E16" s="60"/>
      <c r="F16" s="32"/>
      <c r="G16" s="60"/>
      <c r="H16" s="37">
        <f t="shared" ref="H16:I18" si="6">+B16+D16+F16</f>
        <v>0</v>
      </c>
      <c r="I16" s="65">
        <f t="shared" si="6"/>
        <v>0</v>
      </c>
    </row>
    <row r="17" spans="1:16" hidden="1" x14ac:dyDescent="0.25">
      <c r="A17" s="44" t="s">
        <v>20</v>
      </c>
      <c r="B17" s="32"/>
      <c r="C17" s="60"/>
      <c r="D17" s="32"/>
      <c r="E17" s="60"/>
      <c r="F17" s="32"/>
      <c r="G17" s="60"/>
      <c r="H17" s="37">
        <f t="shared" si="6"/>
        <v>0</v>
      </c>
      <c r="I17" s="65">
        <f t="shared" si="6"/>
        <v>0</v>
      </c>
    </row>
    <row r="18" spans="1:16" hidden="1" x14ac:dyDescent="0.25">
      <c r="A18" s="44" t="s">
        <v>21</v>
      </c>
      <c r="B18" s="32"/>
      <c r="C18" s="60"/>
      <c r="D18" s="32"/>
      <c r="E18" s="60"/>
      <c r="F18" s="32"/>
      <c r="G18" s="60"/>
      <c r="H18" s="37">
        <f t="shared" si="6"/>
        <v>0</v>
      </c>
      <c r="I18" s="65">
        <f t="shared" si="6"/>
        <v>0</v>
      </c>
    </row>
    <row r="19" spans="1:16" hidden="1" x14ac:dyDescent="0.25">
      <c r="A19" s="27" t="s">
        <v>22</v>
      </c>
      <c r="B19" s="39">
        <f t="shared" ref="B19:E19" si="7">SUM(B16:B18)</f>
        <v>0</v>
      </c>
      <c r="C19" s="39">
        <f t="shared" si="7"/>
        <v>0</v>
      </c>
      <c r="D19" s="39">
        <f t="shared" si="7"/>
        <v>0</v>
      </c>
      <c r="E19" s="39">
        <f t="shared" si="7"/>
        <v>0</v>
      </c>
      <c r="F19" s="39">
        <f t="shared" ref="F19:G19" si="8">SUM(F16:F18)</f>
        <v>0</v>
      </c>
      <c r="G19" s="39">
        <f t="shared" si="8"/>
        <v>0</v>
      </c>
      <c r="H19" s="39">
        <f>SUM(H16:H18)</f>
        <v>0</v>
      </c>
      <c r="I19" s="39">
        <f>SUM(I16:I18)</f>
        <v>0</v>
      </c>
    </row>
    <row r="20" spans="1:16" hidden="1" x14ac:dyDescent="0.25">
      <c r="A20" s="31" t="s">
        <v>13</v>
      </c>
      <c r="B20" s="32"/>
      <c r="C20" s="60"/>
      <c r="D20" s="32"/>
      <c r="E20" s="60"/>
      <c r="F20" s="32"/>
      <c r="G20" s="60"/>
      <c r="H20" s="37">
        <f t="shared" ref="H20:I22" si="9">+B20+D20+F20</f>
        <v>0</v>
      </c>
      <c r="I20" s="65">
        <f t="shared" si="9"/>
        <v>0</v>
      </c>
    </row>
    <row r="21" spans="1:16" hidden="1" x14ac:dyDescent="0.25">
      <c r="A21" s="31" t="s">
        <v>12</v>
      </c>
      <c r="B21" s="32"/>
      <c r="C21" s="60"/>
      <c r="D21" s="32"/>
      <c r="E21" s="60"/>
      <c r="F21" s="32"/>
      <c r="G21" s="60"/>
      <c r="H21" s="37">
        <f t="shared" si="9"/>
        <v>0</v>
      </c>
      <c r="I21" s="65">
        <f t="shared" si="9"/>
        <v>0</v>
      </c>
    </row>
    <row r="22" spans="1:16" hidden="1" x14ac:dyDescent="0.25">
      <c r="A22" s="31" t="s">
        <v>11</v>
      </c>
      <c r="B22" s="32"/>
      <c r="C22" s="60"/>
      <c r="D22" s="32"/>
      <c r="E22" s="60"/>
      <c r="F22" s="32"/>
      <c r="G22" s="60"/>
      <c r="H22" s="37">
        <f t="shared" si="9"/>
        <v>0</v>
      </c>
      <c r="I22" s="65">
        <f t="shared" si="9"/>
        <v>0</v>
      </c>
    </row>
    <row r="23" spans="1:16" hidden="1" x14ac:dyDescent="0.25">
      <c r="A23" s="12" t="s">
        <v>14</v>
      </c>
      <c r="B23" s="39">
        <f t="shared" ref="B23:I23" si="10">SUM(B20:B22)</f>
        <v>0</v>
      </c>
      <c r="C23" s="39">
        <f t="shared" si="10"/>
        <v>0</v>
      </c>
      <c r="D23" s="39">
        <f t="shared" si="10"/>
        <v>0</v>
      </c>
      <c r="E23" s="39">
        <f t="shared" si="10"/>
        <v>0</v>
      </c>
      <c r="F23" s="39">
        <f t="shared" ref="F23:G23" si="11">SUM(F20:F22)</f>
        <v>0</v>
      </c>
      <c r="G23" s="39">
        <f t="shared" si="11"/>
        <v>0</v>
      </c>
      <c r="H23" s="39">
        <f t="shared" si="10"/>
        <v>0</v>
      </c>
      <c r="I23" s="39">
        <f t="shared" si="10"/>
        <v>0</v>
      </c>
    </row>
    <row r="24" spans="1:16" hidden="1" x14ac:dyDescent="0.25">
      <c r="A24" s="61" t="s">
        <v>23</v>
      </c>
      <c r="B24" s="41">
        <f>+B11+B15+B19+B23</f>
        <v>219</v>
      </c>
      <c r="C24" s="41">
        <f>+C11+C15+C19+C23</f>
        <v>2452100.35</v>
      </c>
      <c r="D24" s="41">
        <f t="shared" ref="D24:I24" si="12">+D11+D15+D19+D23</f>
        <v>9</v>
      </c>
      <c r="E24" s="41">
        <f t="shared" si="12"/>
        <v>141757.18</v>
      </c>
      <c r="F24" s="41">
        <f t="shared" si="12"/>
        <v>8</v>
      </c>
      <c r="G24" s="41">
        <f t="shared" si="12"/>
        <v>48000</v>
      </c>
      <c r="H24" s="41">
        <f>+H11+H15+H19+H23</f>
        <v>236</v>
      </c>
      <c r="I24" s="41">
        <f t="shared" si="12"/>
        <v>2641857.5300000003</v>
      </c>
    </row>
    <row r="25" spans="1:16" x14ac:dyDescent="0.25">
      <c r="A25" s="15" t="s">
        <v>218</v>
      </c>
    </row>
    <row r="26" spans="1:16" x14ac:dyDescent="0.25">
      <c r="E26" s="36"/>
      <c r="G26" s="36"/>
    </row>
    <row r="32" spans="1:16" x14ac:dyDescent="0.25">
      <c r="M32" s="51">
        <v>32154</v>
      </c>
      <c r="N32" s="63" t="e">
        <f t="shared" ref="N32:N39" si="13">M32/$B$29*100</f>
        <v>#DIV/0!</v>
      </c>
      <c r="O32" s="52">
        <v>386810064.19999999</v>
      </c>
      <c r="P32" s="64" t="e">
        <f>O32/O40*100</f>
        <v>#DIV/0!</v>
      </c>
    </row>
    <row r="33" spans="13:16" x14ac:dyDescent="0.25">
      <c r="M33" s="51">
        <v>56199</v>
      </c>
      <c r="N33" s="63" t="e">
        <f t="shared" si="13"/>
        <v>#DIV/0!</v>
      </c>
      <c r="O33" s="52">
        <v>471111842.94</v>
      </c>
      <c r="P33" s="64" t="e">
        <f>O33/O40*100</f>
        <v>#DIV/0!</v>
      </c>
    </row>
    <row r="34" spans="13:16" x14ac:dyDescent="0.25">
      <c r="M34" s="51">
        <v>297</v>
      </c>
      <c r="N34" s="63" t="e">
        <f t="shared" si="13"/>
        <v>#DIV/0!</v>
      </c>
      <c r="O34" s="52">
        <v>5010228</v>
      </c>
      <c r="P34" s="64" t="e">
        <f>O34/O40*100</f>
        <v>#DIV/0!</v>
      </c>
    </row>
    <row r="35" spans="13:16" x14ac:dyDescent="0.25">
      <c r="M35" s="51">
        <v>163</v>
      </c>
      <c r="N35" s="63" t="e">
        <f t="shared" si="13"/>
        <v>#DIV/0!</v>
      </c>
      <c r="O35" s="52">
        <v>4392328.91</v>
      </c>
      <c r="P35" s="64" t="e">
        <f>O35/O40*100</f>
        <v>#DIV/0!</v>
      </c>
    </row>
    <row r="36" spans="13:16" x14ac:dyDescent="0.25">
      <c r="M36" s="51">
        <v>366</v>
      </c>
      <c r="N36" s="63" t="e">
        <f t="shared" si="13"/>
        <v>#DIV/0!</v>
      </c>
      <c r="O36" s="52">
        <v>9034522.6500000004</v>
      </c>
      <c r="P36" s="64" t="e">
        <f>O36/O40*100</f>
        <v>#DIV/0!</v>
      </c>
    </row>
    <row r="37" spans="13:16" x14ac:dyDescent="0.25">
      <c r="M37" s="51">
        <v>17249</v>
      </c>
      <c r="N37" s="63" t="e">
        <f t="shared" si="13"/>
        <v>#DIV/0!</v>
      </c>
      <c r="O37" s="52">
        <v>405400068.69</v>
      </c>
      <c r="P37" s="64" t="e">
        <f>O37/O40*100</f>
        <v>#DIV/0!</v>
      </c>
    </row>
    <row r="38" spans="13:16" x14ac:dyDescent="0.25">
      <c r="M38" s="51">
        <v>18745</v>
      </c>
      <c r="N38" s="63" t="e">
        <f t="shared" si="13"/>
        <v>#DIV/0!</v>
      </c>
      <c r="O38" s="52">
        <v>369724631.60000002</v>
      </c>
      <c r="P38" s="64" t="e">
        <f>O38/O40*100</f>
        <v>#DIV/0!</v>
      </c>
    </row>
    <row r="39" spans="13:16" x14ac:dyDescent="0.25">
      <c r="M39" s="51">
        <v>15130</v>
      </c>
      <c r="N39" s="63" t="e">
        <f t="shared" si="13"/>
        <v>#DIV/0!</v>
      </c>
      <c r="O39" s="52">
        <v>151015428.50999999</v>
      </c>
      <c r="P39" s="64" t="e">
        <f>O39/O40*100</f>
        <v>#DIV/0!</v>
      </c>
    </row>
  </sheetData>
  <mergeCells count="9">
    <mergeCell ref="B6:C6"/>
    <mergeCell ref="D6:E6"/>
    <mergeCell ref="F6:G6"/>
    <mergeCell ref="H6:I6"/>
    <mergeCell ref="A1:I1"/>
    <mergeCell ref="A2:I2"/>
    <mergeCell ref="A3:I3"/>
    <mergeCell ref="A4:I4"/>
    <mergeCell ref="A5:I5"/>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FC94A-CB5A-45F2-B896-85DE3097DD67}">
  <sheetPr>
    <tabColor theme="8"/>
  </sheetPr>
  <dimension ref="A1:T36"/>
  <sheetViews>
    <sheetView showGridLines="0" workbookViewId="0">
      <selection activeCell="M9" sqref="M9"/>
    </sheetView>
  </sheetViews>
  <sheetFormatPr defaultRowHeight="15" x14ac:dyDescent="0.25"/>
  <cols>
    <col min="1" max="1" width="15.85546875" customWidth="1"/>
    <col min="2" max="2" width="13.140625" customWidth="1"/>
    <col min="4" max="4" width="23.85546875" customWidth="1"/>
    <col min="5" max="5" width="12.85546875" customWidth="1"/>
    <col min="7" max="7" width="14.7109375" customWidth="1"/>
    <col min="8" max="8" width="12" customWidth="1"/>
    <col min="9" max="9" width="10.42578125" customWidth="1"/>
    <col min="10" max="10" width="15.28515625" customWidth="1"/>
  </cols>
  <sheetData>
    <row r="1" spans="1:10" x14ac:dyDescent="0.25">
      <c r="A1" s="335" t="s">
        <v>0</v>
      </c>
      <c r="B1" s="335"/>
      <c r="C1" s="335"/>
      <c r="D1" s="335"/>
      <c r="E1" s="335"/>
      <c r="F1" s="335"/>
      <c r="G1" s="335"/>
      <c r="H1" s="335"/>
      <c r="I1" s="335"/>
      <c r="J1" s="335"/>
    </row>
    <row r="2" spans="1:10" x14ac:dyDescent="0.25">
      <c r="A2" s="335" t="s">
        <v>65</v>
      </c>
      <c r="B2" s="335"/>
      <c r="C2" s="335"/>
      <c r="D2" s="335"/>
      <c r="E2" s="335"/>
      <c r="F2" s="335"/>
      <c r="G2" s="335"/>
      <c r="H2" s="335"/>
      <c r="I2" s="335"/>
      <c r="J2" s="335"/>
    </row>
    <row r="3" spans="1:10" x14ac:dyDescent="0.25">
      <c r="A3" s="335" t="s">
        <v>222</v>
      </c>
      <c r="B3" s="335"/>
      <c r="C3" s="335"/>
      <c r="D3" s="335"/>
      <c r="E3" s="335"/>
      <c r="F3" s="335"/>
      <c r="G3" s="335"/>
      <c r="H3" s="335"/>
      <c r="I3" s="335"/>
      <c r="J3" s="335"/>
    </row>
    <row r="4" spans="1:10" x14ac:dyDescent="0.25">
      <c r="A4" s="335" t="s">
        <v>276</v>
      </c>
      <c r="B4" s="335"/>
      <c r="C4" s="335"/>
      <c r="D4" s="335"/>
      <c r="E4" s="335"/>
      <c r="F4" s="335"/>
      <c r="G4" s="335"/>
      <c r="H4" s="335"/>
      <c r="I4" s="335"/>
      <c r="J4" s="335"/>
    </row>
    <row r="5" spans="1:10" x14ac:dyDescent="0.25">
      <c r="A5" s="335" t="s">
        <v>274</v>
      </c>
      <c r="B5" s="335"/>
      <c r="C5" s="335"/>
      <c r="D5" s="335"/>
      <c r="E5" s="335"/>
      <c r="F5" s="335"/>
      <c r="G5" s="335"/>
      <c r="H5" s="335"/>
      <c r="I5" s="335"/>
      <c r="J5" s="335"/>
    </row>
    <row r="6" spans="1:10" x14ac:dyDescent="0.25">
      <c r="A6" s="143"/>
      <c r="B6" s="384" t="s">
        <v>77</v>
      </c>
      <c r="C6" s="384"/>
      <c r="D6" s="384"/>
      <c r="E6" s="385" t="s">
        <v>79</v>
      </c>
      <c r="F6" s="385"/>
      <c r="G6" s="385"/>
      <c r="H6" s="386" t="s">
        <v>80</v>
      </c>
      <c r="I6" s="386"/>
      <c r="J6" s="386"/>
    </row>
    <row r="7" spans="1:10" ht="25.5" x14ac:dyDescent="0.25">
      <c r="A7" s="90" t="s">
        <v>3</v>
      </c>
      <c r="B7" s="45" t="s">
        <v>205</v>
      </c>
      <c r="C7" s="45" t="s">
        <v>206</v>
      </c>
      <c r="D7" s="45" t="s">
        <v>7</v>
      </c>
      <c r="E7" s="45" t="s">
        <v>205</v>
      </c>
      <c r="F7" s="45" t="s">
        <v>206</v>
      </c>
      <c r="G7" s="45" t="s">
        <v>7</v>
      </c>
      <c r="H7" s="45" t="s">
        <v>81</v>
      </c>
      <c r="I7" s="45" t="s">
        <v>82</v>
      </c>
      <c r="J7" s="45" t="s">
        <v>7</v>
      </c>
    </row>
    <row r="8" spans="1:10" hidden="1" x14ac:dyDescent="0.25">
      <c r="A8" s="31" t="s">
        <v>10</v>
      </c>
      <c r="B8" s="275">
        <v>0</v>
      </c>
      <c r="C8" s="275">
        <v>0</v>
      </c>
      <c r="D8" s="300">
        <v>0</v>
      </c>
      <c r="E8" s="275">
        <v>0</v>
      </c>
      <c r="F8" s="275">
        <v>0</v>
      </c>
      <c r="G8" s="275"/>
      <c r="H8" s="302">
        <f>SUM(B8,E8)</f>
        <v>0</v>
      </c>
      <c r="I8" s="302">
        <f>SUM(C8,F8)</f>
        <v>0</v>
      </c>
      <c r="J8" s="302">
        <f>SUM(D8,G8)</f>
        <v>0</v>
      </c>
    </row>
    <row r="9" spans="1:10" x14ac:dyDescent="0.25">
      <c r="A9" s="31" t="s">
        <v>21</v>
      </c>
      <c r="B9" s="301">
        <v>16</v>
      </c>
      <c r="C9" s="301">
        <v>16</v>
      </c>
      <c r="D9" s="300">
        <v>7077321.6900000004</v>
      </c>
      <c r="E9" s="275">
        <v>0</v>
      </c>
      <c r="F9" s="275">
        <v>0</v>
      </c>
      <c r="G9" s="275">
        <v>0</v>
      </c>
      <c r="H9" s="303">
        <f t="shared" ref="H9:J11" si="0">SUM(B9,E9)</f>
        <v>16</v>
      </c>
      <c r="I9" s="303">
        <f t="shared" si="0"/>
        <v>16</v>
      </c>
      <c r="J9" s="303">
        <f t="shared" si="0"/>
        <v>7077321.6900000004</v>
      </c>
    </row>
    <row r="10" spans="1:10" x14ac:dyDescent="0.25">
      <c r="A10" s="31" t="s">
        <v>20</v>
      </c>
      <c r="B10" s="327">
        <v>3</v>
      </c>
      <c r="C10" s="327">
        <v>3</v>
      </c>
      <c r="D10" s="300">
        <v>698240.21</v>
      </c>
      <c r="E10" s="275">
        <v>0</v>
      </c>
      <c r="F10" s="275">
        <v>0</v>
      </c>
      <c r="G10" s="275">
        <v>0</v>
      </c>
      <c r="H10" s="302">
        <f t="shared" si="0"/>
        <v>3</v>
      </c>
      <c r="I10" s="302">
        <f t="shared" si="0"/>
        <v>3</v>
      </c>
      <c r="J10" s="302">
        <f t="shared" si="0"/>
        <v>698240.21</v>
      </c>
    </row>
    <row r="11" spans="1:10" x14ac:dyDescent="0.25">
      <c r="A11" s="31" t="s">
        <v>34</v>
      </c>
      <c r="B11" s="261">
        <v>0</v>
      </c>
      <c r="C11" s="300">
        <v>0</v>
      </c>
      <c r="D11" s="300">
        <v>0</v>
      </c>
      <c r="E11" s="275">
        <v>0</v>
      </c>
      <c r="F11" s="275">
        <v>0</v>
      </c>
      <c r="G11" s="275">
        <v>0</v>
      </c>
      <c r="H11" s="303">
        <f t="shared" si="0"/>
        <v>0</v>
      </c>
      <c r="I11" s="303">
        <f t="shared" si="0"/>
        <v>0</v>
      </c>
      <c r="J11" s="303">
        <f t="shared" si="0"/>
        <v>0</v>
      </c>
    </row>
    <row r="12" spans="1:10" x14ac:dyDescent="0.25">
      <c r="A12" s="61" t="s">
        <v>22</v>
      </c>
      <c r="B12" s="304">
        <f>SUM(B8:B11)</f>
        <v>19</v>
      </c>
      <c r="C12" s="304">
        <f t="shared" ref="C12:D12" si="1">SUM(C8:C11)</f>
        <v>19</v>
      </c>
      <c r="D12" s="305">
        <f t="shared" si="1"/>
        <v>7775561.9000000004</v>
      </c>
      <c r="E12" s="304">
        <f t="shared" ref="E12:J12" si="2">SUM(E8:E11)</f>
        <v>0</v>
      </c>
      <c r="F12" s="304">
        <f t="shared" si="2"/>
        <v>0</v>
      </c>
      <c r="G12" s="306">
        <f t="shared" si="2"/>
        <v>0</v>
      </c>
      <c r="H12" s="304">
        <f t="shared" si="2"/>
        <v>19</v>
      </c>
      <c r="I12" s="304">
        <f t="shared" si="2"/>
        <v>19</v>
      </c>
      <c r="J12" s="306">
        <f t="shared" si="2"/>
        <v>7775561.9000000004</v>
      </c>
    </row>
    <row r="13" spans="1:10" x14ac:dyDescent="0.25">
      <c r="A13" s="212" t="s">
        <v>288</v>
      </c>
    </row>
    <row r="14" spans="1:10" x14ac:dyDescent="0.25">
      <c r="A14" s="212" t="s">
        <v>210</v>
      </c>
    </row>
    <row r="36" spans="20:20" x14ac:dyDescent="0.25">
      <c r="T36" s="1"/>
    </row>
  </sheetData>
  <mergeCells count="8">
    <mergeCell ref="B6:D6"/>
    <mergeCell ref="E6:G6"/>
    <mergeCell ref="H6:J6"/>
    <mergeCell ref="A1:J1"/>
    <mergeCell ref="A2:J2"/>
    <mergeCell ref="A3:J3"/>
    <mergeCell ref="A4:J4"/>
    <mergeCell ref="A5:J5"/>
  </mergeCells>
  <pageMargins left="0.7" right="0.7" top="0.75" bottom="0.75" header="0.3" footer="0.3"/>
  <ignoredErrors>
    <ignoredError sqref="B12:C12 I12:J12 G12:H12 D12:F12" unlockedFormula="1"/>
  </ignoredErrors>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sheetPr>
  <dimension ref="A1:J61"/>
  <sheetViews>
    <sheetView showGridLines="0" zoomScale="115" zoomScaleNormal="115" workbookViewId="0">
      <selection activeCell="K9" sqref="K9"/>
    </sheetView>
  </sheetViews>
  <sheetFormatPr defaultColWidth="9.140625" defaultRowHeight="15" x14ac:dyDescent="0.25"/>
  <cols>
    <col min="1" max="7" width="13.140625" style="1" customWidth="1"/>
    <col min="8" max="16384" width="9.140625" style="1"/>
  </cols>
  <sheetData>
    <row r="1" spans="1:10" x14ac:dyDescent="0.25">
      <c r="A1" s="335" t="s">
        <v>0</v>
      </c>
      <c r="B1" s="335"/>
      <c r="C1" s="335"/>
      <c r="D1" s="335"/>
      <c r="E1" s="335"/>
      <c r="F1" s="335"/>
      <c r="G1" s="335"/>
      <c r="H1" s="22"/>
      <c r="I1" s="22"/>
      <c r="J1" s="22"/>
    </row>
    <row r="2" spans="1:10" x14ac:dyDescent="0.25">
      <c r="A2" s="335" t="s">
        <v>65</v>
      </c>
      <c r="B2" s="335"/>
      <c r="C2" s="335"/>
      <c r="D2" s="335"/>
      <c r="E2" s="335"/>
      <c r="F2" s="335"/>
      <c r="G2" s="335"/>
      <c r="H2" s="22"/>
      <c r="I2" s="22"/>
      <c r="J2" s="22"/>
    </row>
    <row r="3" spans="1:10" x14ac:dyDescent="0.25">
      <c r="A3" s="335" t="s">
        <v>223</v>
      </c>
      <c r="B3" s="335"/>
      <c r="C3" s="335"/>
      <c r="D3" s="335"/>
      <c r="E3" s="335"/>
      <c r="F3" s="335"/>
      <c r="G3" s="335"/>
      <c r="H3" s="22"/>
      <c r="I3" s="22"/>
      <c r="J3" s="22"/>
    </row>
    <row r="4" spans="1:10" x14ac:dyDescent="0.25">
      <c r="A4" s="335" t="s">
        <v>276</v>
      </c>
      <c r="B4" s="335"/>
      <c r="C4" s="335"/>
      <c r="D4" s="335"/>
      <c r="E4" s="335"/>
      <c r="F4" s="335"/>
      <c r="G4" s="335"/>
      <c r="H4" s="22"/>
      <c r="I4" s="22"/>
      <c r="J4" s="22"/>
    </row>
    <row r="5" spans="1:10" x14ac:dyDescent="0.25">
      <c r="A5" s="335" t="s">
        <v>274</v>
      </c>
      <c r="B5" s="335"/>
      <c r="C5" s="335"/>
      <c r="D5" s="335"/>
      <c r="E5" s="335"/>
      <c r="F5" s="335"/>
      <c r="G5" s="335"/>
      <c r="H5" s="22"/>
      <c r="I5" s="22"/>
      <c r="J5" s="22"/>
    </row>
    <row r="6" spans="1:10" ht="51" x14ac:dyDescent="0.25">
      <c r="A6" s="90" t="s">
        <v>3</v>
      </c>
      <c r="B6" s="45" t="s">
        <v>224</v>
      </c>
      <c r="C6" s="45" t="s">
        <v>225</v>
      </c>
      <c r="D6" s="45" t="s">
        <v>226</v>
      </c>
      <c r="E6" s="45" t="s">
        <v>227</v>
      </c>
      <c r="F6" s="45" t="s">
        <v>228</v>
      </c>
      <c r="G6" s="181" t="s">
        <v>229</v>
      </c>
      <c r="H6"/>
    </row>
    <row r="7" spans="1:10" x14ac:dyDescent="0.25">
      <c r="A7" s="70" t="s">
        <v>21</v>
      </c>
      <c r="B7" s="182">
        <v>104</v>
      </c>
      <c r="C7" s="284">
        <v>3452133.3699999996</v>
      </c>
      <c r="D7" s="288">
        <v>0</v>
      </c>
      <c r="E7" s="288">
        <v>0</v>
      </c>
      <c r="F7" s="288">
        <f>E7+D7</f>
        <v>0</v>
      </c>
      <c r="G7" s="290">
        <f t="shared" ref="G7" si="0">F7/C7</f>
        <v>0</v>
      </c>
      <c r="H7"/>
    </row>
    <row r="8" spans="1:10" x14ac:dyDescent="0.25">
      <c r="A8" s="70" t="s">
        <v>20</v>
      </c>
      <c r="B8" s="182">
        <v>49</v>
      </c>
      <c r="C8" s="284">
        <v>2986442.69</v>
      </c>
      <c r="D8" s="284">
        <v>735762.34000000008</v>
      </c>
      <c r="E8" s="284">
        <v>516441.35999999993</v>
      </c>
      <c r="F8" s="288">
        <f>E8+D8</f>
        <v>1252203.7</v>
      </c>
      <c r="G8" s="290">
        <f>F8/C8</f>
        <v>0.41929607562634996</v>
      </c>
      <c r="H8"/>
    </row>
    <row r="9" spans="1:10" x14ac:dyDescent="0.25">
      <c r="A9" s="70" t="s">
        <v>34</v>
      </c>
      <c r="B9" s="182">
        <v>158</v>
      </c>
      <c r="C9" s="284">
        <v>6002857.8200000003</v>
      </c>
      <c r="D9" s="284">
        <v>883825.72</v>
      </c>
      <c r="E9" s="287">
        <v>1618273.54</v>
      </c>
      <c r="F9" s="288">
        <f>E9+D9</f>
        <v>2502099.2599999998</v>
      </c>
      <c r="G9" s="290">
        <f>F9/C9</f>
        <v>0.41681801152505055</v>
      </c>
      <c r="H9"/>
    </row>
    <row r="10" spans="1:10" x14ac:dyDescent="0.25">
      <c r="A10" s="27" t="s">
        <v>22</v>
      </c>
      <c r="B10" s="8">
        <f>SUM(B7:B9)</f>
        <v>311</v>
      </c>
      <c r="C10" s="285">
        <f>SUM(C7:C9)</f>
        <v>12441433.879999999</v>
      </c>
      <c r="D10" s="286">
        <f>SUM(D7:D9)</f>
        <v>1619588.06</v>
      </c>
      <c r="E10" s="286">
        <f>SUM(E7:E9)</f>
        <v>2134714.9</v>
      </c>
      <c r="F10" s="289">
        <f>SUM(F7:F9)</f>
        <v>3754302.96</v>
      </c>
      <c r="G10" s="91">
        <f t="shared" ref="G10:G23" si="1">F10/C10</f>
        <v>0.30175806070353045</v>
      </c>
      <c r="H10"/>
    </row>
    <row r="11" spans="1:10" hidden="1" x14ac:dyDescent="0.25">
      <c r="A11" s="70" t="s">
        <v>15</v>
      </c>
      <c r="B11" s="182"/>
      <c r="C11" s="184"/>
      <c r="D11" s="184"/>
      <c r="E11" s="184"/>
      <c r="F11" s="66">
        <f>E11+D11</f>
        <v>0</v>
      </c>
      <c r="G11" s="67" t="e">
        <f t="shared" si="1"/>
        <v>#DIV/0!</v>
      </c>
      <c r="H11"/>
    </row>
    <row r="12" spans="1:10" hidden="1" x14ac:dyDescent="0.25">
      <c r="A12" s="70" t="s">
        <v>16</v>
      </c>
      <c r="B12" s="182"/>
      <c r="C12" s="184"/>
      <c r="D12" s="184"/>
      <c r="E12" s="184"/>
      <c r="F12" s="66">
        <f>E12+D12</f>
        <v>0</v>
      </c>
      <c r="G12" s="67" t="e">
        <f t="shared" si="1"/>
        <v>#DIV/0!</v>
      </c>
      <c r="H12"/>
    </row>
    <row r="13" spans="1:10" hidden="1" x14ac:dyDescent="0.25">
      <c r="A13" s="70" t="s">
        <v>17</v>
      </c>
      <c r="B13" s="182"/>
      <c r="C13" s="184"/>
      <c r="D13" s="155"/>
      <c r="E13" s="155"/>
      <c r="F13" s="68">
        <f>E13+D13</f>
        <v>0</v>
      </c>
      <c r="G13" s="67" t="e">
        <f t="shared" si="1"/>
        <v>#DIV/0!</v>
      </c>
      <c r="H13"/>
    </row>
    <row r="14" spans="1:10" hidden="1" x14ac:dyDescent="0.25">
      <c r="A14" s="27" t="s">
        <v>18</v>
      </c>
      <c r="B14" s="8">
        <f>SUM(B11:B13)</f>
        <v>0</v>
      </c>
      <c r="C14" s="69">
        <f>SUM(C11:C13)</f>
        <v>0</v>
      </c>
      <c r="D14" s="69">
        <f>SUM(D11:D13)</f>
        <v>0</v>
      </c>
      <c r="E14" s="69">
        <f>SUM(E11:E13)</f>
        <v>0</v>
      </c>
      <c r="F14" s="69">
        <f>SUM(F11:F13)</f>
        <v>0</v>
      </c>
      <c r="G14" s="16" t="e">
        <f t="shared" si="1"/>
        <v>#DIV/0!</v>
      </c>
      <c r="H14"/>
    </row>
    <row r="15" spans="1:10" hidden="1" x14ac:dyDescent="0.25">
      <c r="A15" s="70" t="s">
        <v>34</v>
      </c>
      <c r="B15" s="182"/>
      <c r="C15" s="184"/>
      <c r="D15" s="184"/>
      <c r="E15" s="184"/>
      <c r="F15" s="66">
        <f>E15+D15</f>
        <v>0</v>
      </c>
      <c r="G15" s="67" t="e">
        <f t="shared" si="1"/>
        <v>#DIV/0!</v>
      </c>
      <c r="H15"/>
    </row>
    <row r="16" spans="1:10" hidden="1" x14ac:dyDescent="0.25">
      <c r="A16" s="70" t="s">
        <v>20</v>
      </c>
      <c r="B16" s="182"/>
      <c r="C16" s="184"/>
      <c r="D16" s="184"/>
      <c r="E16" s="184"/>
      <c r="F16" s="66">
        <f>E16+D16</f>
        <v>0</v>
      </c>
      <c r="G16" s="67" t="e">
        <f t="shared" si="1"/>
        <v>#DIV/0!</v>
      </c>
      <c r="H16"/>
    </row>
    <row r="17" spans="1:8" hidden="1" x14ac:dyDescent="0.25">
      <c r="A17" s="70" t="s">
        <v>21</v>
      </c>
      <c r="B17" s="182"/>
      <c r="C17" s="184"/>
      <c r="D17" s="155"/>
      <c r="E17" s="155"/>
      <c r="F17" s="68">
        <f>E17+D17</f>
        <v>0</v>
      </c>
      <c r="G17" s="67" t="e">
        <f t="shared" si="1"/>
        <v>#DIV/0!</v>
      </c>
      <c r="H17"/>
    </row>
    <row r="18" spans="1:8" hidden="1" x14ac:dyDescent="0.25">
      <c r="A18" s="27" t="s">
        <v>22</v>
      </c>
      <c r="B18" s="8">
        <f>SUM(B15:B17)</f>
        <v>0</v>
      </c>
      <c r="C18" s="69">
        <f>SUM(C15:C17)</f>
        <v>0</v>
      </c>
      <c r="D18" s="69">
        <f>SUM(D15:D17)</f>
        <v>0</v>
      </c>
      <c r="E18" s="69">
        <f>SUM(E15:E17)</f>
        <v>0</v>
      </c>
      <c r="F18" s="69">
        <f>SUM(F15:F17)</f>
        <v>0</v>
      </c>
      <c r="G18" s="16" t="e">
        <f t="shared" si="1"/>
        <v>#DIV/0!</v>
      </c>
      <c r="H18"/>
    </row>
    <row r="19" spans="1:8" hidden="1" x14ac:dyDescent="0.25">
      <c r="A19" s="70" t="s">
        <v>13</v>
      </c>
      <c r="B19" s="182"/>
      <c r="C19" s="184"/>
      <c r="D19" s="184"/>
      <c r="E19" s="184"/>
      <c r="F19" s="66">
        <f>E19+D19</f>
        <v>0</v>
      </c>
      <c r="G19" s="67" t="e">
        <f t="shared" si="1"/>
        <v>#DIV/0!</v>
      </c>
      <c r="H19"/>
    </row>
    <row r="20" spans="1:8" hidden="1" x14ac:dyDescent="0.25">
      <c r="A20" s="70" t="s">
        <v>12</v>
      </c>
      <c r="B20" s="182"/>
      <c r="C20" s="184"/>
      <c r="D20" s="184"/>
      <c r="E20" s="184"/>
      <c r="F20" s="66">
        <f>E20+D20</f>
        <v>0</v>
      </c>
      <c r="G20" s="67" t="e">
        <f t="shared" si="1"/>
        <v>#DIV/0!</v>
      </c>
      <c r="H20"/>
    </row>
    <row r="21" spans="1:8" hidden="1" x14ac:dyDescent="0.25">
      <c r="A21" s="70" t="s">
        <v>11</v>
      </c>
      <c r="B21" s="182"/>
      <c r="C21" s="184"/>
      <c r="D21" s="155"/>
      <c r="E21" s="155"/>
      <c r="F21" s="68">
        <f>E21+D21</f>
        <v>0</v>
      </c>
      <c r="G21" s="67" t="e">
        <f t="shared" si="1"/>
        <v>#DIV/0!</v>
      </c>
      <c r="H21"/>
    </row>
    <row r="22" spans="1:8" hidden="1" x14ac:dyDescent="0.25">
      <c r="A22" s="27" t="s">
        <v>14</v>
      </c>
      <c r="B22" s="8">
        <f>SUM(B19:B21)</f>
        <v>0</v>
      </c>
      <c r="C22" s="69">
        <f>SUM(C19:C21)</f>
        <v>0</v>
      </c>
      <c r="D22" s="69">
        <f>SUM(D19:D21)</f>
        <v>0</v>
      </c>
      <c r="E22" s="69">
        <f>SUM(E19:E21)</f>
        <v>0</v>
      </c>
      <c r="F22" s="69">
        <f>SUM(F19:F21)</f>
        <v>0</v>
      </c>
      <c r="G22" s="16" t="e">
        <f t="shared" si="1"/>
        <v>#DIV/0!</v>
      </c>
      <c r="H22"/>
    </row>
    <row r="23" spans="1:8" hidden="1" x14ac:dyDescent="0.25">
      <c r="A23" s="71" t="s">
        <v>23</v>
      </c>
      <c r="B23" s="10">
        <f>+B10+B14+B18+B22</f>
        <v>311</v>
      </c>
      <c r="C23" s="10">
        <f>+C10+C14+C18+C22</f>
        <v>12441433.879999999</v>
      </c>
      <c r="D23" s="10">
        <f>+D10+D14+D18+D22</f>
        <v>1619588.06</v>
      </c>
      <c r="E23" s="10">
        <f>+E10+E14+E18+E22</f>
        <v>2134714.9</v>
      </c>
      <c r="F23" s="10">
        <f>+F10+F14+F18+F22</f>
        <v>3754302.96</v>
      </c>
      <c r="G23" s="10">
        <f t="shared" si="1"/>
        <v>0.30175806070353045</v>
      </c>
      <c r="H23"/>
    </row>
    <row r="24" spans="1:8" hidden="1" x14ac:dyDescent="0.25">
      <c r="A24"/>
      <c r="B24"/>
      <c r="C24"/>
      <c r="D24"/>
      <c r="E24"/>
      <c r="F24"/>
      <c r="G24"/>
      <c r="H24"/>
    </row>
    <row r="25" spans="1:8" hidden="1" x14ac:dyDescent="0.25">
      <c r="A25"/>
      <c r="B25"/>
      <c r="C25"/>
      <c r="D25"/>
      <c r="E25"/>
      <c r="F25"/>
      <c r="G25"/>
      <c r="H25"/>
    </row>
    <row r="26" spans="1:8" hidden="1" x14ac:dyDescent="0.25">
      <c r="A26"/>
      <c r="B26"/>
      <c r="C26"/>
      <c r="D26"/>
      <c r="E26"/>
      <c r="F26"/>
      <c r="G26"/>
      <c r="H26"/>
    </row>
    <row r="27" spans="1:8" hidden="1" x14ac:dyDescent="0.25">
      <c r="A27"/>
      <c r="B27"/>
      <c r="C27"/>
      <c r="D27"/>
      <c r="E27"/>
      <c r="F27"/>
      <c r="G27"/>
      <c r="H27"/>
    </row>
    <row r="28" spans="1:8" hidden="1" x14ac:dyDescent="0.25">
      <c r="A28"/>
      <c r="B28"/>
      <c r="C28"/>
      <c r="D28"/>
      <c r="E28"/>
      <c r="F28"/>
      <c r="G28"/>
      <c r="H28"/>
    </row>
    <row r="29" spans="1:8" hidden="1" x14ac:dyDescent="0.25">
      <c r="A29"/>
      <c r="B29"/>
      <c r="C29"/>
      <c r="D29"/>
      <c r="E29"/>
      <c r="F29"/>
      <c r="G29"/>
      <c r="H29"/>
    </row>
    <row r="30" spans="1:8" hidden="1" x14ac:dyDescent="0.25">
      <c r="A30"/>
      <c r="B30"/>
      <c r="C30"/>
      <c r="D30"/>
      <c r="E30"/>
      <c r="F30"/>
      <c r="G30"/>
      <c r="H30"/>
    </row>
    <row r="31" spans="1:8" hidden="1" x14ac:dyDescent="0.25">
      <c r="A31"/>
      <c r="B31"/>
      <c r="C31"/>
      <c r="D31"/>
      <c r="E31"/>
      <c r="F31"/>
      <c r="G31"/>
      <c r="H31"/>
    </row>
    <row r="32" spans="1:8" hidden="1" x14ac:dyDescent="0.25">
      <c r="A32"/>
      <c r="B32"/>
      <c r="C32"/>
      <c r="D32"/>
      <c r="E32"/>
      <c r="F32"/>
      <c r="G32"/>
      <c r="H32"/>
    </row>
    <row r="33" spans="1:8" hidden="1" x14ac:dyDescent="0.25">
      <c r="A33"/>
      <c r="B33"/>
      <c r="C33"/>
      <c r="D33"/>
      <c r="E33"/>
      <c r="F33"/>
      <c r="G33"/>
      <c r="H33"/>
    </row>
    <row r="34" spans="1:8" x14ac:dyDescent="0.25">
      <c r="A34" s="212" t="s">
        <v>210</v>
      </c>
      <c r="B34"/>
      <c r="C34"/>
      <c r="D34"/>
      <c r="E34"/>
      <c r="F34"/>
      <c r="G34"/>
      <c r="H34"/>
    </row>
    <row r="35" spans="1:8" x14ac:dyDescent="0.25">
      <c r="A35" s="138"/>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row r="46" spans="1:8" x14ac:dyDescent="0.25">
      <c r="A46"/>
      <c r="B46"/>
      <c r="C46"/>
      <c r="D46"/>
      <c r="E46"/>
      <c r="F46"/>
      <c r="G46"/>
      <c r="H46"/>
    </row>
    <row r="47" spans="1:8" x14ac:dyDescent="0.25">
      <c r="A47"/>
      <c r="B47"/>
      <c r="C47"/>
      <c r="D47"/>
      <c r="E47"/>
      <c r="F47"/>
      <c r="G47"/>
      <c r="H47"/>
    </row>
    <row r="48" spans="1:8" x14ac:dyDescent="0.25">
      <c r="A48"/>
      <c r="B48"/>
      <c r="C48"/>
      <c r="D48"/>
      <c r="E48"/>
      <c r="F48"/>
      <c r="G48"/>
      <c r="H48"/>
    </row>
    <row r="49" spans="1:8" x14ac:dyDescent="0.25">
      <c r="A49"/>
      <c r="B49"/>
      <c r="C49"/>
      <c r="D49"/>
      <c r="E49"/>
      <c r="F49"/>
      <c r="G49"/>
      <c r="H49"/>
    </row>
    <row r="50" spans="1:8" x14ac:dyDescent="0.25">
      <c r="A50"/>
      <c r="B50"/>
      <c r="C50"/>
      <c r="D50"/>
      <c r="E50"/>
      <c r="F50"/>
      <c r="G50"/>
      <c r="H50"/>
    </row>
    <row r="51" spans="1:8" x14ac:dyDescent="0.25">
      <c r="A51"/>
      <c r="B51"/>
      <c r="C51"/>
      <c r="D51"/>
      <c r="E51"/>
      <c r="F51"/>
      <c r="G51"/>
      <c r="H51"/>
    </row>
    <row r="52" spans="1:8" x14ac:dyDescent="0.25">
      <c r="A52"/>
      <c r="B52"/>
      <c r="C52"/>
      <c r="D52"/>
      <c r="E52"/>
      <c r="F52"/>
      <c r="G52"/>
      <c r="H52"/>
    </row>
    <row r="53" spans="1:8" x14ac:dyDescent="0.25">
      <c r="A53"/>
      <c r="B53"/>
      <c r="C53"/>
      <c r="D53"/>
      <c r="E53"/>
      <c r="F53"/>
      <c r="G53"/>
      <c r="H53"/>
    </row>
    <row r="54" spans="1:8" x14ac:dyDescent="0.25">
      <c r="A54"/>
      <c r="B54"/>
      <c r="C54"/>
      <c r="D54"/>
      <c r="E54"/>
      <c r="F54"/>
      <c r="G54"/>
      <c r="H54"/>
    </row>
    <row r="55" spans="1:8" x14ac:dyDescent="0.25">
      <c r="A55"/>
      <c r="B55"/>
      <c r="C55"/>
      <c r="D55"/>
      <c r="E55"/>
      <c r="F55"/>
      <c r="G55"/>
      <c r="H55"/>
    </row>
    <row r="56" spans="1:8" x14ac:dyDescent="0.25">
      <c r="A56"/>
      <c r="B56"/>
      <c r="C56"/>
      <c r="D56"/>
      <c r="E56"/>
      <c r="F56"/>
      <c r="G56"/>
      <c r="H56"/>
    </row>
    <row r="57" spans="1:8" x14ac:dyDescent="0.25">
      <c r="A57"/>
      <c r="B57"/>
      <c r="C57"/>
      <c r="D57"/>
      <c r="E57"/>
      <c r="F57"/>
      <c r="G57"/>
      <c r="H57"/>
    </row>
    <row r="59" spans="1:8" x14ac:dyDescent="0.25">
      <c r="A59" s="70"/>
      <c r="B59" s="185"/>
      <c r="C59" s="183"/>
      <c r="D59" s="155"/>
      <c r="E59" s="155"/>
      <c r="F59" s="68"/>
      <c r="G59" s="67"/>
    </row>
    <row r="61" spans="1:8" x14ac:dyDescent="0.25">
      <c r="A61" s="70"/>
      <c r="B61" s="182"/>
      <c r="C61" s="183"/>
      <c r="D61" s="184"/>
      <c r="E61" s="184"/>
      <c r="F61" s="68"/>
      <c r="G61" s="67"/>
    </row>
  </sheetData>
  <mergeCells count="5">
    <mergeCell ref="A1:G1"/>
    <mergeCell ref="A2:G2"/>
    <mergeCell ref="A3:G3"/>
    <mergeCell ref="A5:G5"/>
    <mergeCell ref="A4:G4"/>
  </mergeCells>
  <pageMargins left="0.7" right="0.7" top="0.75" bottom="0.75" header="0.3" footer="0.3"/>
  <pageSetup paperSize="9" scale="54" orientation="portrait" r:id="rId1"/>
  <ignoredErrors>
    <ignoredError sqref="F10" 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Z70"/>
  <sheetViews>
    <sheetView showGridLines="0" zoomScale="85" zoomScaleNormal="85" workbookViewId="0">
      <selection activeCell="Z12" sqref="Z12"/>
    </sheetView>
  </sheetViews>
  <sheetFormatPr defaultColWidth="11.42578125" defaultRowHeight="15" x14ac:dyDescent="0.25"/>
  <cols>
    <col min="1" max="1" width="11.42578125" style="1"/>
    <col min="2" max="2" width="45.5703125" style="1" bestFit="1" customWidth="1"/>
    <col min="3" max="3" width="9.42578125" style="1" hidden="1" customWidth="1"/>
    <col min="4" max="4" width="10.85546875" style="1" hidden="1" customWidth="1"/>
    <col min="5" max="5" width="11.42578125" style="1" hidden="1" customWidth="1"/>
    <col min="6" max="6" width="9.42578125" style="1" hidden="1" customWidth="1"/>
    <col min="7" max="7" width="10.85546875" style="1" hidden="1" customWidth="1"/>
    <col min="8" max="8" width="11.42578125" style="1" hidden="1" customWidth="1"/>
    <col min="9" max="9" width="9.42578125" style="1" hidden="1" customWidth="1"/>
    <col min="10" max="10" width="10.85546875" style="1" hidden="1" customWidth="1"/>
    <col min="11" max="11" width="11.42578125" style="1" hidden="1" customWidth="1"/>
    <col min="12" max="13" width="11.42578125" style="1"/>
    <col min="14" max="14" width="11.42578125" style="1" customWidth="1"/>
    <col min="15" max="16384" width="11.42578125" style="1"/>
  </cols>
  <sheetData>
    <row r="1" spans="1:26" x14ac:dyDescent="0.25">
      <c r="A1" s="22"/>
      <c r="B1" s="335" t="s">
        <v>211</v>
      </c>
      <c r="C1" s="335"/>
      <c r="D1" s="335"/>
      <c r="E1" s="335"/>
      <c r="F1" s="335"/>
      <c r="G1" s="335"/>
      <c r="H1" s="335"/>
      <c r="I1" s="335"/>
      <c r="J1" s="335"/>
      <c r="K1" s="335"/>
      <c r="L1" s="335"/>
      <c r="M1" s="335"/>
      <c r="N1" s="335"/>
    </row>
    <row r="2" spans="1:26" x14ac:dyDescent="0.25">
      <c r="A2" s="22"/>
      <c r="B2" s="335" t="s">
        <v>230</v>
      </c>
      <c r="C2" s="335"/>
      <c r="D2" s="335"/>
      <c r="E2" s="335"/>
      <c r="F2" s="335"/>
      <c r="G2" s="335"/>
      <c r="H2" s="335"/>
      <c r="I2" s="335"/>
      <c r="J2" s="335"/>
      <c r="K2" s="335"/>
      <c r="L2" s="335"/>
      <c r="M2" s="335"/>
      <c r="N2" s="335"/>
    </row>
    <row r="3" spans="1:26" x14ac:dyDescent="0.25">
      <c r="A3" s="22"/>
      <c r="B3" s="335" t="s">
        <v>231</v>
      </c>
      <c r="C3" s="335"/>
      <c r="D3" s="335"/>
      <c r="E3" s="335"/>
      <c r="F3" s="335"/>
      <c r="G3" s="335"/>
      <c r="H3" s="335"/>
      <c r="I3" s="335"/>
      <c r="J3" s="335"/>
      <c r="K3" s="335"/>
      <c r="L3" s="335"/>
      <c r="M3" s="335"/>
      <c r="N3" s="335"/>
    </row>
    <row r="4" spans="1:26" x14ac:dyDescent="0.25">
      <c r="A4" s="22"/>
      <c r="B4" s="335" t="s">
        <v>276</v>
      </c>
      <c r="C4" s="335"/>
      <c r="D4" s="335"/>
      <c r="E4" s="335"/>
      <c r="F4" s="335"/>
      <c r="G4" s="335"/>
      <c r="H4" s="335"/>
      <c r="I4" s="335"/>
      <c r="J4" s="335"/>
      <c r="K4" s="335"/>
      <c r="L4" s="335"/>
      <c r="M4" s="335"/>
      <c r="N4" s="335"/>
    </row>
    <row r="5" spans="1:26" x14ac:dyDescent="0.25">
      <c r="A5" s="22"/>
      <c r="B5" s="335" t="s">
        <v>274</v>
      </c>
      <c r="C5" s="335"/>
      <c r="D5" s="335"/>
      <c r="E5" s="335"/>
      <c r="F5" s="335"/>
      <c r="G5" s="335"/>
      <c r="H5" s="335"/>
      <c r="I5" s="335"/>
      <c r="J5" s="335"/>
      <c r="K5" s="335"/>
      <c r="L5" s="335"/>
      <c r="M5" s="335"/>
      <c r="N5" s="335"/>
    </row>
    <row r="8" spans="1:26" ht="15.75" x14ac:dyDescent="0.25">
      <c r="B8" s="388" t="s">
        <v>232</v>
      </c>
      <c r="C8" s="388"/>
      <c r="D8" s="388"/>
      <c r="E8" s="388"/>
      <c r="F8" s="388"/>
      <c r="G8" s="388"/>
      <c r="H8" s="388"/>
      <c r="I8" s="388"/>
      <c r="J8" s="388"/>
      <c r="K8" s="388"/>
      <c r="L8" s="388"/>
      <c r="M8" s="388"/>
      <c r="N8" s="388"/>
      <c r="Z8" s="18"/>
    </row>
    <row r="9" spans="1:26" x14ac:dyDescent="0.25">
      <c r="B9" s="186"/>
      <c r="C9" s="368" t="s">
        <v>34</v>
      </c>
      <c r="D9" s="368"/>
      <c r="E9" s="368"/>
      <c r="F9" s="368" t="s">
        <v>20</v>
      </c>
      <c r="G9" s="368"/>
      <c r="H9" s="368"/>
      <c r="I9" s="368" t="s">
        <v>21</v>
      </c>
      <c r="J9" s="368"/>
      <c r="K9" s="368"/>
      <c r="L9" s="368" t="s">
        <v>22</v>
      </c>
      <c r="M9" s="368"/>
      <c r="N9" s="368"/>
      <c r="O9"/>
      <c r="P9"/>
      <c r="Q9"/>
      <c r="R9"/>
      <c r="S9"/>
      <c r="T9"/>
      <c r="U9"/>
      <c r="V9"/>
    </row>
    <row r="10" spans="1:26" x14ac:dyDescent="0.25">
      <c r="B10" s="54" t="s">
        <v>233</v>
      </c>
      <c r="C10" s="54" t="s">
        <v>234</v>
      </c>
      <c r="D10" s="54" t="s">
        <v>235</v>
      </c>
      <c r="E10" s="54" t="s">
        <v>236</v>
      </c>
      <c r="F10" s="54" t="s">
        <v>234</v>
      </c>
      <c r="G10" s="54" t="s">
        <v>235</v>
      </c>
      <c r="H10" s="54" t="s">
        <v>236</v>
      </c>
      <c r="I10" s="54" t="s">
        <v>234</v>
      </c>
      <c r="J10" s="54" t="s">
        <v>235</v>
      </c>
      <c r="K10" s="54" t="s">
        <v>236</v>
      </c>
      <c r="L10" s="54" t="s">
        <v>234</v>
      </c>
      <c r="M10" s="54" t="s">
        <v>235</v>
      </c>
      <c r="N10" s="54" t="s">
        <v>236</v>
      </c>
      <c r="O10"/>
      <c r="P10"/>
      <c r="Q10"/>
      <c r="R10"/>
      <c r="S10"/>
      <c r="T10"/>
      <c r="U10"/>
      <c r="V10"/>
    </row>
    <row r="11" spans="1:26" x14ac:dyDescent="0.25">
      <c r="B11" s="53" t="s">
        <v>237</v>
      </c>
      <c r="C11" s="134">
        <v>14</v>
      </c>
      <c r="D11" s="134">
        <v>12</v>
      </c>
      <c r="E11" s="125">
        <f>IFERROR(D11/C11,"-")</f>
        <v>0.8571428571428571</v>
      </c>
      <c r="F11" s="134">
        <v>13</v>
      </c>
      <c r="G11" s="134">
        <v>9</v>
      </c>
      <c r="H11" s="125">
        <f>IFERROR(G11/F11,"-")</f>
        <v>0.69230769230769229</v>
      </c>
      <c r="I11" s="134">
        <v>10</v>
      </c>
      <c r="J11" s="134">
        <v>10</v>
      </c>
      <c r="K11" s="125">
        <f>IFERROR(J11/I11,"-")</f>
        <v>1</v>
      </c>
      <c r="L11" s="134">
        <v>20</v>
      </c>
      <c r="M11" s="134">
        <v>18</v>
      </c>
      <c r="N11" s="125">
        <f>IFERROR(M11/L11,"-")</f>
        <v>0.9</v>
      </c>
      <c r="O11"/>
      <c r="P11"/>
      <c r="Q11"/>
      <c r="R11"/>
      <c r="S11"/>
      <c r="T11"/>
      <c r="U11"/>
      <c r="V11"/>
    </row>
    <row r="12" spans="1:26" x14ac:dyDescent="0.25">
      <c r="B12" s="53" t="s">
        <v>238</v>
      </c>
      <c r="C12" s="134">
        <v>2563</v>
      </c>
      <c r="D12" s="134">
        <v>2563</v>
      </c>
      <c r="E12" s="125">
        <f t="shared" ref="E12:E24" si="0">IFERROR(D12/C12,"-")</f>
        <v>1</v>
      </c>
      <c r="F12" s="134">
        <v>2869</v>
      </c>
      <c r="G12" s="134">
        <v>2869</v>
      </c>
      <c r="H12" s="125">
        <f t="shared" ref="H12:H20" si="1">IFERROR(G12/F12,"-")</f>
        <v>1</v>
      </c>
      <c r="I12" s="134">
        <v>3387</v>
      </c>
      <c r="J12" s="134">
        <v>3387</v>
      </c>
      <c r="K12" s="125">
        <f t="shared" ref="K12:K20" si="2">IFERROR(J12/I12,"-")</f>
        <v>1</v>
      </c>
      <c r="L12" s="134">
        <v>703</v>
      </c>
      <c r="M12" s="134">
        <v>670</v>
      </c>
      <c r="N12" s="125">
        <f t="shared" ref="N12:N22" si="3">IFERROR(M12/L12,"-")</f>
        <v>0.95305832147937408</v>
      </c>
      <c r="O12"/>
      <c r="P12"/>
      <c r="Q12"/>
      <c r="R12"/>
      <c r="S12"/>
      <c r="T12"/>
      <c r="U12"/>
      <c r="V12"/>
    </row>
    <row r="13" spans="1:26" x14ac:dyDescent="0.25">
      <c r="B13" s="53" t="s">
        <v>239</v>
      </c>
      <c r="C13" s="134">
        <v>190</v>
      </c>
      <c r="D13" s="134">
        <v>171</v>
      </c>
      <c r="E13" s="125">
        <f t="shared" si="0"/>
        <v>0.9</v>
      </c>
      <c r="F13" s="134">
        <v>274</v>
      </c>
      <c r="G13" s="134">
        <v>226</v>
      </c>
      <c r="H13" s="125">
        <f t="shared" si="1"/>
        <v>0.82481751824817517</v>
      </c>
      <c r="I13" s="134">
        <v>266</v>
      </c>
      <c r="J13" s="134">
        <v>228</v>
      </c>
      <c r="K13" s="125">
        <f t="shared" si="2"/>
        <v>0.8571428571428571</v>
      </c>
      <c r="L13" s="134">
        <v>126</v>
      </c>
      <c r="M13" s="134">
        <v>49</v>
      </c>
      <c r="N13" s="125">
        <f t="shared" si="3"/>
        <v>0.3888888888888889</v>
      </c>
      <c r="O13"/>
      <c r="P13"/>
      <c r="Q13"/>
      <c r="R13"/>
      <c r="S13"/>
      <c r="T13"/>
      <c r="U13"/>
      <c r="V13"/>
    </row>
    <row r="14" spans="1:26" x14ac:dyDescent="0.25">
      <c r="B14" s="53" t="s">
        <v>240</v>
      </c>
      <c r="C14" s="134">
        <v>3116</v>
      </c>
      <c r="D14" s="134">
        <v>3068</v>
      </c>
      <c r="E14" s="125">
        <f t="shared" si="0"/>
        <v>0.98459563543003847</v>
      </c>
      <c r="F14" s="134">
        <v>2752</v>
      </c>
      <c r="G14" s="134">
        <v>2721</v>
      </c>
      <c r="H14" s="125">
        <f t="shared" si="1"/>
        <v>0.98873546511627908</v>
      </c>
      <c r="I14" s="134">
        <v>2635</v>
      </c>
      <c r="J14" s="134">
        <v>2603</v>
      </c>
      <c r="K14" s="125">
        <f t="shared" si="2"/>
        <v>0.98785578747628089</v>
      </c>
      <c r="L14" s="134">
        <v>406</v>
      </c>
      <c r="M14" s="134">
        <v>404</v>
      </c>
      <c r="N14" s="125">
        <f t="shared" si="3"/>
        <v>0.99507389162561577</v>
      </c>
      <c r="O14"/>
      <c r="P14"/>
      <c r="Q14"/>
      <c r="R14"/>
      <c r="S14"/>
      <c r="T14"/>
      <c r="U14"/>
      <c r="V14"/>
    </row>
    <row r="15" spans="1:26" x14ac:dyDescent="0.25">
      <c r="B15" s="53" t="s">
        <v>241</v>
      </c>
      <c r="C15" s="134">
        <v>26</v>
      </c>
      <c r="D15" s="134">
        <v>19</v>
      </c>
      <c r="E15" s="125">
        <f t="shared" si="0"/>
        <v>0.73076923076923073</v>
      </c>
      <c r="F15" s="134">
        <v>14</v>
      </c>
      <c r="G15" s="134">
        <v>7</v>
      </c>
      <c r="H15" s="125">
        <f t="shared" si="1"/>
        <v>0.5</v>
      </c>
      <c r="I15" s="134">
        <v>22</v>
      </c>
      <c r="J15" s="134">
        <v>19</v>
      </c>
      <c r="K15" s="125">
        <f t="shared" si="2"/>
        <v>0.86363636363636365</v>
      </c>
      <c r="L15" s="134">
        <v>10642</v>
      </c>
      <c r="M15" s="134">
        <v>10474</v>
      </c>
      <c r="N15" s="125">
        <f t="shared" si="3"/>
        <v>0.98421349370419098</v>
      </c>
      <c r="O15"/>
      <c r="P15"/>
      <c r="Q15"/>
      <c r="R15"/>
      <c r="S15"/>
      <c r="T15"/>
      <c r="U15"/>
      <c r="V15"/>
    </row>
    <row r="16" spans="1:26" x14ac:dyDescent="0.25">
      <c r="B16" s="53" t="s">
        <v>242</v>
      </c>
      <c r="C16" s="134">
        <v>16</v>
      </c>
      <c r="D16" s="134">
        <v>13</v>
      </c>
      <c r="E16" s="125">
        <f t="shared" si="0"/>
        <v>0.8125</v>
      </c>
      <c r="F16" s="134">
        <v>16</v>
      </c>
      <c r="G16" s="134">
        <v>3</v>
      </c>
      <c r="H16" s="125">
        <f t="shared" si="1"/>
        <v>0.1875</v>
      </c>
      <c r="I16" s="134">
        <v>24</v>
      </c>
      <c r="J16" s="134">
        <v>12</v>
      </c>
      <c r="K16" s="125">
        <f t="shared" si="2"/>
        <v>0.5</v>
      </c>
      <c r="L16" s="134">
        <v>1734</v>
      </c>
      <c r="M16" s="134">
        <v>1702</v>
      </c>
      <c r="N16" s="125">
        <f t="shared" si="3"/>
        <v>0.98154555940023069</v>
      </c>
      <c r="O16"/>
      <c r="P16"/>
      <c r="Q16"/>
      <c r="R16"/>
      <c r="S16"/>
      <c r="T16"/>
      <c r="U16"/>
      <c r="V16"/>
    </row>
    <row r="17" spans="2:22" x14ac:dyDescent="0.25">
      <c r="B17" s="53" t="s">
        <v>243</v>
      </c>
      <c r="C17" s="134">
        <v>110</v>
      </c>
      <c r="D17" s="134">
        <v>80</v>
      </c>
      <c r="E17" s="125">
        <f t="shared" si="0"/>
        <v>0.72727272727272729</v>
      </c>
      <c r="F17" s="134">
        <v>186</v>
      </c>
      <c r="G17" s="134">
        <v>99</v>
      </c>
      <c r="H17" s="125">
        <f t="shared" si="1"/>
        <v>0.532258064516129</v>
      </c>
      <c r="I17" s="134">
        <v>170</v>
      </c>
      <c r="J17" s="134">
        <v>143</v>
      </c>
      <c r="K17" s="125">
        <f t="shared" si="2"/>
        <v>0.8411764705882353</v>
      </c>
      <c r="L17" s="134">
        <v>7125</v>
      </c>
      <c r="M17" s="134">
        <v>7019</v>
      </c>
      <c r="N17" s="125">
        <f t="shared" si="3"/>
        <v>0.98512280701754384</v>
      </c>
      <c r="O17"/>
      <c r="P17"/>
      <c r="Q17"/>
      <c r="R17"/>
      <c r="S17"/>
      <c r="T17"/>
      <c r="U17"/>
      <c r="V17"/>
    </row>
    <row r="18" spans="2:22" x14ac:dyDescent="0.25">
      <c r="B18" s="53" t="s">
        <v>244</v>
      </c>
      <c r="C18" s="134">
        <v>0</v>
      </c>
      <c r="D18" s="134">
        <v>0</v>
      </c>
      <c r="E18" s="125" t="str">
        <f t="shared" si="0"/>
        <v>-</v>
      </c>
      <c r="F18" s="134">
        <v>2</v>
      </c>
      <c r="G18" s="134">
        <v>2</v>
      </c>
      <c r="H18" s="125">
        <f t="shared" si="1"/>
        <v>1</v>
      </c>
      <c r="I18" s="134">
        <v>2</v>
      </c>
      <c r="J18" s="134">
        <v>1</v>
      </c>
      <c r="K18" s="125">
        <f t="shared" si="2"/>
        <v>0.5</v>
      </c>
      <c r="L18" s="134">
        <v>20</v>
      </c>
      <c r="M18" s="134">
        <v>18</v>
      </c>
      <c r="N18" s="125">
        <f t="shared" si="3"/>
        <v>0.9</v>
      </c>
      <c r="O18"/>
      <c r="P18"/>
      <c r="Q18"/>
      <c r="R18"/>
      <c r="S18"/>
      <c r="T18"/>
      <c r="U18"/>
      <c r="V18"/>
    </row>
    <row r="19" spans="2:22" x14ac:dyDescent="0.25">
      <c r="B19" s="53" t="s">
        <v>245</v>
      </c>
      <c r="C19" s="134">
        <v>0</v>
      </c>
      <c r="D19" s="134">
        <v>0</v>
      </c>
      <c r="E19" s="125" t="str">
        <f t="shared" si="0"/>
        <v>-</v>
      </c>
      <c r="F19" s="134">
        <v>0</v>
      </c>
      <c r="G19" s="134">
        <v>0</v>
      </c>
      <c r="H19" s="125" t="str">
        <f t="shared" si="1"/>
        <v>-</v>
      </c>
      <c r="I19" s="134">
        <v>0</v>
      </c>
      <c r="J19" s="134">
        <v>0</v>
      </c>
      <c r="K19" s="125" t="str">
        <f t="shared" si="2"/>
        <v>-</v>
      </c>
      <c r="L19" s="134">
        <v>145</v>
      </c>
      <c r="M19" s="134">
        <v>139</v>
      </c>
      <c r="N19" s="125">
        <f t="shared" si="3"/>
        <v>0.95862068965517244</v>
      </c>
      <c r="O19"/>
      <c r="P19"/>
      <c r="Q19"/>
      <c r="R19"/>
      <c r="S19"/>
      <c r="T19"/>
      <c r="U19"/>
      <c r="V19"/>
    </row>
    <row r="20" spans="2:22" x14ac:dyDescent="0.25">
      <c r="B20" s="53" t="s">
        <v>246</v>
      </c>
      <c r="C20" s="134">
        <v>5</v>
      </c>
      <c r="D20" s="134">
        <v>5</v>
      </c>
      <c r="E20" s="125">
        <f t="shared" si="0"/>
        <v>1</v>
      </c>
      <c r="F20" s="134">
        <v>13</v>
      </c>
      <c r="G20" s="134">
        <v>3</v>
      </c>
      <c r="H20" s="125">
        <f t="shared" si="1"/>
        <v>0.23076923076923078</v>
      </c>
      <c r="I20" s="134">
        <v>6</v>
      </c>
      <c r="J20" s="134">
        <v>4</v>
      </c>
      <c r="K20" s="125">
        <f t="shared" si="2"/>
        <v>0.66666666666666663</v>
      </c>
      <c r="L20" s="134">
        <v>25</v>
      </c>
      <c r="M20" s="134">
        <v>24</v>
      </c>
      <c r="N20" s="125">
        <f>IFERROR(M20/L20,"-")</f>
        <v>0.96</v>
      </c>
      <c r="O20"/>
      <c r="P20"/>
      <c r="Q20"/>
      <c r="R20"/>
      <c r="S20"/>
      <c r="T20"/>
      <c r="U20"/>
      <c r="V20"/>
    </row>
    <row r="21" spans="2:22" x14ac:dyDescent="0.25">
      <c r="B21" s="53" t="s">
        <v>247</v>
      </c>
      <c r="C21" s="134">
        <v>114</v>
      </c>
      <c r="D21" s="134">
        <v>97</v>
      </c>
      <c r="E21" s="125">
        <f t="shared" si="0"/>
        <v>0.85087719298245612</v>
      </c>
      <c r="F21" s="134">
        <v>86</v>
      </c>
      <c r="G21" s="134">
        <v>58</v>
      </c>
      <c r="H21" s="125">
        <f t="shared" ref="H21:H24" si="4">IFERROR(G21/F21,"-")</f>
        <v>0.67441860465116277</v>
      </c>
      <c r="I21" s="134">
        <v>147</v>
      </c>
      <c r="J21" s="134">
        <v>129</v>
      </c>
      <c r="K21" s="125">
        <f t="shared" ref="K21:K24" si="5">IFERROR(J21/I21,"-")</f>
        <v>0.87755102040816324</v>
      </c>
      <c r="L21" s="134">
        <v>710</v>
      </c>
      <c r="M21" s="134">
        <v>629</v>
      </c>
      <c r="N21" s="125">
        <f t="shared" si="3"/>
        <v>0.88591549295774652</v>
      </c>
      <c r="O21"/>
      <c r="P21"/>
      <c r="Q21"/>
      <c r="R21"/>
      <c r="S21"/>
      <c r="T21"/>
      <c r="U21"/>
      <c r="V21"/>
    </row>
    <row r="22" spans="2:22" x14ac:dyDescent="0.25">
      <c r="B22" s="53" t="s">
        <v>248</v>
      </c>
      <c r="C22" s="134"/>
      <c r="D22" s="134"/>
      <c r="E22" s="125"/>
      <c r="F22" s="134"/>
      <c r="G22" s="134"/>
      <c r="H22" s="125"/>
      <c r="I22" s="134"/>
      <c r="J22" s="134"/>
      <c r="K22" s="125"/>
      <c r="L22" s="134">
        <v>170</v>
      </c>
      <c r="M22" s="134">
        <v>166</v>
      </c>
      <c r="N22" s="125">
        <f t="shared" si="3"/>
        <v>0.97647058823529409</v>
      </c>
      <c r="O22"/>
      <c r="P22"/>
      <c r="Q22"/>
      <c r="R22"/>
      <c r="S22"/>
      <c r="T22"/>
      <c r="U22"/>
      <c r="V22"/>
    </row>
    <row r="23" spans="2:22" x14ac:dyDescent="0.25">
      <c r="B23" s="53" t="s">
        <v>249</v>
      </c>
      <c r="C23" s="134">
        <v>54</v>
      </c>
      <c r="D23" s="134">
        <v>52</v>
      </c>
      <c r="E23" s="125">
        <f t="shared" si="0"/>
        <v>0.96296296296296291</v>
      </c>
      <c r="F23" s="134">
        <v>80</v>
      </c>
      <c r="G23" s="134">
        <v>53</v>
      </c>
      <c r="H23" s="125">
        <f t="shared" si="4"/>
        <v>0.66249999999999998</v>
      </c>
      <c r="I23" s="134">
        <v>98</v>
      </c>
      <c r="J23" s="134">
        <v>96</v>
      </c>
      <c r="K23" s="125">
        <f t="shared" si="5"/>
        <v>0.97959183673469385</v>
      </c>
      <c r="L23" s="134">
        <v>4</v>
      </c>
      <c r="M23" s="134">
        <v>4</v>
      </c>
      <c r="N23" s="125">
        <f t="shared" ref="N23" si="6">IFERROR(M23/L23,"-")</f>
        <v>1</v>
      </c>
      <c r="O23"/>
      <c r="P23"/>
      <c r="Q23"/>
      <c r="R23"/>
      <c r="S23"/>
      <c r="T23"/>
      <c r="U23"/>
      <c r="V23"/>
    </row>
    <row r="24" spans="2:22" x14ac:dyDescent="0.25">
      <c r="B24" s="46" t="s">
        <v>250</v>
      </c>
      <c r="C24" s="8">
        <f>SUM(C11:C23)</f>
        <v>6208</v>
      </c>
      <c r="D24" s="8">
        <f>SUM(D11:D23)</f>
        <v>6080</v>
      </c>
      <c r="E24" s="8">
        <f t="shared" si="0"/>
        <v>0.97938144329896903</v>
      </c>
      <c r="F24" s="8">
        <f>SUM(F11:F23)</f>
        <v>6305</v>
      </c>
      <c r="G24" s="8">
        <f>SUM(G11:G23)</f>
        <v>6050</v>
      </c>
      <c r="H24" s="8">
        <f t="shared" si="4"/>
        <v>0.95955590800951629</v>
      </c>
      <c r="I24" s="8">
        <f>SUM(I11:I23)</f>
        <v>6767</v>
      </c>
      <c r="J24" s="8">
        <f>SUM(J11:J23)</f>
        <v>6632</v>
      </c>
      <c r="K24" s="8">
        <f t="shared" si="5"/>
        <v>0.98005024383035322</v>
      </c>
      <c r="L24" s="8">
        <f>SUM(L11:L23)</f>
        <v>21830</v>
      </c>
      <c r="M24" s="8">
        <f>SUM(M11:M23)</f>
        <v>21316</v>
      </c>
      <c r="N24" s="91">
        <f>+M24/L24</f>
        <v>0.97645442052221709</v>
      </c>
      <c r="O24"/>
      <c r="P24"/>
      <c r="Q24"/>
      <c r="R24"/>
      <c r="S24"/>
      <c r="T24"/>
      <c r="U24"/>
      <c r="V24"/>
    </row>
    <row r="25" spans="2:22" ht="3.75" customHeight="1" x14ac:dyDescent="0.25">
      <c r="B25" s="142"/>
      <c r="C25"/>
      <c r="D25"/>
      <c r="E25"/>
      <c r="F25"/>
      <c r="G25"/>
      <c r="H25"/>
      <c r="I25"/>
      <c r="J25"/>
      <c r="K25"/>
      <c r="L25"/>
      <c r="M25"/>
      <c r="N25"/>
      <c r="O25"/>
      <c r="P25"/>
      <c r="Q25"/>
      <c r="R25"/>
      <c r="S25"/>
      <c r="T25"/>
      <c r="U25"/>
      <c r="V25"/>
    </row>
    <row r="26" spans="2:22" x14ac:dyDescent="0.25">
      <c r="B26" s="142" t="s">
        <v>251</v>
      </c>
      <c r="C26"/>
      <c r="D26"/>
      <c r="E26"/>
      <c r="F26"/>
      <c r="G26"/>
      <c r="H26"/>
      <c r="I26"/>
      <c r="J26"/>
      <c r="K26"/>
      <c r="L26"/>
      <c r="M26"/>
      <c r="N26"/>
      <c r="O26"/>
      <c r="P26"/>
      <c r="Q26"/>
      <c r="R26"/>
      <c r="S26"/>
      <c r="T26"/>
      <c r="U26"/>
      <c r="V26"/>
    </row>
    <row r="27" spans="2:22" x14ac:dyDescent="0.25">
      <c r="B27"/>
      <c r="C27"/>
      <c r="D27"/>
      <c r="E27"/>
      <c r="F27"/>
      <c r="G27"/>
      <c r="H27"/>
      <c r="I27"/>
      <c r="J27"/>
      <c r="K27"/>
      <c r="L27"/>
      <c r="M27"/>
      <c r="N27"/>
      <c r="O27"/>
      <c r="P27"/>
      <c r="Q27"/>
      <c r="R27"/>
      <c r="S27"/>
      <c r="T27"/>
      <c r="U27"/>
      <c r="V27"/>
    </row>
    <row r="28" spans="2:22" x14ac:dyDescent="0.25">
      <c r="B28"/>
      <c r="C28"/>
      <c r="D28"/>
      <c r="E28"/>
      <c r="F28"/>
      <c r="G28"/>
      <c r="H28"/>
      <c r="I28"/>
      <c r="J28"/>
      <c r="K28"/>
      <c r="L28"/>
      <c r="M28"/>
      <c r="N28"/>
      <c r="O28"/>
      <c r="P28"/>
      <c r="Q28"/>
      <c r="R28"/>
      <c r="S28"/>
      <c r="T28"/>
      <c r="U28"/>
      <c r="V28"/>
    </row>
    <row r="29" spans="2:22" x14ac:dyDescent="0.25">
      <c r="B29"/>
      <c r="C29"/>
      <c r="D29"/>
      <c r="E29"/>
      <c r="F29"/>
      <c r="G29"/>
      <c r="H29"/>
      <c r="I29"/>
      <c r="J29"/>
      <c r="K29"/>
      <c r="L29"/>
      <c r="M29"/>
      <c r="N29"/>
      <c r="O29"/>
      <c r="P29"/>
      <c r="Q29"/>
      <c r="R29"/>
      <c r="S29"/>
      <c r="T29"/>
      <c r="U29"/>
      <c r="V29"/>
    </row>
    <row r="30" spans="2:22" ht="15.75" x14ac:dyDescent="0.25">
      <c r="B30" s="387" t="s">
        <v>282</v>
      </c>
      <c r="C30" s="387"/>
      <c r="D30" s="387"/>
      <c r="E30" s="387"/>
      <c r="F30" s="387"/>
      <c r="G30" s="387"/>
      <c r="H30" s="387"/>
      <c r="I30" s="387"/>
      <c r="J30" s="387"/>
      <c r="K30" s="387"/>
      <c r="L30" s="387"/>
      <c r="M30" s="312"/>
      <c r="N30" s="312"/>
      <c r="O30"/>
      <c r="P30"/>
      <c r="Q30"/>
      <c r="R30"/>
      <c r="S30"/>
      <c r="T30"/>
      <c r="U30"/>
      <c r="V30"/>
    </row>
    <row r="31" spans="2:22" x14ac:dyDescent="0.25">
      <c r="B31" s="186"/>
      <c r="C31" s="368" t="s">
        <v>34</v>
      </c>
      <c r="D31" s="368"/>
      <c r="E31" s="368"/>
      <c r="F31" s="368" t="s">
        <v>20</v>
      </c>
      <c r="G31" s="368"/>
      <c r="H31" s="368"/>
      <c r="I31" s="368" t="s">
        <v>21</v>
      </c>
      <c r="J31" s="368"/>
      <c r="K31" s="368"/>
      <c r="L31" s="311" t="s">
        <v>22</v>
      </c>
      <c r="M31"/>
      <c r="N31"/>
      <c r="O31"/>
      <c r="P31"/>
      <c r="Q31"/>
      <c r="R31"/>
      <c r="S31"/>
      <c r="T31"/>
      <c r="U31"/>
      <c r="V31"/>
    </row>
    <row r="32" spans="2:22" x14ac:dyDescent="0.25">
      <c r="B32" s="54" t="s">
        <v>290</v>
      </c>
      <c r="C32" s="54" t="s">
        <v>234</v>
      </c>
      <c r="D32" s="54" t="s">
        <v>235</v>
      </c>
      <c r="E32" s="54" t="s">
        <v>52</v>
      </c>
      <c r="F32" s="54" t="s">
        <v>234</v>
      </c>
      <c r="G32" s="54" t="s">
        <v>235</v>
      </c>
      <c r="H32" s="54" t="s">
        <v>236</v>
      </c>
      <c r="I32" s="54" t="s">
        <v>234</v>
      </c>
      <c r="J32" s="54" t="s">
        <v>235</v>
      </c>
      <c r="K32" s="54" t="s">
        <v>236</v>
      </c>
      <c r="L32" s="54" t="s">
        <v>252</v>
      </c>
      <c r="M32"/>
      <c r="N32"/>
      <c r="O32"/>
      <c r="P32"/>
      <c r="Q32"/>
      <c r="R32"/>
      <c r="S32"/>
      <c r="T32"/>
      <c r="U32"/>
      <c r="V32"/>
    </row>
    <row r="33" spans="2:22" x14ac:dyDescent="0.25">
      <c r="B33" s="53" t="s">
        <v>253</v>
      </c>
      <c r="C33" s="134">
        <v>16</v>
      </c>
      <c r="D33" s="134">
        <v>7</v>
      </c>
      <c r="E33" s="236">
        <f>IFERROR(D33/C33,"-")</f>
        <v>0.4375</v>
      </c>
      <c r="F33" s="134">
        <v>11</v>
      </c>
      <c r="G33" s="134">
        <v>8</v>
      </c>
      <c r="H33" s="236">
        <f t="shared" ref="H33:H47" si="7">IFERROR(G33/F33,"-")</f>
        <v>0.72727272727272729</v>
      </c>
      <c r="I33" s="134">
        <v>14</v>
      </c>
      <c r="J33" s="134">
        <v>4</v>
      </c>
      <c r="K33" s="236">
        <f t="shared" ref="K33:K47" si="8">IFERROR(J33/I33,"-")</f>
        <v>0.2857142857142857</v>
      </c>
      <c r="L33" s="134">
        <v>94</v>
      </c>
      <c r="M33"/>
      <c r="N33"/>
      <c r="O33"/>
      <c r="P33"/>
      <c r="Q33"/>
      <c r="R33"/>
      <c r="S33"/>
      <c r="T33"/>
      <c r="U33"/>
      <c r="V33"/>
    </row>
    <row r="34" spans="2:22" x14ac:dyDescent="0.25">
      <c r="B34" s="53" t="s">
        <v>254</v>
      </c>
      <c r="C34" s="134">
        <v>15</v>
      </c>
      <c r="D34" s="134">
        <v>3</v>
      </c>
      <c r="E34" s="236">
        <f t="shared" ref="E34:E46" si="9">IFERROR(D34/C34,"-")</f>
        <v>0.2</v>
      </c>
      <c r="F34" s="134">
        <v>6</v>
      </c>
      <c r="G34" s="134">
        <v>0</v>
      </c>
      <c r="H34" s="236">
        <f t="shared" si="7"/>
        <v>0</v>
      </c>
      <c r="I34" s="134">
        <v>23</v>
      </c>
      <c r="J34" s="134">
        <v>2</v>
      </c>
      <c r="K34" s="236">
        <f t="shared" si="8"/>
        <v>8.6956521739130432E-2</v>
      </c>
      <c r="L34" s="134">
        <v>472</v>
      </c>
      <c r="M34"/>
      <c r="N34"/>
      <c r="O34"/>
      <c r="P34"/>
      <c r="Q34"/>
      <c r="R34"/>
      <c r="S34"/>
      <c r="T34"/>
      <c r="U34"/>
      <c r="V34"/>
    </row>
    <row r="35" spans="2:22" x14ac:dyDescent="0.25">
      <c r="B35" s="53" t="s">
        <v>255</v>
      </c>
      <c r="C35" s="134">
        <v>106</v>
      </c>
      <c r="D35" s="134">
        <v>38</v>
      </c>
      <c r="E35" s="236">
        <f t="shared" si="9"/>
        <v>0.35849056603773582</v>
      </c>
      <c r="F35" s="134">
        <v>130</v>
      </c>
      <c r="G35" s="134">
        <v>30</v>
      </c>
      <c r="H35" s="236">
        <f t="shared" si="7"/>
        <v>0.23076923076923078</v>
      </c>
      <c r="I35" s="134">
        <v>228</v>
      </c>
      <c r="J35" s="134">
        <v>34</v>
      </c>
      <c r="K35" s="236">
        <f t="shared" si="8"/>
        <v>0.14912280701754385</v>
      </c>
      <c r="L35" s="134">
        <v>5</v>
      </c>
      <c r="M35"/>
      <c r="N35"/>
      <c r="O35"/>
      <c r="P35"/>
      <c r="Q35"/>
      <c r="R35"/>
      <c r="S35"/>
      <c r="T35"/>
      <c r="U35"/>
      <c r="V35"/>
    </row>
    <row r="36" spans="2:22" x14ac:dyDescent="0.25">
      <c r="B36" s="53" t="s">
        <v>256</v>
      </c>
      <c r="C36" s="134"/>
      <c r="D36" s="134"/>
      <c r="E36" s="236"/>
      <c r="F36" s="134"/>
      <c r="G36" s="134"/>
      <c r="H36" s="236"/>
      <c r="I36" s="134"/>
      <c r="J36" s="134"/>
      <c r="K36" s="236"/>
      <c r="L36" s="134">
        <v>18</v>
      </c>
      <c r="M36"/>
      <c r="N36"/>
      <c r="O36"/>
      <c r="P36"/>
      <c r="Q36"/>
      <c r="R36"/>
      <c r="S36"/>
      <c r="T36"/>
      <c r="U36"/>
      <c r="V36"/>
    </row>
    <row r="37" spans="2:22" x14ac:dyDescent="0.25">
      <c r="B37" s="53" t="s">
        <v>257</v>
      </c>
      <c r="C37" s="134"/>
      <c r="D37" s="134"/>
      <c r="E37" s="236"/>
      <c r="F37" s="134"/>
      <c r="G37" s="134"/>
      <c r="H37" s="236"/>
      <c r="I37" s="134"/>
      <c r="J37" s="134"/>
      <c r="K37" s="236"/>
      <c r="L37" s="134">
        <v>2</v>
      </c>
      <c r="M37"/>
      <c r="N37"/>
      <c r="O37"/>
      <c r="P37"/>
      <c r="Q37"/>
      <c r="R37"/>
      <c r="S37"/>
      <c r="T37"/>
      <c r="U37"/>
      <c r="V37"/>
    </row>
    <row r="38" spans="2:22" x14ac:dyDescent="0.25">
      <c r="B38" s="53" t="s">
        <v>258</v>
      </c>
      <c r="C38" s="134"/>
      <c r="D38" s="134"/>
      <c r="E38" s="236"/>
      <c r="F38" s="134"/>
      <c r="G38" s="134"/>
      <c r="H38" s="236"/>
      <c r="I38" s="134"/>
      <c r="J38" s="134"/>
      <c r="K38" s="236"/>
      <c r="L38" s="134">
        <v>125</v>
      </c>
      <c r="M38"/>
      <c r="N38"/>
      <c r="O38"/>
      <c r="P38"/>
      <c r="Q38"/>
      <c r="R38"/>
      <c r="S38"/>
      <c r="T38"/>
      <c r="U38"/>
      <c r="V38"/>
    </row>
    <row r="39" spans="2:22" x14ac:dyDescent="0.25">
      <c r="B39" s="53" t="s">
        <v>259</v>
      </c>
      <c r="C39" s="134"/>
      <c r="D39" s="134"/>
      <c r="E39" s="236"/>
      <c r="F39" s="134"/>
      <c r="G39" s="134"/>
      <c r="H39" s="236"/>
      <c r="I39" s="134"/>
      <c r="J39" s="134"/>
      <c r="K39" s="236"/>
      <c r="L39" s="134">
        <v>30</v>
      </c>
      <c r="M39"/>
      <c r="N39"/>
      <c r="O39"/>
      <c r="P39"/>
      <c r="Q39"/>
      <c r="R39"/>
      <c r="S39"/>
      <c r="T39"/>
      <c r="U39"/>
      <c r="V39"/>
    </row>
    <row r="40" spans="2:22" x14ac:dyDescent="0.25">
      <c r="B40" s="53" t="s">
        <v>260</v>
      </c>
      <c r="C40" s="134">
        <v>0</v>
      </c>
      <c r="D40" s="134">
        <v>0</v>
      </c>
      <c r="E40" s="236" t="str">
        <f t="shared" si="9"/>
        <v>-</v>
      </c>
      <c r="F40" s="134">
        <v>0</v>
      </c>
      <c r="G40" s="134">
        <v>0</v>
      </c>
      <c r="H40" s="236" t="str">
        <f t="shared" si="7"/>
        <v>-</v>
      </c>
      <c r="I40" s="134">
        <v>0</v>
      </c>
      <c r="J40" s="134">
        <v>0</v>
      </c>
      <c r="K40" s="236" t="str">
        <f t="shared" si="8"/>
        <v>-</v>
      </c>
      <c r="L40" s="134">
        <v>26</v>
      </c>
      <c r="M40"/>
      <c r="N40"/>
      <c r="O40"/>
      <c r="P40"/>
      <c r="Q40"/>
      <c r="R40"/>
      <c r="S40"/>
      <c r="T40"/>
      <c r="U40"/>
      <c r="V40"/>
    </row>
    <row r="41" spans="2:22" x14ac:dyDescent="0.25">
      <c r="B41" s="53" t="s">
        <v>261</v>
      </c>
      <c r="C41" s="134">
        <v>113</v>
      </c>
      <c r="D41" s="134">
        <v>58</v>
      </c>
      <c r="E41" s="236">
        <f t="shared" si="9"/>
        <v>0.51327433628318586</v>
      </c>
      <c r="F41" s="134">
        <v>76</v>
      </c>
      <c r="G41" s="134">
        <v>40</v>
      </c>
      <c r="H41" s="236">
        <f t="shared" si="7"/>
        <v>0.52631578947368418</v>
      </c>
      <c r="I41" s="134">
        <v>157</v>
      </c>
      <c r="J41" s="134">
        <v>38</v>
      </c>
      <c r="K41" s="236">
        <f t="shared" si="8"/>
        <v>0.24203821656050956</v>
      </c>
      <c r="L41" s="134">
        <v>84</v>
      </c>
      <c r="M41"/>
      <c r="N41"/>
      <c r="O41"/>
      <c r="P41"/>
      <c r="Q41"/>
      <c r="R41"/>
      <c r="S41"/>
      <c r="T41"/>
      <c r="U41"/>
      <c r="V41"/>
    </row>
    <row r="42" spans="2:22" x14ac:dyDescent="0.25">
      <c r="B42" s="53" t="s">
        <v>262</v>
      </c>
      <c r="C42" s="134">
        <v>67</v>
      </c>
      <c r="D42" s="134">
        <v>26</v>
      </c>
      <c r="E42" s="236">
        <f t="shared" si="9"/>
        <v>0.38805970149253732</v>
      </c>
      <c r="F42" s="134">
        <v>55</v>
      </c>
      <c r="G42" s="134">
        <v>2</v>
      </c>
      <c r="H42" s="236">
        <f t="shared" si="7"/>
        <v>3.6363636363636362E-2</v>
      </c>
      <c r="I42" s="134">
        <v>123</v>
      </c>
      <c r="J42" s="134">
        <v>9</v>
      </c>
      <c r="K42" s="236">
        <f t="shared" si="8"/>
        <v>7.3170731707317069E-2</v>
      </c>
      <c r="L42" s="134">
        <v>687</v>
      </c>
      <c r="M42"/>
      <c r="N42"/>
      <c r="O42"/>
      <c r="P42"/>
      <c r="Q42"/>
      <c r="R42"/>
      <c r="S42"/>
      <c r="T42"/>
      <c r="U42"/>
      <c r="V42"/>
    </row>
    <row r="43" spans="2:22" x14ac:dyDescent="0.25">
      <c r="B43" s="53" t="s">
        <v>263</v>
      </c>
      <c r="C43" s="134">
        <v>3</v>
      </c>
      <c r="D43" s="134">
        <v>2</v>
      </c>
      <c r="E43" s="236">
        <f t="shared" si="9"/>
        <v>0.66666666666666663</v>
      </c>
      <c r="F43" s="134">
        <v>5</v>
      </c>
      <c r="G43" s="134">
        <v>1</v>
      </c>
      <c r="H43" s="236">
        <f t="shared" si="7"/>
        <v>0.2</v>
      </c>
      <c r="I43" s="134">
        <v>4</v>
      </c>
      <c r="J43" s="134">
        <v>1</v>
      </c>
      <c r="K43" s="236">
        <f t="shared" si="8"/>
        <v>0.25</v>
      </c>
      <c r="L43" s="134">
        <v>23</v>
      </c>
      <c r="M43"/>
      <c r="N43"/>
      <c r="O43"/>
      <c r="P43"/>
      <c r="Q43"/>
      <c r="R43"/>
      <c r="S43"/>
      <c r="T43"/>
      <c r="U43"/>
      <c r="V43"/>
    </row>
    <row r="44" spans="2:22" x14ac:dyDescent="0.25">
      <c r="B44" s="53" t="s">
        <v>243</v>
      </c>
      <c r="C44" s="134">
        <v>65</v>
      </c>
      <c r="D44" s="134">
        <v>12</v>
      </c>
      <c r="E44" s="236">
        <f t="shared" si="9"/>
        <v>0.18461538461538463</v>
      </c>
      <c r="F44" s="134">
        <v>51</v>
      </c>
      <c r="G44" s="134">
        <v>10</v>
      </c>
      <c r="H44" s="236">
        <f t="shared" si="7"/>
        <v>0.19607843137254902</v>
      </c>
      <c r="I44" s="134">
        <v>55</v>
      </c>
      <c r="J44" s="134">
        <v>5</v>
      </c>
      <c r="K44" s="236">
        <f t="shared" si="8"/>
        <v>9.0909090909090912E-2</v>
      </c>
      <c r="L44" s="134">
        <v>6097</v>
      </c>
      <c r="M44"/>
      <c r="N44"/>
      <c r="O44"/>
      <c r="P44"/>
      <c r="Q44"/>
      <c r="R44"/>
      <c r="S44"/>
      <c r="T44"/>
      <c r="U44"/>
      <c r="V44"/>
    </row>
    <row r="45" spans="2:22" x14ac:dyDescent="0.25">
      <c r="B45" s="53" t="s">
        <v>264</v>
      </c>
      <c r="C45" s="134">
        <v>1709</v>
      </c>
      <c r="D45" s="134">
        <v>518</v>
      </c>
      <c r="E45" s="236">
        <f t="shared" si="9"/>
        <v>0.30310122878876539</v>
      </c>
      <c r="F45" s="134">
        <v>3485</v>
      </c>
      <c r="G45" s="134">
        <v>964</v>
      </c>
      <c r="H45" s="236">
        <f t="shared" si="7"/>
        <v>0.27661406025824964</v>
      </c>
      <c r="I45" s="134">
        <v>3858</v>
      </c>
      <c r="J45" s="134">
        <v>229</v>
      </c>
      <c r="K45" s="236">
        <f t="shared" si="8"/>
        <v>5.9357179885951267E-2</v>
      </c>
      <c r="L45" s="134">
        <v>77</v>
      </c>
      <c r="M45"/>
      <c r="N45"/>
      <c r="O45"/>
      <c r="P45"/>
      <c r="Q45"/>
      <c r="R45"/>
      <c r="S45"/>
      <c r="T45"/>
      <c r="U45"/>
      <c r="V45"/>
    </row>
    <row r="46" spans="2:22" x14ac:dyDescent="0.25">
      <c r="B46" s="53" t="s">
        <v>265</v>
      </c>
      <c r="C46" s="134">
        <v>35</v>
      </c>
      <c r="D46" s="134">
        <v>21</v>
      </c>
      <c r="E46" s="236">
        <f t="shared" si="9"/>
        <v>0.6</v>
      </c>
      <c r="F46" s="134">
        <v>28</v>
      </c>
      <c r="G46" s="134">
        <v>21</v>
      </c>
      <c r="H46" s="236">
        <f t="shared" si="7"/>
        <v>0.75</v>
      </c>
      <c r="I46" s="134">
        <v>63</v>
      </c>
      <c r="J46" s="134">
        <v>14</v>
      </c>
      <c r="K46" s="236">
        <f t="shared" si="8"/>
        <v>0.22222222222222221</v>
      </c>
      <c r="L46" s="134">
        <v>409</v>
      </c>
      <c r="M46"/>
      <c r="N46"/>
      <c r="O46"/>
      <c r="P46"/>
      <c r="Q46"/>
      <c r="R46"/>
      <c r="S46"/>
      <c r="T46"/>
      <c r="U46"/>
      <c r="V46"/>
    </row>
    <row r="47" spans="2:22" x14ac:dyDescent="0.25">
      <c r="B47" s="46" t="s">
        <v>250</v>
      </c>
      <c r="C47" s="8">
        <f>SUM(C33:C46)</f>
        <v>2129</v>
      </c>
      <c r="D47" s="8">
        <f>SUM(D33:D46)</f>
        <v>685</v>
      </c>
      <c r="E47" s="8">
        <f>IFERROR(D47/C47,"-")</f>
        <v>0.32174729920150308</v>
      </c>
      <c r="F47" s="8">
        <f>SUM(F33:F46)</f>
        <v>3847</v>
      </c>
      <c r="G47" s="8">
        <f>SUM(G33:G46)</f>
        <v>1076</v>
      </c>
      <c r="H47" s="8">
        <f t="shared" si="7"/>
        <v>0.27969846633740575</v>
      </c>
      <c r="I47" s="8">
        <f>SUM(I33:I46)</f>
        <v>4525</v>
      </c>
      <c r="J47" s="8">
        <f>SUM(J33:J46)</f>
        <v>336</v>
      </c>
      <c r="K47" s="8">
        <f t="shared" si="8"/>
        <v>7.4254143646408838E-2</v>
      </c>
      <c r="L47" s="8">
        <f>SUM(L33:L46)</f>
        <v>8149</v>
      </c>
      <c r="M47"/>
      <c r="N47"/>
      <c r="O47"/>
      <c r="P47"/>
      <c r="Q47"/>
      <c r="R47"/>
      <c r="S47"/>
      <c r="T47"/>
      <c r="U47"/>
      <c r="V47"/>
    </row>
    <row r="48" spans="2:22" x14ac:dyDescent="0.25">
      <c r="B48" s="142" t="s">
        <v>266</v>
      </c>
      <c r="C48"/>
      <c r="D48"/>
      <c r="E48"/>
      <c r="F48"/>
      <c r="G48"/>
      <c r="H48"/>
      <c r="I48"/>
      <c r="J48"/>
      <c r="K48"/>
      <c r="L48"/>
      <c r="M48"/>
      <c r="N48"/>
      <c r="O48"/>
      <c r="P48"/>
      <c r="Q48"/>
      <c r="R48"/>
      <c r="S48"/>
      <c r="T48"/>
      <c r="U48"/>
      <c r="V48"/>
    </row>
    <row r="49" spans="2:22" x14ac:dyDescent="0.25">
      <c r="B49" s="142"/>
      <c r="C49"/>
      <c r="D49"/>
      <c r="E49"/>
      <c r="F49"/>
      <c r="G49"/>
      <c r="H49"/>
      <c r="I49"/>
      <c r="J49"/>
      <c r="K49"/>
      <c r="L49"/>
      <c r="M49"/>
      <c r="N49"/>
      <c r="O49"/>
      <c r="P49"/>
      <c r="Q49"/>
      <c r="R49"/>
      <c r="S49"/>
      <c r="T49"/>
      <c r="U49"/>
      <c r="V49"/>
    </row>
    <row r="50" spans="2:22" x14ac:dyDescent="0.25">
      <c r="B50"/>
      <c r="C50"/>
      <c r="D50"/>
      <c r="E50"/>
      <c r="F50"/>
      <c r="G50"/>
      <c r="H50"/>
      <c r="I50"/>
      <c r="J50"/>
      <c r="K50"/>
      <c r="L50"/>
      <c r="M50"/>
      <c r="N50"/>
      <c r="O50"/>
      <c r="P50"/>
      <c r="Q50"/>
      <c r="R50"/>
      <c r="S50"/>
      <c r="T50"/>
      <c r="U50"/>
      <c r="V50"/>
    </row>
    <row r="51" spans="2:22" x14ac:dyDescent="0.25">
      <c r="B51"/>
      <c r="C51"/>
      <c r="D51"/>
      <c r="E51"/>
      <c r="F51"/>
      <c r="G51"/>
      <c r="H51"/>
      <c r="I51"/>
      <c r="J51"/>
      <c r="K51"/>
      <c r="L51"/>
      <c r="M51"/>
      <c r="N51"/>
      <c r="O51"/>
      <c r="P51"/>
      <c r="Q51"/>
      <c r="R51"/>
      <c r="S51"/>
      <c r="T51"/>
      <c r="U51"/>
      <c r="V51"/>
    </row>
    <row r="52" spans="2:22" x14ac:dyDescent="0.25">
      <c r="B52"/>
      <c r="C52"/>
      <c r="D52"/>
      <c r="E52"/>
      <c r="F52"/>
      <c r="G52"/>
      <c r="H52"/>
      <c r="I52"/>
      <c r="J52"/>
      <c r="K52"/>
      <c r="L52"/>
      <c r="M52"/>
      <c r="N52"/>
      <c r="O52"/>
      <c r="P52"/>
      <c r="Q52"/>
      <c r="R52"/>
      <c r="S52"/>
      <c r="T52"/>
      <c r="U52"/>
      <c r="V52"/>
    </row>
    <row r="53" spans="2:22" x14ac:dyDescent="0.25">
      <c r="O53"/>
      <c r="P53"/>
      <c r="Q53"/>
      <c r="R53"/>
      <c r="S53"/>
      <c r="T53"/>
      <c r="U53"/>
      <c r="V53"/>
    </row>
    <row r="54" spans="2:22" x14ac:dyDescent="0.25">
      <c r="O54"/>
      <c r="P54"/>
      <c r="Q54"/>
      <c r="R54"/>
      <c r="S54"/>
      <c r="T54"/>
      <c r="U54"/>
      <c r="V54"/>
    </row>
    <row r="55" spans="2:22" x14ac:dyDescent="0.25">
      <c r="O55"/>
      <c r="P55"/>
      <c r="Q55"/>
      <c r="R55"/>
      <c r="S55"/>
      <c r="T55"/>
      <c r="U55"/>
      <c r="V55"/>
    </row>
    <row r="56" spans="2:22" x14ac:dyDescent="0.25">
      <c r="O56"/>
      <c r="P56"/>
      <c r="Q56"/>
      <c r="R56"/>
      <c r="S56"/>
      <c r="T56"/>
      <c r="U56"/>
      <c r="V56"/>
    </row>
    <row r="57" spans="2:22" x14ac:dyDescent="0.25">
      <c r="O57"/>
      <c r="P57"/>
      <c r="Q57"/>
      <c r="R57"/>
      <c r="S57"/>
      <c r="T57"/>
      <c r="U57"/>
      <c r="V57"/>
    </row>
    <row r="58" spans="2:22" x14ac:dyDescent="0.25">
      <c r="O58"/>
      <c r="P58"/>
      <c r="Q58"/>
      <c r="R58"/>
      <c r="S58"/>
      <c r="T58"/>
      <c r="U58"/>
      <c r="V58"/>
    </row>
    <row r="62" spans="2:22" ht="15.75" x14ac:dyDescent="0.25">
      <c r="B62" s="387" t="s">
        <v>267</v>
      </c>
      <c r="C62" s="387"/>
      <c r="D62" s="387"/>
      <c r="E62" s="387"/>
      <c r="F62" s="387"/>
      <c r="G62" s="387"/>
      <c r="H62" s="387"/>
      <c r="I62" s="387"/>
      <c r="J62" s="387"/>
      <c r="K62" s="387"/>
      <c r="L62" s="387"/>
      <c r="M62" s="387"/>
    </row>
    <row r="63" spans="2:22" x14ac:dyDescent="0.25">
      <c r="B63" s="181" t="s">
        <v>22</v>
      </c>
      <c r="C63" s="181"/>
      <c r="D63" s="181"/>
      <c r="E63" s="181"/>
      <c r="F63" s="181"/>
      <c r="G63" s="181"/>
      <c r="H63" s="181"/>
      <c r="I63" s="181"/>
      <c r="J63" s="181"/>
      <c r="K63" s="181"/>
      <c r="L63" s="181"/>
      <c r="M63" s="181"/>
    </row>
    <row r="64" spans="2:22" x14ac:dyDescent="0.25">
      <c r="B64" s="54" t="s">
        <v>233</v>
      </c>
      <c r="C64" s="54" t="s">
        <v>234</v>
      </c>
      <c r="D64" s="54" t="s">
        <v>235</v>
      </c>
      <c r="E64" s="54" t="s">
        <v>52</v>
      </c>
      <c r="F64" s="54" t="s">
        <v>234</v>
      </c>
      <c r="G64" s="54" t="s">
        <v>235</v>
      </c>
      <c r="H64" s="54" t="s">
        <v>236</v>
      </c>
      <c r="I64" s="54" t="s">
        <v>234</v>
      </c>
      <c r="J64" s="54" t="s">
        <v>235</v>
      </c>
      <c r="K64" s="54" t="s">
        <v>236</v>
      </c>
      <c r="L64" s="54" t="s">
        <v>234</v>
      </c>
      <c r="M64" s="54" t="s">
        <v>268</v>
      </c>
    </row>
    <row r="65" spans="2:13" x14ac:dyDescent="0.25">
      <c r="B65" s="53" t="s">
        <v>269</v>
      </c>
      <c r="C65" s="134">
        <v>16</v>
      </c>
      <c r="D65" s="134">
        <v>7</v>
      </c>
      <c r="E65" s="236">
        <f>IFERROR(D65/C65,"-")</f>
        <v>0.4375</v>
      </c>
      <c r="F65" s="134">
        <v>11</v>
      </c>
      <c r="G65" s="134">
        <v>8</v>
      </c>
      <c r="H65" s="236">
        <f t="shared" ref="H65:H69" si="10">IFERROR(G65/F65,"-")</f>
        <v>0.72727272727272729</v>
      </c>
      <c r="I65" s="134">
        <v>14</v>
      </c>
      <c r="J65" s="134">
        <v>4</v>
      </c>
      <c r="K65" s="236">
        <f t="shared" ref="K65:K69" si="11">IFERROR(J65/I65,"-")</f>
        <v>0.2857142857142857</v>
      </c>
      <c r="L65" s="134">
        <v>37</v>
      </c>
      <c r="M65" s="134">
        <v>34</v>
      </c>
    </row>
    <row r="66" spans="2:13" x14ac:dyDescent="0.25">
      <c r="B66" s="53" t="s">
        <v>270</v>
      </c>
      <c r="C66" s="134">
        <v>15</v>
      </c>
      <c r="D66" s="134">
        <v>3</v>
      </c>
      <c r="E66" s="236">
        <f t="shared" ref="E66:E68" si="12">IFERROR(D66/C66,"-")</f>
        <v>0.2</v>
      </c>
      <c r="F66" s="134">
        <v>6</v>
      </c>
      <c r="G66" s="134">
        <v>0</v>
      </c>
      <c r="H66" s="236">
        <f t="shared" si="10"/>
        <v>0</v>
      </c>
      <c r="I66" s="134">
        <v>23</v>
      </c>
      <c r="J66" s="134">
        <v>2</v>
      </c>
      <c r="K66" s="236">
        <f t="shared" si="11"/>
        <v>8.6956521739130432E-2</v>
      </c>
      <c r="L66" s="134">
        <v>29</v>
      </c>
      <c r="M66" s="134">
        <v>18</v>
      </c>
    </row>
    <row r="67" spans="2:13" x14ac:dyDescent="0.25">
      <c r="B67" s="53" t="s">
        <v>271</v>
      </c>
      <c r="C67" s="134">
        <v>106</v>
      </c>
      <c r="D67" s="134">
        <v>38</v>
      </c>
      <c r="E67" s="236">
        <f t="shared" si="12"/>
        <v>0.35849056603773582</v>
      </c>
      <c r="F67" s="134">
        <v>130</v>
      </c>
      <c r="G67" s="134">
        <v>30</v>
      </c>
      <c r="H67" s="236">
        <f t="shared" si="10"/>
        <v>0.23076923076923078</v>
      </c>
      <c r="I67" s="134">
        <v>228</v>
      </c>
      <c r="J67" s="134">
        <v>34</v>
      </c>
      <c r="K67" s="236">
        <f t="shared" si="11"/>
        <v>0.14912280701754385</v>
      </c>
      <c r="L67" s="134">
        <v>7</v>
      </c>
      <c r="M67" s="134">
        <v>1</v>
      </c>
    </row>
    <row r="68" spans="2:13" x14ac:dyDescent="0.25">
      <c r="B68" s="53" t="s">
        <v>272</v>
      </c>
      <c r="C68" s="134">
        <v>8</v>
      </c>
      <c r="D68" s="134">
        <v>3</v>
      </c>
      <c r="E68" s="236">
        <f t="shared" si="12"/>
        <v>0.375</v>
      </c>
      <c r="F68" s="134">
        <v>2</v>
      </c>
      <c r="G68" s="134">
        <v>0</v>
      </c>
      <c r="H68" s="236">
        <f t="shared" si="10"/>
        <v>0</v>
      </c>
      <c r="I68" s="134">
        <v>1</v>
      </c>
      <c r="J68" s="134">
        <v>0</v>
      </c>
      <c r="K68" s="236">
        <f t="shared" si="11"/>
        <v>0</v>
      </c>
      <c r="L68" s="134">
        <v>0</v>
      </c>
      <c r="M68" s="134">
        <v>0</v>
      </c>
    </row>
    <row r="69" spans="2:13" x14ac:dyDescent="0.25">
      <c r="B69" s="46" t="s">
        <v>250</v>
      </c>
      <c r="C69" s="8">
        <f>SUM(C59:C61)</f>
        <v>0</v>
      </c>
      <c r="D69" s="8">
        <f>SUM(D59:D61)</f>
        <v>0</v>
      </c>
      <c r="E69" s="8" t="str">
        <f>IFERROR(D69/C69,"-")</f>
        <v>-</v>
      </c>
      <c r="F69" s="8">
        <f>SUM(F59:F61)</f>
        <v>0</v>
      </c>
      <c r="G69" s="8">
        <f>SUM(G59:G61)</f>
        <v>0</v>
      </c>
      <c r="H69" s="8" t="str">
        <f t="shared" si="10"/>
        <v>-</v>
      </c>
      <c r="I69" s="8">
        <f>SUM(I59:I61)</f>
        <v>0</v>
      </c>
      <c r="J69" s="8">
        <f>SUM(J59:J61)</f>
        <v>0</v>
      </c>
      <c r="K69" s="8" t="str">
        <f t="shared" si="11"/>
        <v>-</v>
      </c>
      <c r="L69" s="8">
        <f>SUM(L65:L68)</f>
        <v>73</v>
      </c>
      <c r="M69" s="8">
        <f>SUM(M65:M68)</f>
        <v>53</v>
      </c>
    </row>
    <row r="70" spans="2:13" x14ac:dyDescent="0.25">
      <c r="B70" s="307" t="s">
        <v>273</v>
      </c>
      <c r="C70" s="307"/>
      <c r="D70" s="307"/>
      <c r="E70" s="307"/>
      <c r="F70" s="307"/>
      <c r="G70" s="307"/>
      <c r="H70" s="307"/>
      <c r="I70" s="307"/>
      <c r="J70" s="307"/>
      <c r="K70" s="307"/>
      <c r="L70" s="307"/>
      <c r="M70" s="307"/>
    </row>
  </sheetData>
  <mergeCells count="15">
    <mergeCell ref="L9:N9"/>
    <mergeCell ref="B30:L30"/>
    <mergeCell ref="B62:M62"/>
    <mergeCell ref="B5:N5"/>
    <mergeCell ref="B1:N1"/>
    <mergeCell ref="B2:N2"/>
    <mergeCell ref="B3:N3"/>
    <mergeCell ref="C9:E9"/>
    <mergeCell ref="B4:N4"/>
    <mergeCell ref="B8:N8"/>
    <mergeCell ref="C31:E31"/>
    <mergeCell ref="F9:H9"/>
    <mergeCell ref="F31:H31"/>
    <mergeCell ref="I9:K9"/>
    <mergeCell ref="I31:K31"/>
  </mergeCells>
  <pageMargins left="0.7" right="0.7" top="0.75" bottom="0.75" header="0.3" footer="0.3"/>
  <pageSetup paperSize="9" scale="41" orientation="portrait" r:id="rId1"/>
  <colBreaks count="1" manualBreakCount="1">
    <brk id="23" max="1048575" man="1"/>
  </colBreaks>
  <ignoredErrors>
    <ignoredError sqref="N24"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P82"/>
  <sheetViews>
    <sheetView showGridLines="0" zoomScaleNormal="100" zoomScaleSheetLayoutView="100" workbookViewId="0">
      <selection activeCell="S29" sqref="S29"/>
    </sheetView>
  </sheetViews>
  <sheetFormatPr defaultColWidth="11.42578125" defaultRowHeight="15" x14ac:dyDescent="0.25"/>
  <cols>
    <col min="1" max="1" width="12.140625" style="1" customWidth="1"/>
    <col min="2" max="2" width="11.42578125" style="1"/>
    <col min="3" max="3" width="13.140625" style="1" bestFit="1" customWidth="1"/>
    <col min="4" max="4" width="12.140625" style="1" customWidth="1"/>
    <col min="5" max="5" width="13.42578125" style="1" customWidth="1"/>
    <col min="6" max="6" width="14.140625" style="1" customWidth="1"/>
    <col min="7" max="7" width="13.140625" style="1" customWidth="1"/>
    <col min="8" max="16384" width="11.42578125" style="1"/>
  </cols>
  <sheetData>
    <row r="1" spans="1:16" x14ac:dyDescent="0.25">
      <c r="A1" s="336" t="s">
        <v>0</v>
      </c>
      <c r="B1" s="336"/>
      <c r="C1" s="336"/>
      <c r="D1" s="336"/>
      <c r="E1" s="336"/>
      <c r="F1" s="336"/>
      <c r="G1" s="336"/>
    </row>
    <row r="2" spans="1:16" x14ac:dyDescent="0.25">
      <c r="A2" s="336" t="s">
        <v>25</v>
      </c>
      <c r="B2" s="336"/>
      <c r="C2" s="336"/>
      <c r="D2" s="336"/>
      <c r="E2" s="336"/>
      <c r="F2" s="336"/>
      <c r="G2" s="336"/>
    </row>
    <row r="3" spans="1:16" x14ac:dyDescent="0.25">
      <c r="A3" s="336" t="s">
        <v>26</v>
      </c>
      <c r="B3" s="336"/>
      <c r="C3" s="336"/>
      <c r="D3" s="336"/>
      <c r="E3" s="336"/>
      <c r="F3" s="336"/>
      <c r="G3" s="336"/>
    </row>
    <row r="4" spans="1:16" x14ac:dyDescent="0.25">
      <c r="A4" s="336" t="s">
        <v>276</v>
      </c>
      <c r="B4" s="336"/>
      <c r="C4" s="336"/>
      <c r="D4" s="336"/>
      <c r="E4" s="336"/>
      <c r="F4" s="336"/>
      <c r="G4" s="336"/>
    </row>
    <row r="5" spans="1:16" x14ac:dyDescent="0.25">
      <c r="A5" s="336" t="s">
        <v>274</v>
      </c>
      <c r="B5" s="336"/>
      <c r="C5" s="336"/>
      <c r="D5" s="336"/>
      <c r="E5" s="336"/>
      <c r="F5" s="336"/>
      <c r="G5" s="336"/>
      <c r="P5" s="18"/>
    </row>
    <row r="6" spans="1:16" ht="40.5" customHeight="1" x14ac:dyDescent="0.25">
      <c r="A6" s="43" t="s">
        <v>3</v>
      </c>
      <c r="B6" s="45" t="s">
        <v>27</v>
      </c>
      <c r="C6" s="45" t="s">
        <v>28</v>
      </c>
      <c r="D6" s="45" t="s">
        <v>29</v>
      </c>
      <c r="E6" s="45" t="s">
        <v>30</v>
      </c>
      <c r="F6" s="45" t="s">
        <v>31</v>
      </c>
      <c r="G6" s="45" t="s">
        <v>32</v>
      </c>
      <c r="H6"/>
      <c r="I6"/>
      <c r="J6"/>
      <c r="K6"/>
      <c r="L6"/>
      <c r="M6"/>
      <c r="N6"/>
      <c r="O6"/>
    </row>
    <row r="7" spans="1:16" x14ac:dyDescent="0.25">
      <c r="A7" s="218" t="s">
        <v>21</v>
      </c>
      <c r="B7" s="140">
        <v>93252</v>
      </c>
      <c r="C7" s="140">
        <v>26940</v>
      </c>
      <c r="D7" s="308">
        <f t="shared" ref="D7:D23" si="0">+C7/B7</f>
        <v>0.28889460815853818</v>
      </c>
      <c r="E7" s="140">
        <v>66312</v>
      </c>
      <c r="F7" s="308">
        <f t="shared" ref="F7:F23" si="1">+E7/B7</f>
        <v>0.71110539184146182</v>
      </c>
      <c r="G7" s="140">
        <v>58303</v>
      </c>
      <c r="H7"/>
      <c r="I7"/>
      <c r="J7"/>
      <c r="K7" s="74"/>
      <c r="L7" s="74"/>
      <c r="M7"/>
      <c r="N7"/>
      <c r="O7"/>
    </row>
    <row r="8" spans="1:16" x14ac:dyDescent="0.25">
      <c r="A8" s="218" t="s">
        <v>20</v>
      </c>
      <c r="B8" s="140">
        <v>92997</v>
      </c>
      <c r="C8" s="140">
        <v>26327</v>
      </c>
      <c r="D8" s="308">
        <f t="shared" si="0"/>
        <v>0.28309515360710563</v>
      </c>
      <c r="E8" s="140">
        <v>66670</v>
      </c>
      <c r="F8" s="308">
        <f t="shared" si="1"/>
        <v>0.71690484639289442</v>
      </c>
      <c r="G8" s="140">
        <v>57773</v>
      </c>
      <c r="H8"/>
      <c r="I8"/>
      <c r="J8"/>
      <c r="K8"/>
      <c r="L8" s="74"/>
      <c r="M8"/>
      <c r="N8"/>
      <c r="O8"/>
    </row>
    <row r="9" spans="1:16" x14ac:dyDescent="0.25">
      <c r="A9" s="216" t="s">
        <v>34</v>
      </c>
      <c r="B9" s="140">
        <v>92597</v>
      </c>
      <c r="C9" s="140">
        <v>26236</v>
      </c>
      <c r="D9" s="308">
        <f t="shared" si="0"/>
        <v>0.28333531323908984</v>
      </c>
      <c r="E9" s="140">
        <v>66361</v>
      </c>
      <c r="F9" s="308">
        <f t="shared" si="1"/>
        <v>0.71666468676091022</v>
      </c>
      <c r="G9" s="140">
        <v>56309</v>
      </c>
      <c r="H9"/>
      <c r="I9"/>
      <c r="J9"/>
      <c r="K9"/>
      <c r="L9"/>
      <c r="M9"/>
      <c r="N9"/>
      <c r="O9"/>
    </row>
    <row r="10" spans="1:16" ht="24" customHeight="1" x14ac:dyDescent="0.25">
      <c r="A10" s="221" t="s">
        <v>275</v>
      </c>
      <c r="B10" s="230">
        <f>+AVERAGE(B7:B9)</f>
        <v>92948.666666666672</v>
      </c>
      <c r="C10" s="230">
        <f>+AVERAGE(C7:C9)</f>
        <v>26501</v>
      </c>
      <c r="D10" s="309">
        <f t="shared" si="0"/>
        <v>0.28511436420102854</v>
      </c>
      <c r="E10" s="230">
        <f>+AVERAGE(E7:E9)</f>
        <v>66447.666666666672</v>
      </c>
      <c r="F10" s="309">
        <f t="shared" si="1"/>
        <v>0.71488563579897146</v>
      </c>
      <c r="G10" s="8">
        <f>AVERAGE(G7:G9)</f>
        <v>57461.666666666664</v>
      </c>
      <c r="H10"/>
      <c r="I10"/>
      <c r="J10"/>
      <c r="K10"/>
      <c r="L10" s="217"/>
      <c r="M10"/>
      <c r="N10"/>
      <c r="O10"/>
    </row>
    <row r="11" spans="1:16" hidden="1" x14ac:dyDescent="0.25">
      <c r="A11" s="216" t="s">
        <v>15</v>
      </c>
      <c r="B11" s="140"/>
      <c r="C11" s="140"/>
      <c r="D11" s="215" t="e">
        <f t="shared" si="0"/>
        <v>#DIV/0!</v>
      </c>
      <c r="E11" s="140"/>
      <c r="F11" s="215" t="e">
        <f t="shared" si="1"/>
        <v>#DIV/0!</v>
      </c>
      <c r="G11" s="215"/>
      <c r="H11"/>
      <c r="I11"/>
      <c r="J11"/>
      <c r="K11" s="74"/>
      <c r="L11" s="74"/>
      <c r="M11"/>
      <c r="N11"/>
      <c r="O11"/>
    </row>
    <row r="12" spans="1:16" hidden="1" x14ac:dyDescent="0.25">
      <c r="A12" s="218" t="s">
        <v>16</v>
      </c>
      <c r="B12" s="140"/>
      <c r="C12" s="140"/>
      <c r="D12" s="215" t="e">
        <f t="shared" si="0"/>
        <v>#DIV/0!</v>
      </c>
      <c r="E12" s="140"/>
      <c r="F12" s="215" t="e">
        <f t="shared" si="1"/>
        <v>#DIV/0!</v>
      </c>
      <c r="G12" s="215"/>
      <c r="H12"/>
      <c r="I12"/>
      <c r="J12"/>
      <c r="K12"/>
      <c r="L12" s="74"/>
      <c r="M12"/>
      <c r="N12"/>
      <c r="O12"/>
    </row>
    <row r="13" spans="1:16" hidden="1" x14ac:dyDescent="0.25">
      <c r="A13" s="218" t="s">
        <v>17</v>
      </c>
      <c r="B13" s="140"/>
      <c r="C13" s="140"/>
      <c r="D13" s="215" t="e">
        <f t="shared" si="0"/>
        <v>#DIV/0!</v>
      </c>
      <c r="E13" s="140"/>
      <c r="F13" s="215" t="e">
        <f t="shared" si="1"/>
        <v>#DIV/0!</v>
      </c>
      <c r="G13" s="215"/>
      <c r="H13"/>
      <c r="I13"/>
      <c r="J13"/>
      <c r="K13"/>
      <c r="L13"/>
      <c r="M13"/>
      <c r="N13"/>
      <c r="O13"/>
    </row>
    <row r="14" spans="1:16" ht="24" hidden="1" customHeight="1" x14ac:dyDescent="0.25">
      <c r="A14" s="141" t="s">
        <v>33</v>
      </c>
      <c r="B14" s="8" t="e">
        <f>+AVERAGE(B11:B13)</f>
        <v>#DIV/0!</v>
      </c>
      <c r="C14" s="8" t="e">
        <f>+AVERAGE(C11:C13)</f>
        <v>#DIV/0!</v>
      </c>
      <c r="D14" s="16" t="e">
        <f t="shared" si="0"/>
        <v>#DIV/0!</v>
      </c>
      <c r="E14" s="8" t="e">
        <f>+AVERAGE(E11:E13)</f>
        <v>#DIV/0!</v>
      </c>
      <c r="F14" s="16" t="e">
        <f t="shared" si="1"/>
        <v>#DIV/0!</v>
      </c>
      <c r="G14" s="16"/>
      <c r="H14"/>
      <c r="I14"/>
      <c r="J14"/>
      <c r="K14"/>
      <c r="L14" s="217"/>
      <c r="M14"/>
      <c r="N14"/>
      <c r="O14"/>
    </row>
    <row r="15" spans="1:16" hidden="1" x14ac:dyDescent="0.25">
      <c r="A15" s="216" t="s">
        <v>34</v>
      </c>
      <c r="B15" s="140"/>
      <c r="C15" s="140"/>
      <c r="D15" s="215" t="e">
        <f t="shared" si="0"/>
        <v>#DIV/0!</v>
      </c>
      <c r="E15" s="140"/>
      <c r="F15" s="215" t="e">
        <f t="shared" si="1"/>
        <v>#DIV/0!</v>
      </c>
      <c r="G15" s="215"/>
      <c r="H15"/>
      <c r="I15"/>
      <c r="J15"/>
      <c r="K15" s="74"/>
      <c r="L15" s="74"/>
      <c r="M15"/>
      <c r="N15"/>
      <c r="O15"/>
    </row>
    <row r="16" spans="1:16" hidden="1" x14ac:dyDescent="0.25">
      <c r="A16" s="218" t="s">
        <v>20</v>
      </c>
      <c r="B16" s="140"/>
      <c r="C16" s="140"/>
      <c r="D16" s="215" t="e">
        <f t="shared" si="0"/>
        <v>#DIV/0!</v>
      </c>
      <c r="E16" s="140"/>
      <c r="F16" s="215" t="e">
        <f t="shared" si="1"/>
        <v>#DIV/0!</v>
      </c>
      <c r="G16" s="215"/>
      <c r="H16"/>
      <c r="I16"/>
      <c r="J16"/>
      <c r="K16"/>
      <c r="L16" s="74"/>
      <c r="M16"/>
      <c r="N16"/>
      <c r="O16"/>
    </row>
    <row r="17" spans="1:15" hidden="1" x14ac:dyDescent="0.25">
      <c r="A17" s="218" t="s">
        <v>21</v>
      </c>
      <c r="B17" s="140"/>
      <c r="C17" s="140"/>
      <c r="D17" s="215" t="e">
        <f t="shared" si="0"/>
        <v>#DIV/0!</v>
      </c>
      <c r="E17" s="140"/>
      <c r="F17" s="215" t="e">
        <f t="shared" si="1"/>
        <v>#DIV/0!</v>
      </c>
      <c r="G17" s="215"/>
      <c r="H17"/>
      <c r="I17"/>
      <c r="J17"/>
      <c r="K17"/>
      <c r="L17"/>
      <c r="M17"/>
      <c r="N17"/>
      <c r="O17"/>
    </row>
    <row r="18" spans="1:15" ht="24" hidden="1" customHeight="1" x14ac:dyDescent="0.25">
      <c r="A18" s="141" t="s">
        <v>35</v>
      </c>
      <c r="B18" s="8" t="e">
        <f>+AVERAGE(B15:B17)</f>
        <v>#DIV/0!</v>
      </c>
      <c r="C18" s="8" t="e">
        <f>+AVERAGE(C15:C17)</f>
        <v>#DIV/0!</v>
      </c>
      <c r="D18" s="16" t="e">
        <f t="shared" si="0"/>
        <v>#DIV/0!</v>
      </c>
      <c r="E18" s="8" t="e">
        <f>+AVERAGE(E15:E17)</f>
        <v>#DIV/0!</v>
      </c>
      <c r="F18" s="16" t="e">
        <f t="shared" si="1"/>
        <v>#DIV/0!</v>
      </c>
      <c r="G18" s="16"/>
      <c r="H18"/>
      <c r="I18"/>
      <c r="J18"/>
      <c r="K18"/>
      <c r="L18" s="217"/>
      <c r="M18"/>
      <c r="N18"/>
      <c r="O18"/>
    </row>
    <row r="19" spans="1:15" hidden="1" x14ac:dyDescent="0.25">
      <c r="A19" s="216" t="s">
        <v>13</v>
      </c>
      <c r="B19" s="140"/>
      <c r="C19" s="140"/>
      <c r="D19" s="215" t="e">
        <f t="shared" si="0"/>
        <v>#DIV/0!</v>
      </c>
      <c r="E19" s="140"/>
      <c r="F19" s="215" t="e">
        <f t="shared" si="1"/>
        <v>#DIV/0!</v>
      </c>
      <c r="G19" s="215"/>
      <c r="H19"/>
      <c r="I19"/>
      <c r="J19"/>
      <c r="K19" s="74"/>
      <c r="L19" s="74"/>
      <c r="M19"/>
      <c r="N19"/>
      <c r="O19"/>
    </row>
    <row r="20" spans="1:15" hidden="1" x14ac:dyDescent="0.25">
      <c r="A20" s="218" t="s">
        <v>12</v>
      </c>
      <c r="B20" s="140"/>
      <c r="C20" s="140"/>
      <c r="D20" s="215" t="e">
        <f t="shared" si="0"/>
        <v>#DIV/0!</v>
      </c>
      <c r="E20" s="140"/>
      <c r="F20" s="215" t="e">
        <f t="shared" si="1"/>
        <v>#DIV/0!</v>
      </c>
      <c r="G20" s="215"/>
      <c r="H20"/>
      <c r="I20"/>
      <c r="J20"/>
      <c r="K20"/>
      <c r="L20" s="74"/>
      <c r="M20"/>
      <c r="N20"/>
      <c r="O20"/>
    </row>
    <row r="21" spans="1:15" hidden="1" x14ac:dyDescent="0.25">
      <c r="A21" s="218" t="s">
        <v>11</v>
      </c>
      <c r="B21" s="140"/>
      <c r="C21" s="140"/>
      <c r="D21" s="215" t="e">
        <f t="shared" si="0"/>
        <v>#DIV/0!</v>
      </c>
      <c r="E21" s="140"/>
      <c r="F21" s="215" t="e">
        <f t="shared" si="1"/>
        <v>#DIV/0!</v>
      </c>
      <c r="G21" s="215"/>
      <c r="H21"/>
      <c r="I21"/>
      <c r="J21"/>
      <c r="K21"/>
      <c r="L21"/>
      <c r="M21"/>
      <c r="N21"/>
      <c r="O21"/>
    </row>
    <row r="22" spans="1:15" ht="24" hidden="1" customHeight="1" x14ac:dyDescent="0.25">
      <c r="A22" s="141" t="s">
        <v>36</v>
      </c>
      <c r="B22" s="8" t="e">
        <f>+AVERAGE(B19:B21)</f>
        <v>#DIV/0!</v>
      </c>
      <c r="C22" s="8" t="e">
        <f>+AVERAGE(C19:C21)</f>
        <v>#DIV/0!</v>
      </c>
      <c r="D22" s="16" t="e">
        <f t="shared" si="0"/>
        <v>#DIV/0!</v>
      </c>
      <c r="E22" s="8" t="e">
        <f>+AVERAGE(E19:E21)</f>
        <v>#DIV/0!</v>
      </c>
      <c r="F22" s="16" t="e">
        <f t="shared" si="1"/>
        <v>#DIV/0!</v>
      </c>
      <c r="G22" s="16"/>
      <c r="H22"/>
      <c r="I22"/>
      <c r="J22"/>
      <c r="K22"/>
      <c r="L22" s="217"/>
      <c r="M22"/>
      <c r="N22"/>
      <c r="O22"/>
    </row>
    <row r="23" spans="1:15" hidden="1" x14ac:dyDescent="0.25">
      <c r="A23" s="28" t="s">
        <v>23</v>
      </c>
      <c r="B23" s="10" t="e">
        <f>+AVERAGE(B10,B14,B18,B22)</f>
        <v>#DIV/0!</v>
      </c>
      <c r="C23" s="10" t="e">
        <f>+AVERAGE(C10,C14,C18,C22)</f>
        <v>#DIV/0!</v>
      </c>
      <c r="D23" s="17" t="e">
        <f t="shared" si="0"/>
        <v>#DIV/0!</v>
      </c>
      <c r="E23" s="10" t="e">
        <f>+AVERAGE(E10,E14,E18,E22,)</f>
        <v>#DIV/0!</v>
      </c>
      <c r="F23" s="17" t="e">
        <f t="shared" si="1"/>
        <v>#DIV/0!</v>
      </c>
      <c r="G23" s="17"/>
      <c r="H23"/>
      <c r="I23"/>
      <c r="J23"/>
      <c r="K23"/>
      <c r="L23" s="217"/>
      <c r="M23"/>
      <c r="N23"/>
      <c r="O23"/>
    </row>
    <row r="24" spans="1:15" ht="11.25" customHeight="1" x14ac:dyDescent="0.25">
      <c r="A24" s="226" t="s">
        <v>283</v>
      </c>
      <c r="B24" s="210"/>
      <c r="C24"/>
      <c r="D24" s="217"/>
      <c r="E24"/>
      <c r="F24" s="217"/>
      <c r="G24" s="217"/>
      <c r="H24"/>
      <c r="I24"/>
      <c r="J24"/>
      <c r="K24"/>
      <c r="L24" s="217"/>
      <c r="M24"/>
      <c r="N24"/>
      <c r="O24"/>
    </row>
    <row r="25" spans="1:15" x14ac:dyDescent="0.25">
      <c r="A25" s="226" t="s">
        <v>37</v>
      </c>
      <c r="B25" s="140"/>
      <c r="C25" s="140"/>
      <c r="D25" s="215"/>
      <c r="E25" s="140"/>
      <c r="F25" s="215"/>
      <c r="G25" s="215"/>
      <c r="H25"/>
      <c r="I25"/>
      <c r="J25"/>
      <c r="K25"/>
      <c r="L25" s="217"/>
      <c r="M25"/>
      <c r="N25"/>
      <c r="O25"/>
    </row>
    <row r="26" spans="1:15" x14ac:dyDescent="0.25">
      <c r="A26" s="216"/>
      <c r="B26" s="140"/>
      <c r="C26" s="140"/>
      <c r="D26" s="215"/>
      <c r="E26" s="140"/>
      <c r="F26" s="215"/>
      <c r="G26" s="215"/>
      <c r="H26"/>
      <c r="I26"/>
      <c r="J26"/>
      <c r="K26"/>
      <c r="L26"/>
      <c r="M26"/>
      <c r="N26"/>
      <c r="O26"/>
    </row>
    <row r="27" spans="1:15" x14ac:dyDescent="0.25">
      <c r="A27"/>
      <c r="B27"/>
      <c r="C27"/>
      <c r="D27"/>
      <c r="E27"/>
      <c r="F27"/>
      <c r="G27"/>
      <c r="H27"/>
      <c r="I27"/>
      <c r="J27"/>
      <c r="K27"/>
      <c r="L27"/>
      <c r="M27"/>
      <c r="N27"/>
      <c r="O27"/>
    </row>
    <row r="28" spans="1:15" x14ac:dyDescent="0.25">
      <c r="A28"/>
      <c r="B28"/>
      <c r="C28"/>
      <c r="D28"/>
      <c r="E28"/>
      <c r="F28"/>
      <c r="G28"/>
      <c r="H28"/>
      <c r="I28"/>
      <c r="J28"/>
      <c r="K28"/>
      <c r="L28"/>
      <c r="M28"/>
      <c r="N28"/>
      <c r="O28"/>
    </row>
    <row r="29" spans="1:15" x14ac:dyDescent="0.25">
      <c r="A29"/>
      <c r="B29"/>
      <c r="C29"/>
      <c r="D29"/>
      <c r="E29"/>
      <c r="F29"/>
      <c r="G29"/>
      <c r="H29"/>
      <c r="I29"/>
      <c r="J29"/>
      <c r="K29"/>
      <c r="L29"/>
      <c r="M29"/>
      <c r="N29"/>
      <c r="O29"/>
    </row>
    <row r="30" spans="1:15" x14ac:dyDescent="0.25">
      <c r="A30"/>
      <c r="B30"/>
      <c r="C30"/>
      <c r="D30"/>
      <c r="E30"/>
      <c r="F30"/>
      <c r="G30"/>
      <c r="H30"/>
      <c r="I30"/>
      <c r="J30"/>
      <c r="K30"/>
      <c r="L30"/>
      <c r="M30"/>
      <c r="N30"/>
      <c r="O30"/>
    </row>
    <row r="31" spans="1:15" x14ac:dyDescent="0.25">
      <c r="A31"/>
      <c r="B31"/>
      <c r="C31"/>
      <c r="D31"/>
      <c r="E31"/>
      <c r="F31"/>
      <c r="G31"/>
      <c r="H31"/>
      <c r="I31"/>
      <c r="J31"/>
      <c r="K31"/>
      <c r="L31"/>
      <c r="M31"/>
      <c r="N31"/>
      <c r="O31"/>
    </row>
    <row r="32" spans="1:15" x14ac:dyDescent="0.25">
      <c r="A32"/>
      <c r="B32"/>
      <c r="C32"/>
      <c r="D32"/>
      <c r="E32"/>
      <c r="F32"/>
      <c r="G32"/>
      <c r="H32"/>
      <c r="I32"/>
      <c r="J32"/>
      <c r="K32"/>
      <c r="L32"/>
      <c r="M32"/>
      <c r="N32"/>
      <c r="O32"/>
    </row>
    <row r="33" spans="1:15" x14ac:dyDescent="0.25">
      <c r="A33"/>
      <c r="B33"/>
      <c r="C33"/>
      <c r="D33"/>
      <c r="E33"/>
      <c r="F33"/>
      <c r="G33"/>
      <c r="H33"/>
      <c r="I33"/>
      <c r="J33"/>
      <c r="K33"/>
      <c r="L33"/>
      <c r="M33"/>
      <c r="N33"/>
      <c r="O33"/>
    </row>
    <row r="34" spans="1:15" x14ac:dyDescent="0.25">
      <c r="A34"/>
      <c r="B34"/>
      <c r="C34"/>
      <c r="D34"/>
      <c r="E34"/>
      <c r="F34"/>
      <c r="G34"/>
      <c r="H34"/>
      <c r="I34"/>
      <c r="J34"/>
      <c r="K34"/>
      <c r="L34"/>
      <c r="M34"/>
      <c r="N34"/>
      <c r="O34"/>
    </row>
    <row r="35" spans="1:15" x14ac:dyDescent="0.25">
      <c r="A35"/>
      <c r="B35"/>
      <c r="C35"/>
      <c r="D35"/>
      <c r="E35"/>
      <c r="F35"/>
      <c r="G35"/>
      <c r="H35"/>
      <c r="I35"/>
      <c r="J35"/>
      <c r="K35"/>
      <c r="L35"/>
      <c r="M35"/>
      <c r="N35"/>
      <c r="O35"/>
    </row>
    <row r="36" spans="1:15" x14ac:dyDescent="0.25">
      <c r="A36"/>
      <c r="B36"/>
      <c r="C36"/>
      <c r="D36"/>
      <c r="E36"/>
      <c r="F36"/>
      <c r="G36"/>
      <c r="H36"/>
      <c r="I36"/>
      <c r="J36"/>
      <c r="K36"/>
      <c r="L36"/>
      <c r="M36"/>
      <c r="N36"/>
      <c r="O36"/>
    </row>
    <row r="37" spans="1:15" x14ac:dyDescent="0.25">
      <c r="A37"/>
      <c r="B37"/>
      <c r="C37"/>
      <c r="D37"/>
      <c r="E37"/>
      <c r="F37"/>
      <c r="G37"/>
      <c r="H37"/>
      <c r="I37"/>
      <c r="J37"/>
      <c r="K37"/>
      <c r="L37"/>
      <c r="M37"/>
      <c r="N37"/>
      <c r="O37"/>
    </row>
    <row r="38" spans="1:15" x14ac:dyDescent="0.25">
      <c r="A38"/>
      <c r="B38"/>
      <c r="C38"/>
      <c r="D38"/>
      <c r="E38"/>
      <c r="F38"/>
      <c r="G38"/>
      <c r="H38"/>
      <c r="I38"/>
      <c r="J38"/>
      <c r="K38"/>
      <c r="L38"/>
      <c r="M38"/>
      <c r="N38"/>
      <c r="O38"/>
    </row>
    <row r="39" spans="1:15" x14ac:dyDescent="0.25">
      <c r="A39"/>
      <c r="B39"/>
      <c r="C39"/>
      <c r="D39"/>
      <c r="E39"/>
      <c r="F39"/>
      <c r="G39"/>
      <c r="H39"/>
      <c r="I39"/>
      <c r="J39"/>
      <c r="K39"/>
      <c r="L39"/>
      <c r="M39"/>
      <c r="N39"/>
      <c r="O39"/>
    </row>
    <row r="40" spans="1:15" x14ac:dyDescent="0.25">
      <c r="A40"/>
      <c r="B40"/>
      <c r="C40"/>
      <c r="D40"/>
      <c r="E40"/>
      <c r="F40"/>
      <c r="G40"/>
      <c r="H40"/>
      <c r="I40"/>
      <c r="J40"/>
      <c r="K40"/>
      <c r="L40"/>
      <c r="M40"/>
      <c r="N40"/>
      <c r="O40"/>
    </row>
    <row r="41" spans="1:15" x14ac:dyDescent="0.25">
      <c r="A41"/>
      <c r="B41"/>
      <c r="C41"/>
      <c r="D41"/>
      <c r="E41"/>
      <c r="F41"/>
      <c r="G41"/>
      <c r="H41"/>
      <c r="I41"/>
      <c r="J41"/>
      <c r="K41"/>
      <c r="L41"/>
      <c r="M41"/>
      <c r="N41"/>
      <c r="O41"/>
    </row>
    <row r="42" spans="1:15" x14ac:dyDescent="0.25">
      <c r="A42"/>
      <c r="B42"/>
      <c r="C42"/>
      <c r="D42"/>
      <c r="E42"/>
      <c r="F42"/>
      <c r="G42"/>
      <c r="H42"/>
      <c r="I42"/>
      <c r="J42"/>
      <c r="K42"/>
      <c r="L42"/>
      <c r="M42"/>
      <c r="N42" t="s">
        <v>38</v>
      </c>
      <c r="O42"/>
    </row>
    <row r="43" spans="1:15" x14ac:dyDescent="0.25">
      <c r="A43"/>
      <c r="B43"/>
      <c r="C43"/>
      <c r="D43"/>
      <c r="E43"/>
      <c r="F43"/>
      <c r="G43"/>
      <c r="H43"/>
      <c r="I43"/>
      <c r="J43"/>
      <c r="K43"/>
      <c r="L43"/>
      <c r="M43"/>
      <c r="N43"/>
      <c r="O43"/>
    </row>
    <row r="44" spans="1:15" x14ac:dyDescent="0.25">
      <c r="A44"/>
      <c r="B44"/>
      <c r="C44"/>
      <c r="D44"/>
      <c r="E44"/>
      <c r="F44"/>
      <c r="G44"/>
      <c r="H44"/>
      <c r="I44"/>
      <c r="J44"/>
      <c r="K44"/>
      <c r="L44"/>
      <c r="M44"/>
      <c r="N44"/>
      <c r="O44"/>
    </row>
    <row r="45" spans="1:15" x14ac:dyDescent="0.25">
      <c r="A45"/>
      <c r="B45"/>
      <c r="C45"/>
      <c r="D45"/>
      <c r="E45"/>
      <c r="F45"/>
      <c r="G45"/>
      <c r="H45"/>
      <c r="I45"/>
      <c r="J45"/>
      <c r="K45"/>
      <c r="L45"/>
      <c r="M45"/>
      <c r="N45"/>
      <c r="O45"/>
    </row>
    <row r="57" spans="2:3" x14ac:dyDescent="0.25">
      <c r="B57"/>
      <c r="C57" s="220"/>
    </row>
    <row r="58" spans="2:3" x14ac:dyDescent="0.25">
      <c r="B58"/>
      <c r="C58" s="18"/>
    </row>
    <row r="73" spans="5:9" x14ac:dyDescent="0.25">
      <c r="E73"/>
      <c r="F73"/>
      <c r="G73"/>
      <c r="H73"/>
      <c r="I73"/>
    </row>
    <row r="74" spans="5:9" x14ac:dyDescent="0.25">
      <c r="E74"/>
      <c r="F74"/>
      <c r="G74"/>
      <c r="H74"/>
      <c r="I74"/>
    </row>
    <row r="75" spans="5:9" x14ac:dyDescent="0.25">
      <c r="E75"/>
      <c r="F75"/>
      <c r="G75"/>
      <c r="H75"/>
      <c r="I75"/>
    </row>
    <row r="76" spans="5:9" x14ac:dyDescent="0.25">
      <c r="E76"/>
      <c r="F76"/>
      <c r="G76"/>
      <c r="H76"/>
      <c r="I76"/>
    </row>
    <row r="77" spans="5:9" x14ac:dyDescent="0.25">
      <c r="E77"/>
      <c r="F77"/>
      <c r="G77"/>
      <c r="H77"/>
      <c r="I77"/>
    </row>
    <row r="78" spans="5:9" x14ac:dyDescent="0.25">
      <c r="E78"/>
      <c r="F78"/>
      <c r="G78"/>
      <c r="H78"/>
      <c r="I78"/>
    </row>
    <row r="79" spans="5:9" x14ac:dyDescent="0.25">
      <c r="E79"/>
      <c r="F79"/>
      <c r="G79"/>
      <c r="H79"/>
      <c r="I79"/>
    </row>
    <row r="80" spans="5:9" x14ac:dyDescent="0.25">
      <c r="E80"/>
      <c r="F80"/>
      <c r="G80"/>
      <c r="H80"/>
      <c r="I80"/>
    </row>
    <row r="81" spans="5:9" x14ac:dyDescent="0.25">
      <c r="E81"/>
      <c r="F81"/>
      <c r="G81"/>
      <c r="H81"/>
      <c r="I81"/>
    </row>
    <row r="82" spans="5:9" x14ac:dyDescent="0.25">
      <c r="E82"/>
      <c r="F82"/>
      <c r="G82"/>
      <c r="H82"/>
      <c r="I82"/>
    </row>
  </sheetData>
  <mergeCells count="5">
    <mergeCell ref="A1:G1"/>
    <mergeCell ref="A2:G2"/>
    <mergeCell ref="A3:G3"/>
    <mergeCell ref="A4:G4"/>
    <mergeCell ref="A5:G5"/>
  </mergeCells>
  <pageMargins left="0.7" right="0.7" top="0.75" bottom="0.75" header="0.3" footer="0.3"/>
  <pageSetup paperSize="9" scale="52" orientation="portrait" r:id="rId1"/>
  <ignoredErrors>
    <ignoredError sqref="D10"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O45"/>
  <sheetViews>
    <sheetView showGridLines="0" zoomScale="115" zoomScaleNormal="115" workbookViewId="0">
      <selection activeCell="K10" sqref="K10"/>
    </sheetView>
  </sheetViews>
  <sheetFormatPr defaultColWidth="11.42578125" defaultRowHeight="15" x14ac:dyDescent="0.25"/>
  <cols>
    <col min="1" max="1" width="12.42578125" style="1" customWidth="1"/>
    <col min="2" max="2" width="14.42578125" style="1" customWidth="1"/>
    <col min="3" max="11" width="11.42578125" style="1"/>
    <col min="12" max="12" width="0" style="1" hidden="1" customWidth="1"/>
    <col min="13" max="13" width="12.7109375" style="1" hidden="1" customWidth="1"/>
    <col min="14" max="15" width="0" style="1" hidden="1" customWidth="1"/>
    <col min="16" max="16384" width="11.42578125" style="1"/>
  </cols>
  <sheetData>
    <row r="1" spans="1:15" x14ac:dyDescent="0.25">
      <c r="A1" s="336" t="s">
        <v>0</v>
      </c>
      <c r="B1" s="336"/>
      <c r="C1" s="336"/>
      <c r="D1" s="336"/>
      <c r="E1" s="336"/>
      <c r="F1" s="336"/>
    </row>
    <row r="2" spans="1:15" x14ac:dyDescent="0.25">
      <c r="A2" s="336" t="s">
        <v>25</v>
      </c>
      <c r="B2" s="336"/>
      <c r="C2" s="336"/>
      <c r="D2" s="336"/>
      <c r="E2" s="336"/>
      <c r="F2" s="336"/>
    </row>
    <row r="3" spans="1:15" x14ac:dyDescent="0.25">
      <c r="A3" s="336" t="s">
        <v>39</v>
      </c>
      <c r="B3" s="336"/>
      <c r="C3" s="336"/>
      <c r="D3" s="336"/>
      <c r="E3" s="336"/>
      <c r="F3" s="336"/>
    </row>
    <row r="4" spans="1:15" x14ac:dyDescent="0.25">
      <c r="A4" s="336" t="s">
        <v>276</v>
      </c>
      <c r="B4" s="336"/>
      <c r="C4" s="336"/>
      <c r="D4" s="336"/>
      <c r="E4" s="336"/>
      <c r="F4" s="336"/>
    </row>
    <row r="5" spans="1:15" x14ac:dyDescent="0.25">
      <c r="A5" s="336" t="s">
        <v>274</v>
      </c>
      <c r="B5" s="336"/>
      <c r="C5" s="336"/>
      <c r="D5" s="336"/>
      <c r="E5" s="336"/>
      <c r="F5" s="336"/>
    </row>
    <row r="6" spans="1:15" ht="30.75" customHeight="1" x14ac:dyDescent="0.25">
      <c r="A6" s="337" t="s">
        <v>40</v>
      </c>
      <c r="B6" s="337"/>
      <c r="C6" s="337"/>
      <c r="D6" s="337"/>
      <c r="E6" s="337"/>
      <c r="F6" s="337"/>
      <c r="G6"/>
      <c r="H6"/>
      <c r="I6"/>
      <c r="J6"/>
      <c r="K6"/>
    </row>
    <row r="7" spans="1:15" ht="15" customHeight="1" x14ac:dyDescent="0.25">
      <c r="A7" s="143"/>
      <c r="B7" s="144" t="s">
        <v>41</v>
      </c>
      <c r="C7" s="144" t="s">
        <v>42</v>
      </c>
      <c r="D7" s="144" t="s">
        <v>23</v>
      </c>
      <c r="E7" s="144" t="s">
        <v>43</v>
      </c>
      <c r="F7" s="144" t="s">
        <v>44</v>
      </c>
      <c r="G7"/>
      <c r="H7"/>
      <c r="I7"/>
      <c r="J7"/>
      <c r="K7"/>
      <c r="L7" s="1" t="s">
        <v>45</v>
      </c>
    </row>
    <row r="8" spans="1:15" x14ac:dyDescent="0.25">
      <c r="A8" s="218" t="s">
        <v>21</v>
      </c>
      <c r="B8" s="205">
        <v>20719</v>
      </c>
      <c r="C8" s="205">
        <v>4861</v>
      </c>
      <c r="D8" s="330">
        <f>+B8+C8</f>
        <v>25580</v>
      </c>
      <c r="E8" s="20">
        <f>B8/D8</f>
        <v>0.80996872556684907</v>
      </c>
      <c r="F8" s="20">
        <f>+C8/D8</f>
        <v>0.1900312744331509</v>
      </c>
      <c r="G8"/>
      <c r="H8"/>
      <c r="I8"/>
      <c r="J8"/>
      <c r="K8"/>
      <c r="L8" s="14">
        <v>29288</v>
      </c>
    </row>
    <row r="9" spans="1:15" x14ac:dyDescent="0.25">
      <c r="A9" s="218" t="s">
        <v>20</v>
      </c>
      <c r="B9" s="205">
        <v>21325</v>
      </c>
      <c r="C9" s="205">
        <v>5002</v>
      </c>
      <c r="D9" s="330">
        <f t="shared" ref="D9:D22" si="0">+B9+C9</f>
        <v>26327</v>
      </c>
      <c r="E9" s="20">
        <f>B9/D9</f>
        <v>0.81000493789645611</v>
      </c>
      <c r="F9" s="20">
        <f>+C9/D9</f>
        <v>0.18999506210354389</v>
      </c>
      <c r="G9"/>
      <c r="H9"/>
      <c r="I9"/>
      <c r="J9"/>
      <c r="K9"/>
      <c r="L9" s="14">
        <v>29900</v>
      </c>
      <c r="O9" s="14">
        <f>+D9-D8</f>
        <v>747</v>
      </c>
    </row>
    <row r="10" spans="1:15" x14ac:dyDescent="0.25">
      <c r="A10" s="218" t="s">
        <v>34</v>
      </c>
      <c r="B10" s="205">
        <v>21251</v>
      </c>
      <c r="C10" s="205">
        <v>4985</v>
      </c>
      <c r="D10" s="330">
        <f>+B10+C10</f>
        <v>26236</v>
      </c>
      <c r="E10" s="20">
        <f>B10/D10</f>
        <v>0.80999390150937645</v>
      </c>
      <c r="F10" s="20">
        <f>+C10/D10</f>
        <v>0.19000609849062358</v>
      </c>
      <c r="G10"/>
      <c r="H10"/>
      <c r="I10"/>
      <c r="J10"/>
      <c r="K10"/>
      <c r="L10" s="14">
        <v>30160</v>
      </c>
      <c r="O10" s="14">
        <f>+D10-D9</f>
        <v>-91</v>
      </c>
    </row>
    <row r="11" spans="1:15" ht="25.5" x14ac:dyDescent="0.25">
      <c r="A11" s="141" t="s">
        <v>35</v>
      </c>
      <c r="B11" s="80">
        <f>AVERAGE(B8:B10)</f>
        <v>21098.333333333332</v>
      </c>
      <c r="C11" s="80">
        <f>AVERAGE(C8:C10)</f>
        <v>4949.333333333333</v>
      </c>
      <c r="D11" s="80">
        <f>AVERAGE(D8:D10)</f>
        <v>26047.666666666668</v>
      </c>
      <c r="E11" s="318">
        <f>+AVERAGE(E8:E10)</f>
        <v>0.80998918832422717</v>
      </c>
      <c r="F11" s="16">
        <f>+AVERAGE(F8:F10)</f>
        <v>0.1900108116757728</v>
      </c>
      <c r="G11"/>
      <c r="H11"/>
      <c r="I11"/>
      <c r="J11"/>
      <c r="K11"/>
      <c r="L11" s="14">
        <v>29782.666666666668</v>
      </c>
      <c r="M11" s="75">
        <f>+(D11-L11)/D11*100</f>
        <v>-14.33909627221888</v>
      </c>
      <c r="O11" s="14">
        <f>+D11-L11</f>
        <v>-3735</v>
      </c>
    </row>
    <row r="12" spans="1:15" hidden="1" x14ac:dyDescent="0.25">
      <c r="A12" s="53" t="s">
        <v>15</v>
      </c>
      <c r="B12" s="140"/>
      <c r="C12" s="140"/>
      <c r="D12" s="19">
        <f>+B12+C12</f>
        <v>0</v>
      </c>
      <c r="E12" s="20" t="e">
        <f>+B12/D12</f>
        <v>#DIV/0!</v>
      </c>
      <c r="F12" s="20" t="e">
        <f>+C12/D12</f>
        <v>#DIV/0!</v>
      </c>
      <c r="G12"/>
      <c r="H12"/>
      <c r="I12"/>
      <c r="J12"/>
      <c r="K12"/>
    </row>
    <row r="13" spans="1:15" hidden="1" x14ac:dyDescent="0.25">
      <c r="A13" s="53" t="s">
        <v>16</v>
      </c>
      <c r="B13" s="140"/>
      <c r="C13" s="140"/>
      <c r="D13" s="19">
        <f t="shared" si="0"/>
        <v>0</v>
      </c>
      <c r="E13" s="20" t="e">
        <f>+B13/D13</f>
        <v>#DIV/0!</v>
      </c>
      <c r="F13" s="20" t="e">
        <f>+C13/D13</f>
        <v>#DIV/0!</v>
      </c>
      <c r="G13"/>
      <c r="H13"/>
      <c r="I13"/>
      <c r="J13"/>
      <c r="K13"/>
    </row>
    <row r="14" spans="1:15" hidden="1" x14ac:dyDescent="0.25">
      <c r="A14" s="53" t="s">
        <v>17</v>
      </c>
      <c r="B14" s="140"/>
      <c r="C14" s="140"/>
      <c r="D14" s="19">
        <f t="shared" si="0"/>
        <v>0</v>
      </c>
      <c r="E14" s="20" t="e">
        <f>+B14/D14</f>
        <v>#DIV/0!</v>
      </c>
      <c r="F14" s="20" t="e">
        <f>+C14/D14</f>
        <v>#DIV/0!</v>
      </c>
      <c r="G14"/>
      <c r="H14"/>
      <c r="I14"/>
      <c r="J14"/>
      <c r="K14"/>
    </row>
    <row r="15" spans="1:15" ht="25.5" hidden="1" x14ac:dyDescent="0.25">
      <c r="A15" s="141" t="s">
        <v>33</v>
      </c>
      <c r="B15" s="8" t="e">
        <f>AVERAGE(B12:B14)</f>
        <v>#DIV/0!</v>
      </c>
      <c r="C15" s="8" t="e">
        <f>AVERAGE(C12:C14)</f>
        <v>#DIV/0!</v>
      </c>
      <c r="D15" s="8">
        <f>AVERAGE(D12:D14)</f>
        <v>0</v>
      </c>
      <c r="E15" s="16" t="e">
        <f>+AVERAGE(E12:E14)</f>
        <v>#DIV/0!</v>
      </c>
      <c r="F15" s="16" t="e">
        <f>+AVERAGE(F12:F14)</f>
        <v>#DIV/0!</v>
      </c>
      <c r="G15"/>
      <c r="H15"/>
      <c r="I15"/>
      <c r="J15"/>
      <c r="K15"/>
    </row>
    <row r="16" spans="1:15" hidden="1" x14ac:dyDescent="0.25">
      <c r="A16" s="53" t="s">
        <v>34</v>
      </c>
      <c r="B16" s="140"/>
      <c r="C16" s="140"/>
      <c r="D16" s="19">
        <f t="shared" si="0"/>
        <v>0</v>
      </c>
      <c r="E16" s="20" t="e">
        <f>+B16/D16</f>
        <v>#DIV/0!</v>
      </c>
      <c r="F16" s="20" t="e">
        <f>+C16/D16</f>
        <v>#DIV/0!</v>
      </c>
      <c r="G16"/>
      <c r="H16"/>
      <c r="I16"/>
      <c r="J16"/>
      <c r="K16"/>
    </row>
    <row r="17" spans="1:12" hidden="1" x14ac:dyDescent="0.25">
      <c r="A17" s="53" t="s">
        <v>20</v>
      </c>
      <c r="B17" s="140"/>
      <c r="C17" s="140"/>
      <c r="D17" s="19">
        <f t="shared" si="0"/>
        <v>0</v>
      </c>
      <c r="E17" s="20" t="e">
        <f>+B17/D17</f>
        <v>#DIV/0!</v>
      </c>
      <c r="F17" s="20" t="e">
        <f>+C17/D17</f>
        <v>#DIV/0!</v>
      </c>
      <c r="G17"/>
      <c r="H17"/>
      <c r="I17"/>
      <c r="J17"/>
      <c r="K17"/>
    </row>
    <row r="18" spans="1:12" hidden="1" x14ac:dyDescent="0.25">
      <c r="A18" s="53" t="s">
        <v>21</v>
      </c>
      <c r="B18" s="140"/>
      <c r="C18" s="140"/>
      <c r="D18" s="19">
        <f t="shared" si="0"/>
        <v>0</v>
      </c>
      <c r="E18" s="20" t="e">
        <f>+B18/D18</f>
        <v>#DIV/0!</v>
      </c>
      <c r="F18" s="20" t="e">
        <f>+C18/D18</f>
        <v>#DIV/0!</v>
      </c>
      <c r="G18"/>
      <c r="H18"/>
      <c r="I18"/>
      <c r="J18"/>
      <c r="K18"/>
    </row>
    <row r="19" spans="1:12" ht="25.5" hidden="1" x14ac:dyDescent="0.25">
      <c r="A19" s="141" t="s">
        <v>35</v>
      </c>
      <c r="B19" s="8" t="e">
        <f>AVERAGE(B16:B18)</f>
        <v>#DIV/0!</v>
      </c>
      <c r="C19" s="8" t="e">
        <f>AVERAGE(C16:C18)</f>
        <v>#DIV/0!</v>
      </c>
      <c r="D19" s="8">
        <f>AVERAGE(D16:D18)</f>
        <v>0</v>
      </c>
      <c r="E19" s="16" t="e">
        <f>+AVERAGE(E16:E18)</f>
        <v>#DIV/0!</v>
      </c>
      <c r="F19" s="16" t="e">
        <f>+AVERAGE(F16:F18)</f>
        <v>#DIV/0!</v>
      </c>
      <c r="G19"/>
      <c r="H19"/>
      <c r="I19"/>
      <c r="J19"/>
      <c r="K19"/>
    </row>
    <row r="20" spans="1:12" hidden="1" x14ac:dyDescent="0.25">
      <c r="A20" s="53" t="s">
        <v>13</v>
      </c>
      <c r="B20" s="140"/>
      <c r="C20" s="140"/>
      <c r="D20" s="19">
        <f t="shared" si="0"/>
        <v>0</v>
      </c>
      <c r="E20" s="20" t="e">
        <f>+B20/D20</f>
        <v>#DIV/0!</v>
      </c>
      <c r="F20" s="20" t="e">
        <f>+C20/D20</f>
        <v>#DIV/0!</v>
      </c>
      <c r="G20"/>
      <c r="H20"/>
      <c r="I20"/>
      <c r="J20"/>
      <c r="K20"/>
    </row>
    <row r="21" spans="1:12" hidden="1" x14ac:dyDescent="0.25">
      <c r="A21" s="53" t="s">
        <v>12</v>
      </c>
      <c r="B21" s="140"/>
      <c r="C21" s="140"/>
      <c r="D21" s="19">
        <f t="shared" si="0"/>
        <v>0</v>
      </c>
      <c r="E21" s="20" t="e">
        <f>+B21/D21</f>
        <v>#DIV/0!</v>
      </c>
      <c r="F21" s="20" t="e">
        <f>+C21/D21</f>
        <v>#DIV/0!</v>
      </c>
      <c r="G21"/>
      <c r="H21"/>
      <c r="I21"/>
      <c r="J21"/>
      <c r="K21"/>
    </row>
    <row r="22" spans="1:12" hidden="1" x14ac:dyDescent="0.25">
      <c r="A22" s="53" t="s">
        <v>11</v>
      </c>
      <c r="B22" s="140"/>
      <c r="C22" s="140"/>
      <c r="D22" s="19">
        <f t="shared" si="0"/>
        <v>0</v>
      </c>
      <c r="E22" s="20" t="e">
        <f>+B22/D22</f>
        <v>#DIV/0!</v>
      </c>
      <c r="F22" s="20" t="e">
        <f>+C22/D22</f>
        <v>#DIV/0!</v>
      </c>
      <c r="G22"/>
      <c r="H22"/>
      <c r="I22"/>
      <c r="J22"/>
      <c r="K22"/>
    </row>
    <row r="23" spans="1:12" ht="25.5" hidden="1" x14ac:dyDescent="0.25">
      <c r="A23" s="141" t="s">
        <v>36</v>
      </c>
      <c r="B23" s="8" t="e">
        <f t="shared" ref="B23:D24" si="1">AVERAGE(B20:B22)</f>
        <v>#DIV/0!</v>
      </c>
      <c r="C23" s="8" t="e">
        <f t="shared" si="1"/>
        <v>#DIV/0!</v>
      </c>
      <c r="D23" s="8">
        <f t="shared" si="1"/>
        <v>0</v>
      </c>
      <c r="E23" s="16" t="e">
        <f>+AVERAGE(E20:E22)</f>
        <v>#DIV/0!</v>
      </c>
      <c r="F23" s="16" t="e">
        <f>+AVERAGE(F20:F22)</f>
        <v>#DIV/0!</v>
      </c>
      <c r="G23"/>
      <c r="H23"/>
      <c r="I23"/>
      <c r="J23"/>
      <c r="K23"/>
    </row>
    <row r="24" spans="1:12" hidden="1" x14ac:dyDescent="0.25">
      <c r="A24" s="28" t="s">
        <v>23</v>
      </c>
      <c r="B24" s="10" t="e">
        <f t="shared" si="1"/>
        <v>#DIV/0!</v>
      </c>
      <c r="C24" s="10" t="e">
        <f t="shared" si="1"/>
        <v>#DIV/0!</v>
      </c>
      <c r="D24" s="17">
        <f t="shared" si="1"/>
        <v>0</v>
      </c>
      <c r="E24" s="10" t="e">
        <f>+AVERAGE(E21:E23)</f>
        <v>#DIV/0!</v>
      </c>
      <c r="F24" s="17" t="e">
        <f>+AVERAGE(F21:F23)</f>
        <v>#DIV/0!</v>
      </c>
      <c r="G24"/>
      <c r="H24"/>
      <c r="I24" s="74"/>
      <c r="J24" s="74"/>
      <c r="K24" s="74"/>
    </row>
    <row r="25" spans="1:12" x14ac:dyDescent="0.25">
      <c r="A25" s="226" t="s">
        <v>46</v>
      </c>
      <c r="B25"/>
      <c r="C25"/>
      <c r="D25"/>
      <c r="E25"/>
      <c r="F25"/>
      <c r="G25"/>
      <c r="H25"/>
      <c r="I25"/>
      <c r="J25"/>
      <c r="K25"/>
      <c r="L25" s="18"/>
    </row>
    <row r="26" spans="1:12" x14ac:dyDescent="0.25">
      <c r="A26" s="226"/>
      <c r="B26"/>
      <c r="C26"/>
      <c r="D26"/>
      <c r="E26"/>
      <c r="F26"/>
      <c r="G26"/>
      <c r="H26"/>
      <c r="I26"/>
      <c r="J26"/>
      <c r="K26"/>
    </row>
    <row r="27" spans="1:12" x14ac:dyDescent="0.25">
      <c r="A27"/>
      <c r="B27"/>
      <c r="C27"/>
      <c r="D27"/>
      <c r="E27"/>
      <c r="F27"/>
      <c r="G27"/>
      <c r="H27"/>
      <c r="I27"/>
      <c r="J27"/>
      <c r="K27"/>
    </row>
    <row r="28" spans="1:12" x14ac:dyDescent="0.25">
      <c r="A28"/>
      <c r="B28"/>
      <c r="C28"/>
      <c r="D28"/>
      <c r="E28"/>
      <c r="F28"/>
      <c r="G28"/>
      <c r="H28"/>
      <c r="I28"/>
      <c r="J28"/>
      <c r="K28"/>
    </row>
    <row r="29" spans="1:12" x14ac:dyDescent="0.25">
      <c r="A29"/>
      <c r="B29"/>
      <c r="C29"/>
      <c r="D29"/>
      <c r="E29"/>
      <c r="F29"/>
      <c r="G29"/>
      <c r="H29"/>
      <c r="I29"/>
      <c r="J29"/>
      <c r="K29"/>
    </row>
    <row r="30" spans="1:12" x14ac:dyDescent="0.25">
      <c r="A30"/>
      <c r="B30"/>
      <c r="C30"/>
      <c r="D30"/>
      <c r="E30"/>
      <c r="F30"/>
      <c r="G30"/>
      <c r="H30"/>
      <c r="I30"/>
      <c r="J30"/>
      <c r="K30"/>
    </row>
    <row r="31" spans="1:12" x14ac:dyDescent="0.25">
      <c r="A31"/>
      <c r="B31"/>
      <c r="C31"/>
      <c r="D31"/>
      <c r="E31"/>
      <c r="F31"/>
      <c r="G31"/>
      <c r="H31"/>
      <c r="I31"/>
      <c r="J31"/>
      <c r="K31"/>
    </row>
    <row r="32" spans="1:12" x14ac:dyDescent="0.25">
      <c r="A32"/>
      <c r="B32"/>
      <c r="C32"/>
      <c r="D32"/>
      <c r="E32"/>
      <c r="F32"/>
      <c r="G32"/>
      <c r="H32"/>
      <c r="I32"/>
      <c r="J32"/>
      <c r="K32"/>
    </row>
    <row r="33" spans="1:11" x14ac:dyDescent="0.25">
      <c r="A33"/>
      <c r="B33"/>
      <c r="C33"/>
      <c r="D33"/>
      <c r="E33"/>
      <c r="F33"/>
      <c r="G33"/>
      <c r="H33"/>
      <c r="I33"/>
      <c r="J33"/>
      <c r="K33"/>
    </row>
    <row r="34" spans="1:11" x14ac:dyDescent="0.25">
      <c r="A34"/>
      <c r="B34"/>
      <c r="C34"/>
      <c r="D34"/>
      <c r="E34"/>
      <c r="F34"/>
      <c r="G34"/>
      <c r="H34"/>
      <c r="I34"/>
      <c r="J34"/>
      <c r="K34"/>
    </row>
    <row r="35" spans="1:11" x14ac:dyDescent="0.25">
      <c r="A35"/>
      <c r="B35"/>
      <c r="C35"/>
      <c r="D35"/>
      <c r="E35"/>
      <c r="F35"/>
      <c r="G35"/>
      <c r="H35"/>
      <c r="I35"/>
      <c r="J35"/>
      <c r="K35"/>
    </row>
    <row r="36" spans="1:11" x14ac:dyDescent="0.25">
      <c r="A36"/>
      <c r="B36"/>
      <c r="C36"/>
      <c r="D36"/>
      <c r="E36"/>
      <c r="F36"/>
      <c r="G36"/>
      <c r="H36"/>
      <c r="I36"/>
      <c r="J36"/>
      <c r="K36"/>
    </row>
    <row r="37" spans="1:11" x14ac:dyDescent="0.25">
      <c r="A37"/>
      <c r="B37"/>
      <c r="C37"/>
      <c r="D37"/>
      <c r="E37"/>
      <c r="F37"/>
      <c r="G37"/>
      <c r="H37"/>
      <c r="I37"/>
      <c r="J37"/>
      <c r="K37"/>
    </row>
    <row r="38" spans="1:11" x14ac:dyDescent="0.25">
      <c r="A38"/>
      <c r="B38"/>
      <c r="C38"/>
      <c r="D38"/>
      <c r="E38"/>
      <c r="F38"/>
      <c r="G38"/>
      <c r="H38"/>
      <c r="I38"/>
      <c r="J38"/>
      <c r="K38"/>
    </row>
    <row r="44" spans="1:11" x14ac:dyDescent="0.25">
      <c r="A44" s="53"/>
      <c r="B44" s="140"/>
      <c r="C44" s="140"/>
      <c r="D44" s="19"/>
      <c r="E44" s="20"/>
      <c r="F44" s="20"/>
    </row>
    <row r="45" spans="1:11" x14ac:dyDescent="0.25">
      <c r="A45" s="53"/>
      <c r="B45" s="140"/>
      <c r="C45" s="140"/>
      <c r="D45" s="19"/>
      <c r="E45" s="20"/>
      <c r="F45" s="20"/>
    </row>
  </sheetData>
  <mergeCells count="6">
    <mergeCell ref="A6:F6"/>
    <mergeCell ref="A1:F1"/>
    <mergeCell ref="A2:F2"/>
    <mergeCell ref="A3:F3"/>
    <mergeCell ref="A5:F5"/>
    <mergeCell ref="A4:F4"/>
  </mergeCells>
  <pageMargins left="0.7" right="0.7" top="0.75" bottom="0.75" header="0.3" footer="0.3"/>
  <pageSetup paperSize="9" scale="67" orientation="portrait" r:id="rId1"/>
  <ignoredErrors>
    <ignoredError sqref="F11 D11"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K41"/>
  <sheetViews>
    <sheetView showGridLines="0" zoomScale="115" zoomScaleNormal="115" workbookViewId="0">
      <selection activeCell="K25" sqref="K25"/>
    </sheetView>
  </sheetViews>
  <sheetFormatPr defaultColWidth="11.42578125" defaultRowHeight="15" x14ac:dyDescent="0.25"/>
  <cols>
    <col min="1" max="1" width="11.7109375" style="1" customWidth="1"/>
    <col min="2" max="2" width="16.5703125" style="1" customWidth="1"/>
    <col min="3" max="3" width="19.7109375" style="1" customWidth="1"/>
    <col min="4" max="4" width="20" style="1" customWidth="1"/>
    <col min="5" max="16384" width="11.42578125" style="1"/>
  </cols>
  <sheetData>
    <row r="1" spans="1:11" x14ac:dyDescent="0.25">
      <c r="A1" s="336" t="s">
        <v>0</v>
      </c>
      <c r="B1" s="336"/>
      <c r="C1" s="336"/>
      <c r="D1" s="336"/>
      <c r="E1" s="21"/>
      <c r="F1" s="21"/>
    </row>
    <row r="2" spans="1:11" x14ac:dyDescent="0.25">
      <c r="A2" s="336" t="s">
        <v>25</v>
      </c>
      <c r="B2" s="336"/>
      <c r="C2" s="336"/>
      <c r="D2" s="336"/>
      <c r="E2" s="22"/>
      <c r="F2" s="22"/>
    </row>
    <row r="3" spans="1:11" x14ac:dyDescent="0.25">
      <c r="A3" s="336" t="s">
        <v>47</v>
      </c>
      <c r="B3" s="336"/>
      <c r="C3" s="336"/>
      <c r="D3" s="336"/>
      <c r="E3" s="22"/>
      <c r="F3" s="22"/>
    </row>
    <row r="4" spans="1:11" x14ac:dyDescent="0.25">
      <c r="A4" s="336" t="s">
        <v>276</v>
      </c>
      <c r="B4" s="336"/>
      <c r="C4" s="336"/>
      <c r="D4" s="336"/>
      <c r="E4" s="21"/>
      <c r="F4" s="21"/>
    </row>
    <row r="5" spans="1:11" x14ac:dyDescent="0.25">
      <c r="A5" s="336" t="s">
        <v>274</v>
      </c>
      <c r="B5" s="336"/>
      <c r="C5" s="336"/>
      <c r="D5" s="336"/>
      <c r="E5" s="22"/>
      <c r="F5" s="22"/>
    </row>
    <row r="6" spans="1:11" x14ac:dyDescent="0.25">
      <c r="A6" s="337" t="s">
        <v>48</v>
      </c>
      <c r="B6" s="337"/>
      <c r="C6" s="337"/>
      <c r="D6" s="337"/>
      <c r="E6"/>
      <c r="F6"/>
      <c r="G6"/>
      <c r="H6"/>
      <c r="I6"/>
      <c r="J6"/>
      <c r="K6"/>
    </row>
    <row r="7" spans="1:11" x14ac:dyDescent="0.25">
      <c r="A7" s="143"/>
      <c r="B7" s="130" t="s">
        <v>49</v>
      </c>
      <c r="C7" s="144" t="s">
        <v>50</v>
      </c>
      <c r="D7" s="144" t="s">
        <v>51</v>
      </c>
      <c r="E7"/>
      <c r="F7"/>
      <c r="G7"/>
      <c r="H7"/>
      <c r="I7"/>
      <c r="J7"/>
      <c r="K7"/>
    </row>
    <row r="8" spans="1:11" x14ac:dyDescent="0.25">
      <c r="A8" s="70" t="s">
        <v>21</v>
      </c>
      <c r="B8" s="237">
        <v>84186030.530000001</v>
      </c>
      <c r="C8" s="237">
        <v>11479913.25</v>
      </c>
      <c r="D8" s="310">
        <f>+B8+C8</f>
        <v>95665943.780000001</v>
      </c>
      <c r="E8"/>
      <c r="F8" s="146"/>
      <c r="G8" s="146"/>
      <c r="H8"/>
      <c r="I8"/>
      <c r="J8"/>
      <c r="K8"/>
    </row>
    <row r="9" spans="1:11" x14ac:dyDescent="0.25">
      <c r="A9" s="70" t="s">
        <v>20</v>
      </c>
      <c r="B9" s="237">
        <v>85710417.209999993</v>
      </c>
      <c r="C9" s="237">
        <v>11687784.16</v>
      </c>
      <c r="D9" s="310">
        <f>+B9+C9</f>
        <v>97398201.36999999</v>
      </c>
      <c r="E9"/>
      <c r="F9"/>
      <c r="G9"/>
      <c r="H9"/>
      <c r="I9"/>
      <c r="J9"/>
      <c r="K9"/>
    </row>
    <row r="10" spans="1:11" x14ac:dyDescent="0.25">
      <c r="A10" s="70" t="s">
        <v>34</v>
      </c>
      <c r="B10" s="237">
        <v>88165378.799999997</v>
      </c>
      <c r="C10" s="237">
        <v>12022551.66</v>
      </c>
      <c r="D10" s="310">
        <f>+B10+C10</f>
        <v>100187930.45999999</v>
      </c>
      <c r="E10"/>
      <c r="F10"/>
      <c r="G10"/>
      <c r="H10"/>
      <c r="I10"/>
      <c r="J10"/>
      <c r="K10"/>
    </row>
    <row r="11" spans="1:11" x14ac:dyDescent="0.25">
      <c r="A11" s="27" t="s">
        <v>22</v>
      </c>
      <c r="B11" s="252">
        <f>SUM(B8:B10)</f>
        <v>258061826.54000002</v>
      </c>
      <c r="C11" s="252">
        <f>SUM(C8:C10)</f>
        <v>35190249.07</v>
      </c>
      <c r="D11" s="252">
        <f>SUM(D8:D10)</f>
        <v>293252075.60999995</v>
      </c>
      <c r="E11"/>
      <c r="F11"/>
      <c r="G11"/>
      <c r="H11"/>
      <c r="I11"/>
      <c r="J11"/>
      <c r="K11"/>
    </row>
    <row r="12" spans="1:11" hidden="1" x14ac:dyDescent="0.25">
      <c r="A12" s="232" t="s">
        <v>15</v>
      </c>
      <c r="B12" s="145"/>
      <c r="C12" s="145"/>
      <c r="D12" s="26">
        <f>+B12+C12</f>
        <v>0</v>
      </c>
      <c r="E12"/>
      <c r="F12" s="146"/>
      <c r="G12" s="146"/>
      <c r="H12"/>
      <c r="I12"/>
      <c r="J12"/>
      <c r="K12"/>
    </row>
    <row r="13" spans="1:11" hidden="1" x14ac:dyDescent="0.25">
      <c r="A13" s="232" t="s">
        <v>16</v>
      </c>
      <c r="B13" s="145"/>
      <c r="C13" s="145"/>
      <c r="D13" s="26">
        <f>+B13+C13</f>
        <v>0</v>
      </c>
      <c r="E13"/>
      <c r="F13"/>
      <c r="G13"/>
      <c r="H13"/>
      <c r="I13"/>
      <c r="J13"/>
      <c r="K13"/>
    </row>
    <row r="14" spans="1:11" hidden="1" x14ac:dyDescent="0.25">
      <c r="A14" s="232" t="s">
        <v>17</v>
      </c>
      <c r="B14" s="145"/>
      <c r="C14" s="145"/>
      <c r="D14" s="26">
        <f>+B14+C14</f>
        <v>0</v>
      </c>
      <c r="E14"/>
      <c r="F14"/>
      <c r="G14"/>
      <c r="H14"/>
      <c r="I14"/>
      <c r="J14"/>
      <c r="K14"/>
    </row>
    <row r="15" spans="1:11" hidden="1" x14ac:dyDescent="0.25">
      <c r="A15" s="27" t="s">
        <v>18</v>
      </c>
      <c r="B15" s="8">
        <f>SUM(B12:B14)</f>
        <v>0</v>
      </c>
      <c r="C15" s="8">
        <f>SUM(C12:C14)</f>
        <v>0</v>
      </c>
      <c r="D15" s="8">
        <f>SUM(D12:D14)</f>
        <v>0</v>
      </c>
      <c r="E15"/>
      <c r="F15"/>
      <c r="G15"/>
      <c r="H15"/>
      <c r="I15"/>
      <c r="J15"/>
      <c r="K15"/>
    </row>
    <row r="16" spans="1:11" hidden="1" x14ac:dyDescent="0.25">
      <c r="A16" s="232" t="s">
        <v>34</v>
      </c>
      <c r="B16" s="145"/>
      <c r="C16" s="145"/>
      <c r="D16" s="26">
        <f>+B16+C16</f>
        <v>0</v>
      </c>
      <c r="E16"/>
      <c r="F16" s="146"/>
      <c r="G16" s="146"/>
      <c r="H16"/>
      <c r="I16"/>
      <c r="J16"/>
      <c r="K16"/>
    </row>
    <row r="17" spans="1:11" hidden="1" x14ac:dyDescent="0.25">
      <c r="A17" s="232" t="s">
        <v>20</v>
      </c>
      <c r="B17" s="145"/>
      <c r="C17" s="145"/>
      <c r="D17" s="26">
        <f>+B17+C17</f>
        <v>0</v>
      </c>
      <c r="E17"/>
      <c r="F17"/>
      <c r="G17"/>
      <c r="H17"/>
      <c r="I17"/>
      <c r="J17"/>
      <c r="K17"/>
    </row>
    <row r="18" spans="1:11" hidden="1" x14ac:dyDescent="0.25">
      <c r="A18" s="232" t="s">
        <v>21</v>
      </c>
      <c r="B18" s="145"/>
      <c r="C18" s="145"/>
      <c r="D18" s="26">
        <f>+B18+C18</f>
        <v>0</v>
      </c>
      <c r="E18"/>
      <c r="F18"/>
      <c r="G18"/>
      <c r="H18"/>
      <c r="I18"/>
      <c r="J18"/>
      <c r="K18"/>
    </row>
    <row r="19" spans="1:11" hidden="1" x14ac:dyDescent="0.25">
      <c r="A19" s="27" t="s">
        <v>22</v>
      </c>
      <c r="B19" s="8">
        <f>SUM(B16:B18)</f>
        <v>0</v>
      </c>
      <c r="C19" s="8">
        <f>SUM(C16:C18)</f>
        <v>0</v>
      </c>
      <c r="D19" s="8">
        <f>SUM(D16:D18)</f>
        <v>0</v>
      </c>
      <c r="E19"/>
      <c r="F19"/>
      <c r="G19"/>
      <c r="H19"/>
      <c r="I19"/>
      <c r="J19"/>
      <c r="K19"/>
    </row>
    <row r="20" spans="1:11" hidden="1" x14ac:dyDescent="0.25">
      <c r="A20" s="232" t="s">
        <v>13</v>
      </c>
      <c r="B20" s="145"/>
      <c r="C20" s="145"/>
      <c r="D20" s="26">
        <f>+B20+C20</f>
        <v>0</v>
      </c>
      <c r="E20"/>
      <c r="F20" s="146"/>
      <c r="G20" s="146"/>
      <c r="H20"/>
      <c r="I20"/>
      <c r="J20"/>
      <c r="K20"/>
    </row>
    <row r="21" spans="1:11" hidden="1" x14ac:dyDescent="0.25">
      <c r="A21" s="232" t="s">
        <v>12</v>
      </c>
      <c r="B21" s="145"/>
      <c r="C21" s="145"/>
      <c r="D21" s="26">
        <f>+B21+C21</f>
        <v>0</v>
      </c>
      <c r="E21"/>
      <c r="F21"/>
      <c r="G21"/>
      <c r="H21"/>
      <c r="I21"/>
      <c r="J21"/>
      <c r="K21"/>
    </row>
    <row r="22" spans="1:11" hidden="1" x14ac:dyDescent="0.25">
      <c r="A22" s="232" t="s">
        <v>11</v>
      </c>
      <c r="B22" s="145"/>
      <c r="C22" s="145"/>
      <c r="D22" s="26">
        <f>+B22+C22</f>
        <v>0</v>
      </c>
      <c r="E22"/>
      <c r="F22"/>
      <c r="G22"/>
      <c r="H22"/>
      <c r="I22"/>
      <c r="J22"/>
      <c r="K22"/>
    </row>
    <row r="23" spans="1:11" hidden="1" x14ac:dyDescent="0.25">
      <c r="A23" s="27" t="s">
        <v>14</v>
      </c>
      <c r="B23" s="8">
        <f>SUM(B20:B22)</f>
        <v>0</v>
      </c>
      <c r="C23" s="8">
        <f>SUM(C20:C22)</f>
        <v>0</v>
      </c>
      <c r="D23" s="8">
        <f>SUM(D20:D22)</f>
        <v>0</v>
      </c>
      <c r="E23"/>
      <c r="F23"/>
      <c r="G23"/>
      <c r="H23"/>
      <c r="I23"/>
      <c r="J23"/>
      <c r="K23"/>
    </row>
    <row r="24" spans="1:11" hidden="1" x14ac:dyDescent="0.25">
      <c r="A24" s="28" t="s">
        <v>23</v>
      </c>
      <c r="B24" s="23">
        <f>+B11+B15+B19+B23</f>
        <v>258061826.54000002</v>
      </c>
      <c r="C24" s="23">
        <f>+C11+C15+C19+C23</f>
        <v>35190249.07</v>
      </c>
      <c r="D24" s="23">
        <f>+D11+D15+D19+D23</f>
        <v>293252075.60999995</v>
      </c>
      <c r="E24"/>
      <c r="F24"/>
      <c r="G24"/>
      <c r="H24"/>
      <c r="I24"/>
      <c r="J24"/>
      <c r="K24"/>
    </row>
    <row r="25" spans="1:11" x14ac:dyDescent="0.25">
      <c r="A25" s="233" t="s">
        <v>52</v>
      </c>
      <c r="B25" s="234">
        <f>B11/D11</f>
        <v>0.88000000001091228</v>
      </c>
      <c r="C25" s="234">
        <f>C11/D11</f>
        <v>0.1199999999890879</v>
      </c>
      <c r="D25" s="235"/>
      <c r="E25"/>
      <c r="F25"/>
      <c r="G25"/>
      <c r="H25"/>
      <c r="I25"/>
      <c r="J25"/>
      <c r="K25"/>
    </row>
    <row r="26" spans="1:11" x14ac:dyDescent="0.25">
      <c r="A26" s="226" t="s">
        <v>46</v>
      </c>
      <c r="B26" s="210"/>
      <c r="C26"/>
      <c r="D26"/>
      <c r="E26"/>
      <c r="F26"/>
      <c r="G26"/>
      <c r="H26"/>
      <c r="I26"/>
      <c r="J26"/>
      <c r="K26"/>
    </row>
    <row r="27" spans="1:11" x14ac:dyDescent="0.25">
      <c r="A27" s="226"/>
      <c r="B27"/>
      <c r="C27"/>
      <c r="D27"/>
      <c r="E27"/>
      <c r="F27"/>
      <c r="G27"/>
      <c r="H27"/>
      <c r="I27"/>
      <c r="J27"/>
      <c r="K27"/>
    </row>
    <row r="28" spans="1:11" x14ac:dyDescent="0.25">
      <c r="A28"/>
      <c r="B28"/>
      <c r="C28"/>
      <c r="D28"/>
      <c r="E28"/>
      <c r="F28"/>
      <c r="G28"/>
      <c r="H28"/>
      <c r="I28"/>
      <c r="J28"/>
      <c r="K28"/>
    </row>
    <row r="29" spans="1:11" x14ac:dyDescent="0.25">
      <c r="A29"/>
      <c r="B29"/>
      <c r="C29"/>
      <c r="D29"/>
      <c r="E29"/>
      <c r="F29"/>
      <c r="G29"/>
      <c r="H29"/>
      <c r="I29"/>
      <c r="J29"/>
      <c r="K29"/>
    </row>
    <row r="30" spans="1:11" x14ac:dyDescent="0.25">
      <c r="A30"/>
      <c r="B30"/>
      <c r="C30"/>
      <c r="D30"/>
      <c r="E30"/>
      <c r="F30"/>
      <c r="G30"/>
      <c r="H30"/>
      <c r="I30"/>
      <c r="J30"/>
      <c r="K30"/>
    </row>
    <row r="31" spans="1:11" x14ac:dyDescent="0.25">
      <c r="A31"/>
      <c r="B31"/>
      <c r="C31"/>
      <c r="D31"/>
      <c r="E31"/>
      <c r="F31"/>
      <c r="G31"/>
      <c r="H31"/>
      <c r="I31"/>
      <c r="J31"/>
      <c r="K31"/>
    </row>
    <row r="32" spans="1:11" x14ac:dyDescent="0.25">
      <c r="A32"/>
      <c r="B32"/>
      <c r="C32"/>
      <c r="D32"/>
      <c r="E32"/>
      <c r="F32"/>
      <c r="G32"/>
      <c r="H32"/>
      <c r="I32"/>
      <c r="J32"/>
      <c r="K32"/>
    </row>
    <row r="33" spans="1:11" x14ac:dyDescent="0.25">
      <c r="A33"/>
      <c r="B33"/>
      <c r="C33"/>
      <c r="D33"/>
      <c r="E33"/>
      <c r="F33"/>
      <c r="G33" s="148"/>
      <c r="H33" s="148"/>
      <c r="I33" s="148"/>
      <c r="J33" s="148"/>
      <c r="K33" s="139"/>
    </row>
    <row r="34" spans="1:11" x14ac:dyDescent="0.25">
      <c r="A34"/>
      <c r="B34"/>
      <c r="C34"/>
      <c r="D34"/>
      <c r="E34"/>
      <c r="F34"/>
      <c r="G34"/>
      <c r="H34"/>
      <c r="I34"/>
      <c r="J34"/>
      <c r="K34"/>
    </row>
    <row r="35" spans="1:11" x14ac:dyDescent="0.25">
      <c r="A35"/>
      <c r="B35"/>
      <c r="C35"/>
      <c r="D35"/>
      <c r="E35"/>
      <c r="F35"/>
      <c r="G35"/>
      <c r="H35"/>
      <c r="I35"/>
      <c r="J35"/>
      <c r="K35"/>
    </row>
    <row r="36" spans="1:11" x14ac:dyDescent="0.25">
      <c r="A36"/>
      <c r="B36"/>
      <c r="C36"/>
      <c r="D36"/>
      <c r="E36"/>
      <c r="F36"/>
      <c r="G36"/>
      <c r="H36"/>
      <c r="I36"/>
      <c r="J36"/>
      <c r="K36"/>
    </row>
    <row r="37" spans="1:11" x14ac:dyDescent="0.25">
      <c r="A37"/>
      <c r="B37"/>
      <c r="C37"/>
      <c r="D37"/>
      <c r="E37"/>
      <c r="F37"/>
      <c r="G37"/>
      <c r="H37"/>
      <c r="I37"/>
      <c r="J37"/>
      <c r="K37"/>
    </row>
    <row r="38" spans="1:11" x14ac:dyDescent="0.25">
      <c r="A38"/>
      <c r="B38"/>
      <c r="C38"/>
      <c r="D38"/>
      <c r="E38"/>
      <c r="F38"/>
      <c r="G38"/>
      <c r="H38"/>
      <c r="I38"/>
      <c r="J38"/>
      <c r="K38"/>
    </row>
    <row r="39" spans="1:11" x14ac:dyDescent="0.25">
      <c r="A39"/>
      <c r="B39"/>
      <c r="C39"/>
      <c r="D39"/>
      <c r="E39"/>
      <c r="F39"/>
      <c r="G39"/>
      <c r="H39"/>
      <c r="I39"/>
      <c r="J39"/>
      <c r="K39"/>
    </row>
    <row r="40" spans="1:11" x14ac:dyDescent="0.25">
      <c r="A40" s="53"/>
      <c r="B40" s="145"/>
      <c r="C40" s="145"/>
      <c r="D40" s="26"/>
    </row>
    <row r="41" spans="1:11" x14ac:dyDescent="0.25">
      <c r="A41" s="53"/>
      <c r="B41" s="145"/>
      <c r="C41" s="145"/>
      <c r="D41" s="26"/>
    </row>
  </sheetData>
  <mergeCells count="6">
    <mergeCell ref="A6:D6"/>
    <mergeCell ref="A1:D1"/>
    <mergeCell ref="A2:D2"/>
    <mergeCell ref="A3:D3"/>
    <mergeCell ref="A5:D5"/>
    <mergeCell ref="A4:D4"/>
  </mergeCells>
  <pageMargins left="0.7" right="0.7" top="0.75" bottom="0.75" header="0.3" footer="0.3"/>
  <pageSetup paperSize="9" scale="64" orientation="portrait" r:id="rId1"/>
  <colBreaks count="1" manualBreakCount="1">
    <brk id="12" max="1048575" man="1"/>
  </colBreaks>
  <ignoredErrors>
    <ignoredError sqref="D11"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J42"/>
  <sheetViews>
    <sheetView showGridLines="0" zoomScale="130" zoomScaleNormal="130" zoomScaleSheetLayoutView="115" workbookViewId="0">
      <selection activeCell="H10" sqref="H10"/>
    </sheetView>
  </sheetViews>
  <sheetFormatPr defaultColWidth="11.42578125" defaultRowHeight="15" x14ac:dyDescent="0.25"/>
  <cols>
    <col min="1" max="1" width="21.42578125" style="1" customWidth="1"/>
    <col min="2" max="2" width="15.7109375" style="1" customWidth="1"/>
    <col min="3" max="3" width="21.140625" style="1" customWidth="1"/>
    <col min="4" max="4" width="16.7109375" style="1" customWidth="1"/>
    <col min="5" max="16384" width="11.42578125" style="1"/>
  </cols>
  <sheetData>
    <row r="1" spans="1:7" x14ac:dyDescent="0.25">
      <c r="A1" s="336" t="s">
        <v>0</v>
      </c>
      <c r="B1" s="336"/>
      <c r="C1" s="336"/>
      <c r="D1" s="336"/>
    </row>
    <row r="2" spans="1:7" x14ac:dyDescent="0.25">
      <c r="A2" s="336" t="s">
        <v>25</v>
      </c>
      <c r="B2" s="336"/>
      <c r="C2" s="336"/>
      <c r="D2" s="336"/>
    </row>
    <row r="3" spans="1:7" x14ac:dyDescent="0.25">
      <c r="A3" s="336" t="s">
        <v>53</v>
      </c>
      <c r="B3" s="336"/>
      <c r="C3" s="336"/>
      <c r="D3" s="336"/>
    </row>
    <row r="4" spans="1:7" x14ac:dyDescent="0.25">
      <c r="A4" s="336" t="s">
        <v>276</v>
      </c>
      <c r="B4" s="336"/>
      <c r="C4" s="336"/>
      <c r="D4" s="336"/>
    </row>
    <row r="5" spans="1:7" x14ac:dyDescent="0.25">
      <c r="A5" s="336" t="s">
        <v>274</v>
      </c>
      <c r="B5" s="336"/>
      <c r="C5" s="336"/>
      <c r="D5" s="336"/>
    </row>
    <row r="6" spans="1:7" x14ac:dyDescent="0.25">
      <c r="A6" s="337" t="s">
        <v>53</v>
      </c>
      <c r="B6" s="337"/>
      <c r="C6" s="337"/>
      <c r="D6" s="337"/>
      <c r="E6"/>
      <c r="F6"/>
      <c r="G6"/>
    </row>
    <row r="7" spans="1:7" x14ac:dyDescent="0.25">
      <c r="A7" s="143"/>
      <c r="B7" s="144" t="s">
        <v>54</v>
      </c>
      <c r="C7" s="144" t="s">
        <v>55</v>
      </c>
      <c r="D7" s="144" t="s">
        <v>56</v>
      </c>
      <c r="E7"/>
      <c r="F7"/>
      <c r="G7"/>
    </row>
    <row r="8" spans="1:7" x14ac:dyDescent="0.25">
      <c r="A8" s="218" t="s">
        <v>21</v>
      </c>
      <c r="B8" s="189">
        <v>25580</v>
      </c>
      <c r="C8" s="140">
        <f>+B8-B9</f>
        <v>-1974</v>
      </c>
      <c r="D8" s="188">
        <f>C8/B9</f>
        <v>-7.1641141032155048E-2</v>
      </c>
      <c r="E8"/>
      <c r="F8"/>
      <c r="G8"/>
    </row>
    <row r="9" spans="1:7" x14ac:dyDescent="0.25">
      <c r="A9" s="218" t="s">
        <v>20</v>
      </c>
      <c r="B9" s="189">
        <v>27554</v>
      </c>
      <c r="C9" s="140">
        <f>+B9-B10</f>
        <v>-536</v>
      </c>
      <c r="D9" s="20">
        <f>C9/B10</f>
        <v>-1.9081523673905306E-2</v>
      </c>
      <c r="E9"/>
      <c r="F9"/>
      <c r="G9"/>
    </row>
    <row r="10" spans="1:7" x14ac:dyDescent="0.25">
      <c r="A10" s="218" t="s">
        <v>34</v>
      </c>
      <c r="B10" s="189">
        <v>28090</v>
      </c>
      <c r="C10" s="140">
        <f>+B10-26949</f>
        <v>1141</v>
      </c>
      <c r="D10" s="20">
        <f>C10/31800</f>
        <v>3.5880503144654088E-2</v>
      </c>
      <c r="E10"/>
      <c r="F10"/>
      <c r="G10"/>
    </row>
    <row r="11" spans="1:7" x14ac:dyDescent="0.25">
      <c r="A11" s="27" t="s">
        <v>22</v>
      </c>
      <c r="B11" s="80">
        <f>SUM(B8:B10)</f>
        <v>81224</v>
      </c>
      <c r="C11" s="80">
        <f>+B11-82471</f>
        <v>-1247</v>
      </c>
      <c r="D11" s="239">
        <f>C11/96646</f>
        <v>-1.2902758520787204E-2</v>
      </c>
      <c r="E11"/>
      <c r="F11" s="74"/>
      <c r="G11" s="146"/>
    </row>
    <row r="12" spans="1:7" hidden="1" x14ac:dyDescent="0.25">
      <c r="A12" s="53" t="s">
        <v>15</v>
      </c>
      <c r="B12" s="134"/>
      <c r="C12" s="150">
        <f>+B12-B10</f>
        <v>-28090</v>
      </c>
      <c r="D12"/>
      <c r="E12"/>
      <c r="F12"/>
      <c r="G12"/>
    </row>
    <row r="13" spans="1:7" hidden="1" x14ac:dyDescent="0.25">
      <c r="A13" s="53" t="s">
        <v>16</v>
      </c>
      <c r="B13" s="134"/>
      <c r="C13" s="150">
        <f>+B13-B12</f>
        <v>0</v>
      </c>
      <c r="D13"/>
      <c r="E13"/>
      <c r="F13"/>
      <c r="G13"/>
    </row>
    <row r="14" spans="1:7" hidden="1" x14ac:dyDescent="0.25">
      <c r="A14" s="53" t="s">
        <v>17</v>
      </c>
      <c r="B14" s="134"/>
      <c r="C14" s="150">
        <f>+B14-B13</f>
        <v>0</v>
      </c>
      <c r="D14"/>
      <c r="E14"/>
      <c r="F14"/>
      <c r="G14"/>
    </row>
    <row r="15" spans="1:7" hidden="1" x14ac:dyDescent="0.25">
      <c r="A15" s="27" t="s">
        <v>18</v>
      </c>
      <c r="B15" s="8">
        <f>SUM(B12:B14)</f>
        <v>0</v>
      </c>
      <c r="C15" s="73">
        <f>+B15-B11</f>
        <v>-81224</v>
      </c>
      <c r="D15" s="16">
        <f>+(B15-B11)/B11</f>
        <v>-1</v>
      </c>
      <c r="E15"/>
      <c r="F15" s="74"/>
      <c r="G15"/>
    </row>
    <row r="16" spans="1:7" hidden="1" x14ac:dyDescent="0.25">
      <c r="A16" s="53" t="s">
        <v>34</v>
      </c>
      <c r="B16" s="134"/>
      <c r="C16" s="150">
        <f>+B16-B14</f>
        <v>0</v>
      </c>
      <c r="D16"/>
      <c r="E16"/>
      <c r="F16"/>
      <c r="G16"/>
    </row>
    <row r="17" spans="1:10" hidden="1" x14ac:dyDescent="0.25">
      <c r="A17" s="53" t="s">
        <v>20</v>
      </c>
      <c r="B17" s="134"/>
      <c r="C17" s="150">
        <f>+B17-B16</f>
        <v>0</v>
      </c>
      <c r="D17"/>
      <c r="E17"/>
      <c r="F17"/>
      <c r="G17"/>
    </row>
    <row r="18" spans="1:10" hidden="1" x14ac:dyDescent="0.25">
      <c r="A18" s="53" t="s">
        <v>21</v>
      </c>
      <c r="B18" s="134"/>
      <c r="C18" s="150">
        <f>+B18-B17</f>
        <v>0</v>
      </c>
      <c r="D18"/>
      <c r="E18"/>
      <c r="F18"/>
      <c r="G18"/>
    </row>
    <row r="19" spans="1:10" hidden="1" x14ac:dyDescent="0.25">
      <c r="A19" s="27" t="s">
        <v>22</v>
      </c>
      <c r="B19" s="8">
        <f>SUM(B16:B18)</f>
        <v>0</v>
      </c>
      <c r="C19" s="73">
        <f>+B19-B15</f>
        <v>0</v>
      </c>
      <c r="D19" s="73" t="e">
        <f>+(B19-B15)/B15</f>
        <v>#DIV/0!</v>
      </c>
      <c r="E19"/>
      <c r="F19" s="74"/>
      <c r="G19"/>
    </row>
    <row r="20" spans="1:10" hidden="1" x14ac:dyDescent="0.25">
      <c r="A20" s="53" t="s">
        <v>13</v>
      </c>
      <c r="B20" s="134"/>
      <c r="C20" s="150">
        <f>+B20-B18</f>
        <v>0</v>
      </c>
      <c r="D20"/>
      <c r="E20"/>
      <c r="F20"/>
      <c r="G20"/>
    </row>
    <row r="21" spans="1:10" hidden="1" x14ac:dyDescent="0.25">
      <c r="A21" s="53" t="s">
        <v>12</v>
      </c>
      <c r="B21" s="134"/>
      <c r="C21" s="150">
        <f>+B21-B20</f>
        <v>0</v>
      </c>
      <c r="D21"/>
      <c r="E21"/>
      <c r="F21"/>
      <c r="G21"/>
    </row>
    <row r="22" spans="1:10" hidden="1" x14ac:dyDescent="0.25">
      <c r="A22" s="53" t="s">
        <v>11</v>
      </c>
      <c r="B22" s="134"/>
      <c r="C22" s="150">
        <f>+B22-B21</f>
        <v>0</v>
      </c>
      <c r="D22"/>
      <c r="E22"/>
      <c r="F22"/>
      <c r="G22"/>
    </row>
    <row r="23" spans="1:10" hidden="1" x14ac:dyDescent="0.25">
      <c r="A23" s="27" t="s">
        <v>14</v>
      </c>
      <c r="B23" s="8">
        <f>SUM(B20:B22)</f>
        <v>0</v>
      </c>
      <c r="C23" s="73">
        <f>+B23-B19</f>
        <v>0</v>
      </c>
      <c r="D23" s="73" t="e">
        <f>+(B23-B19)/B19</f>
        <v>#DIV/0!</v>
      </c>
      <c r="E23"/>
      <c r="F23" s="74"/>
      <c r="G23"/>
    </row>
    <row r="24" spans="1:10" hidden="1" x14ac:dyDescent="0.25">
      <c r="A24" s="28" t="s">
        <v>23</v>
      </c>
      <c r="B24" s="29">
        <f>+B11+B15+B19+B23</f>
        <v>81224</v>
      </c>
      <c r="C24" s="29"/>
      <c r="D24" s="29"/>
      <c r="E24"/>
      <c r="F24"/>
      <c r="G24"/>
    </row>
    <row r="25" spans="1:10" ht="5.25" customHeight="1" x14ac:dyDescent="0.25">
      <c r="A25" s="338"/>
      <c r="B25" s="338"/>
      <c r="C25" s="338"/>
      <c r="D25" s="338"/>
      <c r="E25"/>
      <c r="F25"/>
      <c r="G25"/>
    </row>
    <row r="26" spans="1:10" ht="13.5" customHeight="1" x14ac:dyDescent="0.25">
      <c r="A26" s="226" t="s">
        <v>291</v>
      </c>
      <c r="B26" s="139"/>
      <c r="C26" s="139"/>
      <c r="D26" s="139"/>
      <c r="E26" s="139"/>
      <c r="F26" s="139"/>
      <c r="G26"/>
    </row>
    <row r="27" spans="1:10" x14ac:dyDescent="0.25">
      <c r="A27" s="226"/>
      <c r="B27"/>
      <c r="C27"/>
      <c r="D27"/>
      <c r="E27"/>
      <c r="F27"/>
      <c r="G27"/>
    </row>
    <row r="28" spans="1:10" x14ac:dyDescent="0.25">
      <c r="A28"/>
      <c r="B28"/>
      <c r="C28"/>
      <c r="D28"/>
      <c r="E28"/>
      <c r="F28"/>
      <c r="G28"/>
    </row>
    <row r="29" spans="1:10" x14ac:dyDescent="0.25">
      <c r="A29"/>
      <c r="B29"/>
      <c r="C29"/>
      <c r="D29"/>
      <c r="E29"/>
      <c r="F29"/>
      <c r="G29"/>
      <c r="J29" s="33"/>
    </row>
    <row r="30" spans="1:10" x14ac:dyDescent="0.25">
      <c r="A30"/>
      <c r="B30"/>
      <c r="C30"/>
      <c r="D30"/>
      <c r="E30"/>
      <c r="F30"/>
      <c r="G30"/>
    </row>
    <row r="31" spans="1:10" x14ac:dyDescent="0.25">
      <c r="A31"/>
      <c r="B31"/>
      <c r="C31"/>
      <c r="D31"/>
      <c r="E31"/>
      <c r="F31"/>
      <c r="G31"/>
    </row>
    <row r="32" spans="1:10" x14ac:dyDescent="0.25">
      <c r="A32"/>
      <c r="B32"/>
      <c r="C32"/>
      <c r="D32"/>
      <c r="E32"/>
      <c r="F32"/>
      <c r="G32"/>
    </row>
    <row r="33" spans="1:7" x14ac:dyDescent="0.25">
      <c r="A33"/>
      <c r="B33"/>
      <c r="C33"/>
      <c r="D33"/>
      <c r="E33"/>
      <c r="F33"/>
      <c r="G33"/>
    </row>
    <row r="34" spans="1:7" x14ac:dyDescent="0.25">
      <c r="A34"/>
      <c r="B34"/>
      <c r="C34"/>
      <c r="D34"/>
      <c r="E34"/>
      <c r="F34"/>
      <c r="G34"/>
    </row>
    <row r="35" spans="1:7" x14ac:dyDescent="0.25">
      <c r="A35"/>
      <c r="B35"/>
      <c r="C35"/>
      <c r="D35"/>
      <c r="E35"/>
      <c r="F35"/>
      <c r="G35"/>
    </row>
    <row r="36" spans="1:7" x14ac:dyDescent="0.25">
      <c r="A36"/>
      <c r="B36"/>
      <c r="C36"/>
      <c r="D36"/>
      <c r="E36"/>
      <c r="F36"/>
      <c r="G36"/>
    </row>
    <row r="37" spans="1:7" x14ac:dyDescent="0.25">
      <c r="A37"/>
      <c r="B37"/>
      <c r="C37"/>
      <c r="D37"/>
      <c r="E37"/>
      <c r="F37"/>
      <c r="G37"/>
    </row>
    <row r="38" spans="1:7" x14ac:dyDescent="0.25">
      <c r="A38"/>
      <c r="B38"/>
      <c r="C38"/>
      <c r="D38"/>
      <c r="E38"/>
      <c r="F38"/>
      <c r="G38"/>
    </row>
    <row r="39" spans="1:7" x14ac:dyDescent="0.25">
      <c r="A39"/>
      <c r="B39"/>
      <c r="C39"/>
      <c r="D39"/>
      <c r="E39"/>
      <c r="F39"/>
      <c r="G39"/>
    </row>
    <row r="41" spans="1:7" x14ac:dyDescent="0.25">
      <c r="A41" s="53"/>
      <c r="B41" s="134"/>
      <c r="C41" s="140"/>
      <c r="D41" s="149"/>
    </row>
    <row r="42" spans="1:7" x14ac:dyDescent="0.25">
      <c r="A42" s="53"/>
      <c r="B42" s="134"/>
      <c r="C42" s="140"/>
      <c r="D42" s="20"/>
    </row>
  </sheetData>
  <mergeCells count="7">
    <mergeCell ref="A25:D25"/>
    <mergeCell ref="A6:D6"/>
    <mergeCell ref="A1:D1"/>
    <mergeCell ref="A2:D2"/>
    <mergeCell ref="A3:D3"/>
    <mergeCell ref="A4:D4"/>
    <mergeCell ref="A5:D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G44"/>
  <sheetViews>
    <sheetView showGridLines="0" zoomScale="145" zoomScaleNormal="145" zoomScaleSheetLayoutView="130" workbookViewId="0">
      <selection activeCell="H9" sqref="H9"/>
    </sheetView>
  </sheetViews>
  <sheetFormatPr defaultColWidth="11.42578125" defaultRowHeight="15" x14ac:dyDescent="0.25"/>
  <cols>
    <col min="1" max="1" width="15" style="1" customWidth="1"/>
    <col min="2" max="2" width="22" style="1" customWidth="1"/>
    <col min="3" max="4" width="20.42578125" style="1" customWidth="1"/>
    <col min="5" max="16384" width="11.42578125" style="1"/>
  </cols>
  <sheetData>
    <row r="1" spans="1:7" x14ac:dyDescent="0.25">
      <c r="A1" s="339" t="s">
        <v>0</v>
      </c>
      <c r="B1" s="339"/>
      <c r="C1" s="339"/>
      <c r="D1" s="339"/>
      <c r="E1" s="22"/>
      <c r="F1" s="22"/>
      <c r="G1" s="22"/>
    </row>
    <row r="2" spans="1:7" x14ac:dyDescent="0.25">
      <c r="A2" s="336" t="s">
        <v>25</v>
      </c>
      <c r="B2" s="336"/>
      <c r="C2" s="336"/>
      <c r="D2" s="336"/>
      <c r="E2" s="22"/>
      <c r="F2" s="22"/>
      <c r="G2" s="22"/>
    </row>
    <row r="3" spans="1:7" x14ac:dyDescent="0.25">
      <c r="A3" s="336" t="s">
        <v>58</v>
      </c>
      <c r="B3" s="336"/>
      <c r="C3" s="336"/>
      <c r="D3" s="336"/>
      <c r="E3" s="22"/>
      <c r="F3" s="22"/>
      <c r="G3" s="22"/>
    </row>
    <row r="4" spans="1:7" x14ac:dyDescent="0.25">
      <c r="A4" s="339" t="s">
        <v>276</v>
      </c>
      <c r="B4" s="339"/>
      <c r="C4" s="339"/>
      <c r="D4" s="339"/>
      <c r="E4" s="21"/>
      <c r="F4" s="22"/>
      <c r="G4" s="22"/>
    </row>
    <row r="5" spans="1:7" x14ac:dyDescent="0.25">
      <c r="A5" s="336" t="s">
        <v>274</v>
      </c>
      <c r="B5" s="336"/>
      <c r="C5" s="336"/>
      <c r="D5" s="336"/>
      <c r="E5" s="22"/>
      <c r="F5" s="22"/>
      <c r="G5" s="22"/>
    </row>
    <row r="6" spans="1:7" ht="15" customHeight="1" x14ac:dyDescent="0.25">
      <c r="A6" s="337" t="s">
        <v>58</v>
      </c>
      <c r="B6" s="337"/>
      <c r="C6" s="337"/>
      <c r="D6" s="337"/>
      <c r="E6"/>
      <c r="F6"/>
    </row>
    <row r="7" spans="1:7" x14ac:dyDescent="0.25">
      <c r="A7" s="143" t="s">
        <v>3</v>
      </c>
      <c r="B7" s="130" t="s">
        <v>59</v>
      </c>
      <c r="C7" s="130" t="s">
        <v>60</v>
      </c>
      <c r="D7" s="130" t="s">
        <v>61</v>
      </c>
      <c r="E7"/>
      <c r="F7"/>
    </row>
    <row r="8" spans="1:7" x14ac:dyDescent="0.25">
      <c r="A8" s="218" t="s">
        <v>21</v>
      </c>
      <c r="B8" s="321">
        <v>0</v>
      </c>
      <c r="C8" s="151">
        <v>2</v>
      </c>
      <c r="D8" s="294">
        <v>2281982.38</v>
      </c>
      <c r="E8"/>
      <c r="F8"/>
    </row>
    <row r="9" spans="1:7" x14ac:dyDescent="0.25">
      <c r="A9" s="218" t="s">
        <v>20</v>
      </c>
      <c r="B9" s="151">
        <v>201</v>
      </c>
      <c r="C9" s="151">
        <v>2</v>
      </c>
      <c r="D9" s="294">
        <v>441071188.18000001</v>
      </c>
      <c r="E9"/>
      <c r="F9"/>
      <c r="G9" s="53"/>
    </row>
    <row r="10" spans="1:7" x14ac:dyDescent="0.25">
      <c r="A10" s="218" t="s">
        <v>34</v>
      </c>
      <c r="B10" s="151">
        <v>178</v>
      </c>
      <c r="C10" s="151">
        <v>4</v>
      </c>
      <c r="D10" s="294">
        <v>311824755.19999999</v>
      </c>
      <c r="E10"/>
      <c r="F10"/>
      <c r="G10" s="53"/>
    </row>
    <row r="11" spans="1:7" x14ac:dyDescent="0.25">
      <c r="A11" s="27" t="s">
        <v>22</v>
      </c>
      <c r="B11" s="8">
        <f>SUM(B8:B10)</f>
        <v>379</v>
      </c>
      <c r="C11" s="80">
        <f>SUM(C8:C10)</f>
        <v>8</v>
      </c>
      <c r="D11" s="295">
        <f>SUM(D8:D10)</f>
        <v>755177925.75999999</v>
      </c>
      <c r="E11"/>
      <c r="F11"/>
      <c r="G11" s="53"/>
    </row>
    <row r="12" spans="1:7" hidden="1" x14ac:dyDescent="0.25">
      <c r="A12" s="53" t="s">
        <v>15</v>
      </c>
      <c r="B12" s="151"/>
      <c r="C12" s="151"/>
      <c r="D12" s="151"/>
      <c r="E12"/>
      <c r="F12"/>
    </row>
    <row r="13" spans="1:7" hidden="1" x14ac:dyDescent="0.25">
      <c r="A13" s="53" t="s">
        <v>16</v>
      </c>
      <c r="B13" s="151"/>
      <c r="C13" s="151"/>
      <c r="D13" s="151"/>
      <c r="E13"/>
      <c r="F13"/>
    </row>
    <row r="14" spans="1:7" hidden="1" x14ac:dyDescent="0.25">
      <c r="A14" s="53" t="s">
        <v>17</v>
      </c>
      <c r="B14" s="151"/>
      <c r="C14" s="151"/>
      <c r="D14" s="151"/>
      <c r="E14"/>
      <c r="F14"/>
    </row>
    <row r="15" spans="1:7" hidden="1" x14ac:dyDescent="0.25">
      <c r="A15" s="27" t="s">
        <v>62</v>
      </c>
      <c r="B15" s="8">
        <f>SUM(B12:B14)</f>
        <v>0</v>
      </c>
      <c r="C15" s="8">
        <f>SUM(C12:C14)</f>
        <v>0</v>
      </c>
      <c r="D15" s="8"/>
      <c r="E15"/>
      <c r="F15"/>
    </row>
    <row r="16" spans="1:7" hidden="1" x14ac:dyDescent="0.25">
      <c r="A16" s="53" t="s">
        <v>34</v>
      </c>
      <c r="B16" s="151"/>
      <c r="C16" s="151"/>
      <c r="D16" s="151"/>
      <c r="E16"/>
      <c r="F16"/>
    </row>
    <row r="17" spans="1:6" hidden="1" x14ac:dyDescent="0.25">
      <c r="A17" s="53" t="s">
        <v>20</v>
      </c>
      <c r="B17" s="151"/>
      <c r="C17" s="151"/>
      <c r="D17" s="151"/>
      <c r="E17"/>
      <c r="F17"/>
    </row>
    <row r="18" spans="1:6" hidden="1" x14ac:dyDescent="0.25">
      <c r="A18" s="53" t="s">
        <v>21</v>
      </c>
      <c r="B18" s="151"/>
      <c r="C18" s="151"/>
      <c r="D18" s="151"/>
      <c r="E18"/>
      <c r="F18"/>
    </row>
    <row r="19" spans="1:6" hidden="1" x14ac:dyDescent="0.25">
      <c r="A19" s="27" t="s">
        <v>63</v>
      </c>
      <c r="B19" s="8">
        <f>SUM(B16:B18)</f>
        <v>0</v>
      </c>
      <c r="C19" s="8">
        <f>SUM(C16:C18)</f>
        <v>0</v>
      </c>
      <c r="D19" s="8"/>
      <c r="E19"/>
      <c r="F19"/>
    </row>
    <row r="20" spans="1:6" hidden="1" x14ac:dyDescent="0.25">
      <c r="A20" s="53" t="s">
        <v>13</v>
      </c>
      <c r="B20" s="151"/>
      <c r="C20" s="151"/>
      <c r="D20" s="151"/>
      <c r="E20"/>
      <c r="F20"/>
    </row>
    <row r="21" spans="1:6" hidden="1" x14ac:dyDescent="0.25">
      <c r="A21" s="53" t="s">
        <v>12</v>
      </c>
      <c r="B21" s="151"/>
      <c r="C21" s="151"/>
      <c r="D21" s="151"/>
      <c r="E21"/>
      <c r="F21"/>
    </row>
    <row r="22" spans="1:6" hidden="1" x14ac:dyDescent="0.25">
      <c r="A22" s="53" t="s">
        <v>11</v>
      </c>
      <c r="B22" s="151"/>
      <c r="C22" s="151"/>
      <c r="D22" s="151"/>
      <c r="E22"/>
      <c r="F22"/>
    </row>
    <row r="23" spans="1:6" hidden="1" x14ac:dyDescent="0.25">
      <c r="A23" s="27" t="s">
        <v>64</v>
      </c>
      <c r="B23" s="8">
        <f>SUM(B20:B22)</f>
        <v>0</v>
      </c>
      <c r="C23" s="8">
        <f>SUM(C20:C22)</f>
        <v>0</v>
      </c>
      <c r="D23" s="8"/>
      <c r="E23"/>
      <c r="F23"/>
    </row>
    <row r="24" spans="1:6" hidden="1" x14ac:dyDescent="0.25">
      <c r="A24" s="28" t="s">
        <v>23</v>
      </c>
      <c r="B24" s="30"/>
      <c r="C24" s="30"/>
      <c r="D24" s="30"/>
      <c r="E24"/>
      <c r="F24"/>
    </row>
    <row r="25" spans="1:6" ht="3.75" customHeight="1" x14ac:dyDescent="0.25">
      <c r="A25" s="226"/>
      <c r="B25" s="226"/>
      <c r="C25" s="226"/>
      <c r="D25" s="226"/>
      <c r="E25"/>
      <c r="F25"/>
    </row>
    <row r="26" spans="1:6" s="331" customFormat="1" ht="12" customHeight="1" x14ac:dyDescent="0.2">
      <c r="A26" s="331" t="s">
        <v>57</v>
      </c>
    </row>
    <row r="27" spans="1:6" x14ac:dyDescent="0.25">
      <c r="A27" s="331"/>
      <c r="B27"/>
      <c r="C27"/>
      <c r="D27"/>
      <c r="E27"/>
      <c r="F27"/>
    </row>
    <row r="28" spans="1:6" x14ac:dyDescent="0.25">
      <c r="A28"/>
      <c r="B28"/>
      <c r="C28"/>
      <c r="D28"/>
      <c r="E28"/>
      <c r="F28"/>
    </row>
    <row r="29" spans="1:6" x14ac:dyDescent="0.25">
      <c r="A29"/>
      <c r="B29"/>
      <c r="C29"/>
      <c r="D29"/>
      <c r="E29"/>
      <c r="F29"/>
    </row>
    <row r="30" spans="1:6" x14ac:dyDescent="0.25">
      <c r="A30"/>
      <c r="B30"/>
      <c r="C30"/>
      <c r="D30"/>
      <c r="E30"/>
      <c r="F30"/>
    </row>
    <row r="31" spans="1:6" x14ac:dyDescent="0.25">
      <c r="A31"/>
      <c r="B31"/>
      <c r="C31"/>
      <c r="D31"/>
      <c r="E31"/>
      <c r="F31"/>
    </row>
    <row r="32" spans="1:6" x14ac:dyDescent="0.25">
      <c r="A32"/>
      <c r="B32"/>
      <c r="C32"/>
      <c r="D32"/>
      <c r="E32"/>
      <c r="F32"/>
    </row>
    <row r="33" spans="1:6" x14ac:dyDescent="0.25">
      <c r="A33"/>
      <c r="B33"/>
      <c r="C33"/>
      <c r="D33"/>
      <c r="E33" s="53"/>
      <c r="F33" s="130"/>
    </row>
    <row r="34" spans="1:6" x14ac:dyDescent="0.25">
      <c r="A34"/>
      <c r="B34"/>
      <c r="C34"/>
      <c r="D34"/>
      <c r="E34" s="53"/>
      <c r="F34" s="145"/>
    </row>
    <row r="35" spans="1:6" x14ac:dyDescent="0.25">
      <c r="A35"/>
      <c r="B35"/>
      <c r="C35"/>
      <c r="D35"/>
      <c r="E35" s="53"/>
      <c r="F35" s="145"/>
    </row>
    <row r="36" spans="1:6" x14ac:dyDescent="0.25">
      <c r="A36"/>
      <c r="B36"/>
      <c r="C36"/>
      <c r="D36"/>
      <c r="E36"/>
      <c r="F36" s="145"/>
    </row>
    <row r="37" spans="1:6" x14ac:dyDescent="0.25">
      <c r="A37"/>
      <c r="B37"/>
      <c r="C37"/>
      <c r="D37"/>
      <c r="E37"/>
      <c r="F37"/>
    </row>
    <row r="38" spans="1:6" x14ac:dyDescent="0.25">
      <c r="A38"/>
      <c r="B38"/>
      <c r="C38"/>
      <c r="D38"/>
      <c r="E38"/>
      <c r="F38"/>
    </row>
    <row r="39" spans="1:6" x14ac:dyDescent="0.25">
      <c r="A39"/>
      <c r="B39"/>
      <c r="C39"/>
      <c r="D39"/>
      <c r="E39"/>
      <c r="F39"/>
    </row>
    <row r="40" spans="1:6" x14ac:dyDescent="0.25">
      <c r="A40"/>
      <c r="B40"/>
      <c r="C40"/>
      <c r="D40"/>
      <c r="E40"/>
      <c r="F40"/>
    </row>
    <row r="43" spans="1:6" x14ac:dyDescent="0.25">
      <c r="A43" s="53"/>
      <c r="B43" s="151"/>
      <c r="C43" s="151"/>
      <c r="D43" s="151"/>
    </row>
    <row r="44" spans="1:6" x14ac:dyDescent="0.25">
      <c r="A44" s="53"/>
      <c r="B44" s="151"/>
      <c r="C44" s="151"/>
      <c r="D44" s="151"/>
    </row>
  </sheetData>
  <mergeCells count="6">
    <mergeCell ref="A6:D6"/>
    <mergeCell ref="A1:D1"/>
    <mergeCell ref="A2:D2"/>
    <mergeCell ref="A3:D3"/>
    <mergeCell ref="A4:D4"/>
    <mergeCell ref="A5:D5"/>
  </mergeCells>
  <pageMargins left="0.7" right="0.7" top="0.75" bottom="0.75" header="0.3" footer="0.3"/>
  <pageSetup paperSize="9" scale="6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M57"/>
  <sheetViews>
    <sheetView showGridLines="0" zoomScale="90" zoomScaleNormal="90" workbookViewId="0">
      <selection activeCell="L32" sqref="L32"/>
    </sheetView>
  </sheetViews>
  <sheetFormatPr defaultColWidth="11.42578125" defaultRowHeight="15" x14ac:dyDescent="0.25"/>
  <cols>
    <col min="1" max="1" width="12" style="1" customWidth="1"/>
    <col min="2" max="4" width="18.140625" style="1" customWidth="1"/>
    <col min="5" max="5" width="17.140625" style="1" customWidth="1"/>
    <col min="6" max="6" width="11.42578125" style="1"/>
    <col min="7" max="7" width="19" style="1" customWidth="1"/>
    <col min="8" max="8" width="15.5703125" style="1" customWidth="1"/>
    <col min="9" max="9" width="18.140625" style="1" customWidth="1"/>
    <col min="10" max="10" width="19.85546875" style="1" customWidth="1"/>
    <col min="11" max="11" width="11.42578125" style="1"/>
    <col min="12" max="12" width="15" style="1" bestFit="1" customWidth="1"/>
    <col min="13" max="13" width="16.85546875" style="1" bestFit="1" customWidth="1"/>
    <col min="14" max="16384" width="11.42578125" style="1"/>
  </cols>
  <sheetData>
    <row r="1" spans="1:13" x14ac:dyDescent="0.25">
      <c r="A1" s="335" t="s">
        <v>0</v>
      </c>
      <c r="B1" s="335"/>
      <c r="C1" s="335"/>
      <c r="D1" s="335"/>
      <c r="E1" s="335"/>
      <c r="F1" s="335"/>
      <c r="G1" s="335"/>
      <c r="H1" s="335"/>
    </row>
    <row r="2" spans="1:13" x14ac:dyDescent="0.25">
      <c r="A2" s="335" t="s">
        <v>65</v>
      </c>
      <c r="B2" s="335"/>
      <c r="C2" s="335"/>
      <c r="D2" s="335"/>
      <c r="E2" s="335"/>
      <c r="F2" s="335"/>
      <c r="G2" s="335"/>
      <c r="H2" s="335"/>
    </row>
    <row r="3" spans="1:13" x14ac:dyDescent="0.25">
      <c r="A3" s="335" t="s">
        <v>66</v>
      </c>
      <c r="B3" s="335"/>
      <c r="C3" s="335"/>
      <c r="D3" s="335"/>
      <c r="E3" s="335"/>
      <c r="F3" s="335"/>
      <c r="G3" s="335"/>
      <c r="H3" s="335"/>
    </row>
    <row r="4" spans="1:13" x14ac:dyDescent="0.25">
      <c r="A4" s="335" t="s">
        <v>276</v>
      </c>
      <c r="B4" s="335"/>
      <c r="C4" s="335"/>
      <c r="D4" s="335"/>
      <c r="E4" s="335"/>
      <c r="F4" s="335"/>
      <c r="G4" s="335"/>
      <c r="H4" s="335"/>
    </row>
    <row r="5" spans="1:13" x14ac:dyDescent="0.25">
      <c r="A5" s="335" t="s">
        <v>274</v>
      </c>
      <c r="B5" s="335"/>
      <c r="C5" s="335"/>
      <c r="D5" s="335"/>
      <c r="E5" s="335"/>
      <c r="F5" s="335"/>
      <c r="G5" s="335"/>
      <c r="H5" s="335"/>
    </row>
    <row r="6" spans="1:13" x14ac:dyDescent="0.25">
      <c r="A6" s="152"/>
      <c r="B6" s="346" t="s">
        <v>67</v>
      </c>
      <c r="C6" s="346"/>
      <c r="D6" s="346"/>
      <c r="E6" s="346" t="s">
        <v>68</v>
      </c>
      <c r="F6" s="346"/>
      <c r="G6" s="346"/>
      <c r="H6" s="346"/>
    </row>
    <row r="7" spans="1:13" ht="15" customHeight="1" x14ac:dyDescent="0.25">
      <c r="A7" s="345" t="s">
        <v>3</v>
      </c>
      <c r="B7" s="337" t="s">
        <v>69</v>
      </c>
      <c r="C7" s="337" t="s">
        <v>70</v>
      </c>
      <c r="D7" s="337" t="s">
        <v>71</v>
      </c>
      <c r="E7" s="337" t="s">
        <v>72</v>
      </c>
      <c r="F7" s="337"/>
      <c r="G7" s="337" t="s">
        <v>6</v>
      </c>
      <c r="H7" s="337"/>
      <c r="I7" s="14"/>
    </row>
    <row r="8" spans="1:13" x14ac:dyDescent="0.25">
      <c r="A8" s="345"/>
      <c r="B8" s="337"/>
      <c r="C8" s="337"/>
      <c r="D8" s="337"/>
      <c r="E8" s="337"/>
      <c r="F8" s="337"/>
      <c r="G8" s="337"/>
      <c r="H8" s="337"/>
      <c r="I8" s="14"/>
    </row>
    <row r="9" spans="1:13" x14ac:dyDescent="0.25">
      <c r="A9" s="153"/>
      <c r="B9" s="130" t="s">
        <v>7</v>
      </c>
      <c r="C9" s="130" t="s">
        <v>7</v>
      </c>
      <c r="D9" s="130" t="s">
        <v>7</v>
      </c>
      <c r="E9" s="130" t="s">
        <v>8</v>
      </c>
      <c r="F9" s="130" t="s">
        <v>9</v>
      </c>
      <c r="G9" s="130" t="s">
        <v>8</v>
      </c>
      <c r="H9" s="130" t="s">
        <v>9</v>
      </c>
    </row>
    <row r="10" spans="1:13" hidden="1" x14ac:dyDescent="0.25">
      <c r="A10" s="190" t="s">
        <v>10</v>
      </c>
      <c r="B10" s="240"/>
      <c r="C10" s="240"/>
      <c r="D10" s="241"/>
      <c r="E10" s="242"/>
      <c r="F10" s="250" t="e">
        <f>(E10/D10)</f>
        <v>#DIV/0!</v>
      </c>
      <c r="G10" s="243">
        <f>+D10-E10</f>
        <v>0</v>
      </c>
      <c r="H10" s="254" t="e">
        <f>(G10/D10)</f>
        <v>#DIV/0!</v>
      </c>
    </row>
    <row r="11" spans="1:13" x14ac:dyDescent="0.25">
      <c r="A11" s="88" t="s">
        <v>21</v>
      </c>
      <c r="B11" s="244">
        <v>3958651955.5599995</v>
      </c>
      <c r="C11" s="244">
        <v>2953696.0699999994</v>
      </c>
      <c r="D11" s="244">
        <v>3965833390.1900015</v>
      </c>
      <c r="E11" s="245">
        <v>3724018924.25</v>
      </c>
      <c r="F11" s="251">
        <f t="shared" ref="F11" si="0">(E11/D11)</f>
        <v>0.93902556104899393</v>
      </c>
      <c r="G11" s="243">
        <f>+D11-E11</f>
        <v>241814465.94000149</v>
      </c>
      <c r="H11" s="255">
        <f t="shared" ref="H11" si="1">(G11/D11)</f>
        <v>6.0974438951006023E-2</v>
      </c>
      <c r="I11" s="14"/>
    </row>
    <row r="12" spans="1:13" x14ac:dyDescent="0.25">
      <c r="A12" s="88" t="s">
        <v>20</v>
      </c>
      <c r="B12" s="244">
        <v>3675769423.9400001</v>
      </c>
      <c r="C12" s="247">
        <v>2981491</v>
      </c>
      <c r="D12" s="244">
        <v>3738701882.6400018</v>
      </c>
      <c r="E12" s="242">
        <v>3734474144.0799999</v>
      </c>
      <c r="F12" s="251">
        <f t="shared" ref="F12" si="2">(E12/D12)</f>
        <v>0.99886919612937508</v>
      </c>
      <c r="G12" s="243">
        <f>+D12-E12</f>
        <v>4227738.5600018501</v>
      </c>
      <c r="H12" s="255">
        <f t="shared" ref="H12" si="3">(G12/D12)</f>
        <v>1.1308038706248828E-3</v>
      </c>
      <c r="K12" s="14"/>
      <c r="M12" s="124"/>
    </row>
    <row r="13" spans="1:13" x14ac:dyDescent="0.25">
      <c r="A13" s="88" t="s">
        <v>19</v>
      </c>
      <c r="B13" s="244">
        <v>3646695692.4000001</v>
      </c>
      <c r="C13" s="247">
        <v>7423293.1499999994</v>
      </c>
      <c r="D13" s="244">
        <v>3713491535.8900018</v>
      </c>
      <c r="E13" s="248">
        <v>3653540568.1900001</v>
      </c>
      <c r="F13" s="251">
        <f>(E13/D13)</f>
        <v>0.98385590296339975</v>
      </c>
      <c r="G13" s="249">
        <f>+D13-E13</f>
        <v>59950967.700001717</v>
      </c>
      <c r="H13" s="255">
        <f>(G13/D13)</f>
        <v>1.6144097036600205E-2</v>
      </c>
    </row>
    <row r="14" spans="1:13" x14ac:dyDescent="0.25">
      <c r="A14" s="27" t="s">
        <v>22</v>
      </c>
      <c r="B14" s="252">
        <f>SUM(B10:B13)</f>
        <v>11281117071.9</v>
      </c>
      <c r="C14" s="253">
        <f>SUM(C10:C13)</f>
        <v>13358480.219999999</v>
      </c>
      <c r="D14" s="253">
        <f>SUM(D10:D13)</f>
        <v>11418026808.720005</v>
      </c>
      <c r="E14" s="253">
        <f>SUM(E10:E13)</f>
        <v>11112033636.52</v>
      </c>
      <c r="F14" s="257">
        <f>+E14/(B14+C14+59372550.34)+N("El monto de los 59 millones incluidos en la suma corresponden a el total de restantes absolutos de la ejecución presupuestaria del T3")</f>
        <v>0.97870198158740507</v>
      </c>
      <c r="G14" s="252">
        <f>(59372550.34+B14+C14)-E14</f>
        <v>241814465.93999863</v>
      </c>
      <c r="H14" s="256">
        <f>G14/(B14+C14+9196807.14)</f>
        <v>2.1392557945286123E-2</v>
      </c>
      <c r="I14" s="18"/>
    </row>
    <row r="15" spans="1:13" hidden="1" x14ac:dyDescent="0.25">
      <c r="A15" s="88" t="s">
        <v>15</v>
      </c>
      <c r="B15" s="134">
        <v>1913412632.9166667</v>
      </c>
      <c r="C15" s="134"/>
      <c r="D15" s="134"/>
      <c r="E15" s="135"/>
      <c r="F15" s="2">
        <f t="shared" ref="F15:F28" si="4">(E15/B15)</f>
        <v>0</v>
      </c>
      <c r="G15" s="72">
        <f>+B15-E15</f>
        <v>1913412632.9166667</v>
      </c>
      <c r="H15" s="4">
        <f t="shared" ref="H15:H27" si="5">(G15/B15)</f>
        <v>1</v>
      </c>
    </row>
    <row r="16" spans="1:13" hidden="1" x14ac:dyDescent="0.25">
      <c r="A16" s="88" t="s">
        <v>16</v>
      </c>
      <c r="B16" s="134">
        <v>1913412632.9166667</v>
      </c>
      <c r="C16" s="134"/>
      <c r="D16" s="134"/>
      <c r="E16" s="135"/>
      <c r="F16" s="2">
        <f t="shared" si="4"/>
        <v>0</v>
      </c>
      <c r="G16" s="72">
        <f>+B16-E16</f>
        <v>1913412632.9166667</v>
      </c>
      <c r="H16" s="4">
        <f t="shared" si="5"/>
        <v>1</v>
      </c>
    </row>
    <row r="17" spans="1:12" hidden="1" x14ac:dyDescent="0.25">
      <c r="A17" s="88" t="s">
        <v>17</v>
      </c>
      <c r="B17" s="134">
        <v>1913412632.9166667</v>
      </c>
      <c r="C17" s="134"/>
      <c r="D17" s="134"/>
      <c r="E17" s="135"/>
      <c r="F17" s="2">
        <f t="shared" si="4"/>
        <v>0</v>
      </c>
      <c r="G17" s="72">
        <f>+B17-E17</f>
        <v>1913412632.9166667</v>
      </c>
      <c r="H17" s="4">
        <f t="shared" si="5"/>
        <v>1</v>
      </c>
    </row>
    <row r="18" spans="1:12" hidden="1" x14ac:dyDescent="0.25">
      <c r="A18" s="27" t="s">
        <v>18</v>
      </c>
      <c r="B18" s="8">
        <f>SUM(B15:B17)</f>
        <v>5740237898.75</v>
      </c>
      <c r="C18" s="8"/>
      <c r="D18" s="8"/>
      <c r="E18" s="8">
        <f>SUM(E15:E17)</f>
        <v>0</v>
      </c>
      <c r="F18" s="3">
        <f t="shared" si="4"/>
        <v>0</v>
      </c>
      <c r="G18" s="13">
        <f>SUM(G10:G13)</f>
        <v>305993172.20000505</v>
      </c>
      <c r="H18" s="5">
        <f t="shared" si="5"/>
        <v>5.3306705679678962E-2</v>
      </c>
    </row>
    <row r="19" spans="1:12" hidden="1" x14ac:dyDescent="0.25">
      <c r="A19" s="88" t="s">
        <v>19</v>
      </c>
      <c r="B19" s="134">
        <v>1913412632.9166667</v>
      </c>
      <c r="C19" s="134"/>
      <c r="D19" s="134"/>
      <c r="E19" s="135"/>
      <c r="F19" s="2">
        <f t="shared" si="4"/>
        <v>0</v>
      </c>
      <c r="G19" s="72">
        <f>+B19-E19</f>
        <v>1913412632.9166667</v>
      </c>
      <c r="H19" s="4">
        <f t="shared" si="5"/>
        <v>1</v>
      </c>
    </row>
    <row r="20" spans="1:12" hidden="1" x14ac:dyDescent="0.25">
      <c r="A20" s="88" t="s">
        <v>20</v>
      </c>
      <c r="B20" s="134">
        <v>1913412632.9166667</v>
      </c>
      <c r="C20" s="134"/>
      <c r="D20" s="134"/>
      <c r="E20" s="135"/>
      <c r="F20" s="2">
        <f t="shared" si="4"/>
        <v>0</v>
      </c>
      <c r="G20" s="72">
        <f>+B20-E20</f>
        <v>1913412632.9166667</v>
      </c>
      <c r="H20" s="4">
        <f t="shared" si="5"/>
        <v>1</v>
      </c>
    </row>
    <row r="21" spans="1:12" hidden="1" x14ac:dyDescent="0.25">
      <c r="A21" s="88" t="s">
        <v>21</v>
      </c>
      <c r="B21" s="134">
        <v>1913412632.9166667</v>
      </c>
      <c r="C21" s="134"/>
      <c r="D21" s="134"/>
      <c r="E21" s="135"/>
      <c r="F21" s="2">
        <f t="shared" si="4"/>
        <v>0</v>
      </c>
      <c r="G21" s="72">
        <f>+B21-E21</f>
        <v>1913412632.9166667</v>
      </c>
      <c r="H21" s="4">
        <f t="shared" si="5"/>
        <v>1</v>
      </c>
    </row>
    <row r="22" spans="1:12" hidden="1" x14ac:dyDescent="0.25">
      <c r="A22" s="27" t="s">
        <v>22</v>
      </c>
      <c r="B22" s="8">
        <f>SUM(B19:B21)</f>
        <v>5740237898.75</v>
      </c>
      <c r="C22" s="8"/>
      <c r="D22" s="8"/>
      <c r="E22" s="8">
        <f>SUM(E19:E21)</f>
        <v>0</v>
      </c>
      <c r="F22" s="3">
        <f t="shared" si="4"/>
        <v>0</v>
      </c>
      <c r="G22" s="13">
        <f>SUM(G19:G21)</f>
        <v>5740237898.75</v>
      </c>
      <c r="H22" s="5">
        <f t="shared" si="5"/>
        <v>1</v>
      </c>
    </row>
    <row r="23" spans="1:12" hidden="1" x14ac:dyDescent="0.25">
      <c r="A23" s="88" t="s">
        <v>13</v>
      </c>
      <c r="B23" s="134">
        <v>1913412632.9166667</v>
      </c>
      <c r="C23" s="134"/>
      <c r="D23" s="134"/>
      <c r="E23" s="135"/>
      <c r="F23" s="2">
        <f t="shared" si="4"/>
        <v>0</v>
      </c>
      <c r="G23" s="72">
        <f>+B23-E23</f>
        <v>1913412632.9166667</v>
      </c>
      <c r="H23" s="4">
        <f t="shared" si="5"/>
        <v>1</v>
      </c>
    </row>
    <row r="24" spans="1:12" hidden="1" x14ac:dyDescent="0.25">
      <c r="A24" s="88" t="s">
        <v>12</v>
      </c>
      <c r="B24" s="134">
        <v>1913412632.9166667</v>
      </c>
      <c r="C24" s="134"/>
      <c r="D24" s="134"/>
      <c r="E24" s="135"/>
      <c r="F24" s="2">
        <f t="shared" si="4"/>
        <v>0</v>
      </c>
      <c r="G24" s="72">
        <f>+B24-E24</f>
        <v>1913412632.9166667</v>
      </c>
      <c r="H24" s="4">
        <f t="shared" si="5"/>
        <v>1</v>
      </c>
    </row>
    <row r="25" spans="1:12" hidden="1" x14ac:dyDescent="0.25">
      <c r="A25" s="88" t="s">
        <v>11</v>
      </c>
      <c r="B25" s="134">
        <v>1843710155</v>
      </c>
      <c r="C25" s="134"/>
      <c r="D25" s="134"/>
      <c r="E25" s="135"/>
      <c r="F25" s="2">
        <f t="shared" si="4"/>
        <v>0</v>
      </c>
      <c r="G25" s="72">
        <f>+B25-E25</f>
        <v>1843710155</v>
      </c>
      <c r="H25" s="4">
        <f t="shared" si="5"/>
        <v>1</v>
      </c>
    </row>
    <row r="26" spans="1:12" hidden="1" x14ac:dyDescent="0.25">
      <c r="A26" s="88" t="s">
        <v>10</v>
      </c>
      <c r="B26" s="134">
        <v>1913412632.9166667</v>
      </c>
      <c r="C26" s="134"/>
      <c r="D26" s="134"/>
      <c r="E26" s="135"/>
      <c r="F26" s="2">
        <f t="shared" si="4"/>
        <v>0</v>
      </c>
      <c r="G26" s="72">
        <f>+B26-E26</f>
        <v>1913412632.9166667</v>
      </c>
      <c r="H26" s="4">
        <f t="shared" si="5"/>
        <v>1</v>
      </c>
    </row>
    <row r="27" spans="1:12" hidden="1" x14ac:dyDescent="0.25">
      <c r="A27" s="27" t="s">
        <v>14</v>
      </c>
      <c r="B27" s="8">
        <f>SUM(B23:B26)</f>
        <v>7583948053.750001</v>
      </c>
      <c r="C27" s="8"/>
      <c r="D27" s="8"/>
      <c r="E27" s="8">
        <f>SUM(E23:E26)</f>
        <v>0</v>
      </c>
      <c r="F27" s="3">
        <f t="shared" si="4"/>
        <v>0</v>
      </c>
      <c r="G27" s="13">
        <f>SUM(G23:G26)</f>
        <v>7583948053.750001</v>
      </c>
      <c r="H27" s="5">
        <f t="shared" si="5"/>
        <v>1</v>
      </c>
    </row>
    <row r="28" spans="1:12" hidden="1" x14ac:dyDescent="0.25">
      <c r="A28" s="137" t="s">
        <v>23</v>
      </c>
      <c r="B28" s="10">
        <f>+B14+B18+B22+B27</f>
        <v>30345540923.150002</v>
      </c>
      <c r="C28" s="10"/>
      <c r="D28" s="10"/>
      <c r="E28" s="10">
        <f>+E14+E18+E22+E27</f>
        <v>11112033636.52</v>
      </c>
      <c r="F28" s="17">
        <f t="shared" si="4"/>
        <v>0.36618340943933725</v>
      </c>
      <c r="G28" s="11">
        <f>+G14+G18+G22+G27</f>
        <v>13871993590.640003</v>
      </c>
      <c r="H28" s="17">
        <v>1</v>
      </c>
    </row>
    <row r="29" spans="1:12" ht="29.25" customHeight="1" x14ac:dyDescent="0.25">
      <c r="A29" s="343" t="s">
        <v>73</v>
      </c>
      <c r="B29" s="343"/>
      <c r="C29" s="343"/>
      <c r="D29" s="343"/>
      <c r="E29" s="343"/>
      <c r="F29" s="343"/>
      <c r="G29" s="343"/>
      <c r="H29" s="343"/>
    </row>
    <row r="30" spans="1:12" ht="13.5" customHeight="1" x14ac:dyDescent="0.25">
      <c r="A30" s="344" t="s">
        <v>74</v>
      </c>
      <c r="B30" s="344"/>
      <c r="C30" s="344"/>
      <c r="D30" s="344"/>
      <c r="E30" s="344"/>
      <c r="F30" s="344"/>
      <c r="G30" s="344"/>
      <c r="H30" s="344"/>
      <c r="I30" s="14"/>
      <c r="J30" s="124"/>
    </row>
    <row r="31" spans="1:12" ht="24.75" customHeight="1" x14ac:dyDescent="0.25">
      <c r="A31" s="340" t="s">
        <v>285</v>
      </c>
      <c r="B31" s="341"/>
      <c r="C31" s="341"/>
      <c r="D31" s="341"/>
      <c r="E31" s="341"/>
      <c r="F31" s="341"/>
      <c r="G31" s="341"/>
      <c r="H31" s="341"/>
      <c r="I31" s="14"/>
      <c r="J31" s="124"/>
      <c r="L31" s="36"/>
    </row>
    <row r="32" spans="1:12" ht="12.75" customHeight="1" x14ac:dyDescent="0.25">
      <c r="A32" s="342" t="s">
        <v>75</v>
      </c>
      <c r="B32" s="342"/>
      <c r="C32" s="342"/>
      <c r="D32" s="342"/>
      <c r="E32" s="342"/>
      <c r="F32" s="342"/>
      <c r="G32" s="342"/>
      <c r="H32" s="342"/>
      <c r="J32" s="33"/>
      <c r="L32" s="14"/>
    </row>
    <row r="33" spans="1:13" x14ac:dyDescent="0.25">
      <c r="A33" s="211"/>
      <c r="B33" s="210"/>
      <c r="C33"/>
      <c r="D33"/>
      <c r="E33"/>
      <c r="F33"/>
      <c r="G33"/>
      <c r="H33"/>
      <c r="I33" s="14"/>
    </row>
    <row r="34" spans="1:13" x14ac:dyDescent="0.25">
      <c r="A34"/>
      <c r="B34"/>
      <c r="C34"/>
      <c r="D34"/>
      <c r="E34"/>
      <c r="F34"/>
      <c r="G34"/>
      <c r="H34"/>
    </row>
    <row r="35" spans="1:13" x14ac:dyDescent="0.25">
      <c r="A35"/>
      <c r="B35"/>
      <c r="C35"/>
      <c r="D35"/>
      <c r="E35"/>
      <c r="F35"/>
      <c r="G35"/>
      <c r="H35"/>
    </row>
    <row r="36" spans="1:13" x14ac:dyDescent="0.25">
      <c r="A36"/>
      <c r="B36"/>
      <c r="C36"/>
      <c r="D36"/>
      <c r="E36"/>
      <c r="F36"/>
      <c r="G36"/>
      <c r="H36"/>
      <c r="M36" s="86"/>
    </row>
    <row r="37" spans="1:13" x14ac:dyDescent="0.25">
      <c r="A37"/>
      <c r="B37"/>
      <c r="C37"/>
      <c r="D37"/>
      <c r="E37"/>
      <c r="F37"/>
      <c r="G37"/>
      <c r="H37"/>
    </row>
    <row r="38" spans="1:13" x14ac:dyDescent="0.25">
      <c r="A38"/>
      <c r="B38"/>
      <c r="C38"/>
      <c r="D38"/>
      <c r="E38"/>
      <c r="F38"/>
      <c r="G38"/>
      <c r="H38"/>
    </row>
    <row r="39" spans="1:13" x14ac:dyDescent="0.25">
      <c r="A39"/>
      <c r="B39"/>
      <c r="C39"/>
      <c r="D39"/>
      <c r="E39"/>
      <c r="F39"/>
      <c r="G39"/>
      <c r="H39"/>
    </row>
    <row r="40" spans="1:13" x14ac:dyDescent="0.25">
      <c r="A40"/>
      <c r="B40"/>
      <c r="C40"/>
      <c r="D40"/>
      <c r="E40"/>
      <c r="F40"/>
      <c r="G40"/>
      <c r="H40"/>
    </row>
    <row r="41" spans="1:13" x14ac:dyDescent="0.25">
      <c r="A41"/>
      <c r="B41"/>
      <c r="C41"/>
      <c r="D41"/>
      <c r="E41"/>
      <c r="F41"/>
      <c r="G41"/>
      <c r="H41"/>
    </row>
    <row r="42" spans="1:13" x14ac:dyDescent="0.25">
      <c r="A42"/>
      <c r="B42"/>
      <c r="C42"/>
      <c r="D42"/>
      <c r="E42"/>
      <c r="F42"/>
      <c r="G42"/>
      <c r="H42"/>
    </row>
    <row r="43" spans="1:13" x14ac:dyDescent="0.25">
      <c r="A43"/>
      <c r="B43"/>
      <c r="C43"/>
      <c r="D43"/>
      <c r="E43"/>
      <c r="F43"/>
      <c r="G43"/>
      <c r="H43"/>
    </row>
    <row r="44" spans="1:13" x14ac:dyDescent="0.25">
      <c r="A44"/>
      <c r="B44"/>
      <c r="C44"/>
      <c r="D44"/>
      <c r="E44"/>
      <c r="F44"/>
      <c r="G44"/>
      <c r="H44"/>
    </row>
    <row r="45" spans="1:13" x14ac:dyDescent="0.25">
      <c r="A45"/>
      <c r="B45"/>
      <c r="C45"/>
      <c r="D45"/>
      <c r="E45"/>
      <c r="F45"/>
      <c r="G45"/>
      <c r="H45"/>
    </row>
    <row r="46" spans="1:13" x14ac:dyDescent="0.25">
      <c r="A46"/>
      <c r="B46"/>
      <c r="C46"/>
      <c r="D46"/>
      <c r="E46"/>
      <c r="F46"/>
      <c r="G46"/>
      <c r="H46"/>
    </row>
    <row r="47" spans="1:13" x14ac:dyDescent="0.25">
      <c r="A47"/>
      <c r="B47"/>
      <c r="C47"/>
      <c r="D47"/>
      <c r="E47"/>
      <c r="F47"/>
      <c r="G47"/>
      <c r="H47"/>
    </row>
    <row r="48" spans="1:13" x14ac:dyDescent="0.25">
      <c r="A48"/>
      <c r="B48"/>
      <c r="C48"/>
      <c r="D48"/>
      <c r="E48"/>
      <c r="F48"/>
      <c r="G48"/>
      <c r="H48"/>
    </row>
    <row r="49" spans="1:9" x14ac:dyDescent="0.25">
      <c r="A49"/>
      <c r="B49"/>
      <c r="C49"/>
      <c r="D49"/>
      <c r="E49"/>
      <c r="F49"/>
      <c r="G49"/>
      <c r="H49"/>
    </row>
    <row r="50" spans="1:9" x14ac:dyDescent="0.25">
      <c r="A50"/>
      <c r="B50"/>
      <c r="C50"/>
      <c r="D50"/>
      <c r="E50"/>
      <c r="F50"/>
      <c r="G50"/>
      <c r="H50"/>
    </row>
    <row r="51" spans="1:9" x14ac:dyDescent="0.25">
      <c r="A51"/>
      <c r="B51"/>
      <c r="C51"/>
      <c r="D51"/>
      <c r="E51"/>
      <c r="F51"/>
      <c r="G51"/>
      <c r="H51"/>
    </row>
    <row r="52" spans="1:9" x14ac:dyDescent="0.25">
      <c r="A52"/>
      <c r="B52"/>
      <c r="C52"/>
      <c r="D52"/>
      <c r="E52"/>
      <c r="F52"/>
      <c r="G52"/>
      <c r="H52"/>
    </row>
    <row r="53" spans="1:9" x14ac:dyDescent="0.25">
      <c r="A53"/>
      <c r="B53"/>
      <c r="C53"/>
      <c r="D53"/>
      <c r="E53"/>
      <c r="F53"/>
      <c r="G53"/>
      <c r="H53"/>
    </row>
    <row r="54" spans="1:9" x14ac:dyDescent="0.25">
      <c r="A54"/>
      <c r="B54"/>
      <c r="C54"/>
      <c r="D54"/>
      <c r="E54"/>
      <c r="F54"/>
      <c r="G54"/>
      <c r="H54"/>
    </row>
    <row r="55" spans="1:9" x14ac:dyDescent="0.25">
      <c r="B55" s="88"/>
      <c r="C55" s="134"/>
      <c r="D55" s="154"/>
      <c r="E55" s="134"/>
      <c r="F55" s="135"/>
      <c r="G55" s="2"/>
      <c r="H55" s="72"/>
      <c r="I55" s="4"/>
    </row>
    <row r="57" spans="1:9" x14ac:dyDescent="0.25">
      <c r="B57" s="88"/>
      <c r="C57" s="154"/>
      <c r="D57" s="134"/>
      <c r="E57" s="134"/>
      <c r="F57" s="135"/>
      <c r="G57" s="2"/>
      <c r="H57" s="127"/>
      <c r="I57" s="4"/>
    </row>
  </sheetData>
  <mergeCells count="17">
    <mergeCell ref="E6:H6"/>
    <mergeCell ref="A31:H31"/>
    <mergeCell ref="A32:H32"/>
    <mergeCell ref="A29:H29"/>
    <mergeCell ref="A30:H30"/>
    <mergeCell ref="A1:H1"/>
    <mergeCell ref="A2:H2"/>
    <mergeCell ref="A3:H3"/>
    <mergeCell ref="A5:H5"/>
    <mergeCell ref="E7:F8"/>
    <mergeCell ref="G7:H8"/>
    <mergeCell ref="B7:B8"/>
    <mergeCell ref="A7:A8"/>
    <mergeCell ref="A4:H4"/>
    <mergeCell ref="C7:C8"/>
    <mergeCell ref="D7:D8"/>
    <mergeCell ref="B6:D6"/>
  </mergeCells>
  <pageMargins left="0.7" right="0.7" top="0.75" bottom="0.75" header="0.3" footer="0.3"/>
  <pageSetup paperSize="9" scale="7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W67"/>
  <sheetViews>
    <sheetView showGridLines="0" zoomScaleNormal="100" zoomScaleSheetLayoutView="130" workbookViewId="0">
      <selection activeCell="X11" sqref="X11"/>
    </sheetView>
  </sheetViews>
  <sheetFormatPr defaultColWidth="11.42578125" defaultRowHeight="15" x14ac:dyDescent="0.25"/>
  <cols>
    <col min="1" max="1" width="12.28515625" style="1" customWidth="1"/>
    <col min="2" max="2" width="11" style="1" customWidth="1"/>
    <col min="3" max="3" width="11.42578125" style="1" customWidth="1"/>
    <col min="4" max="4" width="17.5703125" style="1" customWidth="1"/>
    <col min="5" max="5" width="11" style="1" customWidth="1"/>
    <col min="6" max="6" width="10.140625" style="1" customWidth="1"/>
    <col min="7" max="7" width="15.5703125" style="1" customWidth="1"/>
    <col min="8" max="8" width="11.28515625" style="1" customWidth="1"/>
    <col min="9" max="9" width="11.7109375" style="1" customWidth="1"/>
    <col min="10" max="10" width="17.140625" style="1" customWidth="1"/>
    <col min="11" max="11" width="10.7109375" style="1" customWidth="1"/>
    <col min="12" max="12" width="10.28515625" style="1" customWidth="1"/>
    <col min="13" max="13" width="17.7109375" style="1" bestFit="1" customWidth="1"/>
    <col min="14" max="14" width="11" style="1" customWidth="1"/>
    <col min="15" max="15" width="15.42578125" style="1" hidden="1" customWidth="1"/>
    <col min="16" max="16" width="16.42578125" style="1" hidden="1" customWidth="1"/>
    <col min="17" max="17" width="14.7109375" style="1" hidden="1" customWidth="1"/>
    <col min="18" max="18" width="17.7109375" style="1" hidden="1" customWidth="1"/>
    <col min="19" max="19" width="16.7109375" style="1" hidden="1" customWidth="1"/>
    <col min="20" max="20" width="12.28515625" style="1" hidden="1" customWidth="1"/>
    <col min="21" max="21" width="17.7109375" style="1" hidden="1" customWidth="1"/>
    <col min="22" max="22" width="0" style="1" hidden="1" customWidth="1"/>
    <col min="23" max="16384" width="11.42578125" style="1"/>
  </cols>
  <sheetData>
    <row r="1" spans="1:23" x14ac:dyDescent="0.25">
      <c r="A1" s="335" t="s">
        <v>0</v>
      </c>
      <c r="B1" s="335"/>
      <c r="C1" s="335"/>
      <c r="D1" s="335"/>
      <c r="E1" s="335"/>
      <c r="F1" s="335"/>
      <c r="G1" s="335"/>
      <c r="H1" s="335"/>
      <c r="I1" s="335"/>
      <c r="J1" s="335"/>
      <c r="K1" s="335"/>
      <c r="L1" s="335"/>
      <c r="M1" s="335"/>
      <c r="N1" s="22"/>
    </row>
    <row r="2" spans="1:23" x14ac:dyDescent="0.25">
      <c r="A2" s="335" t="s">
        <v>65</v>
      </c>
      <c r="B2" s="335"/>
      <c r="C2" s="335"/>
      <c r="D2" s="335"/>
      <c r="E2" s="335"/>
      <c r="F2" s="335"/>
      <c r="G2" s="335"/>
      <c r="H2" s="335"/>
      <c r="I2" s="335"/>
      <c r="J2" s="335"/>
      <c r="K2" s="335"/>
      <c r="L2" s="335"/>
      <c r="M2" s="335"/>
    </row>
    <row r="3" spans="1:23" x14ac:dyDescent="0.25">
      <c r="A3" s="335" t="s">
        <v>76</v>
      </c>
      <c r="B3" s="335"/>
      <c r="C3" s="335"/>
      <c r="D3" s="335"/>
      <c r="E3" s="335"/>
      <c r="F3" s="335"/>
      <c r="G3" s="335"/>
      <c r="H3" s="335"/>
      <c r="I3" s="335"/>
      <c r="J3" s="335"/>
      <c r="K3" s="335"/>
      <c r="L3" s="335"/>
      <c r="M3" s="335"/>
    </row>
    <row r="4" spans="1:23" x14ac:dyDescent="0.25">
      <c r="A4" s="335" t="s">
        <v>276</v>
      </c>
      <c r="B4" s="335"/>
      <c r="C4" s="335"/>
      <c r="D4" s="335"/>
      <c r="E4" s="335"/>
      <c r="F4" s="335"/>
      <c r="G4" s="335"/>
      <c r="H4" s="335"/>
      <c r="I4" s="335"/>
      <c r="J4" s="335"/>
      <c r="K4" s="335"/>
      <c r="L4" s="335"/>
      <c r="M4" s="335"/>
    </row>
    <row r="5" spans="1:23" x14ac:dyDescent="0.25">
      <c r="A5" s="335" t="s">
        <v>274</v>
      </c>
      <c r="B5" s="335"/>
      <c r="C5" s="335"/>
      <c r="D5" s="335"/>
      <c r="E5" s="335"/>
      <c r="F5" s="335"/>
      <c r="G5" s="335"/>
      <c r="H5" s="335"/>
      <c r="I5" s="335"/>
      <c r="J5" s="335"/>
      <c r="K5" s="335"/>
      <c r="L5" s="335"/>
      <c r="M5" s="335"/>
    </row>
    <row r="6" spans="1:23" x14ac:dyDescent="0.25">
      <c r="A6"/>
      <c r="B6" s="348" t="s">
        <v>77</v>
      </c>
      <c r="C6" s="348"/>
      <c r="D6" s="348"/>
      <c r="E6" s="351" t="s">
        <v>78</v>
      </c>
      <c r="F6" s="351"/>
      <c r="G6" s="351"/>
      <c r="H6" s="349" t="s">
        <v>79</v>
      </c>
      <c r="I6" s="349"/>
      <c r="J6" s="349"/>
      <c r="K6" s="350" t="s">
        <v>80</v>
      </c>
      <c r="L6" s="350"/>
      <c r="M6" s="350"/>
    </row>
    <row r="7" spans="1:23" ht="25.5" x14ac:dyDescent="0.25">
      <c r="A7" s="43" t="s">
        <v>3</v>
      </c>
      <c r="B7" s="45" t="s">
        <v>81</v>
      </c>
      <c r="C7" s="45" t="s">
        <v>82</v>
      </c>
      <c r="D7" s="45" t="s">
        <v>7</v>
      </c>
      <c r="E7" s="45" t="s">
        <v>81</v>
      </c>
      <c r="F7" s="45" t="s">
        <v>82</v>
      </c>
      <c r="G7" s="45" t="s">
        <v>7</v>
      </c>
      <c r="H7" s="45" t="s">
        <v>81</v>
      </c>
      <c r="I7" s="45" t="s">
        <v>82</v>
      </c>
      <c r="J7" s="45" t="s">
        <v>7</v>
      </c>
      <c r="K7" s="45" t="s">
        <v>81</v>
      </c>
      <c r="L7" s="45" t="s">
        <v>82</v>
      </c>
      <c r="M7" s="45" t="s">
        <v>7</v>
      </c>
      <c r="W7" s="35"/>
    </row>
    <row r="8" spans="1:23" s="194" customFormat="1" ht="15.75" hidden="1" customHeight="1" x14ac:dyDescent="0.25">
      <c r="A8" s="195" t="s">
        <v>10</v>
      </c>
      <c r="B8" s="196"/>
      <c r="C8" s="193"/>
      <c r="D8" s="258"/>
      <c r="E8" s="192"/>
      <c r="F8" s="192"/>
      <c r="G8" s="259"/>
      <c r="H8" s="191"/>
      <c r="I8" s="192"/>
      <c r="J8" s="259"/>
      <c r="K8" s="197">
        <f>+H8+E8+B8</f>
        <v>0</v>
      </c>
      <c r="L8" s="197">
        <f>+C8+F8+I8</f>
        <v>0</v>
      </c>
      <c r="M8" s="260">
        <f>+D8+G8+J8</f>
        <v>0</v>
      </c>
    </row>
    <row r="9" spans="1:23" x14ac:dyDescent="0.25">
      <c r="A9" s="44" t="s">
        <v>21</v>
      </c>
      <c r="B9" s="222">
        <v>150534</v>
      </c>
      <c r="C9" s="32">
        <v>163269</v>
      </c>
      <c r="D9" s="259">
        <v>2650692163.9099998</v>
      </c>
      <c r="E9" s="192">
        <v>48574</v>
      </c>
      <c r="F9" s="192">
        <v>48574</v>
      </c>
      <c r="G9" s="259">
        <v>291444000</v>
      </c>
      <c r="H9" s="192">
        <v>25412</v>
      </c>
      <c r="I9" s="192">
        <v>25600</v>
      </c>
      <c r="J9" s="259">
        <v>753790725.44000006</v>
      </c>
      <c r="K9" s="37">
        <f>+B9+H9+E9</f>
        <v>224520</v>
      </c>
      <c r="L9" s="38">
        <f t="shared" ref="L9" si="0">+C9+I9+F9</f>
        <v>237443</v>
      </c>
      <c r="M9" s="65">
        <f t="shared" ref="M9" si="1">+D9+J9+G9</f>
        <v>3695926889.3499999</v>
      </c>
      <c r="U9" s="115">
        <f>+U31/1000000</f>
        <v>4961.4782583600008</v>
      </c>
    </row>
    <row r="10" spans="1:23" x14ac:dyDescent="0.25">
      <c r="A10" s="44" t="s">
        <v>20</v>
      </c>
      <c r="B10" s="222">
        <v>149705</v>
      </c>
      <c r="C10" s="199">
        <v>162450</v>
      </c>
      <c r="D10" s="60">
        <v>2634684601.9099998</v>
      </c>
      <c r="E10" s="32">
        <v>48508</v>
      </c>
      <c r="F10" s="32">
        <v>48508</v>
      </c>
      <c r="G10" s="60">
        <v>291048000</v>
      </c>
      <c r="H10" s="32">
        <v>25415</v>
      </c>
      <c r="I10" s="32">
        <v>25601</v>
      </c>
      <c r="J10" s="60">
        <v>754751444.11000001</v>
      </c>
      <c r="K10" s="37">
        <f t="shared" ref="K10:M10" si="2">+B10+H10+E10</f>
        <v>223628</v>
      </c>
      <c r="L10" s="38">
        <f t="shared" si="2"/>
        <v>236559</v>
      </c>
      <c r="M10" s="65">
        <f t="shared" si="2"/>
        <v>3680484046.02</v>
      </c>
      <c r="Q10" s="35">
        <f>+L11-L10</f>
        <v>-1278</v>
      </c>
    </row>
    <row r="11" spans="1:23" x14ac:dyDescent="0.25">
      <c r="A11" s="44" t="s">
        <v>34</v>
      </c>
      <c r="B11" s="222">
        <v>148464</v>
      </c>
      <c r="C11" s="32">
        <v>161198</v>
      </c>
      <c r="D11" s="60">
        <v>2608833842.75</v>
      </c>
      <c r="E11" s="32">
        <v>48486</v>
      </c>
      <c r="F11" s="32">
        <v>48486</v>
      </c>
      <c r="G11" s="60">
        <v>290916000</v>
      </c>
      <c r="H11" s="32">
        <v>25414</v>
      </c>
      <c r="I11" s="32">
        <v>25597</v>
      </c>
      <c r="J11" s="60">
        <v>755446618.87</v>
      </c>
      <c r="K11" s="37">
        <f>+B11+H11+E11</f>
        <v>222364</v>
      </c>
      <c r="L11" s="38">
        <f t="shared" ref="L11" si="3">+C11+I11+F11</f>
        <v>235281</v>
      </c>
      <c r="M11" s="262">
        <f t="shared" ref="M11" si="4">+D11+J11+G11</f>
        <v>3655196461.6199999</v>
      </c>
      <c r="S11" s="33"/>
      <c r="V11" s="1">
        <f>+U31/1000000</f>
        <v>4961.4782583600008</v>
      </c>
    </row>
    <row r="12" spans="1:23" x14ac:dyDescent="0.25">
      <c r="A12" s="27" t="s">
        <v>22</v>
      </c>
      <c r="B12" s="39">
        <f>+B9</f>
        <v>150534</v>
      </c>
      <c r="C12" s="39">
        <f>+C9</f>
        <v>163269</v>
      </c>
      <c r="D12" s="263">
        <f>SUM(D8:D11)</f>
        <v>7894210608.5699997</v>
      </c>
      <c r="E12" s="39">
        <f>+E9</f>
        <v>48574</v>
      </c>
      <c r="F12" s="39">
        <f>+F9</f>
        <v>48574</v>
      </c>
      <c r="G12" s="263">
        <f>SUM(G8:G11)</f>
        <v>873408000</v>
      </c>
      <c r="H12" s="39">
        <f>+H9</f>
        <v>25412</v>
      </c>
      <c r="I12" s="39">
        <f>+I9</f>
        <v>25600</v>
      </c>
      <c r="J12" s="264">
        <f>SUM(J8:J11)</f>
        <v>2263988788.4200001</v>
      </c>
      <c r="K12" s="39">
        <f>+K9</f>
        <v>224520</v>
      </c>
      <c r="L12" s="39">
        <f>+L9</f>
        <v>237443</v>
      </c>
      <c r="M12" s="264">
        <f>SUM(M8:M11)</f>
        <v>11031607396.99</v>
      </c>
      <c r="S12" s="347" t="s">
        <v>45</v>
      </c>
      <c r="T12" s="347"/>
      <c r="U12" s="347"/>
    </row>
    <row r="13" spans="1:23" hidden="1" x14ac:dyDescent="0.25">
      <c r="A13" s="44" t="s">
        <v>15</v>
      </c>
      <c r="B13" s="155"/>
      <c r="C13" s="126"/>
      <c r="D13" s="126">
        <f>SUM(D8:D11)</f>
        <v>7894210608.5699997</v>
      </c>
      <c r="E13" s="126"/>
      <c r="F13" s="126"/>
      <c r="G13" s="126">
        <f>SUM(G8:G11)</f>
        <v>873408000</v>
      </c>
      <c r="H13" s="126"/>
      <c r="I13" s="126"/>
      <c r="J13" s="126">
        <f>SUM(J8:J11)</f>
        <v>2263988788.4200001</v>
      </c>
      <c r="K13" s="37">
        <f t="shared" ref="K13:M15" si="5">+B13+H13+E13</f>
        <v>0</v>
      </c>
      <c r="L13" s="38">
        <f t="shared" si="5"/>
        <v>0</v>
      </c>
      <c r="M13" s="37">
        <f t="shared" si="5"/>
        <v>11031607396.99</v>
      </c>
    </row>
    <row r="14" spans="1:23" hidden="1" x14ac:dyDescent="0.25">
      <c r="A14" s="44" t="s">
        <v>16</v>
      </c>
      <c r="B14" s="155"/>
      <c r="C14" s="156"/>
      <c r="D14" s="126"/>
      <c r="E14" s="126"/>
      <c r="F14" s="126"/>
      <c r="G14" s="126"/>
      <c r="H14" s="126"/>
      <c r="I14" s="126"/>
      <c r="J14" s="126"/>
      <c r="K14" s="37">
        <f t="shared" si="5"/>
        <v>0</v>
      </c>
      <c r="L14" s="38">
        <f t="shared" si="5"/>
        <v>0</v>
      </c>
      <c r="M14" s="37">
        <f t="shared" si="5"/>
        <v>0</v>
      </c>
    </row>
    <row r="15" spans="1:23" hidden="1" x14ac:dyDescent="0.25">
      <c r="A15" s="44" t="s">
        <v>17</v>
      </c>
      <c r="B15" s="155"/>
      <c r="C15" s="126"/>
      <c r="D15" s="126"/>
      <c r="E15" s="126"/>
      <c r="F15" s="126"/>
      <c r="G15" s="126"/>
      <c r="H15" s="126"/>
      <c r="I15" s="126"/>
      <c r="J15" s="126"/>
      <c r="K15" s="37">
        <f t="shared" si="5"/>
        <v>0</v>
      </c>
      <c r="L15" s="38">
        <f t="shared" si="5"/>
        <v>0</v>
      </c>
      <c r="M15" s="37">
        <f t="shared" si="5"/>
        <v>0</v>
      </c>
      <c r="Q15" s="35">
        <f>+M11-M10</f>
        <v>-25287584.400000095</v>
      </c>
      <c r="S15" s="33"/>
    </row>
    <row r="16" spans="1:23" hidden="1" x14ac:dyDescent="0.25">
      <c r="A16" s="27" t="s">
        <v>18</v>
      </c>
      <c r="B16" s="39">
        <f>+B15</f>
        <v>0</v>
      </c>
      <c r="C16" s="39">
        <f>+C15</f>
        <v>0</v>
      </c>
      <c r="D16" s="39">
        <f>+SUM(D13:D15)</f>
        <v>7894210608.5699997</v>
      </c>
      <c r="E16" s="39">
        <f>+E15</f>
        <v>0</v>
      </c>
      <c r="F16" s="39">
        <f>+F15</f>
        <v>0</v>
      </c>
      <c r="G16" s="39">
        <f>+SUM(G13:G15)</f>
        <v>873408000</v>
      </c>
      <c r="H16" s="39">
        <f>+H15</f>
        <v>0</v>
      </c>
      <c r="I16" s="39">
        <f>+I15</f>
        <v>0</v>
      </c>
      <c r="J16" s="39">
        <f>+SUM(J13:J15)</f>
        <v>2263988788.4200001</v>
      </c>
      <c r="K16" s="39">
        <f>+K15</f>
        <v>0</v>
      </c>
      <c r="L16" s="40">
        <f>+L15</f>
        <v>0</v>
      </c>
      <c r="M16" s="39">
        <f>+SUM(M13:M15)</f>
        <v>11031607396.99</v>
      </c>
    </row>
    <row r="17" spans="1:21" hidden="1" x14ac:dyDescent="0.25">
      <c r="A17" s="44" t="s">
        <v>34</v>
      </c>
      <c r="B17" s="155"/>
      <c r="C17" s="126"/>
      <c r="D17" s="126"/>
      <c r="E17" s="126"/>
      <c r="F17" s="126"/>
      <c r="G17" s="126"/>
      <c r="H17" s="126"/>
      <c r="I17" s="126"/>
      <c r="J17" s="126"/>
      <c r="K17" s="37">
        <f t="shared" ref="K17:M19" si="6">+B17+H17+E17</f>
        <v>0</v>
      </c>
      <c r="L17" s="38">
        <f t="shared" si="6"/>
        <v>0</v>
      </c>
      <c r="M17" s="37">
        <f t="shared" si="6"/>
        <v>0</v>
      </c>
    </row>
    <row r="18" spans="1:21" hidden="1" x14ac:dyDescent="0.25">
      <c r="A18" s="44" t="s">
        <v>20</v>
      </c>
      <c r="B18" s="155"/>
      <c r="C18" s="156"/>
      <c r="D18" s="126"/>
      <c r="E18" s="126"/>
      <c r="F18" s="126"/>
      <c r="G18" s="126"/>
      <c r="H18" s="126"/>
      <c r="I18" s="126"/>
      <c r="J18" s="126"/>
      <c r="K18" s="37">
        <f t="shared" si="6"/>
        <v>0</v>
      </c>
      <c r="L18" s="38">
        <f t="shared" si="6"/>
        <v>0</v>
      </c>
      <c r="M18" s="37">
        <f t="shared" si="6"/>
        <v>0</v>
      </c>
    </row>
    <row r="19" spans="1:21" hidden="1" x14ac:dyDescent="0.25">
      <c r="A19" s="44" t="s">
        <v>21</v>
      </c>
      <c r="B19" s="155"/>
      <c r="C19" s="126"/>
      <c r="D19" s="126"/>
      <c r="E19" s="126"/>
      <c r="F19" s="126"/>
      <c r="G19" s="126"/>
      <c r="H19" s="126"/>
      <c r="I19" s="126"/>
      <c r="J19" s="126"/>
      <c r="K19" s="37">
        <f t="shared" si="6"/>
        <v>0</v>
      </c>
      <c r="L19" s="38">
        <f t="shared" si="6"/>
        <v>0</v>
      </c>
      <c r="M19" s="37">
        <f t="shared" si="6"/>
        <v>0</v>
      </c>
      <c r="S19" s="33"/>
    </row>
    <row r="20" spans="1:21" hidden="1" x14ac:dyDescent="0.25">
      <c r="A20" s="27" t="s">
        <v>22</v>
      </c>
      <c r="B20" s="39">
        <f>+B19</f>
        <v>0</v>
      </c>
      <c r="C20" s="39">
        <f>+C19</f>
        <v>0</v>
      </c>
      <c r="D20" s="39">
        <f>+SUM(D17:D19)</f>
        <v>0</v>
      </c>
      <c r="E20" s="39">
        <f>+E19</f>
        <v>0</v>
      </c>
      <c r="F20" s="39">
        <f>+F19</f>
        <v>0</v>
      </c>
      <c r="G20" s="39">
        <f>+SUM(G17:G19)</f>
        <v>0</v>
      </c>
      <c r="H20" s="39">
        <f>+H19</f>
        <v>0</v>
      </c>
      <c r="I20" s="39">
        <f>+I19</f>
        <v>0</v>
      </c>
      <c r="J20" s="39">
        <f>+SUM(J17:J19)</f>
        <v>0</v>
      </c>
      <c r="K20" s="39">
        <f>+K19</f>
        <v>0</v>
      </c>
      <c r="L20" s="40">
        <f>+L19</f>
        <v>0</v>
      </c>
      <c r="M20" s="39">
        <f>+SUM(M17:M19)</f>
        <v>0</v>
      </c>
    </row>
    <row r="21" spans="1:21" hidden="1" x14ac:dyDescent="0.25">
      <c r="A21" s="44" t="s">
        <v>13</v>
      </c>
      <c r="B21" s="155"/>
      <c r="C21" s="126"/>
      <c r="D21" s="126"/>
      <c r="E21" s="126"/>
      <c r="F21" s="126"/>
      <c r="G21" s="126"/>
      <c r="H21" s="126"/>
      <c r="I21" s="126"/>
      <c r="J21" s="126"/>
      <c r="K21" s="37">
        <f t="shared" ref="K21:M24" si="7">+B21+H21+E21</f>
        <v>0</v>
      </c>
      <c r="L21" s="38">
        <f t="shared" si="7"/>
        <v>0</v>
      </c>
      <c r="M21" s="37">
        <f t="shared" si="7"/>
        <v>0</v>
      </c>
    </row>
    <row r="22" spans="1:21" hidden="1" x14ac:dyDescent="0.25">
      <c r="A22" s="44" t="s">
        <v>12</v>
      </c>
      <c r="B22" s="155"/>
      <c r="C22" s="156"/>
      <c r="D22" s="126"/>
      <c r="E22" s="126"/>
      <c r="F22" s="126"/>
      <c r="G22" s="126"/>
      <c r="H22" s="126"/>
      <c r="I22" s="126"/>
      <c r="J22" s="126"/>
      <c r="K22" s="37">
        <f t="shared" si="7"/>
        <v>0</v>
      </c>
      <c r="L22" s="38">
        <f t="shared" si="7"/>
        <v>0</v>
      </c>
      <c r="M22" s="37">
        <f t="shared" si="7"/>
        <v>0</v>
      </c>
    </row>
    <row r="23" spans="1:21" hidden="1" x14ac:dyDescent="0.25">
      <c r="A23" s="44" t="s">
        <v>11</v>
      </c>
      <c r="B23" s="155"/>
      <c r="C23" s="126"/>
      <c r="D23" s="126"/>
      <c r="E23" s="126"/>
      <c r="F23" s="126"/>
      <c r="G23" s="126"/>
      <c r="H23" s="126"/>
      <c r="I23" s="126"/>
      <c r="J23" s="126"/>
      <c r="K23" s="37">
        <f t="shared" si="7"/>
        <v>0</v>
      </c>
      <c r="L23" s="38">
        <f t="shared" si="7"/>
        <v>0</v>
      </c>
      <c r="M23" s="37">
        <f t="shared" si="7"/>
        <v>0</v>
      </c>
      <c r="S23" s="33"/>
    </row>
    <row r="24" spans="1:21" hidden="1" x14ac:dyDescent="0.25">
      <c r="A24" s="44" t="s">
        <v>10</v>
      </c>
      <c r="B24" s="155"/>
      <c r="C24" s="126"/>
      <c r="D24" s="126"/>
      <c r="E24" s="126"/>
      <c r="F24" s="126"/>
      <c r="G24" s="126"/>
      <c r="H24" s="126"/>
      <c r="I24" s="126"/>
      <c r="J24" s="126"/>
      <c r="K24" s="37">
        <f t="shared" si="7"/>
        <v>0</v>
      </c>
      <c r="L24" s="38">
        <f t="shared" si="7"/>
        <v>0</v>
      </c>
      <c r="M24" s="37">
        <f t="shared" si="7"/>
        <v>0</v>
      </c>
    </row>
    <row r="25" spans="1:21" hidden="1" x14ac:dyDescent="0.25">
      <c r="A25" s="27" t="s">
        <v>14</v>
      </c>
      <c r="B25" s="39">
        <f>+B24</f>
        <v>0</v>
      </c>
      <c r="C25" s="39">
        <f>+C24</f>
        <v>0</v>
      </c>
      <c r="D25" s="39">
        <f>+SUM(D21:D24)</f>
        <v>0</v>
      </c>
      <c r="E25" s="39">
        <f>+E24</f>
        <v>0</v>
      </c>
      <c r="F25" s="39">
        <f>+F24</f>
        <v>0</v>
      </c>
      <c r="G25" s="39">
        <f>+SUM(G21:G24)</f>
        <v>0</v>
      </c>
      <c r="H25" s="39">
        <f>+H24</f>
        <v>0</v>
      </c>
      <c r="I25" s="39">
        <f>+I24</f>
        <v>0</v>
      </c>
      <c r="J25" s="39">
        <f>+SUM(J21:J24)</f>
        <v>0</v>
      </c>
      <c r="K25" s="39">
        <f>+K24</f>
        <v>0</v>
      </c>
      <c r="L25" s="40">
        <f>+L24</f>
        <v>0</v>
      </c>
      <c r="M25" s="39">
        <f>+SUM(M21:M24)</f>
        <v>0</v>
      </c>
    </row>
    <row r="26" spans="1:21" hidden="1" x14ac:dyDescent="0.25">
      <c r="A26" s="28" t="s">
        <v>23</v>
      </c>
      <c r="B26" s="41">
        <f>+B25</f>
        <v>0</v>
      </c>
      <c r="C26" s="41">
        <f>+C25</f>
        <v>0</v>
      </c>
      <c r="D26" s="41">
        <f>+D12+D16+D20+D25</f>
        <v>15788421217.139999</v>
      </c>
      <c r="E26" s="41">
        <f>+E25</f>
        <v>0</v>
      </c>
      <c r="F26" s="41">
        <f>+F25</f>
        <v>0</v>
      </c>
      <c r="G26" s="41">
        <f>+G12+G16+G20+G25</f>
        <v>1746816000</v>
      </c>
      <c r="H26" s="41">
        <f>+H25</f>
        <v>0</v>
      </c>
      <c r="I26" s="41">
        <f>+I25</f>
        <v>0</v>
      </c>
      <c r="J26" s="41">
        <f>+J12+J16+J20+J25</f>
        <v>4527977576.8400002</v>
      </c>
      <c r="K26" s="41">
        <f>+K25</f>
        <v>0</v>
      </c>
      <c r="L26" s="42">
        <f>+L25</f>
        <v>0</v>
      </c>
      <c r="M26" s="41">
        <f>+M12+M16+M20+M25</f>
        <v>22063214793.98</v>
      </c>
    </row>
    <row r="27" spans="1:21" hidden="1" x14ac:dyDescent="0.25">
      <c r="A27" t="s">
        <v>14</v>
      </c>
      <c r="B27" s="151"/>
      <c r="C27" s="151"/>
      <c r="D27" s="157">
        <f>+D12/M12</f>
        <v>0.71559930701703123</v>
      </c>
      <c r="E27" s="54"/>
      <c r="F27" s="54"/>
      <c r="G27" s="157">
        <f>+G12/M12</f>
        <v>7.9173230932630123E-2</v>
      </c>
      <c r="H27" s="54"/>
      <c r="I27" s="54"/>
      <c r="J27" s="157">
        <f>+J12/M12</f>
        <v>0.20522746205033862</v>
      </c>
      <c r="K27" s="151"/>
      <c r="L27" s="151"/>
      <c r="M27" s="151"/>
      <c r="R27" s="35"/>
    </row>
    <row r="28" spans="1:21" x14ac:dyDescent="0.25">
      <c r="A28" s="139" t="s">
        <v>84</v>
      </c>
      <c r="B28"/>
      <c r="C28"/>
      <c r="D28" s="202">
        <f>+D12/M12</f>
        <v>0.71559930701703123</v>
      </c>
      <c r="E28"/>
      <c r="F28"/>
      <c r="G28" s="202">
        <f>+G12/$M$12</f>
        <v>7.9173230932630123E-2</v>
      </c>
      <c r="H28"/>
      <c r="I28"/>
      <c r="J28" s="202">
        <f>+J12/$M$12</f>
        <v>0.20522746205033862</v>
      </c>
      <c r="K28" s="104"/>
      <c r="L28"/>
      <c r="M28" s="176"/>
      <c r="Q28" s="1" t="s">
        <v>83</v>
      </c>
      <c r="S28" s="82"/>
    </row>
    <row r="29" spans="1:21" x14ac:dyDescent="0.25">
      <c r="A29" s="139"/>
      <c r="B29" s="210"/>
      <c r="C29"/>
      <c r="D29"/>
      <c r="E29"/>
      <c r="F29"/>
      <c r="G29"/>
      <c r="H29"/>
      <c r="I29"/>
      <c r="J29" s="146"/>
      <c r="K29"/>
      <c r="L29"/>
      <c r="M29"/>
      <c r="P29" s="1" t="s">
        <v>85</v>
      </c>
      <c r="Q29" s="34" t="s">
        <v>86</v>
      </c>
      <c r="R29" s="76" t="s">
        <v>7</v>
      </c>
      <c r="S29" s="34" t="s">
        <v>87</v>
      </c>
      <c r="T29" s="76" t="s">
        <v>86</v>
      </c>
      <c r="U29" s="1" t="s">
        <v>7</v>
      </c>
    </row>
    <row r="30" spans="1:21" x14ac:dyDescent="0.25">
      <c r="A30"/>
      <c r="B30"/>
      <c r="C30"/>
      <c r="D30"/>
      <c r="E30"/>
      <c r="F30"/>
      <c r="G30"/>
      <c r="H30"/>
      <c r="I30"/>
      <c r="J30"/>
      <c r="K30"/>
      <c r="L30"/>
      <c r="M30"/>
      <c r="Q30" s="74"/>
      <c r="R30" s="36"/>
      <c r="S30" s="75">
        <v>145883</v>
      </c>
      <c r="T30" s="14">
        <v>158341</v>
      </c>
      <c r="U30" s="14">
        <v>6070129138.6299992</v>
      </c>
    </row>
    <row r="31" spans="1:21" x14ac:dyDescent="0.25">
      <c r="A31"/>
      <c r="B31"/>
      <c r="C31"/>
      <c r="D31"/>
      <c r="E31"/>
      <c r="F31"/>
      <c r="G31"/>
      <c r="H31"/>
      <c r="I31"/>
      <c r="J31"/>
      <c r="K31"/>
      <c r="L31"/>
      <c r="M31"/>
      <c r="Q31" s="81"/>
      <c r="R31" s="81"/>
      <c r="S31" s="35">
        <f>+K12-S30</f>
        <v>78637</v>
      </c>
      <c r="T31" s="35">
        <f>+L12-T30</f>
        <v>79102</v>
      </c>
      <c r="U31" s="35">
        <f>+M12-U30</f>
        <v>4961478258.3600006</v>
      </c>
    </row>
    <row r="32" spans="1:21" x14ac:dyDescent="0.25">
      <c r="A32"/>
      <c r="B32"/>
      <c r="C32"/>
      <c r="D32"/>
      <c r="E32"/>
      <c r="F32"/>
      <c r="G32"/>
      <c r="H32"/>
      <c r="I32"/>
      <c r="J32"/>
      <c r="K32"/>
      <c r="L32"/>
      <c r="M32"/>
      <c r="R32" s="36"/>
    </row>
    <row r="33" spans="1:21" x14ac:dyDescent="0.25">
      <c r="A33"/>
      <c r="B33"/>
      <c r="C33"/>
      <c r="D33"/>
      <c r="E33"/>
      <c r="F33"/>
      <c r="G33"/>
      <c r="H33"/>
      <c r="I33"/>
      <c r="J33"/>
      <c r="K33"/>
      <c r="L33"/>
      <c r="M33"/>
    </row>
    <row r="34" spans="1:21" x14ac:dyDescent="0.25">
      <c r="A34"/>
      <c r="B34"/>
      <c r="C34"/>
      <c r="D34"/>
      <c r="E34"/>
      <c r="F34"/>
      <c r="G34"/>
      <c r="H34"/>
      <c r="I34"/>
      <c r="J34"/>
      <c r="K34"/>
      <c r="L34"/>
      <c r="M34"/>
      <c r="S34" s="86">
        <f>+(K12-S30)/S30</f>
        <v>0.539041560702755</v>
      </c>
      <c r="T34" s="86">
        <f>+(L12-T30)/T30</f>
        <v>0.4995673893685148</v>
      </c>
      <c r="U34" s="86">
        <f>+(M12-U30)/U30</f>
        <v>0.81735958907124406</v>
      </c>
    </row>
    <row r="35" spans="1:21" x14ac:dyDescent="0.25">
      <c r="A35"/>
      <c r="B35"/>
      <c r="C35"/>
      <c r="D35"/>
      <c r="E35"/>
      <c r="F35"/>
      <c r="G35"/>
      <c r="H35"/>
      <c r="I35"/>
      <c r="J35"/>
      <c r="K35"/>
      <c r="L35"/>
      <c r="M35"/>
    </row>
    <row r="36" spans="1:21" x14ac:dyDescent="0.25">
      <c r="A36"/>
      <c r="B36"/>
      <c r="C36"/>
      <c r="D36"/>
      <c r="E36"/>
      <c r="F36"/>
      <c r="G36"/>
      <c r="H36"/>
      <c r="I36"/>
      <c r="J36"/>
      <c r="K36"/>
      <c r="L36"/>
      <c r="M36"/>
    </row>
    <row r="37" spans="1:21" x14ac:dyDescent="0.25">
      <c r="A37"/>
      <c r="B37"/>
      <c r="C37"/>
      <c r="D37"/>
      <c r="E37"/>
      <c r="F37"/>
      <c r="G37"/>
      <c r="H37"/>
      <c r="I37"/>
      <c r="J37"/>
      <c r="K37"/>
      <c r="L37"/>
      <c r="M37"/>
      <c r="S37" s="1" t="s">
        <v>88</v>
      </c>
    </row>
    <row r="38" spans="1:21" x14ac:dyDescent="0.25">
      <c r="A38"/>
      <c r="B38"/>
      <c r="C38"/>
      <c r="D38"/>
      <c r="E38"/>
      <c r="F38"/>
      <c r="G38"/>
      <c r="H38"/>
      <c r="I38"/>
      <c r="J38"/>
      <c r="K38"/>
      <c r="L38"/>
      <c r="M38"/>
      <c r="S38" s="124" t="s">
        <v>87</v>
      </c>
      <c r="T38" s="124" t="s">
        <v>86</v>
      </c>
      <c r="U38" s="124" t="s">
        <v>7</v>
      </c>
    </row>
    <row r="39" spans="1:21" x14ac:dyDescent="0.25">
      <c r="A39"/>
      <c r="B39"/>
      <c r="C39"/>
      <c r="D39"/>
      <c r="E39"/>
      <c r="F39"/>
      <c r="G39"/>
      <c r="H39"/>
      <c r="I39"/>
      <c r="J39"/>
      <c r="K39"/>
      <c r="L39"/>
      <c r="M39"/>
      <c r="S39" s="124">
        <v>139458</v>
      </c>
      <c r="T39" s="124">
        <v>151810</v>
      </c>
      <c r="U39" s="124">
        <v>5844095640.5</v>
      </c>
    </row>
    <row r="40" spans="1:21" x14ac:dyDescent="0.25">
      <c r="A40"/>
      <c r="B40"/>
      <c r="C40"/>
      <c r="D40"/>
      <c r="E40"/>
      <c r="F40"/>
      <c r="G40"/>
      <c r="H40"/>
      <c r="I40"/>
      <c r="J40"/>
      <c r="K40"/>
      <c r="L40"/>
      <c r="M40"/>
      <c r="S40" s="124">
        <f>K12-S39</f>
        <v>85062</v>
      </c>
      <c r="T40" s="124">
        <f t="shared" ref="T40:U40" si="8">L12-T39</f>
        <v>85633</v>
      </c>
      <c r="U40" s="124">
        <f t="shared" si="8"/>
        <v>5187511756.4899998</v>
      </c>
    </row>
    <row r="41" spans="1:21" x14ac:dyDescent="0.25">
      <c r="A41"/>
      <c r="B41"/>
      <c r="C41"/>
      <c r="D41"/>
      <c r="E41"/>
      <c r="F41"/>
      <c r="G41"/>
      <c r="H41"/>
      <c r="I41"/>
      <c r="J41"/>
      <c r="K41"/>
      <c r="L41"/>
      <c r="M41"/>
      <c r="S41" s="124"/>
      <c r="T41" s="124"/>
      <c r="U41" s="124"/>
    </row>
    <row r="42" spans="1:21" x14ac:dyDescent="0.25">
      <c r="A42"/>
      <c r="B42"/>
      <c r="C42"/>
      <c r="D42"/>
      <c r="E42"/>
      <c r="F42"/>
      <c r="G42"/>
      <c r="H42"/>
      <c r="I42"/>
      <c r="J42"/>
      <c r="K42"/>
      <c r="L42"/>
      <c r="M42"/>
      <c r="S42" s="124"/>
      <c r="T42" s="124"/>
      <c r="U42" s="124"/>
    </row>
    <row r="43" spans="1:21" x14ac:dyDescent="0.25">
      <c r="A43"/>
      <c r="B43"/>
      <c r="C43"/>
      <c r="D43"/>
      <c r="E43"/>
      <c r="F43"/>
      <c r="G43"/>
      <c r="H43"/>
      <c r="I43"/>
      <c r="J43"/>
      <c r="K43"/>
      <c r="L43"/>
      <c r="M43"/>
      <c r="S43" s="86">
        <f>+(K12-S39)/S39</f>
        <v>0.6099470808415437</v>
      </c>
      <c r="T43" s="86">
        <f t="shared" ref="T43:U43" si="9">+(L12-T39)/T39</f>
        <v>0.56408010012515641</v>
      </c>
      <c r="U43" s="86">
        <f t="shared" si="9"/>
        <v>0.88765004469471254</v>
      </c>
    </row>
    <row r="44" spans="1:21" x14ac:dyDescent="0.25">
      <c r="A44"/>
      <c r="B44"/>
      <c r="C44"/>
      <c r="D44"/>
      <c r="E44"/>
      <c r="F44"/>
      <c r="G44"/>
      <c r="H44"/>
      <c r="I44"/>
      <c r="J44"/>
      <c r="K44"/>
      <c r="L44"/>
      <c r="M44"/>
    </row>
    <row r="45" spans="1:21" x14ac:dyDescent="0.25">
      <c r="A45"/>
      <c r="B45"/>
      <c r="C45"/>
      <c r="D45"/>
      <c r="E45"/>
      <c r="F45"/>
      <c r="G45"/>
      <c r="H45"/>
      <c r="I45"/>
      <c r="J45"/>
      <c r="K45"/>
      <c r="L45"/>
      <c r="M45"/>
    </row>
    <row r="46" spans="1:21" x14ac:dyDescent="0.25">
      <c r="A46"/>
      <c r="B46"/>
      <c r="C46"/>
      <c r="D46"/>
      <c r="E46"/>
      <c r="F46"/>
      <c r="G46"/>
      <c r="H46"/>
      <c r="I46"/>
      <c r="J46"/>
      <c r="K46"/>
      <c r="L46"/>
      <c r="M46"/>
    </row>
    <row r="47" spans="1:21" x14ac:dyDescent="0.25">
      <c r="A47"/>
      <c r="B47"/>
      <c r="C47"/>
      <c r="D47"/>
      <c r="E47"/>
      <c r="F47"/>
      <c r="G47"/>
      <c r="H47"/>
      <c r="I47"/>
      <c r="J47"/>
      <c r="K47"/>
      <c r="L47"/>
      <c r="M47"/>
    </row>
    <row r="48" spans="1:21" x14ac:dyDescent="0.25">
      <c r="A48"/>
      <c r="B48"/>
      <c r="C48"/>
      <c r="D48"/>
      <c r="E48"/>
      <c r="F48"/>
      <c r="G48"/>
      <c r="H48"/>
      <c r="I48"/>
      <c r="J48"/>
      <c r="K48"/>
      <c r="L48"/>
      <c r="M48"/>
    </row>
    <row r="49" spans="1:13" x14ac:dyDescent="0.25">
      <c r="A49"/>
      <c r="B49"/>
      <c r="C49"/>
      <c r="D49"/>
      <c r="E49"/>
      <c r="F49"/>
      <c r="G49"/>
      <c r="H49"/>
      <c r="I49"/>
      <c r="J49"/>
      <c r="K49"/>
      <c r="L49"/>
      <c r="M49"/>
    </row>
    <row r="50" spans="1:13" x14ac:dyDescent="0.25">
      <c r="A50"/>
      <c r="B50"/>
      <c r="C50"/>
      <c r="D50"/>
      <c r="E50"/>
      <c r="F50"/>
      <c r="G50"/>
      <c r="H50"/>
      <c r="I50"/>
      <c r="J50"/>
      <c r="K50"/>
      <c r="L50"/>
      <c r="M50"/>
    </row>
    <row r="51" spans="1:13" x14ac:dyDescent="0.25">
      <c r="A51"/>
      <c r="B51"/>
      <c r="C51"/>
      <c r="D51"/>
      <c r="E51"/>
      <c r="F51"/>
      <c r="G51"/>
      <c r="H51"/>
      <c r="I51"/>
      <c r="J51"/>
      <c r="K51"/>
      <c r="L51"/>
      <c r="M51"/>
    </row>
    <row r="52" spans="1:13" x14ac:dyDescent="0.25">
      <c r="A52"/>
      <c r="B52"/>
      <c r="C52"/>
      <c r="D52"/>
      <c r="E52"/>
      <c r="F52"/>
      <c r="G52"/>
      <c r="H52"/>
      <c r="I52"/>
      <c r="J52"/>
      <c r="K52"/>
      <c r="L52"/>
      <c r="M52"/>
    </row>
    <row r="53" spans="1:13" x14ac:dyDescent="0.25">
      <c r="A53"/>
      <c r="B53"/>
      <c r="C53"/>
      <c r="D53"/>
      <c r="E53"/>
      <c r="F53"/>
      <c r="G53"/>
      <c r="H53"/>
      <c r="I53"/>
      <c r="J53"/>
      <c r="K53"/>
      <c r="L53"/>
      <c r="M53"/>
    </row>
    <row r="54" spans="1:13" x14ac:dyDescent="0.25">
      <c r="A54"/>
      <c r="B54"/>
      <c r="C54"/>
      <c r="D54"/>
      <c r="E54"/>
      <c r="F54"/>
      <c r="G54"/>
      <c r="H54"/>
      <c r="I54"/>
      <c r="J54"/>
      <c r="K54"/>
      <c r="L54"/>
      <c r="M54"/>
    </row>
    <row r="55" spans="1:13" x14ac:dyDescent="0.25">
      <c r="A55"/>
      <c r="B55"/>
      <c r="C55"/>
      <c r="D55"/>
      <c r="E55"/>
      <c r="F55"/>
      <c r="G55"/>
      <c r="H55"/>
      <c r="I55"/>
      <c r="J55"/>
      <c r="K55"/>
      <c r="L55"/>
      <c r="M55"/>
    </row>
    <row r="56" spans="1:13" x14ac:dyDescent="0.25">
      <c r="A56"/>
      <c r="B56"/>
      <c r="C56"/>
      <c r="D56"/>
      <c r="E56"/>
      <c r="F56"/>
      <c r="G56"/>
      <c r="H56"/>
      <c r="I56"/>
      <c r="J56"/>
      <c r="K56"/>
      <c r="L56"/>
      <c r="M56"/>
    </row>
    <row r="57" spans="1:13" x14ac:dyDescent="0.25">
      <c r="A57"/>
      <c r="B57"/>
      <c r="C57"/>
      <c r="D57"/>
      <c r="E57"/>
      <c r="F57"/>
      <c r="G57"/>
      <c r="H57"/>
      <c r="I57"/>
      <c r="J57"/>
      <c r="K57"/>
      <c r="L57"/>
      <c r="M57"/>
    </row>
    <row r="58" spans="1:13" x14ac:dyDescent="0.25">
      <c r="A58"/>
      <c r="B58"/>
      <c r="C58"/>
      <c r="D58"/>
      <c r="E58"/>
      <c r="F58"/>
      <c r="G58"/>
      <c r="H58"/>
      <c r="I58"/>
      <c r="J58"/>
      <c r="K58"/>
      <c r="L58"/>
      <c r="M58"/>
    </row>
    <row r="59" spans="1:13" x14ac:dyDescent="0.25">
      <c r="A59"/>
      <c r="B59"/>
      <c r="C59"/>
      <c r="D59"/>
      <c r="E59"/>
      <c r="F59"/>
      <c r="G59"/>
      <c r="H59"/>
      <c r="I59"/>
      <c r="J59"/>
      <c r="K59"/>
      <c r="L59"/>
      <c r="M59"/>
    </row>
    <row r="65" spans="2:14" x14ac:dyDescent="0.25">
      <c r="B65" s="44"/>
      <c r="C65" s="155"/>
      <c r="D65" s="126"/>
      <c r="E65" s="126"/>
      <c r="F65" s="126"/>
      <c r="G65" s="126"/>
      <c r="H65" s="126"/>
      <c r="I65" s="126"/>
      <c r="J65" s="126"/>
      <c r="K65" s="126"/>
      <c r="L65" s="37"/>
      <c r="M65" s="38"/>
      <c r="N65" s="37"/>
    </row>
    <row r="67" spans="2:14" x14ac:dyDescent="0.25">
      <c r="B67" s="44"/>
      <c r="C67" s="155"/>
      <c r="D67" s="126"/>
      <c r="E67" s="126"/>
      <c r="F67" s="126"/>
      <c r="G67" s="126"/>
      <c r="H67" s="126"/>
      <c r="I67" s="126"/>
      <c r="J67" s="126"/>
      <c r="K67" s="126"/>
      <c r="L67" s="37"/>
      <c r="M67" s="38"/>
      <c r="N67" s="128"/>
    </row>
  </sheetData>
  <mergeCells count="10">
    <mergeCell ref="S12:U12"/>
    <mergeCell ref="A1:M1"/>
    <mergeCell ref="A2:M2"/>
    <mergeCell ref="A3:M3"/>
    <mergeCell ref="A5:M5"/>
    <mergeCell ref="B6:D6"/>
    <mergeCell ref="H6:J6"/>
    <mergeCell ref="K6:M6"/>
    <mergeCell ref="A4:M4"/>
    <mergeCell ref="E6:G6"/>
  </mergeCells>
  <pageMargins left="0.7" right="0.7" top="0.75" bottom="0.75" header="0.3" footer="0.3"/>
  <pageSetup paperSize="9" scale="53" orientation="portrait" r:id="rId1"/>
  <colBreaks count="1" manualBreakCount="1">
    <brk id="14" max="1048575" man="1"/>
  </colBreaks>
  <ignoredErrors>
    <ignoredError sqref="J12:K12 L12:M12 G12 D12"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R40"/>
  <sheetViews>
    <sheetView showGridLines="0" zoomScale="115" zoomScaleNormal="115" workbookViewId="0">
      <selection activeCell="M18" sqref="M18"/>
    </sheetView>
  </sheetViews>
  <sheetFormatPr defaultColWidth="11.42578125" defaultRowHeight="15" x14ac:dyDescent="0.25"/>
  <cols>
    <col min="1" max="1" width="12.28515625" style="1" customWidth="1"/>
    <col min="2" max="2" width="10.7109375" style="1" customWidth="1"/>
    <col min="3" max="3" width="13.5703125" style="1" customWidth="1"/>
    <col min="4" max="4" width="10.5703125" style="1" customWidth="1"/>
    <col min="5" max="5" width="15.140625" style="1" customWidth="1"/>
    <col min="6" max="6" width="12.5703125" style="1" customWidth="1"/>
    <col min="7" max="10" width="10.5703125" style="1" customWidth="1"/>
    <col min="11" max="11" width="10.7109375" style="1" customWidth="1"/>
    <col min="12" max="12" width="17.7109375" style="1" customWidth="1"/>
    <col min="13" max="13" width="18" style="1" customWidth="1"/>
    <col min="14" max="14" width="14.7109375" style="1" customWidth="1"/>
    <col min="15" max="15" width="15.5703125" style="1" customWidth="1"/>
    <col min="16" max="16" width="13.5703125" style="1" customWidth="1"/>
    <col min="17" max="17" width="12.85546875" style="1" customWidth="1"/>
    <col min="18" max="18" width="17" style="1" customWidth="1"/>
    <col min="19" max="16384" width="11.42578125" style="1"/>
  </cols>
  <sheetData>
    <row r="1" spans="1:18" x14ac:dyDescent="0.25">
      <c r="A1" s="335" t="s">
        <v>0</v>
      </c>
      <c r="B1" s="335"/>
      <c r="C1" s="335"/>
      <c r="D1" s="335"/>
      <c r="E1" s="335"/>
      <c r="F1" s="335"/>
      <c r="G1" s="335"/>
      <c r="H1" s="335"/>
      <c r="I1" s="335"/>
      <c r="J1" s="335"/>
      <c r="K1" s="335"/>
      <c r="L1" s="335"/>
      <c r="M1" s="335"/>
      <c r="N1" s="335"/>
      <c r="O1" s="335"/>
      <c r="P1" s="335"/>
      <c r="Q1" s="335"/>
      <c r="R1" s="328"/>
    </row>
    <row r="2" spans="1:18" x14ac:dyDescent="0.25">
      <c r="A2" s="335" t="s">
        <v>65</v>
      </c>
      <c r="B2" s="335"/>
      <c r="C2" s="335"/>
      <c r="D2" s="335"/>
      <c r="E2" s="335"/>
      <c r="F2" s="335"/>
      <c r="G2" s="335"/>
      <c r="H2" s="335"/>
      <c r="I2" s="335"/>
      <c r="J2" s="335"/>
      <c r="K2" s="335"/>
      <c r="L2" s="335"/>
      <c r="M2" s="335"/>
      <c r="N2" s="335"/>
      <c r="O2" s="335"/>
      <c r="P2" s="335"/>
      <c r="Q2" s="335"/>
      <c r="R2" s="328"/>
    </row>
    <row r="3" spans="1:18" x14ac:dyDescent="0.25">
      <c r="A3" s="335" t="s">
        <v>89</v>
      </c>
      <c r="B3" s="335"/>
      <c r="C3" s="335"/>
      <c r="D3" s="335"/>
      <c r="E3" s="335"/>
      <c r="F3" s="335"/>
      <c r="G3" s="335"/>
      <c r="H3" s="335"/>
      <c r="I3" s="335"/>
      <c r="J3" s="335"/>
      <c r="K3" s="335"/>
      <c r="L3" s="335"/>
      <c r="M3" s="335"/>
      <c r="N3" s="335"/>
      <c r="O3" s="335"/>
      <c r="P3" s="335"/>
      <c r="Q3" s="335"/>
      <c r="R3" s="328"/>
    </row>
    <row r="4" spans="1:18" x14ac:dyDescent="0.25">
      <c r="A4" s="335" t="s">
        <v>276</v>
      </c>
      <c r="B4" s="335"/>
      <c r="C4" s="335"/>
      <c r="D4" s="335"/>
      <c r="E4" s="335"/>
      <c r="F4" s="335"/>
      <c r="G4" s="335"/>
      <c r="H4" s="335"/>
      <c r="I4" s="335"/>
      <c r="J4" s="335"/>
      <c r="K4" s="335"/>
      <c r="L4" s="335"/>
      <c r="M4" s="335"/>
      <c r="N4" s="335"/>
      <c r="O4" s="335"/>
      <c r="P4" s="335"/>
      <c r="Q4" s="335"/>
      <c r="R4" s="328"/>
    </row>
    <row r="5" spans="1:18" x14ac:dyDescent="0.25">
      <c r="A5" s="335" t="s">
        <v>274</v>
      </c>
      <c r="B5" s="335"/>
      <c r="C5" s="335"/>
      <c r="D5" s="335"/>
      <c r="E5" s="335"/>
      <c r="F5" s="335"/>
      <c r="G5" s="335"/>
      <c r="H5" s="335"/>
      <c r="I5" s="335"/>
      <c r="J5" s="335"/>
      <c r="K5" s="335"/>
      <c r="L5" s="335"/>
      <c r="M5" s="335"/>
      <c r="N5" s="335"/>
      <c r="O5" s="335"/>
      <c r="P5" s="335"/>
      <c r="Q5" s="335"/>
      <c r="R5" s="328"/>
    </row>
    <row r="6" spans="1:18" ht="30" customHeight="1" x14ac:dyDescent="0.25">
      <c r="A6" s="22"/>
      <c r="B6" s="358" t="s">
        <v>90</v>
      </c>
      <c r="C6" s="358"/>
      <c r="D6" s="358"/>
      <c r="E6" s="358"/>
      <c r="F6" s="358"/>
      <c r="G6" s="362" t="s">
        <v>91</v>
      </c>
      <c r="H6" s="362"/>
      <c r="I6" s="362"/>
      <c r="J6" s="362"/>
      <c r="K6" s="362"/>
      <c r="L6" s="359" t="s">
        <v>92</v>
      </c>
      <c r="M6" s="359"/>
      <c r="N6" s="360" t="s">
        <v>93</v>
      </c>
      <c r="O6" s="360"/>
      <c r="P6" s="361" t="s">
        <v>80</v>
      </c>
      <c r="Q6" s="361"/>
      <c r="R6" s="22"/>
    </row>
    <row r="7" spans="1:18" ht="24" customHeight="1" x14ac:dyDescent="0.25">
      <c r="A7" s="45" t="s">
        <v>3</v>
      </c>
      <c r="B7" s="45" t="s">
        <v>94</v>
      </c>
      <c r="C7" s="45" t="s">
        <v>95</v>
      </c>
      <c r="D7" s="45" t="s">
        <v>96</v>
      </c>
      <c r="E7" s="45" t="s">
        <v>97</v>
      </c>
      <c r="F7" s="45" t="s">
        <v>98</v>
      </c>
      <c r="G7" s="45" t="s">
        <v>94</v>
      </c>
      <c r="H7" s="45" t="s">
        <v>95</v>
      </c>
      <c r="I7" s="45" t="s">
        <v>96</v>
      </c>
      <c r="J7" s="45" t="s">
        <v>97</v>
      </c>
      <c r="K7" s="45" t="s">
        <v>98</v>
      </c>
      <c r="L7" s="45" t="s">
        <v>94</v>
      </c>
      <c r="M7" s="45" t="s">
        <v>95</v>
      </c>
      <c r="N7" s="45" t="s">
        <v>94</v>
      </c>
      <c r="O7" s="45" t="s">
        <v>99</v>
      </c>
      <c r="P7" s="45" t="s">
        <v>94</v>
      </c>
      <c r="Q7" s="45" t="s">
        <v>95</v>
      </c>
    </row>
    <row r="8" spans="1:18" hidden="1" x14ac:dyDescent="0.25">
      <c r="A8" s="44" t="s">
        <v>10</v>
      </c>
      <c r="B8" s="223"/>
      <c r="C8" s="265"/>
      <c r="D8" s="265"/>
      <c r="E8" s="265"/>
      <c r="F8" s="265"/>
      <c r="G8" s="223"/>
      <c r="H8" s="265"/>
      <c r="I8" s="265"/>
      <c r="J8" s="265"/>
      <c r="K8" s="265"/>
      <c r="L8" s="223"/>
      <c r="M8" s="265"/>
      <c r="N8" s="265"/>
      <c r="O8" s="265"/>
      <c r="P8" s="223">
        <f>B8+G8+L8+N8</f>
        <v>0</v>
      </c>
      <c r="Q8" s="265">
        <f>C8+H8+M8+O8</f>
        <v>0</v>
      </c>
    </row>
    <row r="9" spans="1:18" ht="13.5" customHeight="1" x14ac:dyDescent="0.25">
      <c r="A9" s="44" t="s">
        <v>21</v>
      </c>
      <c r="B9" s="223">
        <v>215</v>
      </c>
      <c r="C9" s="265">
        <v>2366490.77</v>
      </c>
      <c r="D9" s="265">
        <v>235939.13</v>
      </c>
      <c r="E9" s="265">
        <v>70994.720000000001</v>
      </c>
      <c r="F9" s="265">
        <v>2059556.92</v>
      </c>
      <c r="G9" s="223">
        <v>2</v>
      </c>
      <c r="H9" s="265">
        <v>25000</v>
      </c>
      <c r="I9" s="265">
        <v>2492.5</v>
      </c>
      <c r="J9" s="265">
        <v>750</v>
      </c>
      <c r="K9" s="265">
        <v>21757.5</v>
      </c>
      <c r="L9" s="223">
        <v>597</v>
      </c>
      <c r="M9" s="265">
        <v>10441181.050000001</v>
      </c>
      <c r="N9" s="223">
        <v>879</v>
      </c>
      <c r="O9" s="265">
        <v>10440412.050000001</v>
      </c>
      <c r="P9" s="208">
        <f t="shared" ref="P9:Q11" si="0">+L9+N9+B9+G9</f>
        <v>1693</v>
      </c>
      <c r="Q9" s="268">
        <f t="shared" si="0"/>
        <v>23273083.870000001</v>
      </c>
    </row>
    <row r="10" spans="1:18" x14ac:dyDescent="0.25">
      <c r="A10" s="44" t="s">
        <v>20</v>
      </c>
      <c r="B10" s="223">
        <v>218</v>
      </c>
      <c r="C10" s="265">
        <v>2423998.6</v>
      </c>
      <c r="D10" s="265">
        <v>241672.67</v>
      </c>
      <c r="E10" s="265">
        <v>72719.95</v>
      </c>
      <c r="F10" s="265">
        <v>2109605.98</v>
      </c>
      <c r="G10" s="223">
        <v>2</v>
      </c>
      <c r="H10" s="265">
        <v>25000</v>
      </c>
      <c r="I10" s="265">
        <v>2492.5</v>
      </c>
      <c r="J10" s="265">
        <v>750</v>
      </c>
      <c r="K10" s="265">
        <v>21757.5</v>
      </c>
      <c r="L10" s="223">
        <v>585</v>
      </c>
      <c r="M10" s="265">
        <v>10310043.470000001</v>
      </c>
      <c r="N10" s="223">
        <v>872</v>
      </c>
      <c r="O10" s="265">
        <v>10330238.470000001</v>
      </c>
      <c r="P10" s="208">
        <f t="shared" si="0"/>
        <v>1677</v>
      </c>
      <c r="Q10" s="268">
        <f t="shared" si="0"/>
        <v>23089280.540000003</v>
      </c>
    </row>
    <row r="11" spans="1:18" x14ac:dyDescent="0.25">
      <c r="A11" s="44" t="s">
        <v>34</v>
      </c>
      <c r="B11" s="223">
        <v>221</v>
      </c>
      <c r="C11" s="265">
        <v>2445057.4</v>
      </c>
      <c r="D11" s="265">
        <v>243772.23</v>
      </c>
      <c r="E11" s="265">
        <v>73351.710000000006</v>
      </c>
      <c r="F11" s="265">
        <v>2127933.46</v>
      </c>
      <c r="G11" s="223">
        <v>2</v>
      </c>
      <c r="H11" s="265">
        <v>25000</v>
      </c>
      <c r="I11" s="265">
        <v>2492.5</v>
      </c>
      <c r="J11" s="265">
        <v>750</v>
      </c>
      <c r="K11" s="265">
        <v>21757.5</v>
      </c>
      <c r="L11" s="223">
        <v>580</v>
      </c>
      <c r="M11" s="265">
        <v>10120185.310000001</v>
      </c>
      <c r="N11" s="223">
        <v>847</v>
      </c>
      <c r="O11" s="265">
        <v>10163501.66</v>
      </c>
      <c r="P11" s="208">
        <f t="shared" si="0"/>
        <v>1650</v>
      </c>
      <c r="Q11" s="268">
        <f t="shared" si="0"/>
        <v>22753744.369999997</v>
      </c>
    </row>
    <row r="12" spans="1:18" x14ac:dyDescent="0.25">
      <c r="A12" s="27" t="s">
        <v>22</v>
      </c>
      <c r="B12" s="207">
        <f>+B9</f>
        <v>215</v>
      </c>
      <c r="C12" s="266">
        <f>+SUM(C8:C11)</f>
        <v>7235546.7699999996</v>
      </c>
      <c r="D12" s="267">
        <f>+SUM(D9:D11)</f>
        <v>721384.03</v>
      </c>
      <c r="E12" s="267">
        <f>+SUM(E9:E11)</f>
        <v>217066.38</v>
      </c>
      <c r="F12" s="267">
        <f>+SUM(F8:F11)</f>
        <v>6297096.3599999994</v>
      </c>
      <c r="G12" s="207">
        <f>+G9</f>
        <v>2</v>
      </c>
      <c r="H12" s="267">
        <f>+SUM(H8:H11)</f>
        <v>75000</v>
      </c>
      <c r="I12" s="267">
        <f>SUM(I9:I11)</f>
        <v>7477.5</v>
      </c>
      <c r="J12" s="267">
        <f>SUM(J9:J11)</f>
        <v>2250</v>
      </c>
      <c r="K12" s="267">
        <f>SUM(K8:K11)</f>
        <v>65272.5</v>
      </c>
      <c r="L12" s="207">
        <f>+L9</f>
        <v>597</v>
      </c>
      <c r="M12" s="267">
        <f>+SUM(M8:M11)</f>
        <v>30871409.830000006</v>
      </c>
      <c r="N12" s="319">
        <f>+N9</f>
        <v>879</v>
      </c>
      <c r="O12" s="267">
        <f>+SUM(O8:O11)</f>
        <v>30934152.180000003</v>
      </c>
      <c r="P12" s="207">
        <f>+P9</f>
        <v>1693</v>
      </c>
      <c r="Q12" s="267">
        <f>SUM(Q8:Q11)</f>
        <v>69116108.780000001</v>
      </c>
    </row>
    <row r="13" spans="1:18" x14ac:dyDescent="0.25">
      <c r="A13" s="213" t="s">
        <v>100</v>
      </c>
      <c r="C13" s="269">
        <f>+C12/Q12</f>
        <v>0.10468683636445887</v>
      </c>
      <c r="H13" s="269">
        <f>ROUNDDOWN(+H12/Q12,4)</f>
        <v>1E-3</v>
      </c>
      <c r="M13" s="269">
        <f>+M12/Q12</f>
        <v>0.44666012561941576</v>
      </c>
      <c r="O13" s="269">
        <f>+O12/Q12</f>
        <v>0.447567907482537</v>
      </c>
    </row>
    <row r="14" spans="1:18" x14ac:dyDescent="0.25">
      <c r="P14" s="36"/>
    </row>
    <row r="15" spans="1:18" x14ac:dyDescent="0.25">
      <c r="C15" s="35"/>
      <c r="D15"/>
      <c r="E15"/>
      <c r="F15"/>
      <c r="G15"/>
      <c r="H15"/>
      <c r="I15"/>
      <c r="J15"/>
      <c r="K15"/>
      <c r="L15"/>
      <c r="M15"/>
      <c r="N15"/>
      <c r="O15"/>
      <c r="Q15" s="35"/>
    </row>
    <row r="17" spans="1:14" x14ac:dyDescent="0.25">
      <c r="B17" s="14"/>
    </row>
    <row r="18" spans="1:14" x14ac:dyDescent="0.25">
      <c r="M18" s="1" t="s">
        <v>101</v>
      </c>
    </row>
    <row r="27" spans="1:14" x14ac:dyDescent="0.25">
      <c r="E27" s="209"/>
    </row>
    <row r="30" spans="1:14" ht="4.5" hidden="1" customHeight="1" x14ac:dyDescent="0.25"/>
    <row r="31" spans="1:14" ht="45" customHeight="1" x14ac:dyDescent="0.25">
      <c r="A31"/>
      <c r="B31" s="364" t="s">
        <v>102</v>
      </c>
      <c r="C31" s="364"/>
      <c r="D31" s="365" t="s">
        <v>103</v>
      </c>
      <c r="E31" s="365"/>
      <c r="F31" s="367" t="s">
        <v>286</v>
      </c>
      <c r="G31" s="367"/>
      <c r="H31" s="367"/>
      <c r="I31" s="367"/>
      <c r="J31" s="366" t="s">
        <v>104</v>
      </c>
      <c r="K31" s="366"/>
      <c r="L31" s="366"/>
      <c r="M31" s="361" t="s">
        <v>80</v>
      </c>
      <c r="N31" s="361"/>
    </row>
    <row r="32" spans="1:14" ht="38.25" customHeight="1" x14ac:dyDescent="0.25">
      <c r="A32" s="219" t="s">
        <v>3</v>
      </c>
      <c r="B32" s="219" t="s">
        <v>94</v>
      </c>
      <c r="C32" s="219" t="s">
        <v>95</v>
      </c>
      <c r="D32" s="219" t="s">
        <v>94</v>
      </c>
      <c r="E32" s="219" t="s">
        <v>95</v>
      </c>
      <c r="F32" s="355" t="s">
        <v>94</v>
      </c>
      <c r="G32" s="355"/>
      <c r="H32" s="337" t="s">
        <v>95</v>
      </c>
      <c r="I32" s="337"/>
      <c r="J32" s="363" t="s">
        <v>94</v>
      </c>
      <c r="K32" s="363"/>
      <c r="L32" s="219" t="s">
        <v>7</v>
      </c>
      <c r="M32" s="219" t="s">
        <v>94</v>
      </c>
      <c r="N32" s="219" t="s">
        <v>95</v>
      </c>
    </row>
    <row r="33" spans="1:14" hidden="1" x14ac:dyDescent="0.25">
      <c r="A33" s="44" t="s">
        <v>10</v>
      </c>
      <c r="B33" s="206" t="s">
        <v>105</v>
      </c>
      <c r="C33" s="32" t="s">
        <v>105</v>
      </c>
      <c r="D33" s="206" t="s">
        <v>105</v>
      </c>
      <c r="E33" s="32" t="s">
        <v>105</v>
      </c>
      <c r="F33" s="354" t="s">
        <v>105</v>
      </c>
      <c r="G33" s="354"/>
      <c r="H33" s="354" t="s">
        <v>105</v>
      </c>
      <c r="I33" s="354"/>
      <c r="J33" s="354" t="s">
        <v>105</v>
      </c>
      <c r="K33" s="354"/>
      <c r="L33" s="223" t="s">
        <v>105</v>
      </c>
      <c r="M33" s="206" t="s">
        <v>105</v>
      </c>
      <c r="N33" s="206" t="s">
        <v>105</v>
      </c>
    </row>
    <row r="34" spans="1:14" x14ac:dyDescent="0.25">
      <c r="A34" s="44" t="s">
        <v>21</v>
      </c>
      <c r="B34" s="322">
        <v>0</v>
      </c>
      <c r="C34" s="322">
        <v>0</v>
      </c>
      <c r="D34" s="326">
        <v>17</v>
      </c>
      <c r="E34" s="322">
        <v>3976626.6</v>
      </c>
      <c r="F34" s="356">
        <v>0</v>
      </c>
      <c r="G34" s="356"/>
      <c r="H34" s="357">
        <v>0</v>
      </c>
      <c r="I34" s="357"/>
      <c r="J34" s="352">
        <v>11</v>
      </c>
      <c r="K34" s="352"/>
      <c r="L34" s="322">
        <v>2388112.2999999998</v>
      </c>
      <c r="M34" s="208">
        <f>B34+D34+J34</f>
        <v>28</v>
      </c>
      <c r="N34" s="268">
        <f>C34+E34+L34</f>
        <v>6364738.9000000004</v>
      </c>
    </row>
    <row r="35" spans="1:14" x14ac:dyDescent="0.25">
      <c r="A35" s="44" t="s">
        <v>20</v>
      </c>
      <c r="B35" s="322">
        <v>0</v>
      </c>
      <c r="C35" s="322">
        <v>0</v>
      </c>
      <c r="D35" s="326">
        <v>11</v>
      </c>
      <c r="E35" s="322">
        <v>1870690.6</v>
      </c>
      <c r="F35" s="357">
        <v>0</v>
      </c>
      <c r="G35" s="357"/>
      <c r="H35" s="357">
        <v>0</v>
      </c>
      <c r="I35" s="357"/>
      <c r="J35" s="352">
        <v>27</v>
      </c>
      <c r="K35" s="352"/>
      <c r="L35" s="322">
        <v>4711516.5999999996</v>
      </c>
      <c r="M35" s="208">
        <f t="shared" ref="M35:M36" si="1">B35+D35+J35</f>
        <v>38</v>
      </c>
      <c r="N35" s="268">
        <f t="shared" ref="N35:N36" si="2">C35+E35+L35</f>
        <v>6582207.1999999993</v>
      </c>
    </row>
    <row r="36" spans="1:14" x14ac:dyDescent="0.25">
      <c r="A36" s="44" t="s">
        <v>34</v>
      </c>
      <c r="B36" s="322">
        <v>0</v>
      </c>
      <c r="C36" s="322">
        <v>0</v>
      </c>
      <c r="D36" s="326">
        <v>11</v>
      </c>
      <c r="E36" s="322">
        <v>4898619.5</v>
      </c>
      <c r="F36" s="357">
        <v>0</v>
      </c>
      <c r="G36" s="357"/>
      <c r="H36" s="357">
        <v>0</v>
      </c>
      <c r="I36" s="357"/>
      <c r="J36" s="352">
        <v>16</v>
      </c>
      <c r="K36" s="352"/>
      <c r="L36" s="322">
        <v>4041774</v>
      </c>
      <c r="M36" s="208">
        <f t="shared" si="1"/>
        <v>27</v>
      </c>
      <c r="N36" s="268">
        <f t="shared" si="2"/>
        <v>8940393.5</v>
      </c>
    </row>
    <row r="37" spans="1:14" x14ac:dyDescent="0.25">
      <c r="A37" s="27" t="s">
        <v>22</v>
      </c>
      <c r="B37" s="323">
        <f>SUM(B34:B36)</f>
        <v>0</v>
      </c>
      <c r="C37" s="324">
        <f>+SUM(C34:C36)</f>
        <v>0</v>
      </c>
      <c r="D37" s="323">
        <f>SUM(D34:D36)</f>
        <v>39</v>
      </c>
      <c r="E37" s="324">
        <f>+SUM(E34:E36)</f>
        <v>10745936.699999999</v>
      </c>
      <c r="F37" s="353">
        <f>SUM(F34:F36)</f>
        <v>0</v>
      </c>
      <c r="G37" s="353"/>
      <c r="H37" s="353">
        <f>SUM(H34:H36)</f>
        <v>0</v>
      </c>
      <c r="I37" s="353"/>
      <c r="J37" s="353">
        <f>SUM(J34:J36)</f>
        <v>54</v>
      </c>
      <c r="K37" s="353"/>
      <c r="L37" s="325">
        <f>+SUM(L34:L36)</f>
        <v>11141402.899999999</v>
      </c>
      <c r="M37" s="207">
        <f>SUM(M34:M36)</f>
        <v>93</v>
      </c>
      <c r="N37" s="267">
        <f>SUM(N34:N36)</f>
        <v>21887339.600000001</v>
      </c>
    </row>
    <row r="38" spans="1:14" x14ac:dyDescent="0.25">
      <c r="A38" s="213" t="s">
        <v>106</v>
      </c>
    </row>
    <row r="40" spans="1:14" ht="15" customHeight="1" x14ac:dyDescent="0.25"/>
  </sheetData>
  <mergeCells count="33">
    <mergeCell ref="J34:K34"/>
    <mergeCell ref="J32:K32"/>
    <mergeCell ref="B31:C31"/>
    <mergeCell ref="D31:E31"/>
    <mergeCell ref="M31:N31"/>
    <mergeCell ref="J31:L31"/>
    <mergeCell ref="F31:I31"/>
    <mergeCell ref="H33:I33"/>
    <mergeCell ref="A2:Q2"/>
    <mergeCell ref="A3:Q3"/>
    <mergeCell ref="A4:Q4"/>
    <mergeCell ref="A5:Q5"/>
    <mergeCell ref="B6:F6"/>
    <mergeCell ref="L6:M6"/>
    <mergeCell ref="N6:O6"/>
    <mergeCell ref="P6:Q6"/>
    <mergeCell ref="G6:K6"/>
    <mergeCell ref="A1:Q1"/>
    <mergeCell ref="J35:K35"/>
    <mergeCell ref="J36:K36"/>
    <mergeCell ref="J37:K37"/>
    <mergeCell ref="J33:K33"/>
    <mergeCell ref="F32:G32"/>
    <mergeCell ref="H32:I32"/>
    <mergeCell ref="F34:G34"/>
    <mergeCell ref="F37:G37"/>
    <mergeCell ref="H37:I37"/>
    <mergeCell ref="F35:G35"/>
    <mergeCell ref="F36:G36"/>
    <mergeCell ref="H34:I34"/>
    <mergeCell ref="H35:I35"/>
    <mergeCell ref="H36:I36"/>
    <mergeCell ref="F33:G33"/>
  </mergeCells>
  <pageMargins left="0.7" right="0.7" top="0.75" bottom="0.75" header="0.3" footer="0.3"/>
  <pageSetup paperSize="9" scale="50" orientation="landscape" r:id="rId1"/>
  <ignoredErrors>
    <ignoredError sqref="N37 B12 D12 E12 P8:P12 Q8:Q12 F12 H12:J12 K12:L12 N34:N36 M34:M37 L37 J37 H37 F37 B37 C13 H13 M13 O13" unlockedFormula="1"/>
    <ignoredError sqref="G12 M12 N12:O12 C37 D37:E37" formula="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13</vt:i4>
      </vt:variant>
    </vt:vector>
  </HeadingPairs>
  <TitlesOfParts>
    <vt:vector size="32" baseType="lpstr">
      <vt:lpstr>Presupuesto Adm.</vt:lpstr>
      <vt:lpstr>Afiliados y Cotizantes</vt:lpstr>
      <vt:lpstr>Cotizantes</vt:lpstr>
      <vt:lpstr>Empleador</vt:lpstr>
      <vt:lpstr>Aportes</vt:lpstr>
      <vt:lpstr>Traspaso</vt:lpstr>
      <vt:lpstr>Presupuesto de Pensiones</vt:lpstr>
      <vt:lpstr>Nómina</vt:lpstr>
      <vt:lpstr>Autoseguro</vt:lpstr>
      <vt:lpstr>Movimientos</vt:lpstr>
      <vt:lpstr>Hoja1</vt:lpstr>
      <vt:lpstr>Tipo de Pension</vt:lpstr>
      <vt:lpstr>Modalidad</vt:lpstr>
      <vt:lpstr>Retroactivos</vt:lpstr>
      <vt:lpstr>Reintegros</vt:lpstr>
      <vt:lpstr>Créditos Rechazados</vt:lpstr>
      <vt:lpstr>PUC</vt:lpstr>
      <vt:lpstr>Recuperación Fondos</vt:lpstr>
      <vt:lpstr>Servicios</vt:lpstr>
      <vt:lpstr>'Afiliados y Cotizantes'!Print_Area</vt:lpstr>
      <vt:lpstr>Aportes!Print_Area</vt:lpstr>
      <vt:lpstr>Autoseguro!Print_Area</vt:lpstr>
      <vt:lpstr>Cotizantes!Print_Area</vt:lpstr>
      <vt:lpstr>Modalidad!Print_Area</vt:lpstr>
      <vt:lpstr>Movimientos!Print_Area</vt:lpstr>
      <vt:lpstr>Nómina!Print_Area</vt:lpstr>
      <vt:lpstr>'Presupuesto de Pensiones'!Print_Area</vt:lpstr>
      <vt:lpstr>'Recuperación Fondos'!Print_Area</vt:lpstr>
      <vt:lpstr>Retroactivos!Print_Area</vt:lpstr>
      <vt:lpstr>Servicios!Print_Area</vt:lpstr>
      <vt:lpstr>'Tipo de Pension'!Print_Area</vt:lpstr>
      <vt:lpstr>Traspaso!Print_Area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Cesar Roa</dc:creator>
  <cp:keywords/>
  <dc:description/>
  <cp:lastModifiedBy>Eury Enrique Familia Marte</cp:lastModifiedBy>
  <cp:revision/>
  <dcterms:created xsi:type="dcterms:W3CDTF">2019-06-03T16:17:46Z</dcterms:created>
  <dcterms:modified xsi:type="dcterms:W3CDTF">2024-10-07T21:57:45Z</dcterms:modified>
  <cp:category/>
  <cp:contentStatus/>
</cp:coreProperties>
</file>