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4.xml" ContentType="application/vnd.openxmlformats-officedocument.drawing+xml"/>
  <Override PartName="/xl/charts/chart21.xml" ContentType="application/vnd.openxmlformats-officedocument.drawingml.chart+xml"/>
  <Override PartName="/xl/charts/style8.xml" ContentType="application/vnd.ms-office.chartstyle+xml"/>
  <Override PartName="/xl/charts/colors8.xml" ContentType="application/vnd.ms-office.chartcolorstyle+xml"/>
  <Override PartName="/xl/charts/chart22.xml" ContentType="application/vnd.openxmlformats-officedocument.drawingml.chart+xml"/>
  <Override PartName="/xl/charts/style9.xml" ContentType="application/vnd.ms-office.chartstyle+xml"/>
  <Override PartName="/xl/charts/colors9.xml" ContentType="application/vnd.ms-office.chartcolorstyle+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charts/chart2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3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charts/chart31.xml" ContentType="application/vnd.openxmlformats-officedocument.drawingml.chart+xml"/>
  <Override PartName="/xl/drawings/drawing2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Eury Familia\Documents\OAI pendientes T1-2024\"/>
    </mc:Choice>
  </mc:AlternateContent>
  <xr:revisionPtr revIDLastSave="0" documentId="13_ncr:1_{AE2868FD-A420-4052-94FD-9DEFBBE463C2}" xr6:coauthVersionLast="47" xr6:coauthVersionMax="47" xr10:uidLastSave="{00000000-0000-0000-0000-000000000000}"/>
  <bookViews>
    <workbookView xWindow="-120" yWindow="-120" windowWidth="29040" windowHeight="16440" tabRatio="990" activeTab="7" xr2:uid="{00000000-000D-0000-FFFF-FFFF00000000}"/>
  </bookViews>
  <sheets>
    <sheet name="Presupuesto Adm." sheetId="1" r:id="rId1"/>
    <sheet name="Afiliados y Cotizantes" sheetId="21" r:id="rId2"/>
    <sheet name="Cotizantes" sheetId="4" r:id="rId3"/>
    <sheet name="Empleador" sheetId="7" r:id="rId4"/>
    <sheet name="Aportes" sheetId="5" r:id="rId5"/>
    <sheet name="Traspaso" sheetId="6" r:id="rId6"/>
    <sheet name="Presupuesto de Pensiones" sheetId="2" r:id="rId7"/>
    <sheet name="Nómina" sheetId="8" r:id="rId8"/>
    <sheet name="Autoseguro" sheetId="22" r:id="rId9"/>
    <sheet name="Movimientos" sheetId="25" r:id="rId10"/>
    <sheet name="Hoja1" sheetId="18" state="hidden" r:id="rId11"/>
    <sheet name="Tipo de Pension" sheetId="12" r:id="rId12"/>
    <sheet name="Modalidad" sheetId="10" r:id="rId13"/>
    <sheet name="Retroactivos" sheetId="11" r:id="rId14"/>
    <sheet name="Reintegros" sheetId="16" state="hidden" r:id="rId15"/>
    <sheet name="Créditos Rechazados" sheetId="17" state="hidden" r:id="rId16"/>
    <sheet name="PUC" sheetId="24" r:id="rId17"/>
    <sheet name="Recuperación Fondos" sheetId="15" r:id="rId18"/>
    <sheet name="Servicios" sheetId="13" r:id="rId19"/>
  </sheets>
  <definedNames>
    <definedName name="_xlnm.Print_Area" localSheetId="1">'Afiliados y Cotizantes'!$A$1:$N$58</definedName>
    <definedName name="_xlnm.Print_Area" localSheetId="4">Aportes!$A$1:$D$41</definedName>
    <definedName name="_xlnm.Print_Area" localSheetId="8">Autoseguro!$A$1:$R$66</definedName>
    <definedName name="_xlnm.Print_Area" localSheetId="2">Cotizantes!$A$1:$K$40</definedName>
    <definedName name="_xlnm.Print_Area" localSheetId="12">Modalidad!$A$2:$Q$45</definedName>
    <definedName name="_xlnm.Print_Area" localSheetId="9">Movimientos!$A$1:$Q$40</definedName>
    <definedName name="_xlnm.Print_Area" localSheetId="7">Nómina!$A$1:$O$55</definedName>
    <definedName name="_xlnm.Print_Area" localSheetId="6">'Presupuesto de Pensiones'!$A$1:$H$51</definedName>
    <definedName name="_xlnm.Print_Area" localSheetId="17">'Recuperación Fondos'!$A$2:$G$57</definedName>
    <definedName name="_xlnm.Print_Area" localSheetId="13">Retroactivos!$A$2:$M$45</definedName>
    <definedName name="_xlnm.Print_Area" localSheetId="18">Servicios!$A$2:$V$57</definedName>
    <definedName name="_xlnm.Print_Area" localSheetId="11">'Tipo de Pension'!$A$2:$AH$73</definedName>
    <definedName name="_xlnm.Print_Area" localSheetId="5">Traspaso!$A$1:$I$42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22" l="1"/>
  <c r="H13" i="22"/>
  <c r="M13" i="22"/>
  <c r="O13" i="22"/>
  <c r="D36" i="12"/>
  <c r="B36" i="12"/>
  <c r="K35" i="12" l="1"/>
  <c r="L14" i="10"/>
  <c r="H14" i="10"/>
  <c r="D14" i="10"/>
  <c r="C10" i="5" l="1"/>
  <c r="D10" i="5" s="1"/>
  <c r="C9" i="5" l="1"/>
  <c r="C8" i="5"/>
  <c r="F7" i="21"/>
  <c r="F10" i="15" l="1"/>
  <c r="F9" i="15"/>
  <c r="F8" i="15"/>
  <c r="L11" i="11" l="1"/>
  <c r="J11" i="12"/>
  <c r="K38" i="13" l="1"/>
  <c r="K37" i="13"/>
  <c r="J38" i="13"/>
  <c r="K39" i="13"/>
  <c r="K40" i="13"/>
  <c r="K41" i="13"/>
  <c r="K42" i="13"/>
  <c r="K43" i="13"/>
  <c r="K44" i="13"/>
  <c r="K45" i="13"/>
  <c r="K46" i="13"/>
  <c r="K47" i="13"/>
  <c r="K34" i="13"/>
  <c r="G36" i="13"/>
  <c r="G37" i="13"/>
  <c r="G38" i="13"/>
  <c r="G42" i="13"/>
  <c r="G43" i="13"/>
  <c r="G39" i="13"/>
  <c r="D37" i="13"/>
  <c r="D38" i="13"/>
  <c r="D39" i="13"/>
  <c r="D40" i="13"/>
  <c r="L67" i="13"/>
  <c r="L68" i="13"/>
  <c r="L69" i="13"/>
  <c r="L66" i="13"/>
  <c r="K67" i="13"/>
  <c r="K68" i="13"/>
  <c r="K69" i="13"/>
  <c r="K66" i="13"/>
  <c r="G35" i="13"/>
  <c r="G40" i="13"/>
  <c r="G41" i="13"/>
  <c r="G44" i="13"/>
  <c r="G45" i="13"/>
  <c r="G23" i="13"/>
  <c r="D23" i="13"/>
  <c r="L13" i="13"/>
  <c r="L14" i="13"/>
  <c r="L15" i="13"/>
  <c r="L16" i="13"/>
  <c r="L17" i="13"/>
  <c r="L18" i="13"/>
  <c r="L19" i="13"/>
  <c r="L20" i="13"/>
  <c r="L21" i="13"/>
  <c r="L22" i="13"/>
  <c r="L23" i="13"/>
  <c r="L24" i="13"/>
  <c r="L12" i="13"/>
  <c r="K13" i="13"/>
  <c r="K14" i="13"/>
  <c r="K15" i="13"/>
  <c r="K16" i="13"/>
  <c r="K17" i="13"/>
  <c r="K18" i="13"/>
  <c r="K19" i="13"/>
  <c r="K20" i="13"/>
  <c r="K21" i="13"/>
  <c r="K22" i="13"/>
  <c r="K23" i="13"/>
  <c r="K24" i="13"/>
  <c r="K12" i="13"/>
  <c r="J40" i="13" l="1"/>
  <c r="J42" i="13"/>
  <c r="J36" i="13"/>
  <c r="J41" i="13"/>
  <c r="J39" i="13"/>
  <c r="J35" i="13"/>
  <c r="K36" i="13"/>
  <c r="K35" i="13"/>
  <c r="K48" i="13" s="1"/>
  <c r="J37" i="13"/>
  <c r="M12" i="13"/>
  <c r="G11" i="2"/>
  <c r="H11" i="2" s="1"/>
  <c r="E14" i="2"/>
  <c r="M24" i="25" l="1"/>
  <c r="L24" i="25"/>
  <c r="K24" i="25"/>
  <c r="J24" i="25"/>
  <c r="I24" i="25"/>
  <c r="H24" i="25"/>
  <c r="C24" i="25"/>
  <c r="B24" i="25"/>
  <c r="O23" i="25"/>
  <c r="N23" i="25"/>
  <c r="O22" i="25"/>
  <c r="N22" i="25"/>
  <c r="O21" i="25"/>
  <c r="N21" i="25"/>
  <c r="M20" i="25"/>
  <c r="L20" i="25"/>
  <c r="K20" i="25"/>
  <c r="J20" i="25"/>
  <c r="I20" i="25"/>
  <c r="H20" i="25"/>
  <c r="C20" i="25"/>
  <c r="B20" i="25"/>
  <c r="O19" i="25"/>
  <c r="N19" i="25"/>
  <c r="O18" i="25"/>
  <c r="N18" i="25"/>
  <c r="O17" i="25"/>
  <c r="N17" i="25"/>
  <c r="M16" i="25"/>
  <c r="L16" i="25"/>
  <c r="K16" i="25"/>
  <c r="J16" i="25"/>
  <c r="I16" i="25"/>
  <c r="H16" i="25"/>
  <c r="C16" i="25"/>
  <c r="B16" i="25"/>
  <c r="O15" i="25"/>
  <c r="N15" i="25"/>
  <c r="O14" i="25"/>
  <c r="N14" i="25"/>
  <c r="O13" i="25"/>
  <c r="N13" i="25"/>
  <c r="M12" i="25"/>
  <c r="M25" i="25" s="1"/>
  <c r="L12" i="25"/>
  <c r="L25" i="25" s="1"/>
  <c r="K12" i="25"/>
  <c r="J12" i="25"/>
  <c r="I12" i="25"/>
  <c r="H12" i="25"/>
  <c r="H25" i="25" s="1"/>
  <c r="G12" i="25"/>
  <c r="F12" i="25"/>
  <c r="E12" i="25"/>
  <c r="D12" i="25"/>
  <c r="C12" i="25"/>
  <c r="B12" i="25"/>
  <c r="O11" i="25"/>
  <c r="N11" i="25"/>
  <c r="O10" i="25"/>
  <c r="N10" i="25"/>
  <c r="O9" i="25"/>
  <c r="N9" i="25"/>
  <c r="H68" i="12"/>
  <c r="C25" i="25" l="1"/>
  <c r="N20" i="25"/>
  <c r="O24" i="25"/>
  <c r="K25" i="25"/>
  <c r="J25" i="25"/>
  <c r="I25" i="25"/>
  <c r="O12" i="25"/>
  <c r="N12" i="25"/>
  <c r="B25" i="25"/>
  <c r="O16" i="25"/>
  <c r="N24" i="25"/>
  <c r="N16" i="25"/>
  <c r="N25" i="25" s="1"/>
  <c r="O20" i="25"/>
  <c r="L70" i="13"/>
  <c r="K70" i="13"/>
  <c r="O25" i="25" l="1"/>
  <c r="I70" i="13"/>
  <c r="H70" i="13"/>
  <c r="F70" i="13"/>
  <c r="E70" i="13"/>
  <c r="C70" i="13"/>
  <c r="B70" i="13"/>
  <c r="J69" i="13"/>
  <c r="G69" i="13"/>
  <c r="D69" i="13"/>
  <c r="J68" i="13"/>
  <c r="G68" i="13"/>
  <c r="D68" i="13"/>
  <c r="J67" i="13"/>
  <c r="G67" i="13"/>
  <c r="D67" i="13"/>
  <c r="J66" i="13"/>
  <c r="G66" i="13"/>
  <c r="D66" i="13"/>
  <c r="G70" i="13" l="1"/>
  <c r="J70" i="13"/>
  <c r="D70" i="13"/>
  <c r="M23" i="13"/>
  <c r="C13" i="24"/>
  <c r="D13" i="24"/>
  <c r="G13" i="24"/>
  <c r="F13" i="24"/>
  <c r="E13" i="24"/>
  <c r="B13" i="24"/>
  <c r="J9" i="24"/>
  <c r="J10" i="24"/>
  <c r="J11" i="24"/>
  <c r="J12" i="24"/>
  <c r="I9" i="24"/>
  <c r="I10" i="24"/>
  <c r="I11" i="24"/>
  <c r="I12" i="24"/>
  <c r="H10" i="24"/>
  <c r="H11" i="24"/>
  <c r="H12" i="24"/>
  <c r="H9" i="24"/>
  <c r="J13" i="24" l="1"/>
  <c r="I13" i="24"/>
  <c r="H13" i="24"/>
  <c r="G8" i="15" l="1"/>
  <c r="K9" i="11"/>
  <c r="L9" i="11"/>
  <c r="M9" i="11"/>
  <c r="N37" i="22" l="1"/>
  <c r="N38" i="22"/>
  <c r="N36" i="22"/>
  <c r="M37" i="22"/>
  <c r="M38" i="22"/>
  <c r="M36" i="22"/>
  <c r="J12" i="22"/>
  <c r="J39" i="22"/>
  <c r="G12" i="22"/>
  <c r="I12" i="22"/>
  <c r="C13" i="1" l="1"/>
  <c r="B13" i="1"/>
  <c r="E9" i="1"/>
  <c r="F9" i="1" s="1"/>
  <c r="D9" i="1"/>
  <c r="M14" i="10" l="1"/>
  <c r="K14" i="10"/>
  <c r="I14" i="10"/>
  <c r="G14" i="10"/>
  <c r="E14" i="10"/>
  <c r="C14" i="10"/>
  <c r="Q8" i="22"/>
  <c r="P8" i="22"/>
  <c r="O12" i="22"/>
  <c r="M12" i="22"/>
  <c r="K12" i="22"/>
  <c r="H12" i="22"/>
  <c r="F12" i="22"/>
  <c r="C12" i="22"/>
  <c r="J12" i="8"/>
  <c r="G12" i="8"/>
  <c r="D12" i="8"/>
  <c r="D14" i="2"/>
  <c r="C14" i="2"/>
  <c r="B14" i="2"/>
  <c r="F14" i="2" l="1"/>
  <c r="G14" i="2"/>
  <c r="H14" i="2" s="1"/>
  <c r="F68" i="12"/>
  <c r="H20" i="12" l="1"/>
  <c r="G13" i="2" l="1"/>
  <c r="L57" i="12" l="1"/>
  <c r="J57" i="12"/>
  <c r="F39" i="22" l="1"/>
  <c r="D39" i="22"/>
  <c r="B39" i="22"/>
  <c r="M39" i="22" l="1"/>
  <c r="H39" i="22"/>
  <c r="Q10" i="22" l="1"/>
  <c r="Q9" i="22"/>
  <c r="P9" i="22"/>
  <c r="P10" i="22"/>
  <c r="P11" i="22"/>
  <c r="Q11" i="22"/>
  <c r="Q12" i="22" l="1"/>
  <c r="B10" i="21" l="1"/>
  <c r="D41" i="13" l="1"/>
  <c r="J20" i="13"/>
  <c r="J16" i="13"/>
  <c r="G20" i="13"/>
  <c r="G16" i="13"/>
  <c r="D20" i="13"/>
  <c r="D16" i="13" l="1"/>
  <c r="D12" i="13"/>
  <c r="G12" i="13"/>
  <c r="D13" i="13"/>
  <c r="G13" i="13"/>
  <c r="D14" i="13"/>
  <c r="G14" i="13"/>
  <c r="D15" i="13"/>
  <c r="G15" i="13"/>
  <c r="D17" i="13"/>
  <c r="G17" i="13"/>
  <c r="D18" i="13"/>
  <c r="G18" i="13"/>
  <c r="D19" i="13"/>
  <c r="G19" i="13"/>
  <c r="D21" i="13"/>
  <c r="G21" i="13"/>
  <c r="D22" i="13"/>
  <c r="G22" i="13"/>
  <c r="D24" i="13"/>
  <c r="G24" i="13"/>
  <c r="D47" i="12"/>
  <c r="H47" i="12"/>
  <c r="L39" i="22" l="1"/>
  <c r="E39" i="22"/>
  <c r="C39" i="22"/>
  <c r="N12" i="22"/>
  <c r="L12" i="22"/>
  <c r="E12" i="22"/>
  <c r="D12" i="22"/>
  <c r="B12" i="22"/>
  <c r="P12" i="22"/>
  <c r="N39" i="22" l="1"/>
  <c r="D11" i="6" l="1"/>
  <c r="D7" i="21"/>
  <c r="D8" i="21"/>
  <c r="F8" i="21"/>
  <c r="D9" i="21"/>
  <c r="F9" i="21"/>
  <c r="C10" i="21"/>
  <c r="E10" i="21"/>
  <c r="G10" i="21"/>
  <c r="D11" i="21"/>
  <c r="F11" i="21"/>
  <c r="D12" i="21"/>
  <c r="F12" i="21"/>
  <c r="D13" i="21"/>
  <c r="F13" i="21"/>
  <c r="B14" i="21"/>
  <c r="B23" i="21" s="1"/>
  <c r="C14" i="21"/>
  <c r="E14" i="21"/>
  <c r="D15" i="21"/>
  <c r="F15" i="21"/>
  <c r="D16" i="21"/>
  <c r="F16" i="21"/>
  <c r="D17" i="21"/>
  <c r="F17" i="21"/>
  <c r="B18" i="21"/>
  <c r="C18" i="21"/>
  <c r="E18" i="21"/>
  <c r="D19" i="21"/>
  <c r="F19" i="21"/>
  <c r="D20" i="21"/>
  <c r="F20" i="21"/>
  <c r="D21" i="21"/>
  <c r="F21" i="21"/>
  <c r="B22" i="21"/>
  <c r="C22" i="21"/>
  <c r="E22" i="21"/>
  <c r="D18" i="21" l="1"/>
  <c r="D14" i="21"/>
  <c r="F14" i="21"/>
  <c r="C23" i="21"/>
  <c r="D23" i="21" s="1"/>
  <c r="F22" i="21"/>
  <c r="D22" i="21"/>
  <c r="F18" i="21"/>
  <c r="E23" i="21"/>
  <c r="F23" i="21" s="1"/>
  <c r="F10" i="21"/>
  <c r="D10" i="21"/>
  <c r="L25" i="13"/>
  <c r="L35" i="12" l="1"/>
  <c r="M59" i="12"/>
  <c r="M60" i="12"/>
  <c r="M61" i="12"/>
  <c r="M62" i="12"/>
  <c r="M63" i="12"/>
  <c r="M64" i="12"/>
  <c r="M65" i="12"/>
  <c r="M66" i="12"/>
  <c r="M67" i="12"/>
  <c r="M58" i="12"/>
  <c r="L59" i="12"/>
  <c r="L60" i="12"/>
  <c r="L61" i="12"/>
  <c r="L62" i="12"/>
  <c r="L63" i="12"/>
  <c r="L64" i="12"/>
  <c r="L65" i="12"/>
  <c r="L66" i="12"/>
  <c r="L67" i="12"/>
  <c r="L58" i="12"/>
  <c r="K59" i="12"/>
  <c r="K60" i="12"/>
  <c r="K61" i="12"/>
  <c r="K62" i="12"/>
  <c r="K63" i="12"/>
  <c r="K64" i="12"/>
  <c r="K65" i="12"/>
  <c r="K66" i="12"/>
  <c r="K67" i="12"/>
  <c r="K58" i="12"/>
  <c r="J59" i="12"/>
  <c r="J60" i="12"/>
  <c r="J61" i="12"/>
  <c r="J62" i="12"/>
  <c r="J63" i="12"/>
  <c r="J64" i="12"/>
  <c r="J65" i="12"/>
  <c r="J66" i="12"/>
  <c r="J67" i="12"/>
  <c r="J58" i="12"/>
  <c r="M35" i="12"/>
  <c r="M36" i="12"/>
  <c r="M37" i="12"/>
  <c r="M38" i="12"/>
  <c r="M39" i="12"/>
  <c r="M40" i="12"/>
  <c r="M41" i="12"/>
  <c r="M42" i="12"/>
  <c r="M43" i="12"/>
  <c r="M44" i="12"/>
  <c r="M45" i="12"/>
  <c r="M46" i="12"/>
  <c r="M34" i="12"/>
  <c r="L36" i="12"/>
  <c r="L37" i="12"/>
  <c r="L38" i="12"/>
  <c r="L39" i="12"/>
  <c r="L40" i="12"/>
  <c r="L41" i="12"/>
  <c r="L42" i="12"/>
  <c r="L43" i="12"/>
  <c r="L44" i="12"/>
  <c r="L45" i="12"/>
  <c r="L46" i="12"/>
  <c r="L34" i="12"/>
  <c r="K36" i="12"/>
  <c r="K37" i="12"/>
  <c r="K38" i="12"/>
  <c r="K39" i="12"/>
  <c r="K40" i="12"/>
  <c r="K41" i="12"/>
  <c r="K42" i="12"/>
  <c r="K43" i="12"/>
  <c r="K44" i="12"/>
  <c r="K45" i="12"/>
  <c r="K46" i="12"/>
  <c r="K34" i="12"/>
  <c r="J35" i="12"/>
  <c r="J36" i="12"/>
  <c r="J37" i="12"/>
  <c r="J38" i="12"/>
  <c r="J39" i="12"/>
  <c r="J40" i="12"/>
  <c r="J41" i="12"/>
  <c r="J42" i="12"/>
  <c r="J43" i="12"/>
  <c r="J44" i="12"/>
  <c r="J45" i="12"/>
  <c r="J46" i="12"/>
  <c r="J34" i="12"/>
  <c r="K11" i="12"/>
  <c r="L11" i="12"/>
  <c r="M11" i="12"/>
  <c r="B47" i="12"/>
  <c r="E35" i="12"/>
  <c r="F47" i="12"/>
  <c r="G34" i="12" s="1"/>
  <c r="I36" i="12"/>
  <c r="L16" i="12"/>
  <c r="C40" i="12" l="1"/>
  <c r="C35" i="12"/>
  <c r="C36" i="12"/>
  <c r="C42" i="12"/>
  <c r="C44" i="12"/>
  <c r="C46" i="12"/>
  <c r="C41" i="12"/>
  <c r="C34" i="12"/>
  <c r="C37" i="12"/>
  <c r="C43" i="12"/>
  <c r="C45" i="12"/>
  <c r="C38" i="12"/>
  <c r="C39" i="12"/>
  <c r="K47" i="12"/>
  <c r="L47" i="12"/>
  <c r="J47" i="12"/>
  <c r="M47" i="12"/>
  <c r="G42" i="12"/>
  <c r="G39" i="12"/>
  <c r="G45" i="12"/>
  <c r="G36" i="12"/>
  <c r="E42" i="12"/>
  <c r="E39" i="12"/>
  <c r="E36" i="12"/>
  <c r="E46" i="12"/>
  <c r="E37" i="12"/>
  <c r="E45" i="12"/>
  <c r="E40" i="12"/>
  <c r="E43" i="12"/>
  <c r="E34" i="12"/>
  <c r="I46" i="12"/>
  <c r="I43" i="12"/>
  <c r="I40" i="12"/>
  <c r="I37" i="12"/>
  <c r="I34" i="12"/>
  <c r="G46" i="12"/>
  <c r="G43" i="12"/>
  <c r="G40" i="12"/>
  <c r="G37" i="12"/>
  <c r="I44" i="12"/>
  <c r="I41" i="12"/>
  <c r="I38" i="12"/>
  <c r="I35" i="12"/>
  <c r="G44" i="12"/>
  <c r="G41" i="12"/>
  <c r="G38" i="12"/>
  <c r="G35" i="12"/>
  <c r="I45" i="12"/>
  <c r="E44" i="12"/>
  <c r="I42" i="12"/>
  <c r="E41" i="12"/>
  <c r="I39" i="12"/>
  <c r="E38" i="12"/>
  <c r="E47" i="12" l="1"/>
  <c r="C47" i="12"/>
  <c r="G47" i="12"/>
  <c r="I47" i="12"/>
  <c r="M12" i="12" l="1"/>
  <c r="M13" i="12"/>
  <c r="M14" i="12"/>
  <c r="M15" i="12"/>
  <c r="M16" i="12"/>
  <c r="M17" i="12"/>
  <c r="M18" i="12"/>
  <c r="M19" i="12"/>
  <c r="L12" i="12"/>
  <c r="L13" i="12"/>
  <c r="L14" i="12"/>
  <c r="L15" i="12"/>
  <c r="L17" i="12"/>
  <c r="L18" i="12"/>
  <c r="L19" i="12"/>
  <c r="K12" i="12"/>
  <c r="K13" i="12"/>
  <c r="K14" i="12"/>
  <c r="K15" i="12"/>
  <c r="K16" i="12"/>
  <c r="K17" i="12"/>
  <c r="K18" i="12"/>
  <c r="K19" i="12"/>
  <c r="J12" i="12"/>
  <c r="J13" i="12"/>
  <c r="J14" i="12"/>
  <c r="J15" i="12"/>
  <c r="J16" i="12"/>
  <c r="J17" i="12"/>
  <c r="J18" i="12"/>
  <c r="J19" i="12"/>
  <c r="B20" i="12" l="1"/>
  <c r="D20" i="12"/>
  <c r="F20" i="12"/>
  <c r="K20" i="12" l="1"/>
  <c r="J20" i="12"/>
  <c r="L20" i="12"/>
  <c r="M20" i="12"/>
  <c r="I20" i="12" l="1"/>
  <c r="C20" i="12"/>
  <c r="E20" i="12"/>
  <c r="G20" i="12"/>
  <c r="J13" i="11" l="1"/>
  <c r="I13" i="11"/>
  <c r="H13" i="11"/>
  <c r="D13" i="11"/>
  <c r="C13" i="11"/>
  <c r="B13" i="11"/>
  <c r="K8" i="8"/>
  <c r="L8" i="8"/>
  <c r="M8" i="8"/>
  <c r="F15" i="2"/>
  <c r="G15" i="2"/>
  <c r="H15" i="2" s="1"/>
  <c r="F16" i="2"/>
  <c r="G16" i="2"/>
  <c r="H16" i="2" s="1"/>
  <c r="D68" i="12" l="1"/>
  <c r="E63" i="12" s="1"/>
  <c r="Q13" i="10" l="1"/>
  <c r="Q10" i="10" l="1"/>
  <c r="P10" i="10"/>
  <c r="O10" i="10"/>
  <c r="N10" i="10"/>
  <c r="I12" i="8" l="1"/>
  <c r="H12" i="8"/>
  <c r="E12" i="8"/>
  <c r="D13" i="8"/>
  <c r="G13" i="8"/>
  <c r="J13" i="8"/>
  <c r="D10" i="1" l="1"/>
  <c r="H15" i="10" l="1"/>
  <c r="G10" i="15"/>
  <c r="M12" i="11"/>
  <c r="L12" i="11"/>
  <c r="K12" i="11"/>
  <c r="M10" i="11"/>
  <c r="L10" i="11"/>
  <c r="K10" i="11"/>
  <c r="J14" i="10"/>
  <c r="F14" i="10"/>
  <c r="B14" i="10"/>
  <c r="P13" i="10"/>
  <c r="O13" i="10"/>
  <c r="N13" i="10"/>
  <c r="Q11" i="10"/>
  <c r="P11" i="10"/>
  <c r="P14" i="10" s="1"/>
  <c r="O11" i="10"/>
  <c r="N11" i="10"/>
  <c r="F12" i="8"/>
  <c r="C12" i="8"/>
  <c r="B12" i="8"/>
  <c r="M9" i="8"/>
  <c r="L9" i="8"/>
  <c r="L12" i="8" s="1"/>
  <c r="K9" i="8"/>
  <c r="K12" i="8" s="1"/>
  <c r="M11" i="8"/>
  <c r="L11" i="8"/>
  <c r="K11" i="8"/>
  <c r="H13" i="2"/>
  <c r="D8" i="5"/>
  <c r="L13" i="11" l="1"/>
  <c r="N14" i="10"/>
  <c r="R14" i="10"/>
  <c r="F13" i="2"/>
  <c r="F11" i="2"/>
  <c r="D9" i="5" l="1"/>
  <c r="D10" i="7"/>
  <c r="D8" i="7"/>
  <c r="D10" i="4"/>
  <c r="F10" i="4" s="1"/>
  <c r="D8" i="4"/>
  <c r="F8" i="4" s="1"/>
  <c r="E10" i="1"/>
  <c r="E12" i="1"/>
  <c r="D12" i="1"/>
  <c r="F17" i="2"/>
  <c r="G17" i="2"/>
  <c r="H17" i="2" s="1"/>
  <c r="B18" i="2"/>
  <c r="E18" i="2"/>
  <c r="F19" i="2"/>
  <c r="G19" i="2"/>
  <c r="H19" i="2" s="1"/>
  <c r="F20" i="2"/>
  <c r="G20" i="2"/>
  <c r="F21" i="2"/>
  <c r="G21" i="2"/>
  <c r="H21" i="2" s="1"/>
  <c r="B22" i="2"/>
  <c r="E22" i="2"/>
  <c r="F23" i="2"/>
  <c r="G23" i="2"/>
  <c r="H23" i="2" s="1"/>
  <c r="F24" i="2"/>
  <c r="G24" i="2"/>
  <c r="H24" i="2" s="1"/>
  <c r="F25" i="2"/>
  <c r="G25" i="2"/>
  <c r="H25" i="2" s="1"/>
  <c r="F26" i="2"/>
  <c r="G26" i="2"/>
  <c r="H26" i="2" s="1"/>
  <c r="B27" i="2"/>
  <c r="E27" i="2"/>
  <c r="F10" i="1" l="1"/>
  <c r="F12" i="1"/>
  <c r="G12" i="2"/>
  <c r="F18" i="2"/>
  <c r="G22" i="2"/>
  <c r="H22" i="2" s="1"/>
  <c r="F27" i="2"/>
  <c r="F22" i="2"/>
  <c r="B28" i="2"/>
  <c r="H20" i="2"/>
  <c r="F12" i="2"/>
  <c r="E10" i="4"/>
  <c r="E8" i="4"/>
  <c r="G27" i="2"/>
  <c r="H27" i="2" s="1"/>
  <c r="E28" i="2"/>
  <c r="G18" i="2" l="1"/>
  <c r="H18" i="2" s="1"/>
  <c r="H12" i="2"/>
  <c r="F28" i="2"/>
  <c r="G28" i="2" l="1"/>
  <c r="C72" i="18" l="1"/>
  <c r="D69" i="18" s="1"/>
  <c r="A72" i="18"/>
  <c r="B71" i="18"/>
  <c r="B70" i="18"/>
  <c r="B69" i="18"/>
  <c r="B68" i="18"/>
  <c r="B67" i="18"/>
  <c r="B66" i="18"/>
  <c r="B65" i="18"/>
  <c r="B64" i="18"/>
  <c r="B63" i="18"/>
  <c r="D71" i="18" l="1"/>
  <c r="D65" i="18"/>
  <c r="D68" i="18"/>
  <c r="D66" i="18"/>
  <c r="B72" i="18"/>
  <c r="D63" i="18"/>
  <c r="D70" i="18"/>
  <c r="D64" i="18"/>
  <c r="D67" i="18"/>
  <c r="D72" i="18" l="1"/>
  <c r="G57" i="12" l="1"/>
  <c r="G63" i="12" l="1"/>
  <c r="G64" i="12"/>
  <c r="G62" i="12"/>
  <c r="G9" i="16"/>
  <c r="F9" i="16"/>
  <c r="C9" i="16"/>
  <c r="B9" i="16"/>
  <c r="L56" i="12" l="1"/>
  <c r="J56" i="12"/>
  <c r="B68" i="12" l="1"/>
  <c r="C57" i="12" s="1"/>
  <c r="C63" i="12" l="1"/>
  <c r="C66" i="12"/>
  <c r="C61" i="12"/>
  <c r="C67" i="12"/>
  <c r="C64" i="12"/>
  <c r="C59" i="12"/>
  <c r="C65" i="12"/>
  <c r="C60" i="12"/>
  <c r="C58" i="12"/>
  <c r="C62" i="12"/>
  <c r="K68" i="12"/>
  <c r="J68" i="12"/>
  <c r="K57" i="12" s="1"/>
  <c r="E56" i="12"/>
  <c r="E65" i="12"/>
  <c r="E62" i="12"/>
  <c r="E67" i="12"/>
  <c r="E58" i="12"/>
  <c r="E66" i="12"/>
  <c r="E60" i="12"/>
  <c r="E59" i="12"/>
  <c r="E61" i="12"/>
  <c r="E64" i="12"/>
  <c r="E68" i="12" l="1"/>
  <c r="M20" i="13"/>
  <c r="M16" i="13"/>
  <c r="E13" i="11"/>
  <c r="F13" i="11"/>
  <c r="G13" i="11"/>
  <c r="E17" i="11"/>
  <c r="F17" i="11"/>
  <c r="G17" i="11"/>
  <c r="E21" i="11"/>
  <c r="F21" i="11"/>
  <c r="G21" i="11"/>
  <c r="E25" i="11"/>
  <c r="F25" i="11"/>
  <c r="G25" i="11"/>
  <c r="E26" i="11" l="1"/>
  <c r="F26" i="11"/>
  <c r="G26" i="11"/>
  <c r="P39" i="17" l="1"/>
  <c r="N39" i="17"/>
  <c r="P38" i="17"/>
  <c r="N38" i="17"/>
  <c r="P37" i="17"/>
  <c r="N37" i="17"/>
  <c r="P36" i="17"/>
  <c r="N36" i="17"/>
  <c r="P35" i="17"/>
  <c r="N35" i="17"/>
  <c r="P34" i="17"/>
  <c r="N34" i="17"/>
  <c r="P33" i="17"/>
  <c r="N33" i="17"/>
  <c r="P32" i="17"/>
  <c r="N32" i="17"/>
  <c r="G23" i="17"/>
  <c r="F23" i="17"/>
  <c r="E23" i="17"/>
  <c r="D23" i="17"/>
  <c r="C23" i="17"/>
  <c r="B23" i="17"/>
  <c r="I22" i="17"/>
  <c r="H22" i="17"/>
  <c r="I21" i="17"/>
  <c r="H21" i="17"/>
  <c r="I20" i="17"/>
  <c r="H20" i="17"/>
  <c r="G19" i="17"/>
  <c r="F19" i="17"/>
  <c r="E19" i="17"/>
  <c r="D19" i="17"/>
  <c r="C19" i="17"/>
  <c r="B19" i="17"/>
  <c r="I18" i="17"/>
  <c r="H18" i="17"/>
  <c r="I17" i="17"/>
  <c r="H17" i="17"/>
  <c r="I16" i="17"/>
  <c r="H16" i="17"/>
  <c r="G15" i="17"/>
  <c r="F15" i="17"/>
  <c r="E15" i="17"/>
  <c r="D15" i="17"/>
  <c r="C15" i="17"/>
  <c r="B15" i="17"/>
  <c r="I14" i="17"/>
  <c r="H14" i="17"/>
  <c r="I13" i="17"/>
  <c r="H13" i="17"/>
  <c r="I12" i="17"/>
  <c r="H12" i="17"/>
  <c r="G11" i="17"/>
  <c r="G24" i="17" s="1"/>
  <c r="F11" i="17"/>
  <c r="E11" i="17"/>
  <c r="E24" i="17" s="1"/>
  <c r="D11" i="17"/>
  <c r="C11" i="17"/>
  <c r="B11" i="17"/>
  <c r="I10" i="17"/>
  <c r="H10" i="17"/>
  <c r="I9" i="17"/>
  <c r="H9" i="17"/>
  <c r="I8" i="17"/>
  <c r="H8" i="17"/>
  <c r="P39" i="16"/>
  <c r="N39" i="16"/>
  <c r="P38" i="16"/>
  <c r="N38" i="16"/>
  <c r="P37" i="16"/>
  <c r="N37" i="16"/>
  <c r="P36" i="16"/>
  <c r="N36" i="16"/>
  <c r="P35" i="16"/>
  <c r="N35" i="16"/>
  <c r="P34" i="16"/>
  <c r="N34" i="16"/>
  <c r="P33" i="16"/>
  <c r="N33" i="16"/>
  <c r="P32" i="16"/>
  <c r="N32" i="16"/>
  <c r="G23" i="16"/>
  <c r="F23" i="16"/>
  <c r="E23" i="16"/>
  <c r="D23" i="16"/>
  <c r="C23" i="16"/>
  <c r="B23" i="16"/>
  <c r="I22" i="16"/>
  <c r="H22" i="16"/>
  <c r="I21" i="16"/>
  <c r="H21" i="16"/>
  <c r="I20" i="16"/>
  <c r="H20" i="16"/>
  <c r="G19" i="16"/>
  <c r="F19" i="16"/>
  <c r="E19" i="16"/>
  <c r="D19" i="16"/>
  <c r="C19" i="16"/>
  <c r="B19" i="16"/>
  <c r="I18" i="16"/>
  <c r="H18" i="16"/>
  <c r="I17" i="16"/>
  <c r="H17" i="16"/>
  <c r="I16" i="16"/>
  <c r="H16" i="16"/>
  <c r="G15" i="16"/>
  <c r="F15" i="16"/>
  <c r="E15" i="16"/>
  <c r="D15" i="16"/>
  <c r="C15" i="16"/>
  <c r="B15" i="16"/>
  <c r="I14" i="16"/>
  <c r="H14" i="16"/>
  <c r="I13" i="16"/>
  <c r="H13" i="16"/>
  <c r="I12" i="16"/>
  <c r="H12" i="16"/>
  <c r="G11" i="16"/>
  <c r="G24" i="16" s="1"/>
  <c r="F11" i="16"/>
  <c r="E11" i="16"/>
  <c r="E24" i="16" s="1"/>
  <c r="D11" i="16"/>
  <c r="C11" i="16"/>
  <c r="B11" i="16"/>
  <c r="I10" i="16"/>
  <c r="H10" i="16"/>
  <c r="I9" i="16"/>
  <c r="H9" i="16"/>
  <c r="I8" i="16"/>
  <c r="H8" i="16"/>
  <c r="F24" i="16" l="1"/>
  <c r="B24" i="16"/>
  <c r="F24" i="17"/>
  <c r="D24" i="17"/>
  <c r="H15" i="16"/>
  <c r="H11" i="17"/>
  <c r="H15" i="17"/>
  <c r="H19" i="17"/>
  <c r="D24" i="16"/>
  <c r="I11" i="16"/>
  <c r="B24" i="17"/>
  <c r="H23" i="17"/>
  <c r="I11" i="17"/>
  <c r="C24" i="17"/>
  <c r="H11" i="16"/>
  <c r="H19" i="16"/>
  <c r="H23" i="16"/>
  <c r="C24" i="16"/>
  <c r="I19" i="17"/>
  <c r="I15" i="17"/>
  <c r="I23" i="17"/>
  <c r="I15" i="16"/>
  <c r="I23" i="16"/>
  <c r="I19" i="16"/>
  <c r="H24" i="17" l="1"/>
  <c r="I24" i="16"/>
  <c r="I24" i="17"/>
  <c r="H24" i="16"/>
  <c r="B11" i="4"/>
  <c r="E11" i="1" l="1"/>
  <c r="E13" i="1" s="1"/>
  <c r="C11" i="4" l="1"/>
  <c r="C11" i="15" l="1"/>
  <c r="E11" i="15" l="1"/>
  <c r="D11" i="15"/>
  <c r="B11" i="15"/>
  <c r="C11" i="6"/>
  <c r="B11" i="6"/>
  <c r="B11" i="5"/>
  <c r="C11" i="7"/>
  <c r="B11" i="7"/>
  <c r="C11" i="5" l="1"/>
  <c r="D11" i="5" s="1"/>
  <c r="C56" i="12"/>
  <c r="C68" i="12" s="1"/>
  <c r="G58" i="12"/>
  <c r="G65" i="12"/>
  <c r="G60" i="12"/>
  <c r="G61" i="12"/>
  <c r="G67" i="12"/>
  <c r="G59" i="12"/>
  <c r="G66" i="12"/>
  <c r="D13" i="1"/>
  <c r="I48" i="13" l="1"/>
  <c r="H48" i="13"/>
  <c r="F48" i="13"/>
  <c r="E48" i="13"/>
  <c r="C48" i="13"/>
  <c r="B48" i="13"/>
  <c r="J47" i="13"/>
  <c r="G47" i="13"/>
  <c r="D47" i="13"/>
  <c r="J46" i="13"/>
  <c r="G46" i="13"/>
  <c r="D46" i="13"/>
  <c r="J45" i="13"/>
  <c r="D45" i="13"/>
  <c r="J44" i="13"/>
  <c r="D44" i="13"/>
  <c r="J43" i="13"/>
  <c r="D43" i="13"/>
  <c r="D42" i="13"/>
  <c r="D36" i="13"/>
  <c r="D35" i="13"/>
  <c r="J34" i="13"/>
  <c r="G34" i="13"/>
  <c r="D34" i="13"/>
  <c r="I25" i="13"/>
  <c r="H25" i="13"/>
  <c r="F25" i="13"/>
  <c r="E25" i="13"/>
  <c r="C25" i="13"/>
  <c r="B25" i="13"/>
  <c r="M24" i="13"/>
  <c r="J24" i="13"/>
  <c r="M22" i="13"/>
  <c r="J22" i="13"/>
  <c r="M21" i="13"/>
  <c r="J21" i="13"/>
  <c r="M19" i="13"/>
  <c r="J19" i="13"/>
  <c r="M18" i="13"/>
  <c r="J18" i="13"/>
  <c r="M17" i="13"/>
  <c r="J17" i="13"/>
  <c r="J15" i="13"/>
  <c r="J14" i="13"/>
  <c r="M13" i="13"/>
  <c r="J13" i="13"/>
  <c r="J12" i="13"/>
  <c r="E23" i="15"/>
  <c r="D23" i="15"/>
  <c r="C23" i="15"/>
  <c r="B23" i="15"/>
  <c r="F22" i="15"/>
  <c r="G22" i="15" s="1"/>
  <c r="F21" i="15"/>
  <c r="G21" i="15" s="1"/>
  <c r="F20" i="15"/>
  <c r="G20" i="15" s="1"/>
  <c r="E19" i="15"/>
  <c r="D19" i="15"/>
  <c r="C19" i="15"/>
  <c r="B19" i="15"/>
  <c r="F18" i="15"/>
  <c r="G18" i="15" s="1"/>
  <c r="F17" i="15"/>
  <c r="G17" i="15" s="1"/>
  <c r="F16" i="15"/>
  <c r="G16" i="15" s="1"/>
  <c r="E15" i="15"/>
  <c r="D15" i="15"/>
  <c r="C15" i="15"/>
  <c r="B15" i="15"/>
  <c r="F14" i="15"/>
  <c r="G14" i="15" s="1"/>
  <c r="F13" i="15"/>
  <c r="G13" i="15" s="1"/>
  <c r="F12" i="15"/>
  <c r="G12" i="15" s="1"/>
  <c r="G9" i="15"/>
  <c r="J25" i="11"/>
  <c r="I25" i="11"/>
  <c r="H25" i="11"/>
  <c r="D25" i="11"/>
  <c r="C25" i="11"/>
  <c r="B25" i="11"/>
  <c r="M24" i="11"/>
  <c r="L24" i="11"/>
  <c r="K24" i="11"/>
  <c r="M23" i="11"/>
  <c r="L23" i="11"/>
  <c r="K23" i="11"/>
  <c r="M22" i="11"/>
  <c r="L22" i="11"/>
  <c r="K22" i="11"/>
  <c r="J21" i="11"/>
  <c r="I21" i="11"/>
  <c r="H21" i="11"/>
  <c r="D21" i="11"/>
  <c r="C21" i="11"/>
  <c r="B21" i="11"/>
  <c r="M20" i="11"/>
  <c r="L20" i="11"/>
  <c r="K20" i="11"/>
  <c r="M19" i="11"/>
  <c r="L19" i="11"/>
  <c r="K19" i="11"/>
  <c r="M18" i="11"/>
  <c r="L18" i="11"/>
  <c r="K18" i="11"/>
  <c r="J17" i="11"/>
  <c r="I17" i="11"/>
  <c r="H17" i="11"/>
  <c r="D17" i="11"/>
  <c r="C17" i="11"/>
  <c r="B17" i="11"/>
  <c r="M16" i="11"/>
  <c r="L16" i="11"/>
  <c r="K16" i="11"/>
  <c r="M15" i="11"/>
  <c r="L15" i="11"/>
  <c r="K15" i="11"/>
  <c r="M14" i="11"/>
  <c r="L14" i="11"/>
  <c r="K14" i="11"/>
  <c r="M11" i="11"/>
  <c r="M13" i="11" s="1"/>
  <c r="K11" i="11"/>
  <c r="K13" i="11" s="1"/>
  <c r="I27" i="10"/>
  <c r="H27" i="10"/>
  <c r="H28" i="10" s="1"/>
  <c r="G27" i="10"/>
  <c r="F27" i="10"/>
  <c r="F28" i="10" s="1"/>
  <c r="M27" i="10"/>
  <c r="L27" i="10"/>
  <c r="L28" i="10" s="1"/>
  <c r="K27" i="10"/>
  <c r="J27" i="10"/>
  <c r="J28" i="10" s="1"/>
  <c r="E27" i="10"/>
  <c r="D27" i="10"/>
  <c r="D28" i="10" s="1"/>
  <c r="C27" i="10"/>
  <c r="B27" i="10"/>
  <c r="B28" i="10" s="1"/>
  <c r="Q26" i="10"/>
  <c r="P26" i="10"/>
  <c r="O26" i="10"/>
  <c r="N26" i="10"/>
  <c r="Q25" i="10"/>
  <c r="P25" i="10"/>
  <c r="P27" i="10" s="1"/>
  <c r="P28" i="10" s="1"/>
  <c r="O25" i="10"/>
  <c r="N25" i="10"/>
  <c r="N27" i="10" s="1"/>
  <c r="N28" i="10" s="1"/>
  <c r="Q24" i="10"/>
  <c r="P24" i="10"/>
  <c r="O24" i="10"/>
  <c r="N24" i="10"/>
  <c r="Q23" i="10"/>
  <c r="P23" i="10"/>
  <c r="O23" i="10"/>
  <c r="N23" i="10"/>
  <c r="I22" i="10"/>
  <c r="H22" i="10"/>
  <c r="G22" i="10"/>
  <c r="F22" i="10"/>
  <c r="M22" i="10"/>
  <c r="L22" i="10"/>
  <c r="K22" i="10"/>
  <c r="J22" i="10"/>
  <c r="E22" i="10"/>
  <c r="D22" i="10"/>
  <c r="C22" i="10"/>
  <c r="B22" i="10"/>
  <c r="Q21" i="10"/>
  <c r="P21" i="10"/>
  <c r="P22" i="10" s="1"/>
  <c r="O21" i="10"/>
  <c r="N21" i="10"/>
  <c r="N22" i="10" s="1"/>
  <c r="Q20" i="10"/>
  <c r="P20" i="10"/>
  <c r="O20" i="10"/>
  <c r="N20" i="10"/>
  <c r="Q19" i="10"/>
  <c r="P19" i="10"/>
  <c r="O19" i="10"/>
  <c r="N19" i="10"/>
  <c r="I18" i="10"/>
  <c r="H18" i="10"/>
  <c r="G18" i="10"/>
  <c r="F18" i="10"/>
  <c r="M18" i="10"/>
  <c r="L18" i="10"/>
  <c r="K18" i="10"/>
  <c r="J18" i="10"/>
  <c r="E18" i="10"/>
  <c r="D18" i="10"/>
  <c r="C18" i="10"/>
  <c r="B18" i="10"/>
  <c r="Q17" i="10"/>
  <c r="P17" i="10"/>
  <c r="P18" i="10" s="1"/>
  <c r="O17" i="10"/>
  <c r="N17" i="10"/>
  <c r="N18" i="10" s="1"/>
  <c r="Q16" i="10"/>
  <c r="P16" i="10"/>
  <c r="O16" i="10"/>
  <c r="N16" i="10"/>
  <c r="Q15" i="10"/>
  <c r="P15" i="10"/>
  <c r="O15" i="10"/>
  <c r="N15" i="10"/>
  <c r="Q12" i="10"/>
  <c r="Q14" i="10" s="1"/>
  <c r="P12" i="10"/>
  <c r="O12" i="10"/>
  <c r="O14" i="10" s="1"/>
  <c r="S14" i="10" s="1"/>
  <c r="N12" i="10"/>
  <c r="I57" i="12"/>
  <c r="G56" i="12"/>
  <c r="G25" i="8"/>
  <c r="F25" i="8"/>
  <c r="F26" i="8" s="1"/>
  <c r="E25" i="8"/>
  <c r="E26" i="8" s="1"/>
  <c r="J25" i="8"/>
  <c r="I25" i="8"/>
  <c r="I26" i="8" s="1"/>
  <c r="H25" i="8"/>
  <c r="H26" i="8" s="1"/>
  <c r="D25" i="8"/>
  <c r="C25" i="8"/>
  <c r="C26" i="8" s="1"/>
  <c r="B25" i="8"/>
  <c r="B26" i="8" s="1"/>
  <c r="M24" i="8"/>
  <c r="L24" i="8"/>
  <c r="L25" i="8" s="1"/>
  <c r="L26" i="8" s="1"/>
  <c r="K24" i="8"/>
  <c r="K25" i="8" s="1"/>
  <c r="K26" i="8" s="1"/>
  <c r="M23" i="8"/>
  <c r="L23" i="8"/>
  <c r="K23" i="8"/>
  <c r="M22" i="8"/>
  <c r="L22" i="8"/>
  <c r="K22" i="8"/>
  <c r="M21" i="8"/>
  <c r="L21" i="8"/>
  <c r="K21" i="8"/>
  <c r="G20" i="8"/>
  <c r="F20" i="8"/>
  <c r="E20" i="8"/>
  <c r="J20" i="8"/>
  <c r="I20" i="8"/>
  <c r="H20" i="8"/>
  <c r="D20" i="8"/>
  <c r="C20" i="8"/>
  <c r="B20" i="8"/>
  <c r="M19" i="8"/>
  <c r="L19" i="8"/>
  <c r="L20" i="8" s="1"/>
  <c r="K19" i="8"/>
  <c r="K20" i="8" s="1"/>
  <c r="M18" i="8"/>
  <c r="L18" i="8"/>
  <c r="K18" i="8"/>
  <c r="M17" i="8"/>
  <c r="L17" i="8"/>
  <c r="K17" i="8"/>
  <c r="G16" i="8"/>
  <c r="F16" i="8"/>
  <c r="E16" i="8"/>
  <c r="J16" i="8"/>
  <c r="I16" i="8"/>
  <c r="H16" i="8"/>
  <c r="D16" i="8"/>
  <c r="C16" i="8"/>
  <c r="B16" i="8"/>
  <c r="M15" i="8"/>
  <c r="L15" i="8"/>
  <c r="L16" i="8" s="1"/>
  <c r="K15" i="8"/>
  <c r="K16" i="8" s="1"/>
  <c r="M14" i="8"/>
  <c r="L14" i="8"/>
  <c r="K14" i="8"/>
  <c r="M13" i="8"/>
  <c r="L13" i="8"/>
  <c r="K13" i="8"/>
  <c r="M10" i="8"/>
  <c r="M12" i="8" s="1"/>
  <c r="L10" i="8"/>
  <c r="K10" i="8"/>
  <c r="C23" i="6"/>
  <c r="B23" i="6"/>
  <c r="C19" i="6"/>
  <c r="B19" i="6"/>
  <c r="C15" i="6"/>
  <c r="B15" i="6"/>
  <c r="B23" i="5"/>
  <c r="C22" i="5"/>
  <c r="C21" i="5"/>
  <c r="C20" i="5"/>
  <c r="B19" i="5"/>
  <c r="C18" i="5"/>
  <c r="C17" i="5"/>
  <c r="C16" i="5"/>
  <c r="B15" i="5"/>
  <c r="D15" i="5" s="1"/>
  <c r="C14" i="5"/>
  <c r="C13" i="5"/>
  <c r="C12" i="5"/>
  <c r="C23" i="7"/>
  <c r="B23" i="7"/>
  <c r="D22" i="7"/>
  <c r="D21" i="7"/>
  <c r="D20" i="7"/>
  <c r="C19" i="7"/>
  <c r="B19" i="7"/>
  <c r="D18" i="7"/>
  <c r="D17" i="7"/>
  <c r="D16" i="7"/>
  <c r="C15" i="7"/>
  <c r="B15" i="7"/>
  <c r="D14" i="7"/>
  <c r="D13" i="7"/>
  <c r="D12" i="7"/>
  <c r="D9" i="7"/>
  <c r="C23" i="4"/>
  <c r="C24" i="4" s="1"/>
  <c r="B23" i="4"/>
  <c r="B24" i="4" s="1"/>
  <c r="D22" i="4"/>
  <c r="F22" i="4" s="1"/>
  <c r="D21" i="4"/>
  <c r="D20" i="4"/>
  <c r="F20" i="4" s="1"/>
  <c r="F23" i="4" s="1"/>
  <c r="C19" i="4"/>
  <c r="B19" i="4"/>
  <c r="D18" i="4"/>
  <c r="F18" i="4" s="1"/>
  <c r="D17" i="4"/>
  <c r="F17" i="4" s="1"/>
  <c r="D16" i="4"/>
  <c r="F16" i="4" s="1"/>
  <c r="F19" i="4" s="1"/>
  <c r="C15" i="4"/>
  <c r="B15" i="4"/>
  <c r="D14" i="4"/>
  <c r="E14" i="4" s="1"/>
  <c r="D13" i="4"/>
  <c r="E13" i="4" s="1"/>
  <c r="D12" i="4"/>
  <c r="F12" i="4" s="1"/>
  <c r="F15" i="4" s="1"/>
  <c r="D9" i="4"/>
  <c r="O10" i="4" s="1"/>
  <c r="E26" i="1"/>
  <c r="C26" i="1"/>
  <c r="B26" i="1"/>
  <c r="F25" i="1"/>
  <c r="D25" i="1"/>
  <c r="F24" i="1"/>
  <c r="D24" i="1"/>
  <c r="F23" i="1"/>
  <c r="D23" i="1"/>
  <c r="F22" i="1"/>
  <c r="D22" i="1"/>
  <c r="E21" i="1"/>
  <c r="C21" i="1"/>
  <c r="B21" i="1"/>
  <c r="F20" i="1"/>
  <c r="D20" i="1"/>
  <c r="F19" i="1"/>
  <c r="D19" i="1"/>
  <c r="F18" i="1"/>
  <c r="D18" i="1"/>
  <c r="E17" i="1"/>
  <c r="C17" i="1"/>
  <c r="B17" i="1"/>
  <c r="F16" i="1"/>
  <c r="D16" i="1"/>
  <c r="F15" i="1"/>
  <c r="D15" i="1"/>
  <c r="F14" i="1"/>
  <c r="D14" i="1"/>
  <c r="F11" i="1"/>
  <c r="D11" i="1"/>
  <c r="S29" i="10" l="1"/>
  <c r="G25" i="13"/>
  <c r="M68" i="12"/>
  <c r="L68" i="12"/>
  <c r="M57" i="12" s="1"/>
  <c r="D23" i="5"/>
  <c r="C27" i="1"/>
  <c r="B24" i="15"/>
  <c r="D24" i="15"/>
  <c r="J25" i="13"/>
  <c r="D48" i="13"/>
  <c r="J48" i="13"/>
  <c r="F13" i="4"/>
  <c r="D26" i="1"/>
  <c r="G48" i="13"/>
  <c r="C24" i="7"/>
  <c r="L17" i="11"/>
  <c r="B24" i="7"/>
  <c r="C24" i="15"/>
  <c r="D21" i="1"/>
  <c r="C23" i="5"/>
  <c r="I67" i="12"/>
  <c r="J26" i="11"/>
  <c r="M21" i="11"/>
  <c r="D25" i="13"/>
  <c r="F21" i="1"/>
  <c r="F26" i="1"/>
  <c r="D23" i="7"/>
  <c r="E12" i="4"/>
  <c r="E15" i="4" s="1"/>
  <c r="E20" i="4"/>
  <c r="E23" i="4" s="1"/>
  <c r="D19" i="7"/>
  <c r="F14" i="4"/>
  <c r="D11" i="4"/>
  <c r="D15" i="4"/>
  <c r="T41" i="8"/>
  <c r="T38" i="8"/>
  <c r="K28" i="10"/>
  <c r="B27" i="1"/>
  <c r="D23" i="4"/>
  <c r="D24" i="4" s="1"/>
  <c r="E22" i="4"/>
  <c r="E24" i="15"/>
  <c r="D15" i="7"/>
  <c r="S29" i="8"/>
  <c r="S41" i="8"/>
  <c r="S38" i="8"/>
  <c r="K21" i="11"/>
  <c r="D11" i="7"/>
  <c r="E17" i="4"/>
  <c r="F15" i="15"/>
  <c r="G15" i="15" s="1"/>
  <c r="F19" i="15"/>
  <c r="G19" i="15" s="1"/>
  <c r="F23" i="15"/>
  <c r="G23" i="15" s="1"/>
  <c r="D17" i="1"/>
  <c r="D19" i="4"/>
  <c r="C19" i="5"/>
  <c r="O18" i="10"/>
  <c r="O9" i="4"/>
  <c r="F17" i="1"/>
  <c r="E21" i="4"/>
  <c r="E24" i="4" s="1"/>
  <c r="D19" i="5"/>
  <c r="I28" i="10"/>
  <c r="E16" i="4"/>
  <c r="E19" i="4" s="1"/>
  <c r="E18" i="4"/>
  <c r="F21" i="4"/>
  <c r="F24" i="4" s="1"/>
  <c r="I26" i="11"/>
  <c r="K17" i="11"/>
  <c r="L21" i="11"/>
  <c r="K25" i="11"/>
  <c r="M25" i="11"/>
  <c r="M28" i="10"/>
  <c r="O27" i="10"/>
  <c r="L25" i="11"/>
  <c r="D26" i="11"/>
  <c r="M17" i="11"/>
  <c r="H26" i="11"/>
  <c r="B26" i="11"/>
  <c r="C26" i="11"/>
  <c r="I56" i="12"/>
  <c r="I59" i="12"/>
  <c r="I60" i="12"/>
  <c r="S32" i="8"/>
  <c r="E9" i="4"/>
  <c r="E11" i="4" s="1"/>
  <c r="F9" i="4"/>
  <c r="I63" i="12"/>
  <c r="Q22" i="10"/>
  <c r="G28" i="10"/>
  <c r="Q27" i="10"/>
  <c r="Q18" i="10"/>
  <c r="O22" i="10"/>
  <c r="E28" i="10"/>
  <c r="F11" i="15"/>
  <c r="Q15" i="8"/>
  <c r="M16" i="8"/>
  <c r="J26" i="8"/>
  <c r="M20" i="8"/>
  <c r="M25" i="8"/>
  <c r="Q10" i="8"/>
  <c r="F13" i="1"/>
  <c r="G68" i="12"/>
  <c r="I62" i="12"/>
  <c r="I66" i="12"/>
  <c r="I65" i="12"/>
  <c r="I58" i="12"/>
  <c r="I61" i="12"/>
  <c r="I64" i="12"/>
  <c r="T32" i="8"/>
  <c r="T29" i="8"/>
  <c r="D26" i="8"/>
  <c r="G26" i="8"/>
  <c r="B24" i="5"/>
  <c r="C15" i="5"/>
  <c r="D27" i="1" l="1"/>
  <c r="L26" i="11"/>
  <c r="Q29" i="10"/>
  <c r="U41" i="8"/>
  <c r="U38" i="8"/>
  <c r="M11" i="4"/>
  <c r="O11" i="4"/>
  <c r="U32" i="8"/>
  <c r="U29" i="8"/>
  <c r="M26" i="8"/>
  <c r="K26" i="11"/>
  <c r="O28" i="10"/>
  <c r="M26" i="11"/>
  <c r="Q28" i="10"/>
  <c r="B25" i="7"/>
  <c r="C25" i="7"/>
  <c r="D24" i="7"/>
  <c r="F11" i="4"/>
  <c r="I68" i="12"/>
  <c r="E27" i="1"/>
  <c r="F27" i="1" s="1"/>
  <c r="G11" i="15"/>
  <c r="F24" i="15"/>
  <c r="G24" i="15" s="1"/>
  <c r="M15" i="13"/>
  <c r="M14" i="13"/>
  <c r="K25" i="13"/>
  <c r="O29" i="10" l="1"/>
  <c r="U9" i="8"/>
  <c r="V11" i="8"/>
  <c r="M25" i="13"/>
  <c r="C28" i="10" l="1"/>
</calcChain>
</file>

<file path=xl/sharedStrings.xml><?xml version="1.0" encoding="utf-8"?>
<sst xmlns="http://schemas.openxmlformats.org/spreadsheetml/2006/main" count="873" uniqueCount="303">
  <si>
    <t>Dirección General de Jubilaciones y Pensiones a Cargo del Estado</t>
  </si>
  <si>
    <t>Departamento Administrativo y Financiero</t>
  </si>
  <si>
    <t>Ejecución Presupuesto Administrativo</t>
  </si>
  <si>
    <t>Mes</t>
  </si>
  <si>
    <t>Presupuesto Programado</t>
  </si>
  <si>
    <t>Presupuesto Ejecutado</t>
  </si>
  <si>
    <t>Restante</t>
  </si>
  <si>
    <t>Monto</t>
  </si>
  <si>
    <t>Absoluto (RD$)</t>
  </si>
  <si>
    <t>Relativo</t>
  </si>
  <si>
    <t>Regalía</t>
  </si>
  <si>
    <t>Diciembre</t>
  </si>
  <si>
    <t>Noviembre</t>
  </si>
  <si>
    <t>Octubre</t>
  </si>
  <si>
    <t>4to Trimestre</t>
  </si>
  <si>
    <t>Abril</t>
  </si>
  <si>
    <t>Mayo</t>
  </si>
  <si>
    <t>Junio</t>
  </si>
  <si>
    <t>2do Trimestre</t>
  </si>
  <si>
    <t xml:space="preserve">Julio </t>
  </si>
  <si>
    <t>Agosto</t>
  </si>
  <si>
    <t>Septiembre</t>
  </si>
  <si>
    <t>3er Trimestre</t>
  </si>
  <si>
    <t>Total</t>
  </si>
  <si>
    <t>Nota:</t>
  </si>
  <si>
    <t>División de Seguimiento al Sistema de Reparto</t>
  </si>
  <si>
    <t>Afiliados y Cotizantes</t>
  </si>
  <si>
    <t>Afiliados al Sistema de Reparto</t>
  </si>
  <si>
    <t>Cotizantes</t>
  </si>
  <si>
    <t>% Cotizantes</t>
  </si>
  <si>
    <t>No Cotizantes</t>
  </si>
  <si>
    <t>% No Cotizantes</t>
  </si>
  <si>
    <t>Afiliados Policia Nacional</t>
  </si>
  <si>
    <t>Promedio
2do Trimestre</t>
  </si>
  <si>
    <t>Julio</t>
  </si>
  <si>
    <t>Promedio
3er Trimestre</t>
  </si>
  <si>
    <t>Promedio
4to Trimestre</t>
  </si>
  <si>
    <t xml:space="preserve"> </t>
  </si>
  <si>
    <t>Distribución de Cotizantes por Tipo de Empleador</t>
  </si>
  <si>
    <t>Cantidad de Cotizantes por Tipo de Empleador</t>
  </si>
  <si>
    <t xml:space="preserve">Público 
</t>
  </si>
  <si>
    <t>Privado</t>
  </si>
  <si>
    <t>% Público</t>
  </si>
  <si>
    <t>% Privado</t>
  </si>
  <si>
    <t>Enero-Abril 2021</t>
  </si>
  <si>
    <t>Individualización por tipo de Empleador</t>
  </si>
  <si>
    <t>Individualización de aportes por tipo de Empleador</t>
  </si>
  <si>
    <t>Público (RD$)</t>
  </si>
  <si>
    <t>Privado (RD$)</t>
  </si>
  <si>
    <t>Total (RD$)</t>
  </si>
  <si>
    <t>Porcentaje</t>
  </si>
  <si>
    <t>Distribución de Aportes</t>
  </si>
  <si>
    <t>Cantidad de Aportes</t>
  </si>
  <si>
    <t>Δ Absoluta</t>
  </si>
  <si>
    <t>Δ Relativa</t>
  </si>
  <si>
    <t>Cantidad de Traspasos</t>
  </si>
  <si>
    <t>Recibidos (SCI a Reparto)</t>
  </si>
  <si>
    <t>Cedidos (Reparto a SCI)</t>
  </si>
  <si>
    <t>Monto Traspasado (RD$)</t>
  </si>
  <si>
    <t>T2</t>
  </si>
  <si>
    <t>T3</t>
  </si>
  <si>
    <t>T4</t>
  </si>
  <si>
    <t>Departamento de Gestión Financiera de Pensiones</t>
  </si>
  <si>
    <t>Ejecución Presupuesto Pensionados</t>
  </si>
  <si>
    <t>Programación Presupuestaria</t>
  </si>
  <si>
    <t>Ejecución Presupuestaria</t>
  </si>
  <si>
    <t>Programación Ordinaria (RD$)</t>
  </si>
  <si>
    <t>Ajuste de Partidas Devengadas</t>
  </si>
  <si>
    <t>Programación Total</t>
  </si>
  <si>
    <t xml:space="preserve"> Ejecutado</t>
  </si>
  <si>
    <r>
      <t xml:space="preserve">Nota 1: </t>
    </r>
    <r>
      <rPr>
        <sz val="8"/>
        <rFont val="Calibri"/>
        <family val="2"/>
        <scheme val="minor"/>
      </rPr>
      <t>El monto de ajuste de partidas devengadas, corresponde a los rechazos en transferencia, reintegro de cheques, recuperaciones y devoluciones de pensiones de las diferentes nominas (civil, policia, solidaria y adicionales)</t>
    </r>
  </si>
  <si>
    <t>Nómina de Pensionados</t>
  </si>
  <si>
    <t>Pensiones Civiles</t>
  </si>
  <si>
    <t>Pensiones Solidarias</t>
  </si>
  <si>
    <t>PN</t>
  </si>
  <si>
    <t>TOTAL</t>
  </si>
  <si>
    <t>Cantidad Pensionados</t>
  </si>
  <si>
    <t>Cantidad Pensiones</t>
  </si>
  <si>
    <r>
      <rPr>
        <b/>
        <sz val="8"/>
        <color theme="1"/>
        <rFont val="Calibri"/>
        <family val="2"/>
        <scheme val="minor"/>
      </rPr>
      <t>Fuente:</t>
    </r>
    <r>
      <rPr>
        <sz val="8"/>
        <color theme="1"/>
        <rFont val="Calibri"/>
        <family val="2"/>
        <scheme val="minor"/>
      </rPr>
      <t xml:space="preserve"> SIJUPEN</t>
    </r>
  </si>
  <si>
    <t>Variaciones</t>
  </si>
  <si>
    <t>Pensiones</t>
  </si>
  <si>
    <t>Pensionados</t>
  </si>
  <si>
    <t>Abril-Junio 2020</t>
  </si>
  <si>
    <t>Nóminas Autoseguro</t>
  </si>
  <si>
    <t>Nómina Mensual Discapacidad Civil</t>
  </si>
  <si>
    <t>Nómina Mensual Discapacidad Policía Nacional</t>
  </si>
  <si>
    <t>Nómina Mensual Sobrevivencia Civil</t>
  </si>
  <si>
    <t>Nómina Mensual Sobrevivencia Policía</t>
  </si>
  <si>
    <t>Cantidad Beneficiarios</t>
  </si>
  <si>
    <t>Monto Bruto
(RD$)</t>
  </si>
  <si>
    <t>AFP
(RD$)</t>
  </si>
  <si>
    <t>SFS
(RD$)</t>
  </si>
  <si>
    <t>Monto Neto
(RD$)</t>
  </si>
  <si>
    <t>Monto
(RD$)</t>
  </si>
  <si>
    <t xml:space="preserve">                                                                                                                                                                                                                                                                                                          </t>
  </si>
  <si>
    <t>Nómina Deuda Retroactiva 
Discapacidad Civil</t>
  </si>
  <si>
    <t>Nómina Deuda Retroactiva
Sobrevivencia Civil</t>
  </si>
  <si>
    <t>Nómina Deuda Retroactiva
Sobrevivencia Policía Nacional</t>
  </si>
  <si>
    <t>-</t>
  </si>
  <si>
    <r>
      <rPr>
        <b/>
        <sz val="8"/>
        <color theme="1"/>
        <rFont val="Calibri"/>
        <family val="2"/>
        <scheme val="minor"/>
      </rPr>
      <t>Fuente:</t>
    </r>
    <r>
      <rPr>
        <sz val="8"/>
        <color theme="1"/>
        <rFont val="Calibri"/>
        <family val="2"/>
        <scheme val="minor"/>
      </rPr>
      <t xml:space="preserve"> División de Nómina</t>
    </r>
  </si>
  <si>
    <t>Movimientos en Nómina</t>
  </si>
  <si>
    <t>TOTAL GENERAL</t>
  </si>
  <si>
    <t>Inclusiones</t>
  </si>
  <si>
    <t>Pensiones por Sobrevivencia</t>
  </si>
  <si>
    <t>Reactivaciones &amp; Reinclusiones</t>
  </si>
  <si>
    <t>Ajustes Monto Pensiones</t>
  </si>
  <si>
    <t>Exclusiones</t>
  </si>
  <si>
    <t>Suspensiones</t>
  </si>
  <si>
    <t>Cantidad</t>
  </si>
  <si>
    <t>Tipo Cantidad Porcentaje Monto Porcentaje</t>
  </si>
  <si>
    <t>PENSIÓN</t>
  </si>
  <si>
    <t>CIVIL</t>
  </si>
  <si>
    <t>IDSS</t>
  </si>
  <si>
    <t>GLORIAS</t>
  </si>
  <si>
    <t>DEL</t>
  </si>
  <si>
    <t>DEPORTE</t>
  </si>
  <si>
    <t>PABELLÓN</t>
  </si>
  <si>
    <t>DE</t>
  </si>
  <si>
    <t>LA</t>
  </si>
  <si>
    <t>FAMA</t>
  </si>
  <si>
    <t>PODER</t>
  </si>
  <si>
    <t>LEGISLATIVO</t>
  </si>
  <si>
    <t>EJECUTIVO</t>
  </si>
  <si>
    <t>POLICÍA</t>
  </si>
  <si>
    <t>NACIONAL</t>
  </si>
  <si>
    <t>SOLIDARIA</t>
  </si>
  <si>
    <t>PENSION</t>
  </si>
  <si>
    <t>POR</t>
  </si>
  <si>
    <t>SOBREVIVENCIA</t>
  </si>
  <si>
    <t>Rango</t>
  </si>
  <si>
    <t>Cantidad*</t>
  </si>
  <si>
    <t>Monto*</t>
  </si>
  <si>
    <t>Menos</t>
  </si>
  <si>
    <t>de</t>
  </si>
  <si>
    <t>RD$5117.50</t>
  </si>
  <si>
    <t>Igual</t>
  </si>
  <si>
    <t>a</t>
  </si>
  <si>
    <t>RD$5117.51</t>
  </si>
  <si>
    <t>&gt;=100,000.00</t>
  </si>
  <si>
    <t>18-30</t>
  </si>
  <si>
    <t>30-40</t>
  </si>
  <si>
    <t>40-50</t>
  </si>
  <si>
    <t>50-60</t>
  </si>
  <si>
    <t>60-70</t>
  </si>
  <si>
    <t>70-80</t>
  </si>
  <si>
    <t>80-90</t>
  </si>
  <si>
    <t>90-100</t>
  </si>
  <si>
    <t>con</t>
  </si>
  <si>
    <t>Nacimiento</t>
  </si>
  <si>
    <t>Trimestre Abril-Junio
Al 30 de Junio 2021</t>
  </si>
  <si>
    <t xml:space="preserve">Cantidad </t>
  </si>
  <si>
    <t>Distribución de Pensiones por Tipo y por Montos. Pensionados por edad.</t>
  </si>
  <si>
    <t xml:space="preserve">Tipo de Pensión </t>
  </si>
  <si>
    <t xml:space="preserve">Tipo  </t>
  </si>
  <si>
    <t>Cantidad 
(Var Absoluta)</t>
  </si>
  <si>
    <t>Porcentaje
(Var Porcentual)</t>
  </si>
  <si>
    <t>Monto
(Var Absoluta)</t>
  </si>
  <si>
    <t>PENSIÓN CIVIL</t>
  </si>
  <si>
    <t>GLORIAS DEL DEPORTE</t>
  </si>
  <si>
    <t>PABELLÓN DE LA FAMA</t>
  </si>
  <si>
    <t>PODER LEGISLATIVO</t>
  </si>
  <si>
    <t>PODER EJECUTIVO</t>
  </si>
  <si>
    <t>POLICÍA NACIONAL</t>
  </si>
  <si>
    <t>PENSIÓN SOLIDARIA</t>
  </si>
  <si>
    <t>PENSION POR SOBREVIVENCIA</t>
  </si>
  <si>
    <t>TOTALES:</t>
  </si>
  <si>
    <r>
      <rPr>
        <b/>
        <sz val="8"/>
        <color theme="1"/>
        <rFont val="Calibri"/>
        <family val="2"/>
        <scheme val="minor"/>
      </rPr>
      <t>Fuente:</t>
    </r>
    <r>
      <rPr>
        <sz val="8"/>
        <color theme="1"/>
        <rFont val="Calibri"/>
        <family val="2"/>
        <scheme val="minor"/>
      </rPr>
      <t xml:space="preserve"> Departamento de Gestión Financiera de Pensiones.</t>
    </r>
  </si>
  <si>
    <t>Pensiones por Monto</t>
  </si>
  <si>
    <t>Menos de RD$5117.50</t>
  </si>
  <si>
    <t>Igual a RD$5117.51</t>
  </si>
  <si>
    <t>5,117.50 - 10,000.00</t>
  </si>
  <si>
    <t>10,000.00 - 20,000.00</t>
  </si>
  <si>
    <t>20,000.00 - 30,000.00</t>
  </si>
  <si>
    <t>30,000.00 - 40,000.00</t>
  </si>
  <si>
    <t>40,000.00 - 50,000.00</t>
  </si>
  <si>
    <t>50,000.00 - 60,000.00</t>
  </si>
  <si>
    <t>60,000.00 - 70,000.00</t>
  </si>
  <si>
    <t>70,000.00 - 80,000.00</t>
  </si>
  <si>
    <t>80,000.00 - 90,000.00</t>
  </si>
  <si>
    <t>90,000.00 - 100,000.00</t>
  </si>
  <si>
    <r>
      <rPr>
        <b/>
        <sz val="8"/>
        <rFont val="Calibri"/>
        <family val="2"/>
        <scheme val="minor"/>
      </rPr>
      <t>Nota 1:</t>
    </r>
    <r>
      <rPr>
        <sz val="8"/>
        <rFont val="Calibri"/>
        <family val="2"/>
        <scheme val="minor"/>
      </rPr>
      <t xml:space="preserve"> Data descontinuada ya que el sistema que la genera ha sido deshabilitado. Se presenta de manera simbólica, mientras se realizan los trabajos de actualización de estructura de boletines estadísticos de la institución. </t>
    </r>
  </si>
  <si>
    <r>
      <rPr>
        <b/>
        <sz val="8"/>
        <rFont val="Calibri"/>
        <family val="2"/>
        <scheme val="minor"/>
      </rPr>
      <t>Nota 2</t>
    </r>
    <r>
      <rPr>
        <sz val="8"/>
        <rFont val="Calibri"/>
        <family val="2"/>
        <scheme val="minor"/>
      </rPr>
      <t>: Incluye los montos y cantidad de Pensiones Solidarias.</t>
    </r>
  </si>
  <si>
    <r>
      <rPr>
        <b/>
        <sz val="8"/>
        <color theme="1"/>
        <rFont val="Calibri"/>
        <family val="2"/>
        <scheme val="minor"/>
      </rPr>
      <t xml:space="preserve">Fuente: </t>
    </r>
    <r>
      <rPr>
        <sz val="8"/>
        <color theme="1"/>
        <rFont val="Calibri"/>
        <family val="2"/>
        <scheme val="minor"/>
      </rPr>
      <t>SIJUPEN.</t>
    </r>
  </si>
  <si>
    <t>Pensiones por Edad</t>
  </si>
  <si>
    <t xml:space="preserve">Cantidad* </t>
  </si>
  <si>
    <t>Menos 18 años</t>
  </si>
  <si>
    <t>0-18</t>
  </si>
  <si>
    <t>Sin fecha de nacimiento</t>
  </si>
  <si>
    <r>
      <rPr>
        <b/>
        <sz val="8"/>
        <color theme="1"/>
        <rFont val="Calibri"/>
        <family val="2"/>
        <scheme val="minor"/>
      </rPr>
      <t xml:space="preserve">Nota 1: </t>
    </r>
    <r>
      <rPr>
        <sz val="8"/>
        <color theme="1"/>
        <rFont val="Calibri"/>
        <family val="2"/>
        <scheme val="minor"/>
      </rPr>
      <t xml:space="preserve">Data descontinuada ya que el sistema que la genera ha sido deshabilitado. Se presenta de manera simbólica, mientras se realizan los trabajos de actualización de estructura de boletines estadísticos de la institución. </t>
    </r>
  </si>
  <si>
    <r>
      <rPr>
        <b/>
        <sz val="8"/>
        <color rgb="FF000000"/>
        <rFont val="Calibri"/>
        <family val="2"/>
        <scheme val="minor"/>
      </rPr>
      <t>Nota 2:</t>
    </r>
    <r>
      <rPr>
        <sz val="8"/>
        <color rgb="FF000000"/>
        <rFont val="Calibri"/>
        <family val="2"/>
        <scheme val="minor"/>
      </rPr>
      <t xml:space="preserve"> No incluye los pensionados de la Policía Nacional ni los pensionados por pensión solidaria.</t>
    </r>
  </si>
  <si>
    <t>Modalidad de Pago</t>
  </si>
  <si>
    <t>Electrónico</t>
  </si>
  <si>
    <t>Cheque</t>
  </si>
  <si>
    <t xml:space="preserve">Electrónico </t>
  </si>
  <si>
    <t>Cantidad de Pensiones</t>
  </si>
  <si>
    <t>Cantidad  Pensiones</t>
  </si>
  <si>
    <t>Cantidad Electrónico</t>
  </si>
  <si>
    <t>Cantidad Cheque</t>
  </si>
  <si>
    <r>
      <rPr>
        <b/>
        <sz val="8"/>
        <color theme="1"/>
        <rFont val="Calibri"/>
        <family val="2"/>
        <scheme val="minor"/>
      </rPr>
      <t xml:space="preserve">Fuente: </t>
    </r>
    <r>
      <rPr>
        <sz val="8"/>
        <color theme="1"/>
        <rFont val="Calibri"/>
        <family val="2"/>
        <scheme val="minor"/>
      </rPr>
      <t>SIJUPEN</t>
    </r>
  </si>
  <si>
    <t>Pago de Retroactivos</t>
  </si>
  <si>
    <t>Cantidad 
Pensionados</t>
  </si>
  <si>
    <t>Cantidad 
Pensiones</t>
  </si>
  <si>
    <t>Regalia</t>
  </si>
  <si>
    <t>Diciembre**</t>
  </si>
  <si>
    <t xml:space="preserve"> **Estos totales incluyen las nóminas adicionales de regalía de pensionados inactivos.</t>
  </si>
  <si>
    <r>
      <rPr>
        <b/>
        <sz val="8"/>
        <color theme="1"/>
        <rFont val="Calibri"/>
        <family val="2"/>
        <scheme val="minor"/>
      </rPr>
      <t xml:space="preserve">Fuente: </t>
    </r>
    <r>
      <rPr>
        <sz val="8"/>
        <color theme="1"/>
        <rFont val="Calibri"/>
        <family val="2"/>
        <scheme val="minor"/>
      </rPr>
      <t>Departamento de Gestión Financiera de Pensiones.</t>
    </r>
  </si>
  <si>
    <t>Direccion General de Jubilaciones y Pensiones a Cargo del Estado</t>
  </si>
  <si>
    <t>Reintegro de Cheques</t>
  </si>
  <si>
    <t>Estadíticas Trimestre Abril-Junio</t>
  </si>
  <si>
    <t>Año 2021</t>
  </si>
  <si>
    <t>DGJP</t>
  </si>
  <si>
    <t>Cantidad 
de Cheques</t>
  </si>
  <si>
    <t xml:space="preserve"> *Estos totales incluyen las nóminas adicionales de regalía de pensionados inactivos.</t>
  </si>
  <si>
    <t>Fuente: SIJUPEN</t>
  </si>
  <si>
    <t>Créditos Rechazados</t>
  </si>
  <si>
    <t>Estadíticas Trimestre Enero-Marzo</t>
  </si>
  <si>
    <t xml:space="preserve">Cantidad 
</t>
  </si>
  <si>
    <t>Pagos Únicos Compensatorios</t>
  </si>
  <si>
    <t>Recuperación de Fondos</t>
  </si>
  <si>
    <t>Cantidad 
Solicitudes</t>
  </si>
  <si>
    <t>Monto 
Solicitado</t>
  </si>
  <si>
    <t>Monto Recuperado 
Años Anteriores</t>
  </si>
  <si>
    <t>Monto Recuperado 
Año en Curso</t>
  </si>
  <si>
    <t>Total 
Recuperado</t>
  </si>
  <si>
    <t>% Recuperado</t>
  </si>
  <si>
    <t>Dirección de Servicios y Trámite de Pensiones</t>
  </si>
  <si>
    <t>Gestión de Servicios a Pensionados</t>
  </si>
  <si>
    <t>Solicitudes Recibidas</t>
  </si>
  <si>
    <t xml:space="preserve">Descripción </t>
  </si>
  <si>
    <t>Recibidas</t>
  </si>
  <si>
    <t>Procesadas</t>
  </si>
  <si>
    <t>% Eficiencia</t>
  </si>
  <si>
    <t>Modificación Datos Críticos</t>
  </si>
  <si>
    <t>Pensión por sobrevivencia</t>
  </si>
  <si>
    <t>Registro de Poderes</t>
  </si>
  <si>
    <t>Solicitud Aplicación/Suspensión de Descuento 2%</t>
  </si>
  <si>
    <t>Solicitud de actualización de datos  Pensionados</t>
  </si>
  <si>
    <t>Solicitud de Exclusión</t>
  </si>
  <si>
    <t>Solicitud de Inclusión a Nómina</t>
  </si>
  <si>
    <t>Solicitud de Reajuste de Pensión</t>
  </si>
  <si>
    <t>Solicitud de Reclamación de Deuda</t>
  </si>
  <si>
    <t>Solicitud Pago Único Compensatorio</t>
  </si>
  <si>
    <t>Solicitud Pensión</t>
  </si>
  <si>
    <t>Solicitud Re-activación/Re-inclusión Pensión</t>
  </si>
  <si>
    <t>Solicitud Traspaso</t>
  </si>
  <si>
    <t>Total:</t>
  </si>
  <si>
    <r>
      <rPr>
        <b/>
        <sz val="8"/>
        <rFont val="Calibri"/>
        <family val="2"/>
        <scheme val="minor"/>
      </rPr>
      <t>Fuente:</t>
    </r>
    <r>
      <rPr>
        <sz val="8"/>
        <rFont val="Calibri"/>
        <family val="2"/>
        <scheme val="minor"/>
      </rPr>
      <t xml:space="preserve"> Metabase DAP</t>
    </r>
  </si>
  <si>
    <t>Aprobadas</t>
  </si>
  <si>
    <t>Pensión por Sobrevivencia Concubina</t>
  </si>
  <si>
    <t>Pensión por Sobrevivencia Conyugue</t>
  </si>
  <si>
    <t>Pension por Sobrevivencia Estudiante PN</t>
  </si>
  <si>
    <t>Pensión por Sobrevivencia Menor</t>
  </si>
  <si>
    <t>Pensión por Sobrevivencia Padres</t>
  </si>
  <si>
    <t>Reactivacion</t>
  </si>
  <si>
    <t>Reembolso - RE</t>
  </si>
  <si>
    <t>Reinclusion</t>
  </si>
  <si>
    <t>Retroactivo – RT</t>
  </si>
  <si>
    <t>Retroactivo – RTI</t>
  </si>
  <si>
    <t>Solicitud de aplicacion de Descuento ADL</t>
  </si>
  <si>
    <t>Solicitud de Suspension de Descuento SDL</t>
  </si>
  <si>
    <t>Solicitud Modificación Monto Pensión</t>
  </si>
  <si>
    <r>
      <rPr>
        <b/>
        <sz val="8"/>
        <rFont val="Calibri"/>
        <family val="2"/>
        <scheme val="minor"/>
      </rPr>
      <t xml:space="preserve">Fuente: </t>
    </r>
    <r>
      <rPr>
        <sz val="8"/>
        <rFont val="Calibri"/>
        <family val="2"/>
        <scheme val="minor"/>
      </rPr>
      <t>Metabase DMP.</t>
    </r>
  </si>
  <si>
    <t>Solicitudes Recibidas y otorgadas</t>
  </si>
  <si>
    <t>Otorgadas</t>
  </si>
  <si>
    <t>Sobrevivencia Civil</t>
  </si>
  <si>
    <t>Sobrevivencia Policía Nacional</t>
  </si>
  <si>
    <t>Discapacidad Civil</t>
  </si>
  <si>
    <t>Discapacidad Policía Nacional</t>
  </si>
  <si>
    <r>
      <rPr>
        <b/>
        <sz val="8"/>
        <rFont val="Calibri"/>
        <family val="2"/>
        <scheme val="minor"/>
      </rPr>
      <t xml:space="preserve">Fuente: </t>
    </r>
    <r>
      <rPr>
        <sz val="8"/>
        <rFont val="Calibri"/>
        <family val="2"/>
        <scheme val="minor"/>
      </rPr>
      <t>Departamento de Autoseguro</t>
    </r>
  </si>
  <si>
    <t xml:space="preserve">Marzo </t>
  </si>
  <si>
    <t>Febrero</t>
  </si>
  <si>
    <t xml:space="preserve">Enero </t>
  </si>
  <si>
    <t>Año 2024</t>
  </si>
  <si>
    <t>Estadísticas Trimestre Enero-Marzo</t>
  </si>
  <si>
    <t>Enero</t>
  </si>
  <si>
    <t>1er Trimestre</t>
  </si>
  <si>
    <t>Cantidad de solicitudes aprobadas por tipo T1-2024</t>
  </si>
  <si>
    <t>Marzo</t>
  </si>
  <si>
    <t xml:space="preserve">Trimestre 1 </t>
  </si>
  <si>
    <t xml:space="preserve">Febrero </t>
  </si>
  <si>
    <t>Estadísticas Trimestre Enero - Marzo</t>
  </si>
  <si>
    <t>Trimestre Enero-Marzo
Al 31 de marzo 2023</t>
  </si>
  <si>
    <t>Trimestre Enero-Marzo
Al 31 de marzo 2024</t>
  </si>
  <si>
    <t>Trimestre Enero-Marzo
Al 31 de Marzo 2024</t>
  </si>
  <si>
    <t>Trimestre Enero-Marzo
Al 31 de Marzo 2023</t>
  </si>
  <si>
    <t>Trimestre Enero - Marzo 2024</t>
  </si>
  <si>
    <t>1er. Trimestre</t>
  </si>
  <si>
    <t>1er.  Trimestre</t>
  </si>
  <si>
    <t>Promedio 1er. Trimestre</t>
  </si>
  <si>
    <t>Promedio
1er Trimestre</t>
  </si>
  <si>
    <t xml:space="preserve">Estadísticas Trimestre Enero - Marzo </t>
  </si>
  <si>
    <r>
      <rPr>
        <b/>
        <sz val="8"/>
        <color rgb="FF000000"/>
        <rFont val="Calibri"/>
        <family val="2"/>
      </rPr>
      <t>Nota:</t>
    </r>
    <r>
      <rPr>
        <sz val="8"/>
        <color indexed="8"/>
        <rFont val="Calibri"/>
        <family val="2"/>
      </rPr>
      <t xml:space="preserve"> *Marzo es proyectado, monto traspasado es real.</t>
    </r>
  </si>
  <si>
    <r>
      <rPr>
        <b/>
        <sz val="8"/>
        <color indexed="8"/>
        <rFont val="Calibri"/>
        <family val="2"/>
      </rPr>
      <t>Fuente:</t>
    </r>
    <r>
      <rPr>
        <sz val="8"/>
        <color indexed="8"/>
        <rFont val="Calibri"/>
        <family val="2"/>
      </rPr>
      <t xml:space="preserve"> Datos recolectados en la DGJP, preliminar enviado por la División de Seguimiento al Sistema de Reparto</t>
    </r>
  </si>
  <si>
    <r>
      <rPr>
        <b/>
        <sz val="8"/>
        <color indexed="8"/>
        <rFont val="Calibri"/>
        <family val="2"/>
      </rPr>
      <t>Fuente:</t>
    </r>
    <r>
      <rPr>
        <sz val="8"/>
        <color indexed="8"/>
        <rFont val="Calibri"/>
        <family val="2"/>
      </rPr>
      <t xml:space="preserve"> Data mes de enero y febrero extraída de UNIPAGO</t>
    </r>
  </si>
  <si>
    <r>
      <rPr>
        <b/>
        <sz val="8"/>
        <color rgb="FF000000"/>
        <rFont val="Calibri"/>
        <family val="2"/>
      </rPr>
      <t>Nota:</t>
    </r>
    <r>
      <rPr>
        <sz val="8"/>
        <color indexed="8"/>
        <rFont val="Calibri"/>
        <family val="2"/>
      </rPr>
      <t xml:space="preserve"> Mes de marzo proyectado, preliminar trabajado por  División de Seguimiento al Sistema de Reparto</t>
    </r>
  </si>
  <si>
    <r>
      <t xml:space="preserve">Fuente: </t>
    </r>
    <r>
      <rPr>
        <sz val="7"/>
        <rFont val="Calibri"/>
        <family val="2"/>
        <scheme val="minor"/>
      </rPr>
      <t>SIGEF</t>
    </r>
    <r>
      <rPr>
        <b/>
        <sz val="7"/>
        <rFont val="Calibri"/>
        <family val="2"/>
        <scheme val="minor"/>
      </rPr>
      <t xml:space="preserve">, </t>
    </r>
    <r>
      <rPr>
        <sz val="7"/>
        <rFont val="Calibri"/>
        <family val="2"/>
        <scheme val="minor"/>
      </rPr>
      <t>Departamento Financiero.</t>
    </r>
  </si>
  <si>
    <r>
      <rPr>
        <b/>
        <sz val="8"/>
        <color indexed="8"/>
        <rFont val="Calibri"/>
        <family val="2"/>
      </rPr>
      <t>Nota:</t>
    </r>
    <r>
      <rPr>
        <sz val="8"/>
        <color indexed="8"/>
        <rFont val="Calibri"/>
        <family val="2"/>
      </rPr>
      <t xml:space="preserve"> Los datos presentados en el mes de marzo son proyeccciones. Estos estan sujetos a modificacion una vez la Superintendencia de Pensiones (SIPEN), </t>
    </r>
  </si>
  <si>
    <t>remita los datos correspodientes a marzo.</t>
  </si>
  <si>
    <r>
      <rPr>
        <b/>
        <sz val="8"/>
        <color rgb="FF000000"/>
        <rFont val="Calibri"/>
        <family val="2"/>
      </rPr>
      <t>Nota:</t>
    </r>
    <r>
      <rPr>
        <sz val="8"/>
        <color indexed="8"/>
        <rFont val="Calibri"/>
        <family val="2"/>
      </rPr>
      <t xml:space="preserve"> Mes de marzo proyectado, preliminar trabajado por  División de Seguimiento al Sistema de Reparto.</t>
    </r>
  </si>
  <si>
    <r>
      <rPr>
        <b/>
        <sz val="8"/>
        <color theme="1"/>
        <rFont val="Calibri"/>
        <family val="2"/>
        <scheme val="minor"/>
      </rPr>
      <t>Fuente:</t>
    </r>
    <r>
      <rPr>
        <sz val="8"/>
        <color theme="1"/>
        <rFont val="Calibri"/>
        <family val="2"/>
        <scheme val="minor"/>
      </rPr>
      <t xml:space="preserve"> SIGEF, División de Presupuesto de Pensiones.</t>
    </r>
  </si>
  <si>
    <r>
      <rPr>
        <b/>
        <sz val="8"/>
        <rFont val="Calibri"/>
        <family val="2"/>
        <scheme val="minor"/>
      </rPr>
      <t>Nota 2</t>
    </r>
    <r>
      <rPr>
        <sz val="8"/>
        <rFont val="Calibri"/>
        <family val="2"/>
        <scheme val="minor"/>
      </rPr>
      <t>: Se presenta la información en base a los trámites gestionados dentro del mes por las distintas Divisiones del Departamento de Gestión Financiera.</t>
    </r>
  </si>
  <si>
    <r>
      <rPr>
        <b/>
        <sz val="8"/>
        <rFont val="Calibri"/>
        <family val="2"/>
        <scheme val="minor"/>
      </rPr>
      <t xml:space="preserve">Nota: </t>
    </r>
    <r>
      <rPr>
        <sz val="8"/>
        <color theme="1"/>
        <rFont val="Calibri"/>
        <family val="2"/>
        <scheme val="minor"/>
      </rPr>
      <t xml:space="preserve">El proceso de análisis de solicitudes de pensiones de autoseguro requiere de la intervención de varias instituciones, siendo un proceso que puede tardar incluso varios meses. Esto provoca que, el número de otorgamientos sea superior al número de expedientes recibidos en algunas ocasiones, y viceversa. </t>
    </r>
  </si>
  <si>
    <r>
      <t xml:space="preserve">Nota:  </t>
    </r>
    <r>
      <rPr>
        <sz val="7"/>
        <rFont val="Calibri"/>
        <family val="2"/>
        <scheme val="minor"/>
      </rPr>
      <t>La desviacion de 5.38% en la ejecución financiera, corresponde a salidas de personal y a retrasos en los procesos burocráticos del MAP en la contratación de personal para las vacantes disponibles.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</si>
</sst>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0.0%"/>
    <numFmt numFmtId="165" formatCode="_(* #,##0_);_(* \(#,##0\);_(* &quot;-&quot;??_);_(@_)"/>
    <numFmt numFmtId="166" formatCode="&quot;RD$&quot;#,##0.00"/>
    <numFmt numFmtId="167" formatCode="&quot;$&quot;#,##0.00"/>
    <numFmt numFmtId="168" formatCode="_(* #,##0.0_);_(* \(#,##0.0\);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i/>
      <sz val="10"/>
      <color rgb="FF000000"/>
      <name val="Calibri"/>
      <family val="2"/>
      <scheme val="minor"/>
    </font>
    <font>
      <b/>
      <sz val="10"/>
      <color rgb="FF000000"/>
      <name val="Calibri"/>
      <family val="2"/>
      <scheme val="minor"/>
    </font>
    <font>
      <sz val="10"/>
      <color indexed="8"/>
      <name val="Arial"/>
      <family val="2"/>
    </font>
    <font>
      <b/>
      <sz val="11"/>
      <color rgb="FFFF0000"/>
      <name val="Calibri"/>
      <family val="2"/>
      <scheme val="minor"/>
    </font>
    <font>
      <b/>
      <sz val="12"/>
      <color theme="1"/>
      <name val="Calibri"/>
      <family val="2"/>
      <scheme val="minor"/>
    </font>
    <font>
      <sz val="8"/>
      <color rgb="FF000000"/>
      <name val="Calibri"/>
      <family val="2"/>
      <scheme val="minor"/>
    </font>
    <font>
      <b/>
      <i/>
      <sz val="10"/>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b/>
      <sz val="10"/>
      <name val="Calibri"/>
      <family val="2"/>
      <scheme val="minor"/>
    </font>
    <font>
      <b/>
      <i/>
      <sz val="10"/>
      <name val="Calibri"/>
      <family val="2"/>
      <scheme val="minor"/>
    </font>
    <font>
      <b/>
      <sz val="8"/>
      <color rgb="FF000000"/>
      <name val="Calibri"/>
      <family val="2"/>
      <scheme val="minor"/>
    </font>
    <font>
      <sz val="11"/>
      <color rgb="FF000000"/>
      <name val="Calibri"/>
      <family val="2"/>
      <scheme val="minor"/>
    </font>
    <font>
      <sz val="8"/>
      <color rgb="FFFF0000"/>
      <name val="Calibri"/>
      <family val="2"/>
      <scheme val="minor"/>
    </font>
    <font>
      <sz val="8"/>
      <name val="Calibri"/>
      <family val="2"/>
      <scheme val="minor"/>
    </font>
    <font>
      <sz val="10"/>
      <name val="Calibri"/>
      <family val="2"/>
      <scheme val="minor"/>
    </font>
    <font>
      <b/>
      <sz val="8"/>
      <name val="Calibri"/>
      <family val="2"/>
      <scheme val="minor"/>
    </font>
    <font>
      <sz val="11"/>
      <name val="Calibri"/>
      <family val="2"/>
      <scheme val="minor"/>
    </font>
    <font>
      <sz val="7"/>
      <color theme="1"/>
      <name val="Calibri"/>
      <family val="2"/>
      <scheme val="minor"/>
    </font>
    <font>
      <sz val="11"/>
      <color theme="0"/>
      <name val="Calibri"/>
      <family val="2"/>
      <scheme val="minor"/>
    </font>
    <font>
      <i/>
      <sz val="10"/>
      <name val="Calibri"/>
      <family val="2"/>
      <scheme val="minor"/>
    </font>
    <font>
      <b/>
      <i/>
      <sz val="9"/>
      <color rgb="FF000000"/>
      <name val="Calibri"/>
      <family val="2"/>
      <scheme val="minor"/>
    </font>
    <font>
      <b/>
      <sz val="8"/>
      <color indexed="8"/>
      <name val="Calibri"/>
      <family val="2"/>
    </font>
    <font>
      <sz val="8"/>
      <color indexed="8"/>
      <name val="Calibri"/>
      <family val="2"/>
    </font>
    <font>
      <sz val="7"/>
      <name val="Calibri"/>
      <family val="2"/>
      <scheme val="minor"/>
    </font>
    <font>
      <b/>
      <sz val="7"/>
      <name val="Calibri"/>
      <family val="2"/>
      <scheme val="minor"/>
    </font>
    <font>
      <b/>
      <sz val="8"/>
      <color rgb="FF000000"/>
      <name val="Calibri"/>
      <family val="2"/>
    </font>
    <font>
      <b/>
      <sz val="11"/>
      <color theme="0"/>
      <name val="Calibri"/>
      <family val="2"/>
      <scheme val="minor"/>
    </font>
    <font>
      <sz val="10"/>
      <color rgb="FF000000"/>
      <name val="Calibri"/>
      <family val="2"/>
    </font>
    <font>
      <sz val="10"/>
      <color indexed="8"/>
      <name val="Calibri"/>
      <family val="2"/>
      <scheme val="minor"/>
    </font>
    <font>
      <sz val="12"/>
      <color theme="1"/>
      <name val="Times New Roman"/>
      <family val="1"/>
    </font>
  </fonts>
  <fills count="19">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bgColor indexed="64"/>
      </patternFill>
    </fill>
    <fill>
      <patternFill patternType="solid">
        <fgColor theme="8" tint="-0.249977111117893"/>
        <bgColor indexed="64"/>
      </patternFill>
    </fill>
    <fill>
      <patternFill patternType="solid">
        <fgColor theme="0" tint="-0.34998626667073579"/>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0" borderId="0">
      <alignment vertical="top"/>
    </xf>
  </cellStyleXfs>
  <cellXfs count="395">
    <xf numFmtId="0" fontId="0" fillId="0" borderId="0" xfId="0"/>
    <xf numFmtId="0" fontId="0" fillId="0" borderId="0" xfId="0" applyProtection="1">
      <protection locked="0"/>
    </xf>
    <xf numFmtId="9" fontId="5" fillId="0" borderId="0" xfId="0" applyNumberFormat="1" applyFont="1" applyAlignment="1">
      <alignment horizontal="center" vertical="center"/>
    </xf>
    <xf numFmtId="9" fontId="7" fillId="7" borderId="0" xfId="0" applyNumberFormat="1" applyFont="1" applyFill="1" applyAlignment="1">
      <alignment horizontal="center" vertical="center"/>
    </xf>
    <xf numFmtId="9" fontId="4" fillId="0" borderId="0" xfId="0" applyNumberFormat="1" applyFont="1" applyAlignment="1">
      <alignment horizontal="center" vertical="center"/>
    </xf>
    <xf numFmtId="9" fontId="3" fillId="7" borderId="0" xfId="0" applyNumberFormat="1" applyFont="1" applyFill="1" applyAlignment="1">
      <alignment horizontal="center" vertical="center"/>
    </xf>
    <xf numFmtId="9" fontId="3" fillId="10" borderId="0" xfId="0" applyNumberFormat="1" applyFont="1" applyFill="1" applyAlignment="1">
      <alignment horizontal="center" vertical="center"/>
    </xf>
    <xf numFmtId="9" fontId="7" fillId="10" borderId="0" xfId="0" applyNumberFormat="1" applyFont="1" applyFill="1" applyAlignment="1">
      <alignment horizontal="center" vertical="center"/>
    </xf>
    <xf numFmtId="3" fontId="6" fillId="7" borderId="0" xfId="0" applyNumberFormat="1" applyFont="1" applyFill="1" applyAlignment="1">
      <alignment horizontal="center" vertical="center"/>
    </xf>
    <xf numFmtId="165" fontId="6" fillId="7" borderId="0" xfId="2" applyNumberFormat="1" applyFont="1" applyFill="1" applyBorder="1" applyAlignment="1" applyProtection="1">
      <alignment horizontal="center" vertical="center"/>
    </xf>
    <xf numFmtId="3" fontId="6" fillId="10" borderId="0" xfId="0" applyNumberFormat="1" applyFont="1" applyFill="1" applyAlignment="1">
      <alignment horizontal="center" vertical="center"/>
    </xf>
    <xf numFmtId="165" fontId="6" fillId="10" borderId="0" xfId="2" applyNumberFormat="1" applyFont="1" applyFill="1" applyBorder="1" applyAlignment="1" applyProtection="1">
      <alignment horizontal="center" vertical="center"/>
    </xf>
    <xf numFmtId="0" fontId="6" fillId="7" borderId="0" xfId="0" applyFont="1" applyFill="1" applyAlignment="1" applyProtection="1">
      <alignment horizontal="left" vertical="center"/>
      <protection locked="0"/>
    </xf>
    <xf numFmtId="165" fontId="6" fillId="7" borderId="0" xfId="0" applyNumberFormat="1" applyFont="1" applyFill="1" applyAlignment="1">
      <alignment horizontal="center" vertical="center"/>
    </xf>
    <xf numFmtId="3" fontId="0" fillId="0" borderId="0" xfId="0" applyNumberFormat="1" applyProtection="1">
      <protection locked="0"/>
    </xf>
    <xf numFmtId="0" fontId="14" fillId="0" borderId="0" xfId="0" applyFont="1" applyProtection="1">
      <protection locked="0"/>
    </xf>
    <xf numFmtId="9" fontId="6" fillId="7" borderId="0" xfId="1" applyFont="1" applyFill="1" applyBorder="1" applyAlignment="1" applyProtection="1">
      <alignment horizontal="center" vertical="center"/>
    </xf>
    <xf numFmtId="9" fontId="6" fillId="10" borderId="0" xfId="1" applyFont="1" applyFill="1" applyBorder="1" applyAlignment="1" applyProtection="1">
      <alignment horizontal="center" vertical="center"/>
    </xf>
    <xf numFmtId="9" fontId="0" fillId="0" borderId="0" xfId="1" applyFont="1" applyProtection="1">
      <protection locked="0"/>
    </xf>
    <xf numFmtId="3" fontId="2" fillId="0" borderId="0" xfId="0" applyNumberFormat="1" applyFont="1" applyAlignment="1">
      <alignment horizontal="center" vertical="center"/>
    </xf>
    <xf numFmtId="9" fontId="0" fillId="0" borderId="0" xfId="1" applyFont="1" applyAlignment="1" applyProtection="1">
      <alignment horizontal="center" vertical="center"/>
    </xf>
    <xf numFmtId="0" fontId="3" fillId="0" borderId="0" xfId="0" applyFont="1" applyProtection="1">
      <protection locked="0"/>
    </xf>
    <xf numFmtId="0" fontId="2" fillId="0" borderId="0" xfId="0" applyFont="1" applyProtection="1">
      <protection locked="0"/>
    </xf>
    <xf numFmtId="3" fontId="6" fillId="10" borderId="0" xfId="0" applyNumberFormat="1" applyFont="1" applyFill="1" applyAlignment="1">
      <alignment horizontal="left" vertical="center" wrapText="1"/>
    </xf>
    <xf numFmtId="9" fontId="2" fillId="9" borderId="0" xfId="1" applyFont="1" applyFill="1" applyAlignment="1" applyProtection="1">
      <alignment horizontal="center"/>
    </xf>
    <xf numFmtId="0" fontId="2" fillId="9" borderId="0" xfId="0" applyFont="1" applyFill="1"/>
    <xf numFmtId="3" fontId="3" fillId="0" borderId="0" xfId="0" applyNumberFormat="1" applyFont="1" applyAlignment="1">
      <alignment horizontal="center"/>
    </xf>
    <xf numFmtId="0" fontId="6" fillId="7" borderId="0" xfId="0" applyFont="1" applyFill="1" applyAlignment="1">
      <alignment horizontal="left" vertical="center"/>
    </xf>
    <xf numFmtId="0" fontId="6" fillId="10" borderId="0" xfId="0" applyFont="1" applyFill="1" applyAlignment="1">
      <alignment horizontal="left" vertical="center" wrapText="1"/>
    </xf>
    <xf numFmtId="0" fontId="6" fillId="10" borderId="0" xfId="0" applyFont="1" applyFill="1" applyAlignment="1">
      <alignment horizontal="center" vertical="center" wrapText="1"/>
    </xf>
    <xf numFmtId="0" fontId="0" fillId="10" borderId="0" xfId="0" applyFill="1"/>
    <xf numFmtId="0" fontId="4" fillId="0" borderId="0" xfId="0" applyFont="1" applyAlignment="1" applyProtection="1">
      <alignment horizontal="left" vertical="center"/>
      <protection locked="0"/>
    </xf>
    <xf numFmtId="165" fontId="4" fillId="0" borderId="0" xfId="2" applyNumberFormat="1" applyFont="1" applyBorder="1" applyAlignment="1" applyProtection="1">
      <alignment horizontal="center"/>
      <protection locked="0"/>
    </xf>
    <xf numFmtId="2" fontId="0" fillId="0" borderId="0" xfId="0" applyNumberFormat="1" applyProtection="1">
      <protection locked="0"/>
    </xf>
    <xf numFmtId="0" fontId="0" fillId="0" borderId="0" xfId="0" applyAlignment="1" applyProtection="1">
      <alignment horizontal="center"/>
      <protection locked="0"/>
    </xf>
    <xf numFmtId="165" fontId="0" fillId="0" borderId="0" xfId="0" applyNumberFormat="1" applyProtection="1">
      <protection locked="0"/>
    </xf>
    <xf numFmtId="43" fontId="0" fillId="0" borderId="0" xfId="0" applyNumberFormat="1" applyProtection="1">
      <protection locked="0"/>
    </xf>
    <xf numFmtId="165" fontId="3" fillId="0" borderId="0" xfId="2" applyNumberFormat="1" applyFont="1" applyFill="1" applyBorder="1" applyAlignment="1" applyProtection="1">
      <alignment horizontal="center"/>
    </xf>
    <xf numFmtId="165" fontId="3" fillId="0" borderId="0" xfId="2" applyNumberFormat="1" applyFont="1" applyFill="1" applyBorder="1" applyAlignment="1" applyProtection="1">
      <alignment horizontal="center" vertical="center"/>
    </xf>
    <xf numFmtId="165" fontId="12" fillId="7" borderId="0" xfId="2" applyNumberFormat="1" applyFont="1" applyFill="1" applyBorder="1" applyAlignment="1" applyProtection="1">
      <alignment horizontal="center"/>
    </xf>
    <xf numFmtId="165" fontId="12" fillId="7" borderId="0" xfId="2" applyNumberFormat="1" applyFont="1" applyFill="1" applyBorder="1" applyAlignment="1" applyProtection="1">
      <alignment horizontal="center" vertical="center"/>
    </xf>
    <xf numFmtId="165" fontId="12" fillId="10" borderId="0" xfId="2" applyNumberFormat="1" applyFont="1" applyFill="1" applyBorder="1" applyAlignment="1" applyProtection="1">
      <alignment horizontal="center"/>
    </xf>
    <xf numFmtId="165" fontId="12" fillId="10" borderId="0" xfId="2" applyNumberFormat="1" applyFont="1" applyFill="1" applyBorder="1" applyAlignment="1" applyProtection="1">
      <alignment horizontal="center" vertical="center"/>
    </xf>
    <xf numFmtId="0" fontId="3" fillId="5" borderId="0" xfId="0" applyFont="1" applyFill="1" applyAlignment="1">
      <alignment horizontal="left" vertical="center" wrapText="1"/>
    </xf>
    <xf numFmtId="0" fontId="4" fillId="0" borderId="0" xfId="0" applyFont="1" applyAlignment="1">
      <alignment horizontal="left" vertical="center"/>
    </xf>
    <xf numFmtId="0" fontId="3" fillId="5" borderId="0" xfId="0" applyFont="1" applyFill="1" applyAlignment="1">
      <alignment horizontal="center" vertical="center" wrapText="1"/>
    </xf>
    <xf numFmtId="0" fontId="6" fillId="7" borderId="0" xfId="0" applyFont="1" applyFill="1" applyAlignment="1">
      <alignment horizontal="center" vertical="center"/>
    </xf>
    <xf numFmtId="3" fontId="3" fillId="0" borderId="0" xfId="0" applyNumberFormat="1" applyFont="1" applyAlignment="1">
      <alignment horizontal="center" vertical="center"/>
    </xf>
    <xf numFmtId="165" fontId="6" fillId="10" borderId="0" xfId="2" applyNumberFormat="1" applyFont="1" applyFill="1" applyBorder="1" applyAlignment="1" applyProtection="1">
      <alignment horizontal="center"/>
    </xf>
    <xf numFmtId="0" fontId="6" fillId="10" borderId="0" xfId="0" applyFont="1" applyFill="1" applyAlignment="1">
      <alignment horizontal="center" vertical="center"/>
    </xf>
    <xf numFmtId="165" fontId="6" fillId="10" borderId="0" xfId="2" applyNumberFormat="1" applyFont="1" applyFill="1" applyBorder="1" applyAlignment="1" applyProtection="1">
      <alignment horizontal="left" vertical="center"/>
    </xf>
    <xf numFmtId="3" fontId="8" fillId="0" borderId="0" xfId="0" applyNumberFormat="1" applyFont="1" applyAlignment="1" applyProtection="1">
      <alignment horizontal="center" vertical="top"/>
      <protection locked="0"/>
    </xf>
    <xf numFmtId="4" fontId="8" fillId="0" borderId="0" xfId="0" applyNumberFormat="1" applyFont="1" applyAlignment="1" applyProtection="1">
      <alignment horizontal="center" vertical="top"/>
      <protection locked="0"/>
    </xf>
    <xf numFmtId="0" fontId="2" fillId="0" borderId="0" xfId="0" applyFont="1" applyAlignment="1">
      <alignment horizontal="left"/>
    </xf>
    <xf numFmtId="0" fontId="2" fillId="0" borderId="0" xfId="0" applyFont="1" applyAlignment="1">
      <alignment horizontal="center"/>
    </xf>
    <xf numFmtId="165" fontId="12" fillId="7" borderId="0" xfId="2" applyNumberFormat="1" applyFont="1" applyFill="1" applyBorder="1" applyAlignment="1" applyProtection="1">
      <alignment vertical="center"/>
    </xf>
    <xf numFmtId="37" fontId="12" fillId="7" borderId="0" xfId="2" applyNumberFormat="1" applyFont="1" applyFill="1" applyBorder="1" applyAlignment="1" applyProtection="1">
      <alignment horizontal="right" vertical="center"/>
    </xf>
    <xf numFmtId="43" fontId="3" fillId="0" borderId="0" xfId="2" applyFont="1" applyFill="1" applyBorder="1" applyAlignment="1" applyProtection="1">
      <alignment horizontal="center" vertical="center"/>
    </xf>
    <xf numFmtId="165" fontId="12" fillId="10" borderId="0" xfId="2" applyNumberFormat="1" applyFont="1" applyFill="1" applyBorder="1" applyAlignment="1" applyProtection="1">
      <alignment vertical="center"/>
    </xf>
    <xf numFmtId="37" fontId="12" fillId="10" borderId="0" xfId="2" applyNumberFormat="1" applyFont="1" applyFill="1" applyBorder="1" applyAlignment="1" applyProtection="1">
      <alignment horizontal="right" vertical="center"/>
    </xf>
    <xf numFmtId="43" fontId="4" fillId="0" borderId="0" xfId="2" applyFont="1" applyBorder="1" applyAlignment="1" applyProtection="1">
      <alignment horizontal="center"/>
      <protection locked="0"/>
    </xf>
    <xf numFmtId="0" fontId="6" fillId="10" borderId="0" xfId="0"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2" fontId="8" fillId="0" borderId="0" xfId="0" applyNumberFormat="1" applyFont="1" applyAlignment="1" applyProtection="1">
      <alignment horizontal="center" vertical="top"/>
      <protection locked="0"/>
    </xf>
    <xf numFmtId="2" fontId="0" fillId="0" borderId="0" xfId="0" applyNumberFormat="1" applyAlignment="1" applyProtection="1">
      <alignment horizontal="center"/>
      <protection locked="0"/>
    </xf>
    <xf numFmtId="43" fontId="3" fillId="0" borderId="0" xfId="2" applyFont="1" applyFill="1" applyBorder="1" applyAlignment="1" applyProtection="1">
      <alignment horizontal="center"/>
    </xf>
    <xf numFmtId="3" fontId="3" fillId="0" borderId="0" xfId="0" applyNumberFormat="1" applyFont="1"/>
    <xf numFmtId="9" fontId="4" fillId="0" borderId="0" xfId="1" applyFont="1" applyBorder="1" applyAlignment="1" applyProtection="1">
      <alignment horizontal="center"/>
    </xf>
    <xf numFmtId="165" fontId="3" fillId="0" borderId="0" xfId="2" applyNumberFormat="1" applyFont="1" applyBorder="1" applyAlignment="1" applyProtection="1"/>
    <xf numFmtId="3" fontId="6" fillId="7" borderId="0" xfId="0" applyNumberFormat="1" applyFont="1" applyFill="1" applyAlignment="1">
      <alignment horizontal="right" vertical="center"/>
    </xf>
    <xf numFmtId="0" fontId="4" fillId="0" borderId="0" xfId="0" applyFont="1" applyAlignment="1">
      <alignment horizontal="left"/>
    </xf>
    <xf numFmtId="0" fontId="6" fillId="10" borderId="0" xfId="0" applyFont="1" applyFill="1" applyAlignment="1">
      <alignment horizontal="left" vertical="center"/>
    </xf>
    <xf numFmtId="165" fontId="5" fillId="0" borderId="0" xfId="2" applyNumberFormat="1" applyFont="1" applyFill="1" applyBorder="1" applyAlignment="1" applyProtection="1">
      <alignment horizontal="center" vertical="center"/>
    </xf>
    <xf numFmtId="43" fontId="6" fillId="7" borderId="0" xfId="2" applyFont="1" applyFill="1" applyBorder="1" applyAlignment="1" applyProtection="1">
      <alignment horizontal="center" vertical="center"/>
    </xf>
    <xf numFmtId="3" fontId="0" fillId="0" borderId="0" xfId="0" applyNumberFormat="1"/>
    <xf numFmtId="4" fontId="0" fillId="0" borderId="0" xfId="0" applyNumberFormat="1" applyProtection="1">
      <protection locked="0"/>
    </xf>
    <xf numFmtId="165" fontId="0" fillId="0" borderId="0" xfId="0" applyNumberFormat="1" applyAlignment="1" applyProtection="1">
      <alignment horizontal="center"/>
      <protection locked="0"/>
    </xf>
    <xf numFmtId="9" fontId="8" fillId="0" borderId="0" xfId="1" applyFont="1" applyBorder="1" applyAlignment="1" applyProtection="1">
      <alignment horizontal="center" vertical="top"/>
    </xf>
    <xf numFmtId="164" fontId="8" fillId="0" borderId="0" xfId="1" applyNumberFormat="1" applyFont="1" applyBorder="1" applyAlignment="1" applyProtection="1">
      <alignment horizontal="center" vertical="top"/>
    </xf>
    <xf numFmtId="3" fontId="16" fillId="0" borderId="0" xfId="0" applyNumberFormat="1" applyFont="1" applyAlignment="1">
      <alignment horizontal="center" vertical="center"/>
    </xf>
    <xf numFmtId="3" fontId="17" fillId="7" borderId="0" xfId="0" applyNumberFormat="1" applyFont="1" applyFill="1" applyAlignment="1">
      <alignment horizontal="center" vertical="center"/>
    </xf>
    <xf numFmtId="165" fontId="0" fillId="12" borderId="0" xfId="0" applyNumberFormat="1" applyFill="1" applyProtection="1">
      <protection locked="0"/>
    </xf>
    <xf numFmtId="10" fontId="8" fillId="0" borderId="0" xfId="1" applyNumberFormat="1" applyFont="1" applyBorder="1" applyAlignment="1" applyProtection="1">
      <alignment horizontal="center" vertical="top"/>
    </xf>
    <xf numFmtId="10" fontId="8" fillId="12" borderId="0" xfId="1" applyNumberFormat="1" applyFont="1" applyFill="1" applyBorder="1" applyAlignment="1" applyProtection="1">
      <alignment horizontal="center" vertical="top"/>
    </xf>
    <xf numFmtId="10" fontId="8" fillId="0" borderId="0" xfId="1" applyNumberFormat="1" applyFont="1" applyFill="1" applyBorder="1" applyAlignment="1" applyProtection="1">
      <alignment horizontal="center" vertical="top"/>
    </xf>
    <xf numFmtId="10" fontId="0" fillId="0" borderId="0" xfId="1" applyNumberFormat="1" applyFont="1" applyProtection="1">
      <protection locked="0"/>
    </xf>
    <xf numFmtId="0" fontId="5" fillId="0" borderId="0" xfId="0" applyFont="1" applyAlignment="1">
      <alignment vertical="center"/>
    </xf>
    <xf numFmtId="0" fontId="5" fillId="0" borderId="0" xfId="0" applyFont="1" applyAlignment="1">
      <alignment horizontal="left" vertical="center"/>
    </xf>
    <xf numFmtId="0" fontId="4" fillId="0" borderId="0" xfId="0" applyFont="1"/>
    <xf numFmtId="0" fontId="3" fillId="5" borderId="0" xfId="0" applyFont="1" applyFill="1" applyAlignment="1">
      <alignment horizontal="left" vertical="center"/>
    </xf>
    <xf numFmtId="10" fontId="6" fillId="7" borderId="0" xfId="1" applyNumberFormat="1" applyFont="1" applyFill="1" applyBorder="1" applyAlignment="1" applyProtection="1">
      <alignment horizontal="center" vertical="center"/>
    </xf>
    <xf numFmtId="0" fontId="2" fillId="0" borderId="5" xfId="0" applyFont="1" applyBorder="1" applyAlignment="1">
      <alignment horizontal="center"/>
    </xf>
    <xf numFmtId="3" fontId="8" fillId="0" borderId="4" xfId="0" applyNumberFormat="1" applyFont="1" applyBorder="1" applyAlignment="1" applyProtection="1">
      <alignment horizontal="center" vertical="top"/>
      <protection locked="0"/>
    </xf>
    <xf numFmtId="9" fontId="0" fillId="0" borderId="5" xfId="1" applyFont="1" applyBorder="1" applyAlignment="1" applyProtection="1">
      <alignment horizontal="center"/>
    </xf>
    <xf numFmtId="164" fontId="0" fillId="0" borderId="5" xfId="1" applyNumberFormat="1" applyFont="1" applyBorder="1" applyAlignment="1" applyProtection="1">
      <alignment horizontal="center"/>
    </xf>
    <xf numFmtId="3" fontId="6" fillId="7" borderId="6" xfId="0" applyNumberFormat="1" applyFont="1" applyFill="1" applyBorder="1" applyAlignment="1">
      <alignment horizontal="center" vertical="center"/>
    </xf>
    <xf numFmtId="9" fontId="6" fillId="7" borderId="7" xfId="1" applyFont="1" applyFill="1" applyBorder="1" applyAlignment="1" applyProtection="1">
      <alignment horizontal="center" vertical="center"/>
    </xf>
    <xf numFmtId="3" fontId="6" fillId="7" borderId="7" xfId="0" applyNumberFormat="1" applyFont="1" applyFill="1" applyBorder="1" applyAlignment="1">
      <alignment horizontal="center" vertical="center"/>
    </xf>
    <xf numFmtId="9" fontId="6" fillId="7" borderId="8" xfId="1" applyFont="1" applyFill="1" applyBorder="1" applyAlignment="1" applyProtection="1">
      <alignment horizontal="center" vertical="center"/>
    </xf>
    <xf numFmtId="0" fontId="2" fillId="0" borderId="10" xfId="0" applyFont="1" applyBorder="1" applyAlignment="1">
      <alignment horizontal="left" vertical="top"/>
    </xf>
    <xf numFmtId="0" fontId="2" fillId="0" borderId="10" xfId="0" applyFont="1" applyBorder="1" applyAlignment="1">
      <alignment vertical="top"/>
    </xf>
    <xf numFmtId="0" fontId="6" fillId="7" borderId="11" xfId="0" applyFont="1" applyFill="1" applyBorder="1" applyAlignment="1">
      <alignment horizontal="center" vertical="center"/>
    </xf>
    <xf numFmtId="9" fontId="0" fillId="0" borderId="0" xfId="0" applyNumberFormat="1"/>
    <xf numFmtId="10" fontId="0" fillId="0" borderId="0" xfId="0" applyNumberFormat="1"/>
    <xf numFmtId="4" fontId="0" fillId="0" borderId="0" xfId="0" applyNumberFormat="1"/>
    <xf numFmtId="0" fontId="2" fillId="0" borderId="10" xfId="0" applyFont="1" applyBorder="1" applyAlignment="1">
      <alignment vertical="center"/>
    </xf>
    <xf numFmtId="166" fontId="2" fillId="0" borderId="10" xfId="0" applyNumberFormat="1" applyFont="1" applyBorder="1" applyAlignment="1">
      <alignment horizontal="left" vertical="center"/>
    </xf>
    <xf numFmtId="0" fontId="2" fillId="0" borderId="10" xfId="0" applyFont="1" applyBorder="1" applyAlignment="1">
      <alignment horizontal="left" vertical="center"/>
    </xf>
    <xf numFmtId="10" fontId="0" fillId="0" borderId="5" xfId="1" applyNumberFormat="1" applyFont="1" applyBorder="1" applyAlignment="1" applyProtection="1">
      <alignment horizontal="center"/>
    </xf>
    <xf numFmtId="10" fontId="0" fillId="0" borderId="5" xfId="1" applyNumberFormat="1" applyFont="1" applyFill="1" applyBorder="1" applyAlignment="1" applyProtection="1">
      <alignment horizontal="center"/>
    </xf>
    <xf numFmtId="14" fontId="0" fillId="0" borderId="0" xfId="0" applyNumberFormat="1"/>
    <xf numFmtId="0" fontId="2" fillId="0" borderId="10" xfId="0" applyFont="1" applyBorder="1" applyAlignment="1">
      <alignment horizontal="center" vertical="center"/>
    </xf>
    <xf numFmtId="166" fontId="2" fillId="12" borderId="10" xfId="0" applyNumberFormat="1" applyFont="1" applyFill="1" applyBorder="1" applyAlignment="1">
      <alignment vertical="center"/>
    </xf>
    <xf numFmtId="9" fontId="0" fillId="12" borderId="5" xfId="1" applyFont="1" applyFill="1" applyBorder="1" applyAlignment="1" applyProtection="1">
      <alignment horizontal="center"/>
    </xf>
    <xf numFmtId="167" fontId="0" fillId="0" borderId="0" xfId="0" applyNumberFormat="1" applyProtection="1">
      <protection locked="0"/>
    </xf>
    <xf numFmtId="0" fontId="2" fillId="0" borderId="4"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5" xfId="0" applyFont="1" applyBorder="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10" fontId="8" fillId="0" borderId="5" xfId="1" applyNumberFormat="1" applyFont="1" applyBorder="1" applyAlignment="1" applyProtection="1">
      <alignment horizontal="center" vertical="top"/>
    </xf>
    <xf numFmtId="10" fontId="8" fillId="0" borderId="5" xfId="1" applyNumberFormat="1" applyFont="1" applyFill="1" applyBorder="1" applyAlignment="1" applyProtection="1">
      <alignment horizontal="center" vertical="top"/>
    </xf>
    <xf numFmtId="43" fontId="0" fillId="0" borderId="0" xfId="2" applyFont="1" applyProtection="1">
      <protection locked="0"/>
    </xf>
    <xf numFmtId="164" fontId="0" fillId="0" borderId="0" xfId="1" applyNumberFormat="1" applyFont="1" applyBorder="1" applyAlignment="1" applyProtection="1">
      <alignment horizontal="center"/>
    </xf>
    <xf numFmtId="165" fontId="4" fillId="0" borderId="0" xfId="2" applyNumberFormat="1" applyFont="1" applyBorder="1" applyAlignment="1" applyProtection="1">
      <alignment horizontal="center"/>
    </xf>
    <xf numFmtId="165" fontId="22" fillId="0" borderId="0" xfId="2" applyNumberFormat="1" applyFont="1" applyFill="1" applyBorder="1" applyAlignment="1" applyProtection="1">
      <alignment horizontal="center" vertical="center"/>
    </xf>
    <xf numFmtId="165" fontId="16" fillId="0" borderId="0" xfId="2" applyNumberFormat="1" applyFont="1" applyFill="1" applyBorder="1" applyAlignment="1" applyProtection="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3" fontId="19" fillId="0" borderId="0" xfId="0" applyNumberFormat="1" applyFont="1" applyAlignment="1">
      <alignment horizontal="center" vertical="center"/>
    </xf>
    <xf numFmtId="168" fontId="5" fillId="0" borderId="0" xfId="2" applyNumberFormat="1" applyFont="1" applyFill="1" applyBorder="1" applyAlignment="1" applyProtection="1">
      <alignment vertical="center"/>
    </xf>
    <xf numFmtId="0" fontId="6" fillId="7" borderId="0" xfId="0" applyFont="1" applyFill="1" applyAlignment="1">
      <alignment vertical="center"/>
    </xf>
    <xf numFmtId="3" fontId="0" fillId="0" borderId="0" xfId="0" applyNumberFormat="1" applyAlignment="1">
      <alignment horizontal="center"/>
    </xf>
    <xf numFmtId="3" fontId="5" fillId="0" borderId="0" xfId="0" applyNumberFormat="1" applyFont="1" applyAlignment="1">
      <alignment horizontal="center" vertical="center"/>
    </xf>
    <xf numFmtId="43" fontId="5" fillId="0" borderId="0" xfId="2" applyFont="1" applyFill="1" applyBorder="1" applyAlignment="1" applyProtection="1">
      <alignment horizontal="center" vertical="center"/>
    </xf>
    <xf numFmtId="0" fontId="6" fillId="10" borderId="0" xfId="0" applyFont="1" applyFill="1" applyAlignment="1">
      <alignment vertical="center"/>
    </xf>
    <xf numFmtId="0" fontId="25" fillId="0" borderId="0" xfId="0" applyFont="1"/>
    <xf numFmtId="0" fontId="14" fillId="0" borderId="0" xfId="0" applyFont="1"/>
    <xf numFmtId="3" fontId="0" fillId="0" borderId="0" xfId="0" applyNumberFormat="1" applyAlignment="1">
      <alignment horizontal="center" vertical="center"/>
    </xf>
    <xf numFmtId="0" fontId="6" fillId="7" borderId="0" xfId="0" applyFont="1" applyFill="1" applyAlignment="1">
      <alignment horizontal="left" vertical="center" wrapText="1"/>
    </xf>
    <xf numFmtId="0" fontId="21" fillId="0" borderId="0" xfId="0" applyFont="1"/>
    <xf numFmtId="0" fontId="3" fillId="0" borderId="0" xfId="0" applyFont="1" applyAlignment="1">
      <alignment horizontal="left" vertical="center"/>
    </xf>
    <xf numFmtId="0" fontId="3" fillId="0" borderId="0" xfId="0" applyFont="1" applyAlignment="1">
      <alignment horizontal="center" vertical="center"/>
    </xf>
    <xf numFmtId="3" fontId="4" fillId="0" borderId="0" xfId="0" applyNumberFormat="1" applyFont="1" applyAlignment="1">
      <alignment horizontal="center"/>
    </xf>
    <xf numFmtId="9" fontId="0" fillId="0" borderId="0" xfId="1" applyFont="1" applyProtection="1"/>
    <xf numFmtId="0" fontId="2" fillId="9" borderId="0" xfId="0" applyFont="1" applyFill="1" applyAlignment="1">
      <alignment horizontal="left"/>
    </xf>
    <xf numFmtId="0" fontId="20" fillId="0" borderId="0" xfId="0" applyFont="1"/>
    <xf numFmtId="10" fontId="0" fillId="0" borderId="0" xfId="1" applyNumberFormat="1" applyFont="1" applyAlignment="1" applyProtection="1">
      <alignment horizontal="center" vertical="center"/>
    </xf>
    <xf numFmtId="43" fontId="0" fillId="0" borderId="0" xfId="2" applyFont="1" applyBorder="1" applyAlignment="1" applyProtection="1">
      <alignment horizontal="center"/>
    </xf>
    <xf numFmtId="0" fontId="0" fillId="0" borderId="0" xfId="0" applyAlignment="1">
      <alignment horizontal="center"/>
    </xf>
    <xf numFmtId="0" fontId="2" fillId="5" borderId="0" xfId="0" applyFont="1" applyFill="1" applyAlignment="1">
      <alignment horizontal="center"/>
    </xf>
    <xf numFmtId="0" fontId="3" fillId="0" borderId="0" xfId="0" applyFont="1" applyAlignment="1">
      <alignment horizontal="left" vertical="center" wrapText="1"/>
    </xf>
    <xf numFmtId="3" fontId="24" fillId="0" borderId="0" xfId="0" applyNumberFormat="1" applyFont="1" applyAlignment="1">
      <alignment horizontal="center"/>
    </xf>
    <xf numFmtId="165" fontId="4" fillId="0" borderId="0" xfId="2" applyNumberFormat="1" applyFont="1" applyBorder="1" applyAlignment="1" applyProtection="1"/>
    <xf numFmtId="165" fontId="4" fillId="0" borderId="0" xfId="2" applyNumberFormat="1" applyFont="1" applyBorder="1" applyAlignment="1" applyProtection="1">
      <alignment horizontal="center" vertical="center"/>
    </xf>
    <xf numFmtId="0" fontId="4" fillId="5" borderId="0" xfId="0" applyFont="1" applyFill="1"/>
    <xf numFmtId="3" fontId="4" fillId="0" borderId="0" xfId="0" applyNumberFormat="1" applyFont="1" applyAlignment="1">
      <alignment horizontal="center" vertical="center"/>
    </xf>
    <xf numFmtId="0" fontId="3" fillId="6" borderId="9" xfId="0" applyFont="1" applyFill="1" applyBorder="1" applyAlignment="1">
      <alignment vertical="center"/>
    </xf>
    <xf numFmtId="0" fontId="3" fillId="0" borderId="0" xfId="0" applyFont="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3" fontId="8" fillId="0" borderId="4" xfId="0" applyNumberFormat="1" applyFont="1" applyBorder="1" applyAlignment="1">
      <alignment horizontal="center" vertical="top"/>
    </xf>
    <xf numFmtId="3" fontId="8" fillId="0" borderId="0" xfId="0" applyNumberFormat="1" applyFont="1" applyAlignment="1">
      <alignment horizontal="center" vertical="top"/>
    </xf>
    <xf numFmtId="0" fontId="0" fillId="0" borderId="4" xfId="0" applyBorder="1"/>
    <xf numFmtId="0" fontId="14" fillId="0" borderId="0" xfId="0" applyFont="1" applyAlignment="1">
      <alignment horizontal="left" vertical="top" wrapText="1"/>
    </xf>
    <xf numFmtId="0" fontId="2" fillId="0" borderId="4" xfId="0" applyFont="1" applyBorder="1" applyAlignment="1">
      <alignment horizontal="center"/>
    </xf>
    <xf numFmtId="4" fontId="8" fillId="0" borderId="0" xfId="0" applyNumberFormat="1" applyFont="1" applyAlignment="1">
      <alignment horizontal="center" vertical="top"/>
    </xf>
    <xf numFmtId="0" fontId="21" fillId="0" borderId="0" xfId="0" applyFont="1" applyAlignment="1">
      <alignment horizontal="left" vertical="center"/>
    </xf>
    <xf numFmtId="0" fontId="11" fillId="0" borderId="0" xfId="0" applyFont="1" applyAlignment="1">
      <alignment horizontal="left" vertical="center"/>
    </xf>
    <xf numFmtId="165" fontId="3" fillId="0" borderId="0" xfId="0" applyNumberFormat="1" applyFont="1" applyAlignment="1">
      <alignment horizontal="center" vertical="center"/>
    </xf>
    <xf numFmtId="39" fontId="4" fillId="0" borderId="0" xfId="2" applyNumberFormat="1" applyFont="1" applyBorder="1" applyAlignment="1" applyProtection="1">
      <alignment horizontal="center" vertical="center"/>
    </xf>
    <xf numFmtId="43" fontId="4" fillId="0" borderId="0" xfId="2" applyFont="1" applyBorder="1" applyAlignment="1" applyProtection="1">
      <alignment horizontal="center" vertical="center"/>
    </xf>
    <xf numFmtId="10" fontId="2" fillId="9" borderId="0" xfId="1" applyNumberFormat="1" applyFont="1" applyFill="1" applyBorder="1" applyAlignment="1" applyProtection="1">
      <alignment horizontal="center"/>
    </xf>
    <xf numFmtId="165" fontId="0" fillId="0" borderId="0" xfId="0" applyNumberFormat="1"/>
    <xf numFmtId="43" fontId="4" fillId="0" borderId="0" xfId="2" applyFont="1" applyBorder="1" applyAlignment="1" applyProtection="1">
      <alignment horizontal="center"/>
    </xf>
    <xf numFmtId="0" fontId="4" fillId="0" borderId="0" xfId="2" applyNumberFormat="1" applyFont="1" applyBorder="1" applyAlignment="1" applyProtection="1">
      <alignment horizontal="center" vertical="center"/>
    </xf>
    <xf numFmtId="0" fontId="4" fillId="0" borderId="0" xfId="2" applyNumberFormat="1" applyFont="1" applyBorder="1" applyAlignment="1" applyProtection="1">
      <alignment horizontal="center"/>
    </xf>
    <xf numFmtId="0" fontId="14" fillId="0" borderId="0" xfId="0" applyFont="1" applyAlignment="1">
      <alignment horizontal="left" vertical="center"/>
    </xf>
    <xf numFmtId="0" fontId="3" fillId="5" borderId="0" xfId="0" applyFont="1" applyFill="1" applyAlignment="1">
      <alignment horizontal="center" vertical="center"/>
    </xf>
    <xf numFmtId="0" fontId="4" fillId="0" borderId="0" xfId="0" applyFont="1" applyAlignment="1">
      <alignment horizontal="center"/>
    </xf>
    <xf numFmtId="3" fontId="22" fillId="0" borderId="0" xfId="2" applyNumberFormat="1" applyFont="1" applyBorder="1" applyAlignment="1" applyProtection="1"/>
    <xf numFmtId="3" fontId="4" fillId="0" borderId="0" xfId="2" applyNumberFormat="1" applyFont="1" applyBorder="1" applyAlignment="1" applyProtection="1"/>
    <xf numFmtId="0" fontId="22" fillId="0" borderId="0" xfId="0" applyFont="1" applyAlignment="1">
      <alignment horizontal="center"/>
    </xf>
    <xf numFmtId="0" fontId="9" fillId="5" borderId="0" xfId="0" applyFont="1" applyFill="1"/>
    <xf numFmtId="0" fontId="4" fillId="0" borderId="0" xfId="0" applyFont="1" applyAlignment="1">
      <alignment vertical="center" wrapText="1"/>
    </xf>
    <xf numFmtId="0" fontId="4" fillId="0" borderId="0" xfId="0" applyFont="1" applyAlignment="1">
      <alignment horizontal="left" vertical="center" wrapText="1"/>
    </xf>
    <xf numFmtId="165" fontId="27" fillId="0" borderId="0" xfId="2" applyNumberFormat="1" applyFont="1" applyBorder="1" applyAlignment="1" applyProtection="1">
      <protection locked="0"/>
    </xf>
    <xf numFmtId="165" fontId="27" fillId="0" borderId="0" xfId="2" applyNumberFormat="1" applyFont="1" applyBorder="1" applyAlignment="1" applyProtection="1">
      <alignment horizontal="center"/>
      <protection locked="0"/>
    </xf>
    <xf numFmtId="165" fontId="22" fillId="0" borderId="0" xfId="2" applyNumberFormat="1" applyFont="1" applyBorder="1" applyAlignment="1" applyProtection="1">
      <alignment horizontal="center"/>
      <protection locked="0"/>
    </xf>
    <xf numFmtId="0" fontId="26" fillId="13" borderId="0" xfId="0" applyFont="1" applyFill="1" applyProtection="1">
      <protection locked="0"/>
    </xf>
    <xf numFmtId="0" fontId="22" fillId="13" borderId="0" xfId="0" applyFont="1" applyFill="1" applyAlignment="1">
      <alignment horizontal="left" vertical="center" wrapText="1"/>
    </xf>
    <xf numFmtId="165" fontId="22" fillId="0" borderId="0" xfId="2" applyNumberFormat="1" applyFont="1" applyBorder="1" applyAlignment="1" applyProtection="1">
      <protection locked="0"/>
    </xf>
    <xf numFmtId="165" fontId="16" fillId="13" borderId="0" xfId="0" applyNumberFormat="1" applyFont="1" applyFill="1" applyAlignment="1">
      <alignment horizontal="center" vertical="center" wrapText="1"/>
    </xf>
    <xf numFmtId="165" fontId="4" fillId="0" borderId="0" xfId="2" applyNumberFormat="1" applyFont="1" applyBorder="1" applyAlignment="1" applyProtection="1">
      <alignment horizontal="center" vertical="center"/>
      <protection locked="0"/>
    </xf>
    <xf numFmtId="165" fontId="3" fillId="0" borderId="0" xfId="0" applyNumberFormat="1" applyFont="1" applyAlignment="1">
      <alignment horizontal="center" vertical="center" wrapText="1"/>
    </xf>
    <xf numFmtId="165" fontId="4" fillId="0" borderId="0" xfId="2" applyNumberFormat="1" applyFont="1" applyBorder="1" applyAlignment="1" applyProtection="1">
      <alignment horizontal="right"/>
      <protection locked="0"/>
    </xf>
    <xf numFmtId="0" fontId="3" fillId="13" borderId="0" xfId="0" applyFont="1" applyFill="1" applyAlignment="1">
      <alignment horizontal="center" vertical="center" wrapText="1"/>
    </xf>
    <xf numFmtId="165" fontId="12" fillId="7" borderId="0" xfId="2" applyNumberFormat="1" applyFont="1" applyFill="1" applyBorder="1" applyAlignment="1" applyProtection="1">
      <alignment horizontal="right"/>
    </xf>
    <xf numFmtId="3" fontId="4" fillId="0" borderId="0" xfId="0" applyNumberFormat="1" applyFont="1" applyAlignment="1" applyProtection="1">
      <alignment horizontal="center" vertical="center"/>
      <protection locked="0"/>
    </xf>
    <xf numFmtId="3" fontId="12" fillId="7" borderId="0" xfId="0" applyNumberFormat="1" applyFont="1" applyFill="1" applyAlignment="1" applyProtection="1">
      <alignment horizontal="center" vertical="center"/>
      <protection locked="0"/>
    </xf>
    <xf numFmtId="3" fontId="12" fillId="13" borderId="0" xfId="0" applyNumberFormat="1" applyFont="1" applyFill="1" applyAlignment="1" applyProtection="1">
      <alignment horizontal="center" vertical="center"/>
      <protection locked="0"/>
    </xf>
    <xf numFmtId="9" fontId="0" fillId="0" borderId="0" xfId="0" applyNumberFormat="1" applyProtection="1">
      <protection locked="0"/>
    </xf>
    <xf numFmtId="0" fontId="0" fillId="13" borderId="0" xfId="0" applyFill="1"/>
    <xf numFmtId="0" fontId="4" fillId="13" borderId="0" xfId="0" applyFont="1" applyFill="1"/>
    <xf numFmtId="0" fontId="14" fillId="13" borderId="0" xfId="0" applyFont="1" applyFill="1"/>
    <xf numFmtId="0" fontId="14" fillId="13" borderId="0" xfId="0" applyFont="1" applyFill="1" applyProtection="1">
      <protection locked="0"/>
    </xf>
    <xf numFmtId="0" fontId="21" fillId="13" borderId="0" xfId="0" applyFont="1" applyFill="1"/>
    <xf numFmtId="9" fontId="0" fillId="0" borderId="0" xfId="1" applyFont="1" applyFill="1" applyBorder="1" applyAlignment="1" applyProtection="1">
      <alignment horizontal="center" vertical="center"/>
    </xf>
    <xf numFmtId="3" fontId="0" fillId="0" borderId="0" xfId="0" applyNumberFormat="1" applyAlignment="1">
      <alignment horizontal="left" vertical="center"/>
    </xf>
    <xf numFmtId="164" fontId="0" fillId="0" borderId="0" xfId="0" applyNumberFormat="1"/>
    <xf numFmtId="0" fontId="0" fillId="0" borderId="0" xfId="0" applyAlignment="1">
      <alignment horizontal="left"/>
    </xf>
    <xf numFmtId="0" fontId="13" fillId="5" borderId="0" xfId="0" applyFont="1" applyFill="1" applyAlignment="1">
      <alignment horizontal="center" vertical="center" wrapText="1"/>
    </xf>
    <xf numFmtId="1" fontId="0" fillId="0" borderId="0" xfId="0" applyNumberFormat="1" applyProtection="1">
      <protection locked="0"/>
    </xf>
    <xf numFmtId="0" fontId="28" fillId="7" borderId="0" xfId="0" applyFont="1" applyFill="1" applyAlignment="1">
      <alignment horizontal="left" vertical="center" wrapText="1"/>
    </xf>
    <xf numFmtId="3" fontId="4" fillId="0" borderId="0" xfId="2" applyNumberFormat="1" applyFont="1" applyBorder="1" applyAlignment="1" applyProtection="1">
      <alignment horizontal="center"/>
      <protection locked="0"/>
    </xf>
    <xf numFmtId="3" fontId="8" fillId="0" borderId="0" xfId="0" applyNumberFormat="1" applyFont="1" applyAlignment="1">
      <alignment horizontal="center"/>
    </xf>
    <xf numFmtId="0" fontId="30" fillId="0" borderId="0" xfId="0" applyFont="1"/>
    <xf numFmtId="166" fontId="2" fillId="0" borderId="10" xfId="0" applyNumberFormat="1" applyFont="1" applyBorder="1" applyAlignment="1">
      <alignment vertical="center"/>
    </xf>
    <xf numFmtId="9" fontId="0" fillId="0" borderId="5" xfId="1" applyFont="1" applyFill="1" applyBorder="1" applyAlignment="1" applyProtection="1">
      <alignment horizontal="center"/>
    </xf>
    <xf numFmtId="10" fontId="0" fillId="0" borderId="0" xfId="1" applyNumberFormat="1" applyFont="1" applyBorder="1" applyAlignment="1" applyProtection="1">
      <alignment horizontal="center"/>
    </xf>
    <xf numFmtId="3" fontId="16" fillId="7" borderId="0" xfId="0" applyNumberFormat="1" applyFont="1" applyFill="1" applyAlignment="1">
      <alignment horizontal="center" vertical="center"/>
    </xf>
    <xf numFmtId="0" fontId="2" fillId="0" borderId="0" xfId="0" applyFont="1" applyAlignment="1" applyProtection="1">
      <alignment horizontal="center"/>
      <protection locked="0"/>
    </xf>
    <xf numFmtId="0" fontId="3" fillId="0" borderId="0" xfId="0" applyFont="1" applyAlignment="1">
      <alignment horizontal="left"/>
    </xf>
    <xf numFmtId="0" fontId="3" fillId="9" borderId="0" xfId="0" applyFont="1" applyFill="1" applyAlignment="1">
      <alignment horizontal="left"/>
    </xf>
    <xf numFmtId="0" fontId="3" fillId="9" borderId="0" xfId="0" applyFont="1" applyFill="1"/>
    <xf numFmtId="164" fontId="0" fillId="0" borderId="0" xfId="1" applyNumberFormat="1" applyFont="1" applyFill="1" applyBorder="1" applyAlignment="1" applyProtection="1">
      <alignment horizontal="center"/>
    </xf>
    <xf numFmtId="9" fontId="4" fillId="0" borderId="0" xfId="1" applyFont="1" applyFill="1" applyBorder="1" applyAlignment="1" applyProtection="1">
      <alignment horizontal="center" vertical="center" wrapText="1"/>
    </xf>
    <xf numFmtId="4" fontId="0" fillId="0" borderId="0" xfId="0" applyNumberFormat="1" applyAlignment="1" applyProtection="1">
      <alignment horizontal="center"/>
      <protection locked="0"/>
    </xf>
    <xf numFmtId="4" fontId="4" fillId="0" borderId="0" xfId="0" applyNumberFormat="1" applyFont="1" applyAlignment="1">
      <alignment horizontal="center" vertical="center" wrapText="1"/>
    </xf>
    <xf numFmtId="4" fontId="5" fillId="0" borderId="0" xfId="0" applyNumberFormat="1" applyFont="1" applyAlignment="1">
      <alignment horizontal="center" vertical="center"/>
    </xf>
    <xf numFmtId="4" fontId="5" fillId="0" borderId="0" xfId="2" applyNumberFormat="1" applyFont="1" applyFill="1" applyBorder="1" applyAlignment="1" applyProtection="1">
      <alignment horizontal="center" vertical="center"/>
    </xf>
    <xf numFmtId="4" fontId="4" fillId="0" borderId="0" xfId="0" applyNumberFormat="1" applyFont="1" applyAlignment="1">
      <alignment horizontal="center" vertical="center"/>
    </xf>
    <xf numFmtId="4" fontId="22" fillId="0" borderId="0" xfId="2" applyNumberFormat="1" applyFont="1" applyFill="1" applyBorder="1" applyAlignment="1" applyProtection="1">
      <alignment horizontal="center" vertical="center"/>
    </xf>
    <xf numFmtId="10" fontId="22" fillId="0" borderId="0" xfId="1" applyNumberFormat="1" applyFont="1" applyFill="1" applyBorder="1" applyAlignment="1" applyProtection="1">
      <alignment horizontal="center" vertical="center" wrapText="1"/>
    </xf>
    <xf numFmtId="10" fontId="5" fillId="0" borderId="0" xfId="1" applyNumberFormat="1" applyFont="1" applyAlignment="1">
      <alignment horizontal="center" vertical="center"/>
    </xf>
    <xf numFmtId="4" fontId="17" fillId="7" borderId="0" xfId="0" applyNumberFormat="1" applyFont="1" applyFill="1" applyAlignment="1">
      <alignment horizontal="center" vertical="center"/>
    </xf>
    <xf numFmtId="4" fontId="6" fillId="7" borderId="0" xfId="0" applyNumberFormat="1" applyFont="1" applyFill="1" applyAlignment="1">
      <alignment horizontal="center" vertical="center"/>
    </xf>
    <xf numFmtId="10" fontId="4" fillId="0" borderId="0" xfId="1" applyNumberFormat="1" applyFont="1" applyFill="1" applyBorder="1" applyAlignment="1" applyProtection="1">
      <alignment horizontal="center" vertical="center" wrapText="1"/>
    </xf>
    <xf numFmtId="10" fontId="4" fillId="0" borderId="0" xfId="1" applyNumberFormat="1" applyFont="1" applyAlignment="1">
      <alignment horizontal="center" vertical="center"/>
    </xf>
    <xf numFmtId="10" fontId="3" fillId="7" borderId="0" xfId="1" applyNumberFormat="1" applyFont="1" applyFill="1" applyAlignment="1">
      <alignment horizontal="center" vertical="center"/>
    </xf>
    <xf numFmtId="10" fontId="16" fillId="7" borderId="0" xfId="1" applyNumberFormat="1" applyFont="1" applyFill="1" applyAlignment="1">
      <alignment horizontal="center" vertical="center"/>
    </xf>
    <xf numFmtId="43" fontId="22" fillId="0" borderId="0" xfId="2" applyFont="1" applyBorder="1" applyAlignment="1" applyProtection="1">
      <alignment horizontal="center"/>
      <protection locked="0"/>
    </xf>
    <xf numFmtId="43" fontId="27" fillId="0" borderId="0" xfId="2" applyFont="1" applyBorder="1" applyAlignment="1" applyProtection="1">
      <alignment horizontal="center"/>
      <protection locked="0"/>
    </xf>
    <xf numFmtId="43" fontId="16" fillId="13" borderId="0" xfId="0" applyNumberFormat="1" applyFont="1" applyFill="1" applyAlignment="1">
      <alignment horizontal="center" vertical="center" wrapText="1"/>
    </xf>
    <xf numFmtId="43" fontId="4" fillId="0" borderId="0" xfId="2" applyFont="1" applyBorder="1" applyAlignment="1" applyProtection="1">
      <alignment horizontal="center" vertical="center"/>
      <protection locked="0"/>
    </xf>
    <xf numFmtId="43" fontId="12" fillId="7" borderId="0" xfId="2" applyFont="1" applyFill="1" applyBorder="1" applyAlignment="1" applyProtection="1">
      <alignment horizontal="center"/>
    </xf>
    <xf numFmtId="43" fontId="17" fillId="7" borderId="0" xfId="2" applyFont="1" applyFill="1" applyBorder="1" applyAlignment="1" applyProtection="1">
      <alignment horizontal="center"/>
    </xf>
    <xf numFmtId="4" fontId="4" fillId="0" borderId="0" xfId="2" applyNumberFormat="1" applyFont="1" applyBorder="1" applyAlignment="1" applyProtection="1">
      <alignment horizontal="center"/>
      <protection locked="0"/>
    </xf>
    <xf numFmtId="4" fontId="12" fillId="7" borderId="0" xfId="0" applyNumberFormat="1" applyFont="1" applyFill="1" applyAlignment="1" applyProtection="1">
      <alignment horizontal="center" vertical="center"/>
      <protection locked="0"/>
    </xf>
    <xf numFmtId="4" fontId="12" fillId="13" borderId="0" xfId="0" applyNumberFormat="1" applyFont="1" applyFill="1" applyAlignment="1" applyProtection="1">
      <alignment horizontal="center" vertical="center"/>
      <protection locked="0"/>
    </xf>
    <xf numFmtId="43" fontId="12" fillId="7" borderId="0" xfId="0" applyNumberFormat="1" applyFont="1" applyFill="1" applyAlignment="1" applyProtection="1">
      <alignment horizontal="center" vertical="center"/>
      <protection locked="0"/>
    </xf>
    <xf numFmtId="4" fontId="16" fillId="0" borderId="0" xfId="0" applyNumberFormat="1" applyFont="1" applyAlignment="1">
      <alignment horizontal="center" vertical="center"/>
    </xf>
    <xf numFmtId="10" fontId="6" fillId="7" borderId="7" xfId="1" applyNumberFormat="1" applyFont="1" applyFill="1" applyBorder="1" applyAlignment="1" applyProtection="1">
      <alignment horizontal="center" vertical="center"/>
    </xf>
    <xf numFmtId="10" fontId="6" fillId="7" borderId="8" xfId="1" applyNumberFormat="1" applyFont="1" applyFill="1" applyBorder="1" applyAlignment="1" applyProtection="1">
      <alignment horizontal="center" vertical="center"/>
    </xf>
    <xf numFmtId="4" fontId="17" fillId="7" borderId="7" xfId="0" applyNumberFormat="1" applyFont="1" applyFill="1" applyBorder="1" applyAlignment="1">
      <alignment horizontal="center" vertical="center"/>
    </xf>
    <xf numFmtId="4" fontId="6" fillId="7" borderId="7" xfId="0" applyNumberFormat="1" applyFont="1" applyFill="1" applyBorder="1" applyAlignment="1">
      <alignment horizontal="center" vertical="center"/>
    </xf>
    <xf numFmtId="43" fontId="4" fillId="0" borderId="0" xfId="2" applyFont="1" applyBorder="1" applyAlignment="1" applyProtection="1">
      <alignment horizontal="right" vertical="center"/>
      <protection locked="0"/>
    </xf>
    <xf numFmtId="43" fontId="12" fillId="7" borderId="0" xfId="2" applyFont="1" applyFill="1" applyBorder="1" applyAlignment="1" applyProtection="1">
      <alignment vertical="center"/>
    </xf>
    <xf numFmtId="43" fontId="22" fillId="0" borderId="0" xfId="2" applyFont="1" applyBorder="1" applyAlignment="1" applyProtection="1">
      <alignment horizontal="center" vertical="center"/>
      <protection locked="0"/>
    </xf>
    <xf numFmtId="39" fontId="12" fillId="7" borderId="0" xfId="2" applyNumberFormat="1" applyFont="1" applyFill="1" applyBorder="1" applyAlignment="1" applyProtection="1">
      <alignment horizontal="right" vertical="center"/>
    </xf>
    <xf numFmtId="39" fontId="4" fillId="0" borderId="0" xfId="2" applyNumberFormat="1" applyFont="1" applyBorder="1" applyAlignment="1" applyProtection="1">
      <alignment horizontal="right" vertical="center"/>
      <protection locked="0"/>
    </xf>
    <xf numFmtId="39" fontId="12" fillId="7" borderId="0" xfId="2" applyNumberFormat="1" applyFont="1" applyFill="1" applyBorder="1" applyAlignment="1" applyProtection="1">
      <alignment vertical="center"/>
    </xf>
    <xf numFmtId="43" fontId="3" fillId="0" borderId="0" xfId="0" applyNumberFormat="1" applyFont="1" applyAlignment="1">
      <alignment horizontal="center" vertical="center"/>
    </xf>
    <xf numFmtId="0" fontId="3" fillId="13" borderId="0" xfId="0" applyFont="1" applyFill="1" applyAlignment="1">
      <alignment horizontal="left" vertical="center"/>
    </xf>
    <xf numFmtId="43" fontId="12" fillId="7" borderId="0" xfId="2" applyFont="1" applyFill="1" applyBorder="1" applyAlignment="1" applyProtection="1">
      <alignment horizontal="center" vertical="center"/>
    </xf>
    <xf numFmtId="4" fontId="4" fillId="0" borderId="0" xfId="2" applyNumberFormat="1" applyFont="1" applyBorder="1" applyAlignment="1" applyProtection="1">
      <alignment horizontal="right"/>
    </xf>
    <xf numFmtId="4" fontId="17" fillId="7" borderId="0" xfId="0" applyNumberFormat="1" applyFont="1" applyFill="1" applyAlignment="1">
      <alignment horizontal="right"/>
    </xf>
    <xf numFmtId="4" fontId="6" fillId="7" borderId="0" xfId="0" applyNumberFormat="1" applyFont="1" applyFill="1" applyAlignment="1">
      <alignment horizontal="right" vertical="center"/>
    </xf>
    <xf numFmtId="43" fontId="3" fillId="0" borderId="0" xfId="2" applyFont="1" applyBorder="1" applyAlignment="1" applyProtection="1">
      <alignment vertical="center"/>
    </xf>
    <xf numFmtId="43" fontId="6" fillId="7" borderId="0" xfId="0" applyNumberFormat="1" applyFont="1" applyFill="1" applyAlignment="1">
      <alignment vertical="center"/>
    </xf>
    <xf numFmtId="10" fontId="4" fillId="0" borderId="0" xfId="1" applyNumberFormat="1" applyFont="1" applyBorder="1" applyAlignment="1" applyProtection="1">
      <alignment horizontal="center"/>
    </xf>
    <xf numFmtId="4" fontId="19" fillId="0" borderId="0" xfId="0" applyNumberFormat="1" applyFont="1" applyAlignment="1">
      <alignment horizontal="center" vertical="center"/>
    </xf>
    <xf numFmtId="4" fontId="0" fillId="0" borderId="0" xfId="0" applyNumberFormat="1" applyAlignment="1">
      <alignment horizontal="center" vertical="center"/>
    </xf>
    <xf numFmtId="10" fontId="5" fillId="0" borderId="0" xfId="0" applyNumberFormat="1" applyFont="1" applyAlignment="1">
      <alignment horizontal="center" vertical="center"/>
    </xf>
    <xf numFmtId="43" fontId="6" fillId="7" borderId="0" xfId="2" applyFont="1" applyFill="1" applyAlignment="1">
      <alignment horizontal="right" vertical="center"/>
    </xf>
    <xf numFmtId="10" fontId="7" fillId="7" borderId="0" xfId="0" applyNumberFormat="1" applyFont="1" applyFill="1" applyAlignment="1">
      <alignment horizontal="center" vertical="center"/>
    </xf>
    <xf numFmtId="10" fontId="3" fillId="7" borderId="0" xfId="0" applyNumberFormat="1" applyFont="1" applyFill="1" applyAlignment="1">
      <alignment horizontal="center" vertical="center"/>
    </xf>
    <xf numFmtId="43" fontId="5" fillId="0" borderId="0" xfId="2" applyFont="1" applyFill="1" applyBorder="1" applyAlignment="1" applyProtection="1">
      <alignment horizontal="left" vertical="center" indent="1"/>
    </xf>
    <xf numFmtId="43" fontId="5" fillId="0" borderId="0" xfId="2" applyFont="1" applyFill="1" applyBorder="1" applyAlignment="1" applyProtection="1">
      <alignment horizontal="left" vertical="center"/>
    </xf>
    <xf numFmtId="43" fontId="17" fillId="7" borderId="0" xfId="2" applyFont="1" applyFill="1" applyBorder="1" applyAlignment="1" applyProtection="1">
      <alignment horizontal="left" vertical="center"/>
    </xf>
    <xf numFmtId="10" fontId="4" fillId="0" borderId="0" xfId="0" applyNumberFormat="1" applyFont="1" applyAlignment="1">
      <alignment horizontal="center" vertical="center"/>
    </xf>
    <xf numFmtId="43" fontId="4" fillId="0" borderId="0" xfId="2" applyFont="1" applyBorder="1" applyAlignment="1" applyProtection="1">
      <alignment vertical="center"/>
      <protection locked="0"/>
    </xf>
    <xf numFmtId="43" fontId="0" fillId="0" borderId="0" xfId="0" applyNumberFormat="1" applyAlignment="1">
      <alignment horizontal="right" vertical="center"/>
    </xf>
    <xf numFmtId="165" fontId="0" fillId="0" borderId="0" xfId="0" applyNumberFormat="1" applyAlignment="1">
      <alignment horizontal="right" vertical="center"/>
    </xf>
    <xf numFmtId="37" fontId="2" fillId="10" borderId="0" xfId="2" applyNumberFormat="1" applyFont="1" applyFill="1" applyBorder="1" applyAlignment="1" applyProtection="1">
      <alignment horizontal="right" vertical="center"/>
      <protection locked="0"/>
    </xf>
    <xf numFmtId="39" fontId="2" fillId="10" borderId="0" xfId="2" applyNumberFormat="1" applyFont="1" applyFill="1" applyBorder="1" applyAlignment="1" applyProtection="1">
      <alignment horizontal="right" vertical="center"/>
      <protection locked="0"/>
    </xf>
    <xf numFmtId="43" fontId="2" fillId="10" borderId="0" xfId="2" applyFont="1" applyFill="1" applyBorder="1" applyAlignment="1" applyProtection="1">
      <alignment horizontal="right" vertical="center"/>
      <protection locked="0"/>
    </xf>
    <xf numFmtId="0" fontId="21" fillId="0" borderId="0" xfId="0" applyFont="1" applyAlignment="1">
      <alignment wrapText="1"/>
    </xf>
    <xf numFmtId="10" fontId="0" fillId="0" borderId="0" xfId="1" applyNumberFormat="1" applyFont="1" applyFill="1" applyBorder="1" applyAlignment="1" applyProtection="1">
      <alignment horizontal="center" vertical="center"/>
    </xf>
    <xf numFmtId="10" fontId="16" fillId="7" borderId="0" xfId="1" applyNumberFormat="1" applyFont="1" applyFill="1" applyBorder="1" applyAlignment="1" applyProtection="1">
      <alignment horizontal="center" vertical="center"/>
    </xf>
    <xf numFmtId="0" fontId="3" fillId="5" borderId="0" xfId="0" applyFont="1" applyFill="1" applyAlignment="1">
      <alignment vertical="center"/>
    </xf>
    <xf numFmtId="0" fontId="10" fillId="0" borderId="0" xfId="0" applyFont="1"/>
    <xf numFmtId="165" fontId="34" fillId="0" borderId="0" xfId="0" applyNumberFormat="1" applyFont="1" applyAlignment="1" applyProtection="1">
      <alignment horizontal="center"/>
      <protection locked="0"/>
    </xf>
    <xf numFmtId="43" fontId="34" fillId="0" borderId="0" xfId="0" applyNumberFormat="1" applyFont="1" applyProtection="1">
      <protection locked="0"/>
    </xf>
    <xf numFmtId="0" fontId="34" fillId="0" borderId="0" xfId="0" applyFont="1" applyAlignment="1" applyProtection="1">
      <alignment horizontal="center"/>
      <protection locked="0"/>
    </xf>
    <xf numFmtId="0" fontId="26" fillId="0" borderId="0" xfId="0" applyFont="1" applyProtection="1">
      <protection locked="0"/>
    </xf>
    <xf numFmtId="43" fontId="26" fillId="0" borderId="0" xfId="0" applyNumberFormat="1" applyFont="1" applyProtection="1">
      <protection locked="0"/>
    </xf>
    <xf numFmtId="4" fontId="0" fillId="0" borderId="0" xfId="0" applyNumberFormat="1" applyAlignment="1">
      <alignment horizontal="right" vertical="center"/>
    </xf>
    <xf numFmtId="4" fontId="0" fillId="0" borderId="0" xfId="0" applyNumberFormat="1" applyAlignment="1">
      <alignment horizontal="right"/>
    </xf>
    <xf numFmtId="4" fontId="5" fillId="0" borderId="0" xfId="0" applyNumberFormat="1" applyFont="1" applyAlignment="1">
      <alignment horizontal="right" vertical="center"/>
    </xf>
    <xf numFmtId="3" fontId="4" fillId="0" borderId="0" xfId="2" applyNumberFormat="1" applyFont="1" applyBorder="1" applyAlignment="1" applyProtection="1">
      <alignment horizontal="center"/>
    </xf>
    <xf numFmtId="39" fontId="4" fillId="0" borderId="0" xfId="2" applyNumberFormat="1" applyFont="1" applyBorder="1" applyAlignment="1" applyProtection="1">
      <alignment horizontal="right" vertical="center"/>
    </xf>
    <xf numFmtId="37" fontId="4" fillId="0" borderId="0" xfId="2" applyNumberFormat="1" applyFont="1" applyBorder="1" applyAlignment="1" applyProtection="1">
      <alignment horizontal="center"/>
    </xf>
    <xf numFmtId="43" fontId="4" fillId="0" borderId="0" xfId="2" applyFont="1" applyBorder="1" applyAlignment="1" applyProtection="1">
      <alignment horizontal="right"/>
    </xf>
    <xf numFmtId="0" fontId="4" fillId="0" borderId="0" xfId="0" applyFont="1" applyAlignment="1" applyProtection="1">
      <alignment horizontal="center"/>
      <protection locked="0"/>
    </xf>
    <xf numFmtId="40" fontId="4" fillId="0" borderId="0" xfId="2" applyNumberFormat="1" applyFont="1" applyFill="1" applyBorder="1" applyAlignment="1" applyProtection="1">
      <protection locked="0"/>
    </xf>
    <xf numFmtId="3" fontId="36" fillId="0" borderId="4" xfId="0" applyNumberFormat="1" applyFont="1" applyBorder="1" applyAlignment="1">
      <alignment horizontal="center" vertical="top"/>
    </xf>
    <xf numFmtId="10" fontId="36" fillId="0" borderId="0" xfId="1" applyNumberFormat="1" applyFont="1" applyBorder="1" applyAlignment="1" applyProtection="1">
      <alignment horizontal="center" vertical="top"/>
    </xf>
    <xf numFmtId="4" fontId="36" fillId="0" borderId="0" xfId="0" applyNumberFormat="1" applyFont="1" applyAlignment="1">
      <alignment vertical="top"/>
    </xf>
    <xf numFmtId="10" fontId="4" fillId="0" borderId="5" xfId="1" applyNumberFormat="1" applyFont="1" applyBorder="1" applyAlignment="1" applyProtection="1">
      <alignment horizontal="center"/>
    </xf>
    <xf numFmtId="10" fontId="0" fillId="0" borderId="0" xfId="1" applyNumberFormat="1" applyFont="1" applyFill="1" applyAlignment="1" applyProtection="1">
      <alignment horizontal="center" vertical="center"/>
      <protection locked="0"/>
    </xf>
    <xf numFmtId="0" fontId="37" fillId="0" borderId="0" xfId="0" applyFont="1" applyAlignment="1">
      <alignment horizontal="center"/>
    </xf>
    <xf numFmtId="43" fontId="17" fillId="7" borderId="0" xfId="2" applyFont="1" applyFill="1" applyAlignment="1">
      <alignment horizontal="center" vertical="center"/>
    </xf>
    <xf numFmtId="43" fontId="4" fillId="0" borderId="0" xfId="2" applyFont="1" applyAlignment="1" applyProtection="1">
      <alignment horizontal="center" vertical="center"/>
    </xf>
    <xf numFmtId="43" fontId="3" fillId="0" borderId="0" xfId="2" applyFont="1" applyAlignment="1" applyProtection="1">
      <alignment horizontal="center" vertical="center"/>
    </xf>
    <xf numFmtId="9" fontId="3" fillId="9" borderId="0" xfId="1" applyFont="1" applyFill="1" applyAlignment="1" applyProtection="1">
      <alignment vertical="center"/>
    </xf>
    <xf numFmtId="0" fontId="3" fillId="0" borderId="0" xfId="0" applyFont="1" applyAlignment="1">
      <alignment horizontal="right" vertical="center" wrapText="1"/>
    </xf>
    <xf numFmtId="0" fontId="3" fillId="0" borderId="0" xfId="0" applyFont="1" applyAlignment="1">
      <alignment horizontal="right" vertical="center"/>
    </xf>
    <xf numFmtId="10" fontId="17" fillId="7" borderId="0" xfId="1" applyNumberFormat="1" applyFont="1" applyFill="1" applyBorder="1" applyAlignment="1" applyProtection="1">
      <alignment horizontal="center" vertical="center"/>
    </xf>
    <xf numFmtId="43" fontId="37" fillId="0" borderId="0" xfId="2" applyFont="1" applyAlignment="1" applyProtection="1">
      <alignment horizontal="center" vertical="center"/>
    </xf>
    <xf numFmtId="165" fontId="24" fillId="13" borderId="0" xfId="0" applyNumberFormat="1" applyFont="1" applyFill="1" applyAlignment="1">
      <alignment horizontal="center"/>
    </xf>
    <xf numFmtId="37" fontId="35" fillId="0" borderId="0" xfId="2" applyNumberFormat="1" applyFont="1" applyFill="1" applyBorder="1" applyAlignment="1" applyProtection="1">
      <alignment horizontal="right"/>
    </xf>
    <xf numFmtId="43" fontId="35" fillId="0" borderId="0" xfId="2" applyFont="1" applyFill="1" applyBorder="1" applyAlignment="1" applyProtection="1">
      <alignment horizontal="right"/>
    </xf>
    <xf numFmtId="37" fontId="35" fillId="0" borderId="0" xfId="2" applyNumberFormat="1" applyFont="1" applyFill="1" applyBorder="1" applyAlignment="1" applyProtection="1">
      <alignment horizontal="right" vertical="center"/>
    </xf>
    <xf numFmtId="165" fontId="3" fillId="0" borderId="0" xfId="2" applyNumberFormat="1" applyFont="1" applyFill="1" applyBorder="1" applyAlignment="1" applyProtection="1">
      <alignment horizontal="right"/>
    </xf>
    <xf numFmtId="165" fontId="3" fillId="0" borderId="0" xfId="2" applyNumberFormat="1" applyFont="1" applyFill="1" applyBorder="1" applyAlignment="1" applyProtection="1">
      <alignment horizontal="right" vertical="center"/>
    </xf>
    <xf numFmtId="43" fontId="3" fillId="0" borderId="0" xfId="2" applyFont="1" applyFill="1" applyBorder="1" applyAlignment="1" applyProtection="1">
      <alignment horizontal="right"/>
    </xf>
    <xf numFmtId="43" fontId="16" fillId="0" borderId="0" xfId="2" applyFont="1" applyFill="1" applyBorder="1" applyAlignment="1" applyProtection="1">
      <alignment horizontal="right"/>
    </xf>
    <xf numFmtId="4" fontId="12" fillId="7" borderId="0" xfId="0" applyNumberFormat="1" applyFont="1" applyFill="1" applyAlignment="1">
      <alignment horizontal="right" vertical="center"/>
    </xf>
    <xf numFmtId="4" fontId="12" fillId="7" borderId="0" xfId="0" applyNumberFormat="1" applyFont="1" applyFill="1" applyAlignment="1" applyProtection="1">
      <alignment horizontal="right" vertical="center"/>
      <protection locked="0"/>
    </xf>
    <xf numFmtId="3" fontId="12" fillId="7" borderId="0" xfId="0" applyNumberFormat="1" applyFont="1" applyFill="1" applyAlignment="1" applyProtection="1">
      <alignment horizontal="right" vertical="center"/>
      <protection locked="0"/>
    </xf>
    <xf numFmtId="3" fontId="4" fillId="0" borderId="0" xfId="2" applyNumberFormat="1" applyFont="1" applyBorder="1" applyAlignment="1" applyProtection="1">
      <alignment horizontal="right"/>
    </xf>
    <xf numFmtId="37" fontId="4" fillId="0" borderId="0" xfId="2" applyNumberFormat="1" applyFont="1" applyBorder="1" applyAlignment="1" applyProtection="1">
      <alignment horizontal="right" vertical="center"/>
    </xf>
    <xf numFmtId="37" fontId="4" fillId="0" borderId="0" xfId="2" applyNumberFormat="1" applyFont="1" applyBorder="1" applyAlignment="1" applyProtection="1">
      <alignment horizontal="right"/>
    </xf>
    <xf numFmtId="165" fontId="4" fillId="0" borderId="0" xfId="2" applyNumberFormat="1" applyFont="1" applyBorder="1" applyAlignment="1" applyProtection="1">
      <alignment horizontal="right"/>
    </xf>
    <xf numFmtId="165" fontId="6" fillId="7" borderId="0" xfId="0" applyNumberFormat="1" applyFont="1" applyFill="1" applyAlignment="1">
      <alignment horizontal="right" vertical="center"/>
    </xf>
    <xf numFmtId="9" fontId="6" fillId="7" borderId="7" xfId="1" applyFont="1" applyFill="1" applyBorder="1" applyAlignment="1">
      <alignment horizontal="center" vertical="center"/>
    </xf>
    <xf numFmtId="165" fontId="4" fillId="0" borderId="0" xfId="2" applyNumberFormat="1" applyFont="1" applyBorder="1" applyAlignment="1" applyProtection="1">
      <alignment vertical="center"/>
      <protection locked="0"/>
    </xf>
    <xf numFmtId="165" fontId="4" fillId="0" borderId="0" xfId="2" applyNumberFormat="1" applyFont="1" applyBorder="1" applyAlignment="1" applyProtection="1">
      <alignment horizontal="right" vertical="center"/>
      <protection locked="0"/>
    </xf>
    <xf numFmtId="0" fontId="32" fillId="13" borderId="0" xfId="0" applyFont="1" applyFill="1" applyAlignment="1">
      <alignment horizontal="left" vertical="center" wrapText="1"/>
    </xf>
    <xf numFmtId="0" fontId="31" fillId="13" borderId="0" xfId="0" applyFont="1" applyFill="1" applyAlignment="1">
      <alignment horizontal="left" vertical="center" wrapText="1"/>
    </xf>
    <xf numFmtId="0" fontId="3" fillId="5" borderId="0" xfId="0" applyFont="1" applyFill="1" applyAlignment="1" applyProtection="1">
      <alignment horizontal="center" vertical="center" wrapText="1"/>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5" borderId="0" xfId="0" applyFont="1" applyFill="1" applyAlignment="1">
      <alignment horizontal="center" vertical="center" wrapText="1"/>
    </xf>
    <xf numFmtId="0" fontId="14" fillId="0" borderId="0" xfId="0" applyFont="1" applyAlignment="1">
      <alignment horizontal="left" vertical="center" wrapText="1"/>
    </xf>
    <xf numFmtId="0" fontId="13" fillId="0" borderId="0" xfId="0" applyFont="1" applyAlignment="1" applyProtection="1">
      <alignment horizontal="center"/>
      <protection locked="0"/>
    </xf>
    <xf numFmtId="0" fontId="2" fillId="5" borderId="0" xfId="0" applyFont="1" applyFill="1" applyAlignment="1">
      <alignment horizontal="center"/>
    </xf>
    <xf numFmtId="0" fontId="14"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horizontal="left"/>
    </xf>
    <xf numFmtId="0" fontId="3" fillId="5" borderId="0" xfId="0" applyFont="1" applyFill="1" applyAlignment="1">
      <alignment horizontal="left" vertical="center" wrapText="1"/>
    </xf>
    <xf numFmtId="0" fontId="0" fillId="0" borderId="0" xfId="0" applyAlignment="1" applyProtection="1">
      <alignment horizontal="center"/>
      <protection locked="0"/>
    </xf>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2" fillId="11" borderId="0" xfId="0" applyFont="1" applyFill="1" applyAlignment="1">
      <alignment horizontal="center"/>
    </xf>
    <xf numFmtId="0" fontId="2" fillId="11" borderId="0" xfId="0" applyFont="1" applyFill="1" applyAlignment="1">
      <alignment horizontal="center" vertical="center" wrapText="1"/>
    </xf>
    <xf numFmtId="0" fontId="2" fillId="2" borderId="0" xfId="0" applyFont="1" applyFill="1" applyAlignment="1">
      <alignment horizontal="center" wrapText="1"/>
    </xf>
    <xf numFmtId="0" fontId="2" fillId="14" borderId="0" xfId="0" applyFont="1" applyFill="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15" borderId="0" xfId="0" applyFont="1" applyFill="1" applyAlignment="1">
      <alignment horizontal="center" vertical="center" wrapText="1"/>
    </xf>
    <xf numFmtId="0" fontId="2" fillId="3" borderId="0" xfId="0" applyFont="1" applyFill="1" applyAlignment="1">
      <alignment horizontal="center" wrapText="1"/>
    </xf>
    <xf numFmtId="3" fontId="3" fillId="5" borderId="0" xfId="0" applyNumberFormat="1" applyFont="1" applyFill="1" applyAlignment="1">
      <alignment horizontal="center" vertical="center" wrapText="1"/>
    </xf>
    <xf numFmtId="165" fontId="4" fillId="0" borderId="0" xfId="0" applyNumberFormat="1" applyFont="1" applyAlignment="1" applyProtection="1">
      <alignment horizontal="center" vertical="center"/>
      <protection locked="0"/>
    </xf>
    <xf numFmtId="3" fontId="12" fillId="7" borderId="0" xfId="0" applyNumberFormat="1" applyFont="1" applyFill="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0" fontId="13" fillId="5" borderId="0" xfId="0" applyFont="1" applyFill="1" applyAlignment="1">
      <alignment horizontal="center" vertical="center" wrapText="1"/>
    </xf>
    <xf numFmtId="0" fontId="3" fillId="5" borderId="0" xfId="0" applyFont="1" applyFill="1" applyAlignment="1">
      <alignment horizontal="center" vertical="center"/>
    </xf>
    <xf numFmtId="0" fontId="3" fillId="6" borderId="1"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2" fillId="0" borderId="0" xfId="0" applyFont="1" applyAlignment="1">
      <alignment horizontal="center"/>
    </xf>
    <xf numFmtId="0" fontId="14" fillId="0" borderId="0" xfId="0" applyFont="1" applyAlignment="1">
      <alignment horizontal="left" vertical="top" wrapText="1"/>
    </xf>
    <xf numFmtId="0" fontId="3" fillId="3" borderId="0" xfId="0" applyFont="1" applyFill="1" applyAlignment="1">
      <alignment horizontal="center"/>
    </xf>
    <xf numFmtId="0" fontId="3" fillId="2" borderId="0" xfId="0" applyFont="1" applyFill="1" applyAlignment="1">
      <alignment horizontal="center"/>
    </xf>
    <xf numFmtId="0" fontId="3" fillId="11" borderId="0" xfId="0" applyFont="1" applyFill="1" applyAlignment="1">
      <alignment horizontal="center"/>
    </xf>
    <xf numFmtId="0" fontId="3" fillId="5" borderId="0" xfId="0" applyFont="1" applyFill="1" applyAlignment="1">
      <alignment horizontal="center"/>
    </xf>
    <xf numFmtId="0" fontId="3" fillId="4" borderId="0" xfId="0" applyFont="1" applyFill="1" applyAlignment="1">
      <alignment horizontal="center"/>
    </xf>
    <xf numFmtId="0" fontId="3" fillId="16" borderId="0" xfId="0" applyFont="1" applyFill="1" applyAlignment="1">
      <alignment horizontal="center"/>
    </xf>
    <xf numFmtId="0" fontId="3" fillId="17" borderId="0" xfId="0" applyFont="1" applyFill="1" applyAlignment="1">
      <alignment horizontal="center"/>
    </xf>
    <xf numFmtId="0" fontId="3" fillId="18" borderId="0" xfId="0" applyFont="1" applyFill="1" applyAlignment="1">
      <alignment horizontal="center"/>
    </xf>
    <xf numFmtId="0" fontId="10" fillId="0" borderId="0" xfId="0" applyFont="1" applyAlignment="1">
      <alignment horizontal="center"/>
    </xf>
    <xf numFmtId="0" fontId="21" fillId="0" borderId="0" xfId="0" applyFont="1" applyAlignment="1">
      <alignment horizontal="left" wrapText="1"/>
    </xf>
    <xf numFmtId="0" fontId="10" fillId="0" borderId="0" xfId="0" applyFont="1" applyAlignment="1" applyProtection="1">
      <alignment horizontal="center"/>
      <protection locked="0"/>
    </xf>
    <xf numFmtId="10" fontId="26" fillId="0" borderId="0" xfId="1" applyNumberFormat="1" applyFont="1" applyFill="1" applyAlignment="1" applyProtection="1">
      <alignment horizontal="center" vertical="center"/>
      <protection locked="0"/>
    </xf>
    <xf numFmtId="0" fontId="26" fillId="0" borderId="0" xfId="0" applyFont="1" applyFill="1" applyProtection="1">
      <protection locked="0"/>
    </xf>
  </cellXfs>
  <cellStyles count="4">
    <cellStyle name="Comma" xfId="2" builtinId="3"/>
    <cellStyle name="Normal" xfId="0" builtinId="0"/>
    <cellStyle name="Normal 2" xfId="3" xr:uid="{00000000-0005-0000-0000-000002000000}"/>
    <cellStyle name="Percent" xfId="1" builtinId="5"/>
  </cellStyles>
  <dxfs count="0"/>
  <tableStyles count="1" defaultTableStyle="TableStyleMedium2" defaultPivotStyle="PivotStyleLight16">
    <tableStyle name="Invisible" pivot="0" table="0" count="0" xr9:uid="{EB55D738-EBA8-42B6-A2D2-EFAB11F34F90}"/>
  </tableStyles>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615130463804834"/>
          <c:y val="5.1400554097404488E-2"/>
          <c:w val="0.74836611939844222"/>
          <c:h val="0.72112459900845727"/>
        </c:manualLayout>
      </c:layout>
      <c:barChart>
        <c:barDir val="col"/>
        <c:grouping val="clustered"/>
        <c:varyColors val="0"/>
        <c:ser>
          <c:idx val="0"/>
          <c:order val="0"/>
          <c:tx>
            <c:v>Programado</c:v>
          </c:tx>
          <c:spPr>
            <a:solidFill>
              <a:schemeClr val="accent3">
                <a:lumMod val="60000"/>
                <a:lumOff val="40000"/>
              </a:schemeClr>
            </a:solidFill>
            <a:ln>
              <a:solidFill>
                <a:schemeClr val="accent3">
                  <a:lumMod val="60000"/>
                  <a:lumOff val="40000"/>
                </a:schemeClr>
              </a:solidFill>
            </a:ln>
          </c:spPr>
          <c:invertIfNegative val="0"/>
          <c:dPt>
            <c:idx val="0"/>
            <c:invertIfNegative val="0"/>
            <c:bubble3D val="0"/>
            <c:extLst>
              <c:ext xmlns:c16="http://schemas.microsoft.com/office/drawing/2014/chart" uri="{C3380CC4-5D6E-409C-BE32-E72D297353CC}">
                <c16:uniqueId val="{00000000-AEF6-4BD7-9E37-17072C6B37A1}"/>
              </c:ext>
            </c:extLst>
          </c:dPt>
          <c:dLbls>
            <c:spPr>
              <a:noFill/>
              <a:ln>
                <a:noFill/>
              </a:ln>
              <a:effectLst/>
            </c:spPr>
            <c:txPr>
              <a:bodyPr rot="-5400000" vert="horz"/>
              <a:lstStyle/>
              <a:p>
                <a:pPr>
                  <a:defRPr sz="1050"/>
                </a:pPr>
                <a:endParaRPr lang="es-D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Adm.'!$A$9:$A$12</c:f>
              <c:strCache>
                <c:ptCount val="3"/>
                <c:pt idx="0">
                  <c:v>Marzo </c:v>
                </c:pt>
                <c:pt idx="1">
                  <c:v>Febrero</c:v>
                </c:pt>
                <c:pt idx="2">
                  <c:v>Enero </c:v>
                </c:pt>
              </c:strCache>
            </c:strRef>
          </c:cat>
          <c:val>
            <c:numRef>
              <c:f>'Presupuesto Adm.'!$B$9:$B$12</c:f>
              <c:numCache>
                <c:formatCode>#,##0.00</c:formatCode>
                <c:ptCount val="3"/>
                <c:pt idx="0">
                  <c:v>38460380.950000003</c:v>
                </c:pt>
                <c:pt idx="1">
                  <c:v>39285380.950000003</c:v>
                </c:pt>
                <c:pt idx="2">
                  <c:v>38460380.950000003</c:v>
                </c:pt>
              </c:numCache>
            </c:numRef>
          </c:val>
          <c:extLst>
            <c:ext xmlns:c16="http://schemas.microsoft.com/office/drawing/2014/chart" uri="{C3380CC4-5D6E-409C-BE32-E72D297353CC}">
              <c16:uniqueId val="{00000004-B26F-49E2-B71B-8A084CE8A512}"/>
            </c:ext>
          </c:extLst>
        </c:ser>
        <c:ser>
          <c:idx val="1"/>
          <c:order val="1"/>
          <c:tx>
            <c:v>Ejecutado</c:v>
          </c:tx>
          <c:spPr>
            <a:solidFill>
              <a:schemeClr val="bg1">
                <a:lumMod val="75000"/>
              </a:schemeClr>
            </a:solidFill>
          </c:spPr>
          <c:invertIfNegative val="0"/>
          <c:dLbls>
            <c:spPr>
              <a:noFill/>
              <a:ln>
                <a:noFill/>
              </a:ln>
              <a:effectLst/>
            </c:spPr>
            <c:txPr>
              <a:bodyPr rot="-5400000" vert="horz"/>
              <a:lstStyle/>
              <a:p>
                <a:pPr>
                  <a:defRPr sz="1050" b="0"/>
                </a:pPr>
                <a:endParaRPr lang="es-D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Adm.'!$A$9:$A$12</c:f>
              <c:strCache>
                <c:ptCount val="3"/>
                <c:pt idx="0">
                  <c:v>Marzo </c:v>
                </c:pt>
                <c:pt idx="1">
                  <c:v>Febrero</c:v>
                </c:pt>
                <c:pt idx="2">
                  <c:v>Enero </c:v>
                </c:pt>
              </c:strCache>
            </c:strRef>
          </c:cat>
          <c:val>
            <c:numRef>
              <c:f>'Presupuesto Adm.'!$C$9:$C$12</c:f>
              <c:numCache>
                <c:formatCode>#,##0.00</c:formatCode>
                <c:ptCount val="3"/>
                <c:pt idx="0">
                  <c:v>36835984.170000002</c:v>
                </c:pt>
                <c:pt idx="1">
                  <c:v>35921046.909999996</c:v>
                </c:pt>
                <c:pt idx="2">
                  <c:v>37191958.969999999</c:v>
                </c:pt>
              </c:numCache>
            </c:numRef>
          </c:val>
          <c:extLst>
            <c:ext xmlns:c16="http://schemas.microsoft.com/office/drawing/2014/chart" uri="{C3380CC4-5D6E-409C-BE32-E72D297353CC}">
              <c16:uniqueId val="{00000008-B26F-49E2-B71B-8A084CE8A512}"/>
            </c:ext>
          </c:extLst>
        </c:ser>
        <c:dLbls>
          <c:showLegendKey val="0"/>
          <c:showVal val="1"/>
          <c:showCatName val="0"/>
          <c:showSerName val="0"/>
          <c:showPercent val="0"/>
          <c:showBubbleSize val="0"/>
        </c:dLbls>
        <c:gapWidth val="75"/>
        <c:axId val="1578264528"/>
        <c:axId val="1578266160"/>
      </c:barChart>
      <c:lineChart>
        <c:grouping val="standard"/>
        <c:varyColors val="0"/>
        <c:ser>
          <c:idx val="2"/>
          <c:order val="2"/>
          <c:tx>
            <c:strRef>
              <c:f>'Presupuesto Adm.'!$D$8</c:f>
              <c:strCache>
                <c:ptCount val="1"/>
                <c:pt idx="0">
                  <c:v>Relativo</c:v>
                </c:pt>
              </c:strCache>
            </c:strRef>
          </c:tx>
          <c:spPr>
            <a:ln>
              <a:solidFill>
                <a:schemeClr val="tx2">
                  <a:lumMod val="60000"/>
                  <a:lumOff val="40000"/>
                </a:schemeClr>
              </a:solidFill>
            </a:ln>
          </c:spPr>
          <c:marker>
            <c:spPr>
              <a:solidFill>
                <a:schemeClr val="tx2">
                  <a:lumMod val="60000"/>
                  <a:lumOff val="40000"/>
                </a:schemeClr>
              </a:solidFill>
              <a:ln>
                <a:solidFill>
                  <a:schemeClr val="accent5">
                    <a:lumMod val="75000"/>
                  </a:schemeClr>
                </a:solidFill>
              </a:ln>
            </c:spPr>
          </c:marker>
          <c:dLbls>
            <c:spPr>
              <a:noFill/>
              <a:ln>
                <a:noFill/>
              </a:ln>
              <a:effectLst/>
            </c:spPr>
            <c:txPr>
              <a:bodyPr wrap="square" lIns="38100" tIns="19050" rIns="38100" bIns="19050" anchor="ctr">
                <a:spAutoFit/>
              </a:bodyPr>
              <a:lstStyle/>
              <a:p>
                <a:pPr>
                  <a:defRPr sz="1050" b="1"/>
                </a:pPr>
                <a:endParaRPr lang="es-D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Adm.'!$A$9:$A$12</c:f>
              <c:strCache>
                <c:ptCount val="3"/>
                <c:pt idx="0">
                  <c:v>Marzo </c:v>
                </c:pt>
                <c:pt idx="1">
                  <c:v>Febrero</c:v>
                </c:pt>
                <c:pt idx="2">
                  <c:v>Enero </c:v>
                </c:pt>
              </c:strCache>
            </c:strRef>
          </c:cat>
          <c:val>
            <c:numRef>
              <c:f>'Presupuesto Adm.'!$D$9:$D$12</c:f>
              <c:numCache>
                <c:formatCode>0.00%</c:formatCode>
                <c:ptCount val="3"/>
                <c:pt idx="0">
                  <c:v>0.95776441262732737</c:v>
                </c:pt>
                <c:pt idx="1">
                  <c:v>0.9143616796211822</c:v>
                </c:pt>
                <c:pt idx="2">
                  <c:v>0.96702003597808861</c:v>
                </c:pt>
              </c:numCache>
            </c:numRef>
          </c:val>
          <c:smooth val="0"/>
          <c:extLst>
            <c:ext xmlns:c16="http://schemas.microsoft.com/office/drawing/2014/chart" uri="{C3380CC4-5D6E-409C-BE32-E72D297353CC}">
              <c16:uniqueId val="{00000009-B26F-49E2-B71B-8A084CE8A512}"/>
            </c:ext>
          </c:extLst>
        </c:ser>
        <c:dLbls>
          <c:showLegendKey val="0"/>
          <c:showVal val="1"/>
          <c:showCatName val="0"/>
          <c:showSerName val="0"/>
          <c:showPercent val="0"/>
          <c:showBubbleSize val="0"/>
        </c:dLbls>
        <c:marker val="1"/>
        <c:smooth val="0"/>
        <c:axId val="1578270512"/>
        <c:axId val="1578269424"/>
      </c:lineChart>
      <c:catAx>
        <c:axId val="1578264528"/>
        <c:scaling>
          <c:orientation val="minMax"/>
        </c:scaling>
        <c:delete val="0"/>
        <c:axPos val="b"/>
        <c:numFmt formatCode="General" sourceLinked="0"/>
        <c:majorTickMark val="none"/>
        <c:minorTickMark val="none"/>
        <c:tickLblPos val="nextTo"/>
        <c:crossAx val="1578266160"/>
        <c:crosses val="autoZero"/>
        <c:auto val="1"/>
        <c:lblAlgn val="ctr"/>
        <c:lblOffset val="100"/>
        <c:noMultiLvlLbl val="0"/>
      </c:catAx>
      <c:valAx>
        <c:axId val="1578266160"/>
        <c:scaling>
          <c:orientation val="minMax"/>
          <c:max val="90000000"/>
        </c:scaling>
        <c:delete val="0"/>
        <c:axPos val="l"/>
        <c:numFmt formatCode="#,##0.00" sourceLinked="1"/>
        <c:majorTickMark val="none"/>
        <c:minorTickMark val="none"/>
        <c:tickLblPos val="nextTo"/>
        <c:crossAx val="1578264528"/>
        <c:crosses val="autoZero"/>
        <c:crossBetween val="between"/>
      </c:valAx>
      <c:valAx>
        <c:axId val="1578269424"/>
        <c:scaling>
          <c:orientation val="minMax"/>
          <c:max val="1.0069999999999999"/>
        </c:scaling>
        <c:delete val="0"/>
        <c:axPos val="r"/>
        <c:numFmt formatCode="0.00%" sourceLinked="1"/>
        <c:majorTickMark val="out"/>
        <c:minorTickMark val="none"/>
        <c:tickLblPos val="nextTo"/>
        <c:crossAx val="1578270512"/>
        <c:crosses val="max"/>
        <c:crossBetween val="between"/>
      </c:valAx>
      <c:catAx>
        <c:axId val="1578270512"/>
        <c:scaling>
          <c:orientation val="minMax"/>
        </c:scaling>
        <c:delete val="1"/>
        <c:axPos val="b"/>
        <c:numFmt formatCode="General" sourceLinked="1"/>
        <c:majorTickMark val="out"/>
        <c:minorTickMark val="none"/>
        <c:tickLblPos val="nextTo"/>
        <c:crossAx val="1578269424"/>
        <c:crosses val="autoZero"/>
        <c:auto val="1"/>
        <c:lblAlgn val="ctr"/>
        <c:lblOffset val="100"/>
        <c:noMultiLvlLbl val="0"/>
      </c:catAx>
    </c:plotArea>
    <c:legend>
      <c:legendPos val="b"/>
      <c:overlay val="0"/>
      <c:txPr>
        <a:bodyPr/>
        <a:lstStyle/>
        <a:p>
          <a:pPr>
            <a:defRPr sz="800"/>
          </a:pPr>
          <a:endParaRPr lang="es-DO"/>
        </a:p>
      </c:txPr>
    </c:legend>
    <c:plotVisOnly val="1"/>
    <c:dispBlanksAs val="gap"/>
    <c:showDLblsOverMax val="0"/>
  </c:chart>
  <c:spPr>
    <a:ln>
      <a:no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800">
                <a:solidFill>
                  <a:schemeClr val="accent1">
                    <a:lumMod val="75000"/>
                  </a:schemeClr>
                </a:solidFill>
              </a:rPr>
              <a:t>Distribución de</a:t>
            </a:r>
            <a:r>
              <a:rPr lang="es-ES" sz="800" baseline="0">
                <a:solidFill>
                  <a:schemeClr val="accent1">
                    <a:lumMod val="75000"/>
                  </a:schemeClr>
                </a:solidFill>
              </a:rPr>
              <a:t> Aportes</a:t>
            </a:r>
            <a:endParaRPr lang="es-ES" sz="800">
              <a:solidFill>
                <a:schemeClr val="accent1">
                  <a:lumMod val="75000"/>
                </a:schemeClr>
              </a:solidFill>
            </a:endParaRPr>
          </a:p>
        </c:rich>
      </c:tx>
      <c:layout>
        <c:manualLayout>
          <c:xMode val="edge"/>
          <c:yMode val="edge"/>
          <c:x val="0.36509152799625716"/>
          <c:y val="1.4417744497132913E-2"/>
        </c:manualLayout>
      </c:layout>
      <c:overlay val="0"/>
    </c:title>
    <c:autoTitleDeleted val="0"/>
    <c:plotArea>
      <c:layout/>
      <c:barChart>
        <c:barDir val="col"/>
        <c:grouping val="clustered"/>
        <c:varyColors val="0"/>
        <c:ser>
          <c:idx val="0"/>
          <c:order val="0"/>
          <c:spPr>
            <a:solidFill>
              <a:schemeClr val="bg1">
                <a:lumMod val="75000"/>
              </a:schemeClr>
            </a:solidFill>
            <a:ln>
              <a:solidFill>
                <a:schemeClr val="bg1">
                  <a:lumMod val="75000"/>
                </a:schemeClr>
              </a:solidFill>
            </a:ln>
          </c:spPr>
          <c:invertIfNegative val="0"/>
          <c:dPt>
            <c:idx val="1"/>
            <c:invertIfNegative val="0"/>
            <c:bubble3D val="0"/>
            <c:spPr>
              <a:solidFill>
                <a:schemeClr val="accent3">
                  <a:lumMod val="60000"/>
                  <a:lumOff val="40000"/>
                </a:schemeClr>
              </a:solidFill>
              <a:ln>
                <a:solidFill>
                  <a:schemeClr val="accent3">
                    <a:lumMod val="60000"/>
                    <a:lumOff val="40000"/>
                  </a:schemeClr>
                </a:solidFill>
              </a:ln>
            </c:spPr>
            <c:extLst>
              <c:ext xmlns:c16="http://schemas.microsoft.com/office/drawing/2014/chart" uri="{C3380CC4-5D6E-409C-BE32-E72D297353CC}">
                <c16:uniqueId val="{00000001-96C4-4E72-86CD-26E8823546DB}"/>
              </c:ext>
            </c:extLst>
          </c:dPt>
          <c:dPt>
            <c:idx val="2"/>
            <c:invertIfNegative val="0"/>
            <c:bubble3D val="0"/>
            <c:spPr>
              <a:solidFill>
                <a:schemeClr val="accent1">
                  <a:lumMod val="60000"/>
                  <a:lumOff val="40000"/>
                </a:schemeClr>
              </a:solidFill>
              <a:ln>
                <a:solidFill>
                  <a:schemeClr val="accent1">
                    <a:lumMod val="60000"/>
                    <a:lumOff val="40000"/>
                  </a:schemeClr>
                </a:solidFill>
              </a:ln>
            </c:spPr>
            <c:extLst>
              <c:ext xmlns:c16="http://schemas.microsoft.com/office/drawing/2014/chart" uri="{C3380CC4-5D6E-409C-BE32-E72D297353CC}">
                <c16:uniqueId val="{00000003-96C4-4E72-86CD-26E8823546DB}"/>
              </c:ext>
            </c:extLst>
          </c:dPt>
          <c:dLbls>
            <c:dLbl>
              <c:idx val="0"/>
              <c:layout>
                <c:manualLayout>
                  <c:x val="-2.7579408140791677E-3"/>
                  <c:y val="0.227768232028614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C4-4E72-86CD-26E8823546DB}"/>
                </c:ext>
              </c:extLst>
            </c:dLbl>
            <c:dLbl>
              <c:idx val="1"/>
              <c:layout>
                <c:manualLayout>
                  <c:x val="3.645867423629125E-3"/>
                  <c:y val="0.21666027448900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C4-4E72-86CD-26E8823546DB}"/>
                </c:ext>
              </c:extLst>
            </c:dLbl>
            <c:dLbl>
              <c:idx val="2"/>
              <c:layout>
                <c:manualLayout>
                  <c:x val="6.423616493789394E-3"/>
                  <c:y val="0.209249867382357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6C4-4E72-86CD-26E8823546DB}"/>
                </c:ext>
              </c:extLst>
            </c:dLbl>
            <c:spPr>
              <a:noFill/>
              <a:ln>
                <a:noFill/>
              </a:ln>
              <a:effectLst/>
            </c:spPr>
            <c:txPr>
              <a:bodyPr rot="-5400000" vert="horz"/>
              <a:lstStyle/>
              <a:p>
                <a:pPr>
                  <a:defRPr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Aportes!$A$8:$A$10</c:f>
              <c:strCache>
                <c:ptCount val="3"/>
                <c:pt idx="0">
                  <c:v>Marzo</c:v>
                </c:pt>
                <c:pt idx="1">
                  <c:v>Febrero</c:v>
                </c:pt>
                <c:pt idx="2">
                  <c:v>Enero</c:v>
                </c:pt>
              </c:strCache>
            </c:strRef>
          </c:cat>
          <c:val>
            <c:numRef>
              <c:f>Aportes!$B$8:$B$10</c:f>
              <c:numCache>
                <c:formatCode>#,##0</c:formatCode>
                <c:ptCount val="3"/>
                <c:pt idx="0">
                  <c:v>27359</c:v>
                </c:pt>
                <c:pt idx="1">
                  <c:v>25438</c:v>
                </c:pt>
                <c:pt idx="2">
                  <c:v>26718</c:v>
                </c:pt>
              </c:numCache>
            </c:numRef>
          </c:val>
          <c:extLst>
            <c:ext xmlns:c16="http://schemas.microsoft.com/office/drawing/2014/chart" uri="{C3380CC4-5D6E-409C-BE32-E72D297353CC}">
              <c16:uniqueId val="{00000005-96C4-4E72-86CD-26E8823546DB}"/>
            </c:ext>
          </c:extLst>
        </c:ser>
        <c:dLbls>
          <c:showLegendKey val="0"/>
          <c:showVal val="1"/>
          <c:showCatName val="0"/>
          <c:showSerName val="0"/>
          <c:showPercent val="0"/>
          <c:showBubbleSize val="0"/>
        </c:dLbls>
        <c:gapWidth val="75"/>
        <c:axId val="1667765120"/>
        <c:axId val="1667765664"/>
      </c:barChart>
      <c:catAx>
        <c:axId val="1667765120"/>
        <c:scaling>
          <c:orientation val="minMax"/>
        </c:scaling>
        <c:delete val="0"/>
        <c:axPos val="b"/>
        <c:numFmt formatCode="General" sourceLinked="0"/>
        <c:majorTickMark val="none"/>
        <c:minorTickMark val="none"/>
        <c:tickLblPos val="nextTo"/>
        <c:crossAx val="1667765664"/>
        <c:crosses val="autoZero"/>
        <c:auto val="1"/>
        <c:lblAlgn val="ctr"/>
        <c:lblOffset val="100"/>
        <c:noMultiLvlLbl val="0"/>
      </c:catAx>
      <c:valAx>
        <c:axId val="1667765664"/>
        <c:scaling>
          <c:orientation val="minMax"/>
        </c:scaling>
        <c:delete val="0"/>
        <c:axPos val="l"/>
        <c:numFmt formatCode="#,##0" sourceLinked="1"/>
        <c:majorTickMark val="none"/>
        <c:minorTickMark val="none"/>
        <c:tickLblPos val="nextTo"/>
        <c:crossAx val="1667765120"/>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ES" sz="1000">
                <a:solidFill>
                  <a:schemeClr val="accent1">
                    <a:lumMod val="75000"/>
                  </a:schemeClr>
                </a:solidFill>
              </a:rPr>
              <a:t>Cantidad de Traspasos</a:t>
            </a:r>
          </a:p>
        </c:rich>
      </c:tx>
      <c:layout>
        <c:manualLayout>
          <c:xMode val="edge"/>
          <c:yMode val="edge"/>
          <c:x val="0.31884374193575465"/>
          <c:y val="0"/>
        </c:manualLayout>
      </c:layout>
      <c:overlay val="0"/>
    </c:title>
    <c:autoTitleDeleted val="0"/>
    <c:plotArea>
      <c:layout>
        <c:manualLayout>
          <c:layoutTarget val="inner"/>
          <c:xMode val="edge"/>
          <c:yMode val="edge"/>
          <c:x val="0.12016285132106767"/>
          <c:y val="0.18401209406649208"/>
          <c:w val="0.83717921431840892"/>
          <c:h val="0.61610024514896233"/>
        </c:manualLayout>
      </c:layout>
      <c:barChart>
        <c:barDir val="col"/>
        <c:grouping val="clustered"/>
        <c:varyColors val="0"/>
        <c:ser>
          <c:idx val="1"/>
          <c:order val="1"/>
          <c:tx>
            <c:strRef>
              <c:f>Traspaso!$C$7</c:f>
              <c:strCache>
                <c:ptCount val="1"/>
                <c:pt idx="0">
                  <c:v>Cedidos (Reparto a SCI)</c:v>
                </c:pt>
              </c:strCache>
            </c:strRef>
          </c:tx>
          <c:spPr>
            <a:solidFill>
              <a:schemeClr val="accent3">
                <a:lumMod val="60000"/>
                <a:lumOff val="40000"/>
              </a:schemeClr>
            </a:solidFill>
            <a:ln>
              <a:solidFill>
                <a:schemeClr val="accent3">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Traspaso!$A$8:$A$10</c:f>
              <c:strCache>
                <c:ptCount val="3"/>
                <c:pt idx="0">
                  <c:v>Marzo</c:v>
                </c:pt>
                <c:pt idx="1">
                  <c:v>Febrero</c:v>
                </c:pt>
                <c:pt idx="2">
                  <c:v>Enero</c:v>
                </c:pt>
              </c:strCache>
            </c:strRef>
          </c:cat>
          <c:val>
            <c:numRef>
              <c:f>Traspaso!$C$8:$C$10</c:f>
              <c:numCache>
                <c:formatCode>General</c:formatCode>
                <c:ptCount val="3"/>
                <c:pt idx="0">
                  <c:v>6</c:v>
                </c:pt>
                <c:pt idx="1">
                  <c:v>4</c:v>
                </c:pt>
                <c:pt idx="2">
                  <c:v>2</c:v>
                </c:pt>
              </c:numCache>
            </c:numRef>
          </c:val>
          <c:extLst>
            <c:ext xmlns:c16="http://schemas.microsoft.com/office/drawing/2014/chart" uri="{C3380CC4-5D6E-409C-BE32-E72D297353CC}">
              <c16:uniqueId val="{00000004-FB1B-4846-AF71-C6243F490D5B}"/>
            </c:ext>
          </c:extLst>
        </c:ser>
        <c:dLbls>
          <c:showLegendKey val="0"/>
          <c:showVal val="0"/>
          <c:showCatName val="0"/>
          <c:showSerName val="0"/>
          <c:showPercent val="0"/>
          <c:showBubbleSize val="0"/>
        </c:dLbls>
        <c:gapWidth val="75"/>
        <c:axId val="1665019632"/>
        <c:axId val="1665020176"/>
      </c:barChart>
      <c:lineChart>
        <c:grouping val="standard"/>
        <c:varyColors val="0"/>
        <c:ser>
          <c:idx val="0"/>
          <c:order val="0"/>
          <c:tx>
            <c:strRef>
              <c:f>Traspaso!$B$7</c:f>
              <c:strCache>
                <c:ptCount val="1"/>
                <c:pt idx="0">
                  <c:v>Recibidos (SCI a Reparto)</c:v>
                </c:pt>
              </c:strCache>
            </c:strRef>
          </c:tx>
          <c:spPr>
            <a:ln>
              <a:solidFill>
                <a:schemeClr val="bg1">
                  <a:lumMod val="75000"/>
                </a:schemeClr>
              </a:solidFill>
            </a:ln>
          </c:spPr>
          <c:dLbls>
            <c:dLbl>
              <c:idx val="1"/>
              <c:layout>
                <c:manualLayout>
                  <c:x val="-6.5108600752827747E-2"/>
                  <c:y val="-0.2667695662080227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A7-4275-A789-0D686E766E43}"/>
                </c:ext>
              </c:extLst>
            </c:dLbl>
            <c:dLbl>
              <c:idx val="2"/>
              <c:layout>
                <c:manualLayout>
                  <c:x val="-5.5459230022475735E-2"/>
                  <c:y val="-0.1813671662384020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1B-4846-AF71-C6243F490D5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Traspaso!$A$8:$A$10</c:f>
              <c:strCache>
                <c:ptCount val="3"/>
                <c:pt idx="0">
                  <c:v>Marzo</c:v>
                </c:pt>
                <c:pt idx="1">
                  <c:v>Febrero</c:v>
                </c:pt>
                <c:pt idx="2">
                  <c:v>Enero</c:v>
                </c:pt>
              </c:strCache>
            </c:strRef>
          </c:cat>
          <c:val>
            <c:numRef>
              <c:f>Traspaso!$B$8:$B$10</c:f>
              <c:numCache>
                <c:formatCode>General</c:formatCode>
                <c:ptCount val="3"/>
                <c:pt idx="0">
                  <c:v>487</c:v>
                </c:pt>
                <c:pt idx="1">
                  <c:v>120</c:v>
                </c:pt>
                <c:pt idx="2">
                  <c:v>37</c:v>
                </c:pt>
              </c:numCache>
            </c:numRef>
          </c:val>
          <c:smooth val="0"/>
          <c:extLst>
            <c:ext xmlns:c16="http://schemas.microsoft.com/office/drawing/2014/chart" uri="{C3380CC4-5D6E-409C-BE32-E72D297353CC}">
              <c16:uniqueId val="{00000002-FB1B-4846-AF71-C6243F490D5B}"/>
            </c:ext>
          </c:extLst>
        </c:ser>
        <c:dLbls>
          <c:showLegendKey val="0"/>
          <c:showVal val="1"/>
          <c:showCatName val="0"/>
          <c:showSerName val="0"/>
          <c:showPercent val="0"/>
          <c:showBubbleSize val="0"/>
        </c:dLbls>
        <c:marker val="1"/>
        <c:smooth val="0"/>
        <c:axId val="1862418912"/>
        <c:axId val="1862406848"/>
      </c:lineChart>
      <c:catAx>
        <c:axId val="1665019632"/>
        <c:scaling>
          <c:orientation val="minMax"/>
        </c:scaling>
        <c:delete val="0"/>
        <c:axPos val="b"/>
        <c:numFmt formatCode="General" sourceLinked="0"/>
        <c:majorTickMark val="none"/>
        <c:minorTickMark val="none"/>
        <c:tickLblPos val="nextTo"/>
        <c:crossAx val="1665020176"/>
        <c:crosses val="autoZero"/>
        <c:auto val="1"/>
        <c:lblAlgn val="ctr"/>
        <c:lblOffset val="100"/>
        <c:noMultiLvlLbl val="0"/>
      </c:catAx>
      <c:valAx>
        <c:axId val="1665020176"/>
        <c:scaling>
          <c:orientation val="minMax"/>
        </c:scaling>
        <c:delete val="0"/>
        <c:axPos val="l"/>
        <c:numFmt formatCode="General" sourceLinked="1"/>
        <c:majorTickMark val="none"/>
        <c:minorTickMark val="none"/>
        <c:tickLblPos val="nextTo"/>
        <c:crossAx val="1665019632"/>
        <c:crosses val="autoZero"/>
        <c:crossBetween val="between"/>
      </c:valAx>
      <c:valAx>
        <c:axId val="1862406848"/>
        <c:scaling>
          <c:orientation val="minMax"/>
        </c:scaling>
        <c:delete val="0"/>
        <c:axPos val="r"/>
        <c:numFmt formatCode="General" sourceLinked="1"/>
        <c:majorTickMark val="out"/>
        <c:minorTickMark val="none"/>
        <c:tickLblPos val="nextTo"/>
        <c:crossAx val="1862418912"/>
        <c:crosses val="max"/>
        <c:crossBetween val="between"/>
      </c:valAx>
      <c:catAx>
        <c:axId val="1862418912"/>
        <c:scaling>
          <c:orientation val="minMax"/>
        </c:scaling>
        <c:delete val="1"/>
        <c:axPos val="b"/>
        <c:numFmt formatCode="General" sourceLinked="1"/>
        <c:majorTickMark val="out"/>
        <c:minorTickMark val="none"/>
        <c:tickLblPos val="nextTo"/>
        <c:crossAx val="1862406848"/>
        <c:crosses val="autoZero"/>
        <c:auto val="1"/>
        <c:lblAlgn val="ctr"/>
        <c:lblOffset val="100"/>
        <c:noMultiLvlLbl val="0"/>
      </c:catAx>
    </c:plotArea>
    <c:legend>
      <c:legendPos val="b"/>
      <c:layout>
        <c:manualLayout>
          <c:xMode val="edge"/>
          <c:yMode val="edge"/>
          <c:x val="6.4975526654232419E-3"/>
          <c:y val="0.89408638814698549"/>
          <c:w val="0.97827692204584993"/>
          <c:h val="8.4775034493234272E-2"/>
        </c:manualLayout>
      </c:layout>
      <c:overlay val="0"/>
      <c:txPr>
        <a:bodyPr/>
        <a:lstStyle/>
        <a:p>
          <a:pPr>
            <a:defRPr sz="900"/>
          </a:pPr>
          <a:endParaRPr lang="es-DO"/>
        </a:p>
      </c:txPr>
    </c:legend>
    <c:plotVisOnly val="1"/>
    <c:dispBlanksAs val="gap"/>
    <c:showDLblsOverMax val="0"/>
  </c:chart>
  <c:spPr>
    <a:ln>
      <a:noFill/>
    </a:ln>
  </c:sp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lang="es-DO" sz="1100" b="1" i="0" u="none" strike="noStrike" kern="1200" spc="0" baseline="0">
                <a:solidFill>
                  <a:schemeClr val="accent1">
                    <a:lumMod val="75000"/>
                  </a:schemeClr>
                </a:solidFill>
                <a:latin typeface="+mn-lt"/>
                <a:ea typeface="+mn-ea"/>
                <a:cs typeface="+mn-cs"/>
              </a:defRPr>
            </a:pPr>
            <a:r>
              <a:rPr lang="es-DO" sz="1100" b="1" i="0" u="none" strike="noStrike" kern="1200" baseline="0">
                <a:solidFill>
                  <a:schemeClr val="accent1">
                    <a:lumMod val="75000"/>
                  </a:schemeClr>
                </a:solidFill>
                <a:latin typeface="+mn-lt"/>
                <a:ea typeface="+mn-ea"/>
                <a:cs typeface="+mn-cs"/>
              </a:rPr>
              <a:t>Monto Traspasado</a:t>
            </a:r>
          </a:p>
        </c:rich>
      </c:tx>
      <c:layout>
        <c:manualLayout>
          <c:xMode val="edge"/>
          <c:yMode val="edge"/>
          <c:x val="0.40124417233232712"/>
          <c:y val="5.0031259688632229E-3"/>
        </c:manualLayout>
      </c:layout>
      <c:overlay val="0"/>
      <c:spPr>
        <a:noFill/>
        <a:ln>
          <a:noFill/>
        </a:ln>
        <a:effectLst/>
      </c:spPr>
      <c:txPr>
        <a:bodyPr rot="0" spcFirstLastPara="1" vertOverflow="ellipsis" vert="horz" wrap="square" anchor="ctr" anchorCtr="1"/>
        <a:lstStyle/>
        <a:p>
          <a:pPr>
            <a:defRPr lang="es-DO" sz="1100" b="1" i="0" u="none" strike="noStrike" kern="1200" spc="0" baseline="0">
              <a:solidFill>
                <a:schemeClr val="accent1">
                  <a:lumMod val="75000"/>
                </a:schemeClr>
              </a:solidFill>
              <a:latin typeface="+mn-lt"/>
              <a:ea typeface="+mn-ea"/>
              <a:cs typeface="+mn-cs"/>
            </a:defRPr>
          </a:pPr>
          <a:endParaRPr lang="es-DO"/>
        </a:p>
      </c:txPr>
    </c:title>
    <c:autoTitleDeleted val="0"/>
    <c:plotArea>
      <c:layout/>
      <c:barChart>
        <c:barDir val="col"/>
        <c:grouping val="clustered"/>
        <c:varyColors val="0"/>
        <c:ser>
          <c:idx val="0"/>
          <c:order val="0"/>
          <c:tx>
            <c:strRef>
              <c:f>Traspaso!$A$8</c:f>
              <c:strCache>
                <c:ptCount val="1"/>
                <c:pt idx="0">
                  <c:v>Marzo</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Traspaso!$D$7</c:f>
              <c:strCache>
                <c:ptCount val="1"/>
                <c:pt idx="0">
                  <c:v>Monto Traspasado (RD$)</c:v>
                </c:pt>
              </c:strCache>
            </c:strRef>
          </c:cat>
          <c:val>
            <c:numRef>
              <c:f>Traspaso!$D$8</c:f>
              <c:numCache>
                <c:formatCode>_(* #,##0.00_);_(* \(#,##0.00\);_(* "-"??_);_(@_)</c:formatCode>
                <c:ptCount val="1"/>
                <c:pt idx="0">
                  <c:v>767086474.8599999</c:v>
                </c:pt>
              </c:numCache>
            </c:numRef>
          </c:val>
          <c:extLst>
            <c:ext xmlns:c16="http://schemas.microsoft.com/office/drawing/2014/chart" uri="{C3380CC4-5D6E-409C-BE32-E72D297353CC}">
              <c16:uniqueId val="{00000000-3626-45AA-AADE-47CA6C4D53AA}"/>
            </c:ext>
          </c:extLst>
        </c:ser>
        <c:ser>
          <c:idx val="1"/>
          <c:order val="1"/>
          <c:tx>
            <c:strRef>
              <c:f>Traspaso!$A$9</c:f>
              <c:strCache>
                <c:ptCount val="1"/>
                <c:pt idx="0">
                  <c:v>Febrero</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Traspaso!$D$7</c:f>
              <c:strCache>
                <c:ptCount val="1"/>
                <c:pt idx="0">
                  <c:v>Monto Traspasado (RD$)</c:v>
                </c:pt>
              </c:strCache>
            </c:strRef>
          </c:cat>
          <c:val>
            <c:numRef>
              <c:f>Traspaso!$D$9</c:f>
              <c:numCache>
                <c:formatCode>_(* #,##0.00_);_(* \(#,##0.00\);_(* "-"??_);_(@_)</c:formatCode>
                <c:ptCount val="1"/>
                <c:pt idx="0">
                  <c:v>3643649.7</c:v>
                </c:pt>
              </c:numCache>
            </c:numRef>
          </c:val>
          <c:extLst>
            <c:ext xmlns:c16="http://schemas.microsoft.com/office/drawing/2014/chart" uri="{C3380CC4-5D6E-409C-BE32-E72D297353CC}">
              <c16:uniqueId val="{00000001-3626-45AA-AADE-47CA6C4D53AA}"/>
            </c:ext>
          </c:extLst>
        </c:ser>
        <c:ser>
          <c:idx val="2"/>
          <c:order val="2"/>
          <c:tx>
            <c:strRef>
              <c:f>Traspaso!$A$10</c:f>
              <c:strCache>
                <c:ptCount val="1"/>
                <c:pt idx="0">
                  <c:v>Enero</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Traspaso!$D$7</c:f>
              <c:strCache>
                <c:ptCount val="1"/>
                <c:pt idx="0">
                  <c:v>Monto Traspasado (RD$)</c:v>
                </c:pt>
              </c:strCache>
            </c:strRef>
          </c:cat>
          <c:val>
            <c:numRef>
              <c:f>Traspaso!$D$10</c:f>
              <c:numCache>
                <c:formatCode>_(* #,##0.00_);_(* \(#,##0.00\);_(* "-"??_);_(@_)</c:formatCode>
                <c:ptCount val="1"/>
                <c:pt idx="0">
                  <c:v>23902615.080000002</c:v>
                </c:pt>
              </c:numCache>
            </c:numRef>
          </c:val>
          <c:extLst>
            <c:ext xmlns:c16="http://schemas.microsoft.com/office/drawing/2014/chart" uri="{C3380CC4-5D6E-409C-BE32-E72D297353CC}">
              <c16:uniqueId val="{00000002-3626-45AA-AADE-47CA6C4D53AA}"/>
            </c:ext>
          </c:extLst>
        </c:ser>
        <c:dLbls>
          <c:dLblPos val="outEnd"/>
          <c:showLegendKey val="0"/>
          <c:showVal val="1"/>
          <c:showCatName val="0"/>
          <c:showSerName val="0"/>
          <c:showPercent val="0"/>
          <c:showBubbleSize val="0"/>
        </c:dLbls>
        <c:gapWidth val="219"/>
        <c:overlap val="-27"/>
        <c:axId val="204719503"/>
        <c:axId val="204723247"/>
      </c:barChart>
      <c:catAx>
        <c:axId val="204719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DO"/>
          </a:p>
        </c:txPr>
        <c:crossAx val="204723247"/>
        <c:crosses val="autoZero"/>
        <c:auto val="1"/>
        <c:lblAlgn val="ctr"/>
        <c:lblOffset val="100"/>
        <c:noMultiLvlLbl val="0"/>
      </c:catAx>
      <c:valAx>
        <c:axId val="204723247"/>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DO"/>
          </a:p>
        </c:txPr>
        <c:crossAx val="204719503"/>
        <c:crosses val="autoZero"/>
        <c:crossBetween val="between"/>
      </c:valAx>
      <c:spPr>
        <a:noFill/>
        <a:ln>
          <a:noFill/>
        </a:ln>
        <a:effectLst/>
      </c:spPr>
    </c:plotArea>
    <c:legend>
      <c:legendPos val="b"/>
      <c:layout>
        <c:manualLayout>
          <c:xMode val="edge"/>
          <c:yMode val="edge"/>
          <c:x val="0.24552822872449589"/>
          <c:y val="0.88555290254186381"/>
          <c:w val="0.60496527440242809"/>
          <c:h val="8.4428341644956911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Programación</c:v>
          </c:tx>
          <c:spPr>
            <a:solidFill>
              <a:schemeClr val="accent3">
                <a:lumMod val="60000"/>
                <a:lumOff val="40000"/>
              </a:schemeClr>
            </a:solidFill>
          </c:spPr>
          <c:invertIfNegative val="0"/>
          <c:dLbls>
            <c:dLbl>
              <c:idx val="0"/>
              <c:layout>
                <c:manualLayout>
                  <c:x val="-7.3450187226680689E-4"/>
                  <c:y val="0.5587900518052099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A6-4785-8F6A-565385A8559A}"/>
                </c:ext>
              </c:extLst>
            </c:dLbl>
            <c:spPr>
              <a:noFill/>
              <a:ln>
                <a:noFill/>
              </a:ln>
              <a:effectLst/>
            </c:spPr>
            <c:txPr>
              <a:bodyPr rot="-5400000" vert="horz" anchor="ctr" anchorCtr="0"/>
              <a:lstStyle/>
              <a:p>
                <a:pPr>
                  <a:defRPr/>
                </a:pPr>
                <a:endParaRPr lang="es-D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de Pensiones'!$A$10:$A$13</c:f>
              <c:strCache>
                <c:ptCount val="3"/>
                <c:pt idx="0">
                  <c:v>Marzo </c:v>
                </c:pt>
                <c:pt idx="1">
                  <c:v>Febrero</c:v>
                </c:pt>
                <c:pt idx="2">
                  <c:v>Enero</c:v>
                </c:pt>
              </c:strCache>
            </c:strRef>
          </c:cat>
          <c:val>
            <c:numRef>
              <c:f>'Presupuesto de Pensiones'!$D$10:$D$13</c:f>
              <c:numCache>
                <c:formatCode>#,##0.00</c:formatCode>
                <c:ptCount val="3"/>
                <c:pt idx="0">
                  <c:v>3585910246.2900004</c:v>
                </c:pt>
                <c:pt idx="1">
                  <c:v>3572265833.1900001</c:v>
                </c:pt>
                <c:pt idx="2">
                  <c:v>3524764276.6399999</c:v>
                </c:pt>
              </c:numCache>
            </c:numRef>
          </c:val>
          <c:extLst>
            <c:ext xmlns:c16="http://schemas.microsoft.com/office/drawing/2014/chart" uri="{C3380CC4-5D6E-409C-BE32-E72D297353CC}">
              <c16:uniqueId val="{00000000-1C01-44D8-A584-F0F60B69051B}"/>
            </c:ext>
          </c:extLst>
        </c:ser>
        <c:ser>
          <c:idx val="1"/>
          <c:order val="1"/>
          <c:tx>
            <c:v>Ejecutado</c:v>
          </c:tx>
          <c:spPr>
            <a:solidFill>
              <a:schemeClr val="bg1">
                <a:lumMod val="75000"/>
              </a:schemeClr>
            </a:solidFill>
          </c:spPr>
          <c:invertIfNegative val="0"/>
          <c:dLbls>
            <c:dLbl>
              <c:idx val="0"/>
              <c:layout>
                <c:manualLayout>
                  <c:x val="1.6631054675137952E-2"/>
                  <c:y val="0.4618329143272084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A6-4785-8F6A-565385A8559A}"/>
                </c:ext>
              </c:extLst>
            </c:dLbl>
            <c:spPr>
              <a:noFill/>
              <a:ln>
                <a:noFill/>
              </a:ln>
              <a:effectLst/>
            </c:spPr>
            <c:txPr>
              <a:bodyPr rot="-5400000" vert="horz"/>
              <a:lstStyle/>
              <a:p>
                <a:pPr>
                  <a:defRPr/>
                </a:pPr>
                <a:endParaRPr lang="es-D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de Pensiones'!$A$10:$A$13</c:f>
              <c:strCache>
                <c:ptCount val="3"/>
                <c:pt idx="0">
                  <c:v>Marzo </c:v>
                </c:pt>
                <c:pt idx="1">
                  <c:v>Febrero</c:v>
                </c:pt>
                <c:pt idx="2">
                  <c:v>Enero</c:v>
                </c:pt>
              </c:strCache>
            </c:strRef>
          </c:cat>
          <c:val>
            <c:numRef>
              <c:f>'Presupuesto de Pensiones'!$E$10:$E$13</c:f>
              <c:numCache>
                <c:formatCode>#,##0.00</c:formatCode>
                <c:ptCount val="3"/>
                <c:pt idx="0">
                  <c:v>3520253236.1900001</c:v>
                </c:pt>
                <c:pt idx="1">
                  <c:v>3500720579.1099997</c:v>
                </c:pt>
                <c:pt idx="2">
                  <c:v>3425582788.4699998</c:v>
                </c:pt>
              </c:numCache>
            </c:numRef>
          </c:val>
          <c:extLst>
            <c:ext xmlns:c16="http://schemas.microsoft.com/office/drawing/2014/chart" uri="{C3380CC4-5D6E-409C-BE32-E72D297353CC}">
              <c16:uniqueId val="{00000001-1C01-44D8-A584-F0F60B69051B}"/>
            </c:ext>
          </c:extLst>
        </c:ser>
        <c:dLbls>
          <c:showLegendKey val="0"/>
          <c:showVal val="1"/>
          <c:showCatName val="0"/>
          <c:showSerName val="0"/>
          <c:showPercent val="0"/>
          <c:showBubbleSize val="0"/>
        </c:dLbls>
        <c:gapWidth val="75"/>
        <c:axId val="1665021264"/>
        <c:axId val="1665032144"/>
      </c:barChart>
      <c:lineChart>
        <c:grouping val="standard"/>
        <c:varyColors val="0"/>
        <c:ser>
          <c:idx val="2"/>
          <c:order val="2"/>
          <c:tx>
            <c:v>% Ejecutado</c:v>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Pt>
            <c:idx val="0"/>
            <c:bubble3D val="0"/>
            <c:extLst>
              <c:ext xmlns:c16="http://schemas.microsoft.com/office/drawing/2014/chart" uri="{C3380CC4-5D6E-409C-BE32-E72D297353CC}">
                <c16:uniqueId val="{00000002-A2A6-4785-8F6A-565385A8559A}"/>
              </c:ext>
            </c:extLst>
          </c:dPt>
          <c:dPt>
            <c:idx val="1"/>
            <c:bubble3D val="0"/>
            <c:extLst>
              <c:ext xmlns:c16="http://schemas.microsoft.com/office/drawing/2014/chart" uri="{C3380CC4-5D6E-409C-BE32-E72D297353CC}">
                <c16:uniqueId val="{00000002-1C01-44D8-A584-F0F60B69051B}"/>
              </c:ext>
            </c:extLst>
          </c:dPt>
          <c:dLbls>
            <c:spPr>
              <a:noFill/>
              <a:ln>
                <a:noFill/>
              </a:ln>
              <a:effectLst/>
            </c:spPr>
            <c:txPr>
              <a:bodyPr rot="0" vert="horz" wrap="square" lIns="38100" tIns="19050" rIns="38100" bIns="19050" anchor="ctr">
                <a:spAutoFit/>
              </a:bodyPr>
              <a:lstStyle/>
              <a:p>
                <a:pPr>
                  <a:defRPr sz="1050" b="1"/>
                </a:pPr>
                <a:endParaRPr lang="es-D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'Presupuesto de Pensiones'!$A$10:$A$13</c:f>
              <c:strCache>
                <c:ptCount val="3"/>
                <c:pt idx="0">
                  <c:v>Marzo </c:v>
                </c:pt>
                <c:pt idx="1">
                  <c:v>Febrero</c:v>
                </c:pt>
                <c:pt idx="2">
                  <c:v>Enero</c:v>
                </c:pt>
              </c:strCache>
            </c:strRef>
          </c:cat>
          <c:val>
            <c:numRef>
              <c:f>'Presupuesto de Pensiones'!$F$10:$F$13</c:f>
              <c:numCache>
                <c:formatCode>0.00%</c:formatCode>
                <c:ptCount val="3"/>
                <c:pt idx="0">
                  <c:v>0.98169028068454045</c:v>
                </c:pt>
                <c:pt idx="1">
                  <c:v>0.9799720240819505</c:v>
                </c:pt>
                <c:pt idx="2">
                  <c:v>0.97186152593882236</c:v>
                </c:pt>
              </c:numCache>
            </c:numRef>
          </c:val>
          <c:smooth val="0"/>
          <c:extLst>
            <c:ext xmlns:c16="http://schemas.microsoft.com/office/drawing/2014/chart" uri="{C3380CC4-5D6E-409C-BE32-E72D297353CC}">
              <c16:uniqueId val="{00000004-1C01-44D8-A584-F0F60B69051B}"/>
            </c:ext>
          </c:extLst>
        </c:ser>
        <c:dLbls>
          <c:showLegendKey val="0"/>
          <c:showVal val="1"/>
          <c:showCatName val="0"/>
          <c:showSerName val="0"/>
          <c:showPercent val="0"/>
          <c:showBubbleSize val="0"/>
        </c:dLbls>
        <c:marker val="1"/>
        <c:smooth val="0"/>
        <c:axId val="1665032688"/>
        <c:axId val="1665026160"/>
      </c:lineChart>
      <c:catAx>
        <c:axId val="1665021264"/>
        <c:scaling>
          <c:orientation val="minMax"/>
        </c:scaling>
        <c:delete val="0"/>
        <c:axPos val="b"/>
        <c:numFmt formatCode="General" sourceLinked="0"/>
        <c:majorTickMark val="none"/>
        <c:minorTickMark val="none"/>
        <c:tickLblPos val="nextTo"/>
        <c:crossAx val="1665032144"/>
        <c:crosses val="autoZero"/>
        <c:auto val="1"/>
        <c:lblAlgn val="ctr"/>
        <c:lblOffset val="100"/>
        <c:noMultiLvlLbl val="0"/>
      </c:catAx>
      <c:valAx>
        <c:axId val="1665032144"/>
        <c:scaling>
          <c:orientation val="minMax"/>
          <c:max val="3840000000"/>
          <c:min val="3000000000"/>
        </c:scaling>
        <c:delete val="0"/>
        <c:axPos val="l"/>
        <c:numFmt formatCode="#,##0.00" sourceLinked="1"/>
        <c:majorTickMark val="none"/>
        <c:minorTickMark val="none"/>
        <c:tickLblPos val="nextTo"/>
        <c:crossAx val="1665021264"/>
        <c:crosses val="autoZero"/>
        <c:crossBetween val="between"/>
        <c:majorUnit val="200000000"/>
      </c:valAx>
      <c:valAx>
        <c:axId val="1665026160"/>
        <c:scaling>
          <c:orientation val="minMax"/>
          <c:max val="1"/>
          <c:min val="0.88000000000000012"/>
        </c:scaling>
        <c:delete val="0"/>
        <c:axPos val="r"/>
        <c:numFmt formatCode="0.00%" sourceLinked="1"/>
        <c:majorTickMark val="out"/>
        <c:minorTickMark val="none"/>
        <c:tickLblPos val="nextTo"/>
        <c:crossAx val="1665032688"/>
        <c:crosses val="max"/>
        <c:crossBetween val="between"/>
        <c:majorUnit val="2.0000000000000004E-2"/>
        <c:minorUnit val="5.000000000000001E-3"/>
      </c:valAx>
      <c:catAx>
        <c:axId val="1665032688"/>
        <c:scaling>
          <c:orientation val="minMax"/>
        </c:scaling>
        <c:delete val="1"/>
        <c:axPos val="b"/>
        <c:numFmt formatCode="General" sourceLinked="1"/>
        <c:majorTickMark val="out"/>
        <c:minorTickMark val="none"/>
        <c:tickLblPos val="nextTo"/>
        <c:crossAx val="1665026160"/>
        <c:crosses val="autoZero"/>
        <c:auto val="1"/>
        <c:lblAlgn val="ctr"/>
        <c:lblOffset val="100"/>
        <c:noMultiLvlLbl val="0"/>
      </c:catAx>
    </c:plotArea>
    <c:legend>
      <c:legendPos val="b"/>
      <c:overlay val="0"/>
    </c:legend>
    <c:plotVisOnly val="1"/>
    <c:dispBlanksAs val="gap"/>
    <c:showDLblsOverMax val="0"/>
  </c:chart>
  <c:spPr>
    <a:ln>
      <a:solidFill>
        <a:schemeClr val="bg1"/>
      </a:solidFill>
    </a:ln>
  </c:sp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1471526098266"/>
          <c:y val="0.13154844993940878"/>
          <c:w val="0.82866557875303415"/>
          <c:h val="0.69190263993496037"/>
        </c:manualLayout>
      </c:layout>
      <c:barChart>
        <c:barDir val="col"/>
        <c:grouping val="clustered"/>
        <c:varyColors val="0"/>
        <c:ser>
          <c:idx val="0"/>
          <c:order val="0"/>
          <c:tx>
            <c:v>PC</c:v>
          </c:tx>
          <c:spPr>
            <a:solidFill>
              <a:schemeClr val="accent3"/>
            </a:solidFill>
          </c:spPr>
          <c:invertIfNegative val="0"/>
          <c:dLbls>
            <c:dLbl>
              <c:idx val="0"/>
              <c:layout>
                <c:manualLayout>
                  <c:x val="2.6166165550448378E-3"/>
                  <c:y val="0.280286959840681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D9-494F-9FD7-D7A98F07ECC5}"/>
                </c:ext>
              </c:extLst>
            </c:dLbl>
            <c:dLbl>
              <c:idx val="1"/>
              <c:layout>
                <c:manualLayout>
                  <c:x val="-1.9338092923303063E-4"/>
                  <c:y val="0.2811533092209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D9-494F-9FD7-D7A98F07ECC5}"/>
                </c:ext>
              </c:extLst>
            </c:dLbl>
            <c:dLbl>
              <c:idx val="2"/>
              <c:layout>
                <c:manualLayout>
                  <c:x val="8.2366115236005497E-3"/>
                  <c:y val="0.279420610460411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D9-494F-9FD7-D7A98F07ECC5}"/>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Marzo</c:v>
                </c:pt>
                <c:pt idx="1">
                  <c:v>Febrero</c:v>
                </c:pt>
                <c:pt idx="2">
                  <c:v>Enero</c:v>
                </c:pt>
              </c:strCache>
            </c:strRef>
          </c:cat>
          <c:val>
            <c:numRef>
              <c:f>Nómina!$B$9:$B$11</c:f>
              <c:numCache>
                <c:formatCode>#,##0_);\(#,##0\)</c:formatCode>
                <c:ptCount val="3"/>
                <c:pt idx="0">
                  <c:v>144321</c:v>
                </c:pt>
                <c:pt idx="1">
                  <c:v>142822</c:v>
                </c:pt>
                <c:pt idx="2">
                  <c:v>141156</c:v>
                </c:pt>
              </c:numCache>
            </c:numRef>
          </c:val>
          <c:extLst>
            <c:ext xmlns:c16="http://schemas.microsoft.com/office/drawing/2014/chart" uri="{C3380CC4-5D6E-409C-BE32-E72D297353CC}">
              <c16:uniqueId val="{00000003-53D9-494F-9FD7-D7A98F07ECC5}"/>
            </c:ext>
          </c:extLst>
        </c:ser>
        <c:ser>
          <c:idx val="1"/>
          <c:order val="1"/>
          <c:tx>
            <c:v>PS</c:v>
          </c:tx>
          <c:spPr>
            <a:solidFill>
              <a:schemeClr val="accent6">
                <a:lumMod val="60000"/>
                <a:lumOff val="40000"/>
              </a:schemeClr>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D9-494F-9FD7-D7A98F07ECC5}"/>
                </c:ext>
              </c:extLst>
            </c:dLbl>
            <c:dLbl>
              <c:idx val="1"/>
              <c:layout>
                <c:manualLayout>
                  <c:x val="1.66666666666666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D9-494F-9FD7-D7A98F07ECC5}"/>
                </c:ext>
              </c:extLst>
            </c:dLbl>
            <c:dLbl>
              <c:idx val="2"/>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D9-494F-9FD7-D7A98F07ECC5}"/>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Marzo</c:v>
                </c:pt>
                <c:pt idx="1">
                  <c:v>Febrero</c:v>
                </c:pt>
                <c:pt idx="2">
                  <c:v>Enero</c:v>
                </c:pt>
              </c:strCache>
            </c:strRef>
          </c:cat>
          <c:val>
            <c:numRef>
              <c:f>Nómina!$E$9:$E$11</c:f>
              <c:numCache>
                <c:formatCode>#,##0_);\(#,##0\)</c:formatCode>
                <c:ptCount val="3"/>
                <c:pt idx="0">
                  <c:v>47060</c:v>
                </c:pt>
                <c:pt idx="1">
                  <c:v>45266</c:v>
                </c:pt>
                <c:pt idx="2">
                  <c:v>43694</c:v>
                </c:pt>
              </c:numCache>
            </c:numRef>
          </c:val>
          <c:extLst>
            <c:ext xmlns:c16="http://schemas.microsoft.com/office/drawing/2014/chart" uri="{C3380CC4-5D6E-409C-BE32-E72D297353CC}">
              <c16:uniqueId val="{00000007-53D9-494F-9FD7-D7A98F07ECC5}"/>
            </c:ext>
          </c:extLst>
        </c:ser>
        <c:ser>
          <c:idx val="2"/>
          <c:order val="2"/>
          <c:tx>
            <c:v>PN</c:v>
          </c:tx>
          <c:spPr>
            <a:solidFill>
              <a:schemeClr val="tx2">
                <a:lumMod val="60000"/>
                <a:lumOff val="40000"/>
              </a:schemeClr>
            </a:solidFill>
          </c:spPr>
          <c:invertIfNegative val="0"/>
          <c:dLbls>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Nómina!$H$9:$H$11</c:f>
              <c:numCache>
                <c:formatCode>#,##0_);\(#,##0\)</c:formatCode>
                <c:ptCount val="3"/>
                <c:pt idx="0">
                  <c:v>24847</c:v>
                </c:pt>
                <c:pt idx="1">
                  <c:v>24839</c:v>
                </c:pt>
                <c:pt idx="2">
                  <c:v>24835</c:v>
                </c:pt>
              </c:numCache>
            </c:numRef>
          </c:val>
          <c:extLst>
            <c:ext xmlns:c16="http://schemas.microsoft.com/office/drawing/2014/chart" uri="{C3380CC4-5D6E-409C-BE32-E72D297353CC}">
              <c16:uniqueId val="{00000000-C68F-40C1-B7CC-955B6C3781D2}"/>
            </c:ext>
          </c:extLst>
        </c:ser>
        <c:dLbls>
          <c:showLegendKey val="0"/>
          <c:showVal val="1"/>
          <c:showCatName val="0"/>
          <c:showSerName val="0"/>
          <c:showPercent val="0"/>
          <c:showBubbleSize val="0"/>
        </c:dLbls>
        <c:gapWidth val="75"/>
        <c:axId val="1665033232"/>
        <c:axId val="1665027248"/>
      </c:barChart>
      <c:catAx>
        <c:axId val="1665033232"/>
        <c:scaling>
          <c:orientation val="minMax"/>
        </c:scaling>
        <c:delete val="0"/>
        <c:axPos val="b"/>
        <c:numFmt formatCode="General" sourceLinked="0"/>
        <c:majorTickMark val="none"/>
        <c:minorTickMark val="none"/>
        <c:tickLblPos val="nextTo"/>
        <c:crossAx val="1665027248"/>
        <c:crosses val="autoZero"/>
        <c:auto val="1"/>
        <c:lblAlgn val="ctr"/>
        <c:lblOffset val="100"/>
        <c:noMultiLvlLbl val="0"/>
      </c:catAx>
      <c:valAx>
        <c:axId val="1665027248"/>
        <c:scaling>
          <c:orientation val="minMax"/>
        </c:scaling>
        <c:delete val="0"/>
        <c:axPos val="l"/>
        <c:numFmt formatCode="#,##0_);\(#,##0\)" sourceLinked="1"/>
        <c:majorTickMark val="none"/>
        <c:minorTickMark val="none"/>
        <c:tickLblPos val="nextTo"/>
        <c:crossAx val="1665033232"/>
        <c:crosses val="autoZero"/>
        <c:crossBetween val="between"/>
      </c:valAx>
    </c:plotArea>
    <c:legend>
      <c:legendPos val="b"/>
      <c:layout>
        <c:manualLayout>
          <c:xMode val="edge"/>
          <c:yMode val="edge"/>
          <c:x val="0.41335770283434614"/>
          <c:y val="0.93137511312911292"/>
          <c:w val="0.22633816425502665"/>
          <c:h val="6.5109557839156396E-2"/>
        </c:manualLayout>
      </c:layout>
      <c:overlay val="0"/>
    </c:legend>
    <c:plotVisOnly val="1"/>
    <c:dispBlanksAs val="gap"/>
    <c:showDLblsOverMax val="0"/>
  </c:chart>
  <c:spPr>
    <a:ln>
      <a:solidFill>
        <a:schemeClr val="bg1"/>
      </a:solidFill>
    </a:ln>
  </c:spPr>
  <c:printSettings>
    <c:headerFooter/>
    <c:pageMargins b="0.75" l="0.7" r="0.7" t="0.75"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PC</c:v>
          </c:tx>
          <c:spPr>
            <a:solidFill>
              <a:schemeClr val="accent3"/>
            </a:solidFill>
          </c:spPr>
          <c:invertIfNegative val="0"/>
          <c:dLbls>
            <c:dLbl>
              <c:idx val="0"/>
              <c:layout>
                <c:manualLayout>
                  <c:x val="1.8258793274707537E-3"/>
                  <c:y val="0.182871159511427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BD-4A0D-BE09-D21C77B6043E}"/>
                </c:ext>
              </c:extLst>
            </c:dLbl>
            <c:dLbl>
              <c:idx val="1"/>
              <c:layout>
                <c:manualLayout>
                  <c:x val="1.8258793274707537E-3"/>
                  <c:y val="0.188620885267618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BD-4A0D-BE09-D21C77B6043E}"/>
                </c:ext>
              </c:extLst>
            </c:dLbl>
            <c:dLbl>
              <c:idx val="2"/>
              <c:layout>
                <c:manualLayout>
                  <c:x val="-9.5208122101056675E-4"/>
                  <c:y val="0.178241498441914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BD-4A0D-BE09-D21C77B6043E}"/>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Marzo</c:v>
                </c:pt>
                <c:pt idx="1">
                  <c:v>Febrero</c:v>
                </c:pt>
                <c:pt idx="2">
                  <c:v>Enero</c:v>
                </c:pt>
              </c:strCache>
            </c:strRef>
          </c:cat>
          <c:val>
            <c:numRef>
              <c:f>Nómina!$C$9:$C$11</c:f>
              <c:numCache>
                <c:formatCode>#,##0_);\(#,##0\)</c:formatCode>
                <c:ptCount val="3"/>
                <c:pt idx="0">
                  <c:v>157009</c:v>
                </c:pt>
                <c:pt idx="1">
                  <c:v>155471</c:v>
                </c:pt>
                <c:pt idx="2">
                  <c:v>153771</c:v>
                </c:pt>
              </c:numCache>
            </c:numRef>
          </c:val>
          <c:extLst>
            <c:ext xmlns:c16="http://schemas.microsoft.com/office/drawing/2014/chart" uri="{C3380CC4-5D6E-409C-BE32-E72D297353CC}">
              <c16:uniqueId val="{00000003-9CBD-4A0D-BE09-D21C77B6043E}"/>
            </c:ext>
          </c:extLst>
        </c:ser>
        <c:ser>
          <c:idx val="1"/>
          <c:order val="1"/>
          <c:tx>
            <c:v>PS</c:v>
          </c:tx>
          <c:spPr>
            <a:solidFill>
              <a:schemeClr val="accent6">
                <a:lumMod val="60000"/>
                <a:lumOff val="40000"/>
              </a:schemeClr>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BD-4A0D-BE09-D21C77B6043E}"/>
                </c:ext>
              </c:extLst>
            </c:dLbl>
            <c:dLbl>
              <c:idx val="1"/>
              <c:layout>
                <c:manualLayout>
                  <c:x val="1.304057958836161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BD-4A0D-BE09-D21C77B6043E}"/>
                </c:ext>
              </c:extLst>
            </c:dLbl>
            <c:dLbl>
              <c:idx val="2"/>
              <c:layout>
                <c:manualLayout>
                  <c:x val="-9.5208122101056675E-4"/>
                  <c:y val="1.724917726857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BD-4A0D-BE09-D21C77B6043E}"/>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Marzo</c:v>
                </c:pt>
                <c:pt idx="1">
                  <c:v>Febrero</c:v>
                </c:pt>
                <c:pt idx="2">
                  <c:v>Enero</c:v>
                </c:pt>
              </c:strCache>
            </c:strRef>
          </c:cat>
          <c:val>
            <c:numRef>
              <c:f>Nómina!$F$9:$F$11</c:f>
              <c:numCache>
                <c:formatCode>#,##0_);\(#,##0\)</c:formatCode>
                <c:ptCount val="3"/>
                <c:pt idx="0">
                  <c:v>47060</c:v>
                </c:pt>
                <c:pt idx="1">
                  <c:v>45266</c:v>
                </c:pt>
                <c:pt idx="2">
                  <c:v>43694</c:v>
                </c:pt>
              </c:numCache>
            </c:numRef>
          </c:val>
          <c:extLst>
            <c:ext xmlns:c16="http://schemas.microsoft.com/office/drawing/2014/chart" uri="{C3380CC4-5D6E-409C-BE32-E72D297353CC}">
              <c16:uniqueId val="{00000007-9CBD-4A0D-BE09-D21C77B6043E}"/>
            </c:ext>
          </c:extLst>
        </c:ser>
        <c:ser>
          <c:idx val="2"/>
          <c:order val="2"/>
          <c:tx>
            <c:v>PN</c:v>
          </c:tx>
          <c:spPr>
            <a:solidFill>
              <a:schemeClr val="tx2">
                <a:lumMod val="60000"/>
                <a:lumOff val="40000"/>
              </a:schemeClr>
            </a:solidFill>
          </c:spPr>
          <c:invertIfNegative val="0"/>
          <c:dLbls>
            <c:dLbl>
              <c:idx val="0"/>
              <c:layout>
                <c:manualLayout>
                  <c:x val="-4.6143564425193773E-17"/>
                  <c:y val="5.749725756190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A7-42AB-9E5A-58FEC411AE86}"/>
                </c:ext>
              </c:extLst>
            </c:dLbl>
            <c:dLbl>
              <c:idx val="1"/>
              <c:layout>
                <c:manualLayout>
                  <c:x val="0"/>
                  <c:y val="5.7497257561907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A7-42AB-9E5A-58FEC411AE86}"/>
                </c:ext>
              </c:extLst>
            </c:dLbl>
            <c:dLbl>
              <c:idx val="2"/>
              <c:layout>
                <c:manualLayout>
                  <c:x val="2.5169507716138687E-3"/>
                  <c:y val="1.72491772685723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A7-42AB-9E5A-58FEC411AE86}"/>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Nómina!$I$9:$I$11</c:f>
              <c:numCache>
                <c:formatCode>#,##0_);\(#,##0\)</c:formatCode>
                <c:ptCount val="3"/>
                <c:pt idx="0">
                  <c:v>24989</c:v>
                </c:pt>
                <c:pt idx="1">
                  <c:v>24979</c:v>
                </c:pt>
                <c:pt idx="2">
                  <c:v>24975</c:v>
                </c:pt>
              </c:numCache>
            </c:numRef>
          </c:val>
          <c:extLst>
            <c:ext xmlns:c16="http://schemas.microsoft.com/office/drawing/2014/chart" uri="{C3380CC4-5D6E-409C-BE32-E72D297353CC}">
              <c16:uniqueId val="{00000000-B4C7-4C8F-829E-12F6B5EA66FC}"/>
            </c:ext>
          </c:extLst>
        </c:ser>
        <c:dLbls>
          <c:showLegendKey val="0"/>
          <c:showVal val="1"/>
          <c:showCatName val="0"/>
          <c:showSerName val="0"/>
          <c:showPercent val="0"/>
          <c:showBubbleSize val="0"/>
        </c:dLbls>
        <c:gapWidth val="75"/>
        <c:axId val="1665028880"/>
        <c:axId val="1665018544"/>
      </c:barChart>
      <c:catAx>
        <c:axId val="1665028880"/>
        <c:scaling>
          <c:orientation val="minMax"/>
        </c:scaling>
        <c:delete val="0"/>
        <c:axPos val="b"/>
        <c:numFmt formatCode="General" sourceLinked="0"/>
        <c:majorTickMark val="none"/>
        <c:minorTickMark val="none"/>
        <c:tickLblPos val="nextTo"/>
        <c:crossAx val="1665018544"/>
        <c:crosses val="autoZero"/>
        <c:auto val="1"/>
        <c:lblAlgn val="ctr"/>
        <c:lblOffset val="100"/>
        <c:noMultiLvlLbl val="0"/>
      </c:catAx>
      <c:valAx>
        <c:axId val="1665018544"/>
        <c:scaling>
          <c:orientation val="minMax"/>
        </c:scaling>
        <c:delete val="0"/>
        <c:axPos val="l"/>
        <c:numFmt formatCode="#,##0_);\(#,##0\)" sourceLinked="1"/>
        <c:majorTickMark val="none"/>
        <c:minorTickMark val="none"/>
        <c:tickLblPos val="nextTo"/>
        <c:crossAx val="1665028880"/>
        <c:crosses val="autoZero"/>
        <c:crossBetween val="between"/>
      </c:valAx>
    </c:plotArea>
    <c:legend>
      <c:legendPos val="b"/>
      <c:overlay val="0"/>
    </c:legend>
    <c:plotVisOnly val="1"/>
    <c:dispBlanksAs val="gap"/>
    <c:showDLblsOverMax val="0"/>
  </c:chart>
  <c:spPr>
    <a:ln>
      <a:solidFill>
        <a:schemeClr val="bg1"/>
      </a:solidFill>
    </a:ln>
  </c:sp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PC</c:v>
          </c:tx>
          <c:spPr>
            <a:solidFill>
              <a:schemeClr val="accent3"/>
            </a:solidFill>
          </c:spPr>
          <c:invertIfNegative val="0"/>
          <c:dLbls>
            <c:dLbl>
              <c:idx val="0"/>
              <c:layout>
                <c:manualLayout>
                  <c:x val="4.9402791952599815E-3"/>
                  <c:y val="0.192856496451481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AB-4ACC-9DB2-E039C3656B7D}"/>
                </c:ext>
              </c:extLst>
            </c:dLbl>
            <c:dLbl>
              <c:idx val="1"/>
              <c:layout>
                <c:manualLayout>
                  <c:x val="-5.5544341463445307E-3"/>
                  <c:y val="0.215137415898894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AB-4ACC-9DB2-E039C3656B7D}"/>
                </c:ext>
              </c:extLst>
            </c:dLbl>
            <c:dLbl>
              <c:idx val="2"/>
              <c:layout>
                <c:manualLayout>
                  <c:x val="-2.8154707518661961E-3"/>
                  <c:y val="0.23723951716480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AB-4ACC-9DB2-E039C3656B7D}"/>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Marzo</c:v>
                </c:pt>
                <c:pt idx="1">
                  <c:v>Febrero</c:v>
                </c:pt>
                <c:pt idx="2">
                  <c:v>Enero</c:v>
                </c:pt>
              </c:strCache>
            </c:strRef>
          </c:cat>
          <c:val>
            <c:numRef>
              <c:f>Nómina!$D$9:$D$11</c:f>
              <c:numCache>
                <c:formatCode>_(* #,##0.00_);_(* \(#,##0.00\);_(* "-"??_);_(@_)</c:formatCode>
                <c:ptCount val="3"/>
                <c:pt idx="0">
                  <c:v>2516334988.5700002</c:v>
                </c:pt>
                <c:pt idx="1">
                  <c:v>2483544771.9299998</c:v>
                </c:pt>
                <c:pt idx="2">
                  <c:v>2437516720.1599998</c:v>
                </c:pt>
              </c:numCache>
            </c:numRef>
          </c:val>
          <c:extLst>
            <c:ext xmlns:c16="http://schemas.microsoft.com/office/drawing/2014/chart" uri="{C3380CC4-5D6E-409C-BE32-E72D297353CC}">
              <c16:uniqueId val="{00000000-0F53-4019-BFDC-2A350F855EE7}"/>
            </c:ext>
          </c:extLst>
        </c:ser>
        <c:ser>
          <c:idx val="1"/>
          <c:order val="1"/>
          <c:tx>
            <c:v>PS</c:v>
          </c:tx>
          <c:spPr>
            <a:solidFill>
              <a:schemeClr val="accent6">
                <a:lumMod val="60000"/>
                <a:lumOff val="40000"/>
              </a:schemeClr>
            </a:solidFill>
          </c:spPr>
          <c:invertIfNegative val="0"/>
          <c:dLbls>
            <c:dLbl>
              <c:idx val="0"/>
              <c:layout>
                <c:manualLayout>
                  <c:x val="3.7888958688751932E-3"/>
                  <c:y val="1.788181815017594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5C-498E-B306-189846393CDE}"/>
                </c:ext>
              </c:extLst>
            </c:dLbl>
            <c:dLbl>
              <c:idx val="1"/>
              <c:layout>
                <c:manualLayout>
                  <c:x val="9.1129695062634377E-3"/>
                  <c:y val="1.6576575949433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5C-498E-B306-189846393CDE}"/>
                </c:ext>
              </c:extLst>
            </c:dLbl>
            <c:dLbl>
              <c:idx val="2"/>
              <c:layout>
                <c:manualLayout>
                  <c:x val="6.2974987543972412E-3"/>
                  <c:y val="5.52552531647767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5C-498E-B306-189846393CDE}"/>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Nómina!$A$9:$A$11</c:f>
              <c:strCache>
                <c:ptCount val="3"/>
                <c:pt idx="0">
                  <c:v>Marzo</c:v>
                </c:pt>
                <c:pt idx="1">
                  <c:v>Febrero</c:v>
                </c:pt>
                <c:pt idx="2">
                  <c:v>Enero</c:v>
                </c:pt>
              </c:strCache>
            </c:strRef>
          </c:cat>
          <c:val>
            <c:numRef>
              <c:f>Nómina!$G$9:$G$11</c:f>
              <c:numCache>
                <c:formatCode>_(* #,##0.00_);_(* \(#,##0.00\);_(* "-"??_);_(@_)</c:formatCode>
                <c:ptCount val="3"/>
                <c:pt idx="0">
                  <c:v>282360000</c:v>
                </c:pt>
                <c:pt idx="1">
                  <c:v>271596000</c:v>
                </c:pt>
                <c:pt idx="2">
                  <c:v>262164000</c:v>
                </c:pt>
              </c:numCache>
            </c:numRef>
          </c:val>
          <c:extLst>
            <c:ext xmlns:c16="http://schemas.microsoft.com/office/drawing/2014/chart" uri="{C3380CC4-5D6E-409C-BE32-E72D297353CC}">
              <c16:uniqueId val="{00000001-0F53-4019-BFDC-2A350F855EE7}"/>
            </c:ext>
          </c:extLst>
        </c:ser>
        <c:ser>
          <c:idx val="2"/>
          <c:order val="2"/>
          <c:tx>
            <c:v>PN</c:v>
          </c:tx>
          <c:spPr>
            <a:solidFill>
              <a:schemeClr val="tx2">
                <a:lumMod val="60000"/>
                <a:lumOff val="40000"/>
              </a:schemeClr>
            </a:solidFill>
          </c:spPr>
          <c:invertIfNegative val="0"/>
          <c:dLbls>
            <c:dLbl>
              <c:idx val="0"/>
              <c:layout>
                <c:manualLayout>
                  <c:x val="7.2952385384117803E-3"/>
                  <c:y val="-2.532503181026103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5C-498E-B306-189846393CDE}"/>
                </c:ext>
              </c:extLst>
            </c:dLbl>
            <c:dLbl>
              <c:idx val="1"/>
              <c:layout>
                <c:manualLayout>
                  <c:x val="4.6332017197177064E-3"/>
                  <c:y val="5.52552531647770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5C-498E-B306-189846393CDE}"/>
                </c:ext>
              </c:extLst>
            </c:dLbl>
            <c:dLbl>
              <c:idx val="2"/>
              <c:layout>
                <c:manualLayout>
                  <c:x val="7.4488820807821271E-3"/>
                  <c:y val="5.52552531647772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5C-498E-B306-189846393CDE}"/>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Nómina!$J$9:$J$11</c:f>
              <c:numCache>
                <c:formatCode>_(* #,##0.00_);_(* \(#,##0.00\);_(* "-"??_);_(@_)</c:formatCode>
                <c:ptCount val="3"/>
                <c:pt idx="0">
                  <c:v>721558247.62</c:v>
                </c:pt>
                <c:pt idx="1">
                  <c:v>721058641</c:v>
                </c:pt>
                <c:pt idx="2">
                  <c:v>720969472.14999998</c:v>
                </c:pt>
              </c:numCache>
            </c:numRef>
          </c:val>
          <c:extLst>
            <c:ext xmlns:c16="http://schemas.microsoft.com/office/drawing/2014/chart" uri="{C3380CC4-5D6E-409C-BE32-E72D297353CC}">
              <c16:uniqueId val="{00000000-281D-447F-87D6-9DFFE7E603D8}"/>
            </c:ext>
          </c:extLst>
        </c:ser>
        <c:dLbls>
          <c:showLegendKey val="0"/>
          <c:showVal val="1"/>
          <c:showCatName val="0"/>
          <c:showSerName val="0"/>
          <c:showPercent val="0"/>
          <c:showBubbleSize val="0"/>
        </c:dLbls>
        <c:gapWidth val="75"/>
        <c:axId val="1665023984"/>
        <c:axId val="1665028336"/>
      </c:barChart>
      <c:catAx>
        <c:axId val="1665023984"/>
        <c:scaling>
          <c:orientation val="minMax"/>
        </c:scaling>
        <c:delete val="0"/>
        <c:axPos val="b"/>
        <c:numFmt formatCode="General" sourceLinked="0"/>
        <c:majorTickMark val="none"/>
        <c:minorTickMark val="none"/>
        <c:tickLblPos val="nextTo"/>
        <c:crossAx val="1665028336"/>
        <c:crosses val="autoZero"/>
        <c:auto val="1"/>
        <c:lblAlgn val="ctr"/>
        <c:lblOffset val="100"/>
        <c:noMultiLvlLbl val="0"/>
      </c:catAx>
      <c:valAx>
        <c:axId val="1665028336"/>
        <c:scaling>
          <c:orientation val="minMax"/>
        </c:scaling>
        <c:delete val="0"/>
        <c:axPos val="l"/>
        <c:numFmt formatCode="_(* #,##0.00_);_(* \(#,##0.00\);_(* &quot;-&quot;??_);_(@_)" sourceLinked="1"/>
        <c:majorTickMark val="none"/>
        <c:minorTickMark val="none"/>
        <c:tickLblPos val="nextTo"/>
        <c:crossAx val="1665023984"/>
        <c:crosses val="autoZero"/>
        <c:crossBetween val="between"/>
      </c:valAx>
    </c:plotArea>
    <c:legend>
      <c:legendPos val="b"/>
      <c:overlay val="0"/>
    </c:legend>
    <c:plotVisOnly val="1"/>
    <c:dispBlanksAs val="gap"/>
    <c:showDLblsOverMax val="0"/>
  </c:chart>
  <c:spPr>
    <a:ln>
      <a:solidFill>
        <a:schemeClr val="bg1"/>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accent1"/>
                </a:solidFill>
                <a:latin typeface="+mn-lt"/>
                <a:ea typeface="+mn-ea"/>
                <a:cs typeface="+mn-cs"/>
              </a:defRPr>
            </a:pPr>
            <a:r>
              <a:rPr lang="es-DO" sz="1100" b="1">
                <a:solidFill>
                  <a:schemeClr val="accent1"/>
                </a:solidFill>
              </a:rPr>
              <a:t>%</a:t>
            </a:r>
            <a:r>
              <a:rPr lang="es-DO" sz="1100" b="1" baseline="0">
                <a:solidFill>
                  <a:schemeClr val="accent1"/>
                </a:solidFill>
              </a:rPr>
              <a:t> Pagado</a:t>
            </a:r>
            <a:endParaRPr lang="es-DO" sz="1100" b="1">
              <a:solidFill>
                <a:schemeClr val="accent1"/>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accent1"/>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1658-4F4E-82BB-972C8E917EE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(Nómina!#REF!,Nómina!#REF!,Nómina!#REF!)</c:f>
              <c:numCache>
                <c:formatCode>General</c:formatCode>
                <c:ptCount val="1"/>
                <c:pt idx="0">
                  <c:v>1</c:v>
                </c:pt>
              </c:numCache>
            </c:numRef>
          </c:val>
          <c:extLst>
            <c:ext xmlns:c16="http://schemas.microsoft.com/office/drawing/2014/chart" uri="{C3380CC4-5D6E-409C-BE32-E72D297353CC}">
              <c16:uniqueId val="{00000000-1658-4F4E-82BB-972C8E917EE2}"/>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DO">
                <a:solidFill>
                  <a:schemeClr val="accent1"/>
                </a:solidFill>
              </a:rPr>
              <a:t>Nóminas Autoseguro</a:t>
            </a:r>
          </a:p>
          <a:p>
            <a:pPr>
              <a:defRPr/>
            </a:pPr>
            <a:endParaRPr lang="es-DO"/>
          </a:p>
        </c:rich>
      </c:tx>
      <c:layout>
        <c:manualLayout>
          <c:xMode val="edge"/>
          <c:yMode val="edge"/>
          <c:x val="0.37009135504037877"/>
          <c:y val="1.308289535279598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32881884700847E-2"/>
          <c:y val="0.19432888597258677"/>
          <c:w val="0.93897689989547006"/>
          <c:h val="0.64884186351706041"/>
        </c:manualLayout>
      </c:layout>
      <c:pie3DChart>
        <c:varyColors val="1"/>
        <c:ser>
          <c:idx val="0"/>
          <c:order val="0"/>
          <c:explosion val="19"/>
          <c:dPt>
            <c:idx val="0"/>
            <c:bubble3D val="0"/>
            <c:explosion val="24"/>
            <c:spPr>
              <a:gradFill rotWithShape="1">
                <a:gsLst>
                  <a:gs pos="0">
                    <a:schemeClr val="accent3">
                      <a:tint val="58000"/>
                      <a:shade val="51000"/>
                      <a:satMod val="130000"/>
                    </a:schemeClr>
                  </a:gs>
                  <a:gs pos="80000">
                    <a:schemeClr val="accent3">
                      <a:tint val="58000"/>
                      <a:shade val="93000"/>
                      <a:satMod val="130000"/>
                    </a:schemeClr>
                  </a:gs>
                  <a:gs pos="100000">
                    <a:schemeClr val="accent3">
                      <a:tint val="58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D226-4742-8E7F-C6FD6D3E0DFF}"/>
              </c:ext>
            </c:extLst>
          </c:dPt>
          <c:dPt>
            <c:idx val="1"/>
            <c:bubble3D val="0"/>
            <c:explosion val="43"/>
            <c:spPr>
              <a:gradFill rotWithShape="1">
                <a:gsLst>
                  <a:gs pos="0">
                    <a:schemeClr val="accent3">
                      <a:tint val="86000"/>
                      <a:shade val="51000"/>
                      <a:satMod val="130000"/>
                    </a:schemeClr>
                  </a:gs>
                  <a:gs pos="80000">
                    <a:schemeClr val="accent3">
                      <a:tint val="86000"/>
                      <a:shade val="93000"/>
                      <a:satMod val="130000"/>
                    </a:schemeClr>
                  </a:gs>
                  <a:gs pos="100000">
                    <a:schemeClr val="accent3">
                      <a:tint val="8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226-4742-8E7F-C6FD6D3E0DFF}"/>
              </c:ext>
            </c:extLst>
          </c:dPt>
          <c:dPt>
            <c:idx val="2"/>
            <c:bubble3D val="0"/>
            <c:explosion val="25"/>
            <c:spPr>
              <a:gradFill rotWithShape="1">
                <a:gsLst>
                  <a:gs pos="0">
                    <a:schemeClr val="accent3">
                      <a:shade val="86000"/>
                      <a:shade val="51000"/>
                      <a:satMod val="130000"/>
                    </a:schemeClr>
                  </a:gs>
                  <a:gs pos="80000">
                    <a:schemeClr val="accent3">
                      <a:shade val="86000"/>
                      <a:shade val="93000"/>
                      <a:satMod val="130000"/>
                    </a:schemeClr>
                  </a:gs>
                  <a:gs pos="100000">
                    <a:schemeClr val="accent3">
                      <a:shade val="8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D226-4742-8E7F-C6FD6D3E0DFF}"/>
              </c:ext>
            </c:extLst>
          </c:dPt>
          <c:dPt>
            <c:idx val="3"/>
            <c:bubble3D val="0"/>
            <c:explosion val="0"/>
            <c:spPr>
              <a:gradFill rotWithShape="1">
                <a:gsLst>
                  <a:gs pos="0">
                    <a:schemeClr val="accent3">
                      <a:shade val="58000"/>
                      <a:shade val="51000"/>
                      <a:satMod val="130000"/>
                    </a:schemeClr>
                  </a:gs>
                  <a:gs pos="80000">
                    <a:schemeClr val="accent3">
                      <a:shade val="58000"/>
                      <a:shade val="93000"/>
                      <a:satMod val="130000"/>
                    </a:schemeClr>
                  </a:gs>
                  <a:gs pos="100000">
                    <a:schemeClr val="accent3">
                      <a:shade val="58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D226-4742-8E7F-C6FD6D3E0DFF}"/>
              </c:ext>
            </c:extLst>
          </c:dPt>
          <c:dLbls>
            <c:dLbl>
              <c:idx val="0"/>
              <c:layout>
                <c:manualLayout>
                  <c:x val="6.8765334830695996E-2"/>
                  <c:y val="-6.1393983105255637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DECF9C51-46E0-4294-B195-1D220E9FC5C4}" type="PERCENTAGE">
                      <a:rPr lang="en-US"/>
                      <a:pPr>
                        <a:defRPr b="1"/>
                      </a:pPr>
                      <a:t>[PERCENTAGE]</a:t>
                    </a:fld>
                    <a:r>
                      <a:rPr lang="en-US"/>
                      <a:t> Discapacidad Civil</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0"/>
              <c:showCatName val="0"/>
              <c:showSerName val="0"/>
              <c:showPercent val="1"/>
              <c:showBubbleSize val="0"/>
              <c:extLst>
                <c:ext xmlns:c15="http://schemas.microsoft.com/office/drawing/2012/chart" uri="{CE6537A1-D6FC-4f65-9D91-7224C49458BB}">
                  <c15:layout>
                    <c:manualLayout>
                      <c:w val="0.2541947429462203"/>
                      <c:h val="6.3250841541369757E-2"/>
                    </c:manualLayout>
                  </c15:layout>
                  <c15:dlblFieldTable/>
                  <c15:showDataLabelsRange val="0"/>
                </c:ext>
                <c:ext xmlns:c16="http://schemas.microsoft.com/office/drawing/2014/chart" uri="{C3380CC4-5D6E-409C-BE32-E72D297353CC}">
                  <c16:uniqueId val="{00000002-D226-4742-8E7F-C6FD6D3E0DFF}"/>
                </c:ext>
              </c:extLst>
            </c:dLbl>
            <c:dLbl>
              <c:idx val="1"/>
              <c:layout>
                <c:manualLayout>
                  <c:x val="4.1222659314372308E-2"/>
                  <c:y val="9.6217505258178009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ADB0CDDD-8AED-465F-8CB0-AD4C2AA7E6E9}" type="VALUE">
                      <a:rPr lang="en-US"/>
                      <a:pPr>
                        <a:defRPr b="1"/>
                      </a:pPr>
                      <a:t>[VALUE]</a:t>
                    </a:fld>
                    <a:r>
                      <a:rPr lang="en-US"/>
                      <a:t> Discapacidad PN</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0"/>
              <c:showCatName val="0"/>
              <c:showSerName val="0"/>
              <c:showPercent val="1"/>
              <c:showBubbleSize val="0"/>
              <c:extLst>
                <c:ext xmlns:c15="http://schemas.microsoft.com/office/drawing/2012/chart" uri="{CE6537A1-D6FC-4f65-9D91-7224C49458BB}">
                  <c15:layout>
                    <c:manualLayout>
                      <c:w val="0.22798503430418618"/>
                      <c:h val="5.4800495310057838E-2"/>
                    </c:manualLayout>
                  </c15:layout>
                  <c15:dlblFieldTable/>
                  <c15:showDataLabelsRange val="0"/>
                </c:ext>
                <c:ext xmlns:c16="http://schemas.microsoft.com/office/drawing/2014/chart" uri="{C3380CC4-5D6E-409C-BE32-E72D297353CC}">
                  <c16:uniqueId val="{00000003-D226-4742-8E7F-C6FD6D3E0DFF}"/>
                </c:ext>
              </c:extLst>
            </c:dLbl>
            <c:dLbl>
              <c:idx val="2"/>
              <c:layout>
                <c:manualLayout>
                  <c:x val="5.2495967179825145E-2"/>
                  <c:y val="-8.8169045945845126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1231C39E-1E62-4572-8675-95EF26C6BE38}" type="PERCENTAGE">
                      <a:rPr lang="en-US"/>
                      <a:pPr>
                        <a:defRPr b="1"/>
                      </a:pPr>
                      <a:t>[PERCENTAGE]</a:t>
                    </a:fld>
                    <a:r>
                      <a:rPr lang="en-US"/>
                      <a:t> Sobrevivencia</a:t>
                    </a:r>
                    <a:r>
                      <a:rPr lang="en-US" baseline="0"/>
                      <a:t> Civil</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0"/>
              <c:showCatName val="0"/>
              <c:showSerName val="0"/>
              <c:showPercent val="1"/>
              <c:showBubbleSize val="0"/>
              <c:extLst>
                <c:ext xmlns:c15="http://schemas.microsoft.com/office/drawing/2012/chart" uri="{CE6537A1-D6FC-4f65-9D91-7224C49458BB}">
                  <c15:layout>
                    <c:manualLayout>
                      <c:w val="0.254792695237817"/>
                      <c:h val="5.9025675552119947E-2"/>
                    </c:manualLayout>
                  </c15:layout>
                  <c15:dlblFieldTable/>
                  <c15:showDataLabelsRange val="0"/>
                </c:ext>
                <c:ext xmlns:c16="http://schemas.microsoft.com/office/drawing/2014/chart" uri="{C3380CC4-5D6E-409C-BE32-E72D297353CC}">
                  <c16:uniqueId val="{00000001-D226-4742-8E7F-C6FD6D3E0DFF}"/>
                </c:ext>
              </c:extLst>
            </c:dLbl>
            <c:dLbl>
              <c:idx val="3"/>
              <c:layout>
                <c:manualLayout>
                  <c:x val="-3.3523265897112478E-2"/>
                  <c:y val="-9.6638680011994549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fld id="{6F7D688D-08E1-4C3E-B88A-5A6FCB65F87E}" type="PERCENTAGE">
                      <a:rPr lang="en-US"/>
                      <a:pPr>
                        <a:defRPr b="1"/>
                      </a:pPr>
                      <a:t>[PERCENTAGE]</a:t>
                    </a:fld>
                    <a:r>
                      <a:rPr lang="en-US"/>
                      <a:t> Sobrevivencia PN</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0"/>
              <c:showCatName val="0"/>
              <c:showSerName val="0"/>
              <c:showPercent val="1"/>
              <c:showBubbleSize val="0"/>
              <c:extLst>
                <c:ext xmlns:c15="http://schemas.microsoft.com/office/drawing/2012/chart" uri="{CE6537A1-D6FC-4f65-9D91-7224C49458BB}">
                  <c15:layout>
                    <c:manualLayout>
                      <c:w val="0.23471364109388787"/>
                      <c:h val="6.7476014657025726E-2"/>
                    </c:manualLayout>
                  </c15:layout>
                  <c15:dlblFieldTable/>
                  <c15:showDataLabelsRange val="0"/>
                </c:ext>
                <c:ext xmlns:c16="http://schemas.microsoft.com/office/drawing/2014/chart" uri="{C3380CC4-5D6E-409C-BE32-E72D297353CC}">
                  <c16:uniqueId val="{00000004-D226-4742-8E7F-C6FD6D3E0DF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dLblPos val="inEnd"/>
            <c:showLegendKey val="0"/>
            <c:showVal val="0"/>
            <c:showCatName val="0"/>
            <c:showSerName val="0"/>
            <c:showPercent val="1"/>
            <c:showBubbleSize val="0"/>
            <c:showLeaderLines val="1"/>
            <c:leaderLines>
              <c:spPr>
                <a:ln w="2540" cap="flat" cmpd="sng" algn="ctr">
                  <a:solidFill>
                    <a:srgbClr val="0070C0">
                      <a:alpha val="99000"/>
                    </a:srgbClr>
                  </a:solidFill>
                  <a:round/>
                </a:ln>
                <a:effectLst/>
              </c:spPr>
            </c:leaderLines>
            <c:extLst>
              <c:ext xmlns:c15="http://schemas.microsoft.com/office/drawing/2012/chart" uri="{CE6537A1-D6FC-4f65-9D91-7224C49458BB}"/>
            </c:extLst>
          </c:dLbls>
          <c:val>
            <c:numRef>
              <c:f>(Autoseguro!$C$13,Autoseguro!$H$13,Autoseguro!$M$13,Autoseguro!$O$13)</c:f>
              <c:numCache>
                <c:formatCode>0.00%</c:formatCode>
                <c:ptCount val="4"/>
                <c:pt idx="0">
                  <c:v>0.1096619124096075</c:v>
                </c:pt>
                <c:pt idx="1">
                  <c:v>1.1655440319828154E-3</c:v>
                </c:pt>
                <c:pt idx="2">
                  <c:v>0.44114354811501194</c:v>
                </c:pt>
                <c:pt idx="3">
                  <c:v>0.44802899544339769</c:v>
                </c:pt>
              </c:numCache>
            </c:numRef>
          </c:val>
          <c:extLst>
            <c:ext xmlns:c16="http://schemas.microsoft.com/office/drawing/2014/chart" uri="{C3380CC4-5D6E-409C-BE32-E72D297353CC}">
              <c16:uniqueId val="{00000000-D226-4742-8E7F-C6FD6D3E0DFF}"/>
            </c:ext>
          </c:extLst>
        </c:ser>
        <c:dLbls>
          <c:dLblPos val="in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bar"/>
        <c:grouping val="clustered"/>
        <c:varyColors val="0"/>
        <c:ser>
          <c:idx val="0"/>
          <c:order val="0"/>
          <c:tx>
            <c:v>Inclusiones</c:v>
          </c:tx>
          <c:spPr>
            <a:solidFill>
              <a:schemeClr val="bg1">
                <a:lumMod val="75000"/>
              </a:schemeClr>
            </a:solidFill>
            <a:ln>
              <a:solidFill>
                <a:schemeClr val="bg1">
                  <a:lumMod val="75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Marzo</c:v>
                </c:pt>
                <c:pt idx="1">
                  <c:v>Febrero</c:v>
                </c:pt>
                <c:pt idx="2">
                  <c:v>Enero</c:v>
                </c:pt>
              </c:strCache>
            </c:strRef>
          </c:cat>
          <c:val>
            <c:numRef>
              <c:f>Movimientos!$B$9:$B$11</c:f>
              <c:numCache>
                <c:formatCode>#,##0</c:formatCode>
                <c:ptCount val="3"/>
                <c:pt idx="0">
                  <c:v>3814</c:v>
                </c:pt>
                <c:pt idx="1">
                  <c:v>3611</c:v>
                </c:pt>
                <c:pt idx="2">
                  <c:v>2214</c:v>
                </c:pt>
              </c:numCache>
            </c:numRef>
          </c:val>
          <c:extLst>
            <c:ext xmlns:c16="http://schemas.microsoft.com/office/drawing/2014/chart" uri="{C3380CC4-5D6E-409C-BE32-E72D297353CC}">
              <c16:uniqueId val="{00000000-565D-4375-BB21-8C6D1E025F82}"/>
            </c:ext>
          </c:extLst>
        </c:ser>
        <c:ser>
          <c:idx val="1"/>
          <c:order val="1"/>
          <c:tx>
            <c:v>Aumentos</c:v>
          </c:tx>
          <c:spPr>
            <a:solidFill>
              <a:schemeClr val="accent3">
                <a:lumMod val="20000"/>
                <a:lumOff val="80000"/>
              </a:schemeClr>
            </a:solidFill>
            <a:ln>
              <a:solidFill>
                <a:schemeClr val="accent3">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Marzo</c:v>
                </c:pt>
                <c:pt idx="1">
                  <c:v>Febrero</c:v>
                </c:pt>
                <c:pt idx="2">
                  <c:v>Enero</c:v>
                </c:pt>
              </c:strCache>
            </c:strRef>
          </c:cat>
          <c:val>
            <c:numRef>
              <c:f>Movimientos!$H$9:$H$11</c:f>
              <c:numCache>
                <c:formatCode>#,##0</c:formatCode>
                <c:ptCount val="3"/>
                <c:pt idx="0">
                  <c:v>44</c:v>
                </c:pt>
                <c:pt idx="1">
                  <c:v>147</c:v>
                </c:pt>
                <c:pt idx="2">
                  <c:v>27</c:v>
                </c:pt>
              </c:numCache>
            </c:numRef>
          </c:val>
          <c:extLst>
            <c:ext xmlns:c16="http://schemas.microsoft.com/office/drawing/2014/chart" uri="{C3380CC4-5D6E-409C-BE32-E72D297353CC}">
              <c16:uniqueId val="{00000001-565D-4375-BB21-8C6D1E025F82}"/>
            </c:ext>
          </c:extLst>
        </c:ser>
        <c:ser>
          <c:idx val="2"/>
          <c:order val="2"/>
          <c:tx>
            <c:v>Exclusiones</c:v>
          </c:tx>
          <c:spPr>
            <a:solidFill>
              <a:schemeClr val="accent1">
                <a:lumMod val="60000"/>
                <a:lumOff val="40000"/>
              </a:schemeClr>
            </a:solidFill>
            <a:ln>
              <a:solidFill>
                <a:schemeClr val="accent1">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Marzo</c:v>
                </c:pt>
                <c:pt idx="1">
                  <c:v>Febrero</c:v>
                </c:pt>
                <c:pt idx="2">
                  <c:v>Enero</c:v>
                </c:pt>
              </c:strCache>
            </c:strRef>
          </c:cat>
          <c:val>
            <c:numRef>
              <c:f>Movimientos!$J$9:$J$11</c:f>
              <c:numCache>
                <c:formatCode>#,##0</c:formatCode>
                <c:ptCount val="3"/>
                <c:pt idx="0">
                  <c:v>554</c:v>
                </c:pt>
                <c:pt idx="1">
                  <c:v>491</c:v>
                </c:pt>
                <c:pt idx="2">
                  <c:v>292</c:v>
                </c:pt>
              </c:numCache>
            </c:numRef>
          </c:val>
          <c:extLst>
            <c:ext xmlns:c16="http://schemas.microsoft.com/office/drawing/2014/chart" uri="{C3380CC4-5D6E-409C-BE32-E72D297353CC}">
              <c16:uniqueId val="{00000002-565D-4375-BB21-8C6D1E025F82}"/>
            </c:ext>
          </c:extLst>
        </c:ser>
        <c:ser>
          <c:idx val="3"/>
          <c:order val="3"/>
          <c:tx>
            <c:v>Suspensiones</c:v>
          </c:tx>
          <c:spPr>
            <a:solidFill>
              <a:schemeClr val="accent6">
                <a:lumMod val="60000"/>
                <a:lumOff val="40000"/>
              </a:schemeClr>
            </a:solidFill>
            <a:ln>
              <a:solidFill>
                <a:schemeClr val="accent6">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Marzo</c:v>
                </c:pt>
                <c:pt idx="1">
                  <c:v>Febrero</c:v>
                </c:pt>
                <c:pt idx="2">
                  <c:v>Enero</c:v>
                </c:pt>
              </c:strCache>
            </c:strRef>
          </c:cat>
          <c:val>
            <c:numRef>
              <c:f>Movimientos!$L$9:$L$11</c:f>
              <c:numCache>
                <c:formatCode>#,##0</c:formatCode>
                <c:ptCount val="3"/>
                <c:pt idx="0">
                  <c:v>148</c:v>
                </c:pt>
                <c:pt idx="1">
                  <c:v>61</c:v>
                </c:pt>
                <c:pt idx="2">
                  <c:v>48</c:v>
                </c:pt>
              </c:numCache>
            </c:numRef>
          </c:val>
          <c:extLst>
            <c:ext xmlns:c16="http://schemas.microsoft.com/office/drawing/2014/chart" uri="{C3380CC4-5D6E-409C-BE32-E72D297353CC}">
              <c16:uniqueId val="{00000003-565D-4375-BB21-8C6D1E025F82}"/>
            </c:ext>
          </c:extLst>
        </c:ser>
        <c:ser>
          <c:idx val="4"/>
          <c:order val="4"/>
          <c:tx>
            <c:v>Sobrevivencia</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Movimientos!$D$9:$D$11</c:f>
              <c:numCache>
                <c:formatCode>#,##0</c:formatCode>
                <c:ptCount val="3"/>
                <c:pt idx="0">
                  <c:v>149</c:v>
                </c:pt>
                <c:pt idx="1">
                  <c:v>109</c:v>
                </c:pt>
                <c:pt idx="2">
                  <c:v>98</c:v>
                </c:pt>
              </c:numCache>
            </c:numRef>
          </c:val>
          <c:extLst>
            <c:ext xmlns:c16="http://schemas.microsoft.com/office/drawing/2014/chart" uri="{C3380CC4-5D6E-409C-BE32-E72D297353CC}">
              <c16:uniqueId val="{00000004-565D-4375-BB21-8C6D1E025F82}"/>
            </c:ext>
          </c:extLst>
        </c:ser>
        <c:ser>
          <c:idx val="5"/>
          <c:order val="5"/>
          <c:tx>
            <c:v>Reinclusión</c:v>
          </c:tx>
          <c:spPr>
            <a:solidFill>
              <a:srgbClr val="FFC000"/>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Movimientos!$F$9:$F$11</c:f>
              <c:numCache>
                <c:formatCode>#,##0</c:formatCode>
                <c:ptCount val="3"/>
                <c:pt idx="0">
                  <c:v>81</c:v>
                </c:pt>
                <c:pt idx="1">
                  <c:v>108</c:v>
                </c:pt>
                <c:pt idx="2">
                  <c:v>54</c:v>
                </c:pt>
              </c:numCache>
            </c:numRef>
          </c:val>
          <c:extLst>
            <c:ext xmlns:c16="http://schemas.microsoft.com/office/drawing/2014/chart" uri="{C3380CC4-5D6E-409C-BE32-E72D297353CC}">
              <c16:uniqueId val="{00000005-565D-4375-BB21-8C6D1E025F82}"/>
            </c:ext>
          </c:extLst>
        </c:ser>
        <c:dLbls>
          <c:dLblPos val="inEnd"/>
          <c:showLegendKey val="0"/>
          <c:showVal val="1"/>
          <c:showCatName val="0"/>
          <c:showSerName val="0"/>
          <c:showPercent val="0"/>
          <c:showBubbleSize val="0"/>
        </c:dLbls>
        <c:gapWidth val="150"/>
        <c:axId val="1665022896"/>
        <c:axId val="1665031056"/>
      </c:barChart>
      <c:catAx>
        <c:axId val="1665022896"/>
        <c:scaling>
          <c:orientation val="minMax"/>
        </c:scaling>
        <c:delete val="0"/>
        <c:axPos val="l"/>
        <c:numFmt formatCode="General" sourceLinked="0"/>
        <c:majorTickMark val="none"/>
        <c:minorTickMark val="none"/>
        <c:tickLblPos val="nextTo"/>
        <c:txPr>
          <a:bodyPr/>
          <a:lstStyle/>
          <a:p>
            <a:pPr>
              <a:defRPr b="1"/>
            </a:pPr>
            <a:endParaRPr lang="es-DO"/>
          </a:p>
        </c:txPr>
        <c:crossAx val="1665031056"/>
        <c:crosses val="autoZero"/>
        <c:auto val="1"/>
        <c:lblAlgn val="ctr"/>
        <c:lblOffset val="100"/>
        <c:noMultiLvlLbl val="0"/>
      </c:catAx>
      <c:valAx>
        <c:axId val="1665031056"/>
        <c:scaling>
          <c:logBase val="10"/>
          <c:orientation val="minMax"/>
        </c:scaling>
        <c:delete val="0"/>
        <c:axPos val="b"/>
        <c:numFmt formatCode="#,##0" sourceLinked="1"/>
        <c:majorTickMark val="none"/>
        <c:minorTickMark val="none"/>
        <c:tickLblPos val="nextTo"/>
        <c:txPr>
          <a:bodyPr/>
          <a:lstStyle/>
          <a:p>
            <a:pPr>
              <a:defRPr b="1"/>
            </a:pPr>
            <a:endParaRPr lang="es-DO"/>
          </a:p>
        </c:txPr>
        <c:crossAx val="1665022896"/>
        <c:crosses val="autoZero"/>
        <c:crossBetween val="between"/>
      </c:valAx>
    </c:plotArea>
    <c:legend>
      <c:legendPos val="r"/>
      <c:overlay val="0"/>
      <c:txPr>
        <a:bodyPr/>
        <a:lstStyle/>
        <a:p>
          <a:pPr>
            <a:defRPr b="1"/>
          </a:pPr>
          <a:endParaRPr lang="es-DO"/>
        </a:p>
      </c:txPr>
    </c:legend>
    <c:plotVisOnly val="1"/>
    <c:dispBlanksAs val="gap"/>
    <c:showDLblsOverMax val="0"/>
  </c:chart>
  <c:spPr>
    <a:ln>
      <a:solidFill>
        <a:schemeClr val="bg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'Afiliados y Cotizantes'!$B$6</c:f>
              <c:strCache>
                <c:ptCount val="1"/>
                <c:pt idx="0">
                  <c:v>Afiliados al Sistema de Reparto</c:v>
                </c:pt>
              </c:strCache>
            </c:strRef>
          </c:tx>
          <c:spPr>
            <a:solidFill>
              <a:schemeClr val="bg1">
                <a:lumMod val="75000"/>
              </a:schemeClr>
            </a:solidFill>
            <a:ln>
              <a:solidFill>
                <a:schemeClr val="bg1">
                  <a:lumMod val="75000"/>
                </a:schemeClr>
              </a:solidFill>
            </a:ln>
          </c:spPr>
          <c:invertIfNegative val="0"/>
          <c:dLbls>
            <c:dLbl>
              <c:idx val="0"/>
              <c:layout>
                <c:manualLayout>
                  <c:x val="2.3665036994507917E-17"/>
                  <c:y val="0.22250136602998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54-4B02-BE0A-FF69FF46AF7C}"/>
                </c:ext>
              </c:extLst>
            </c:dLbl>
            <c:dLbl>
              <c:idx val="1"/>
              <c:layout>
                <c:manualLayout>
                  <c:x val="-2.5816702227310574E-3"/>
                  <c:y val="0.477557014024595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54-4B02-BE0A-FF69FF46AF7C}"/>
                </c:ext>
              </c:extLst>
            </c:dLbl>
            <c:dLbl>
              <c:idx val="2"/>
              <c:layout>
                <c:manualLayout>
                  <c:x val="0"/>
                  <c:y val="0.238922704380146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54-4B02-BE0A-FF69FF46AF7C}"/>
                </c:ext>
              </c:extLst>
            </c:dLbl>
            <c:spPr>
              <a:noFill/>
              <a:ln>
                <a:noFill/>
              </a:ln>
              <a:effectLst/>
            </c:spPr>
            <c:txPr>
              <a:bodyPr rot="-5400000" vert="horz"/>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Marzo</c:v>
                </c:pt>
                <c:pt idx="1">
                  <c:v>Febrero</c:v>
                </c:pt>
                <c:pt idx="2">
                  <c:v>Enero</c:v>
                </c:pt>
              </c:strCache>
            </c:strRef>
          </c:cat>
          <c:val>
            <c:numRef>
              <c:f>'Afiliados y Cotizantes'!$B$7:$B$9</c:f>
              <c:numCache>
                <c:formatCode>#,##0</c:formatCode>
                <c:ptCount val="3"/>
                <c:pt idx="0">
                  <c:v>91034</c:v>
                </c:pt>
                <c:pt idx="1">
                  <c:v>90929</c:v>
                </c:pt>
                <c:pt idx="2">
                  <c:v>90817</c:v>
                </c:pt>
              </c:numCache>
            </c:numRef>
          </c:val>
          <c:extLst>
            <c:ext xmlns:c16="http://schemas.microsoft.com/office/drawing/2014/chart" uri="{C3380CC4-5D6E-409C-BE32-E72D297353CC}">
              <c16:uniqueId val="{00000003-6854-4B02-BE0A-FF69FF46AF7C}"/>
            </c:ext>
          </c:extLst>
        </c:ser>
        <c:ser>
          <c:idx val="1"/>
          <c:order val="1"/>
          <c:tx>
            <c:strRef>
              <c:f>'Afiliados y Cotizantes'!$C$6</c:f>
              <c:strCache>
                <c:ptCount val="1"/>
                <c:pt idx="0">
                  <c:v>Cotizantes</c:v>
                </c:pt>
              </c:strCache>
            </c:strRef>
          </c:tx>
          <c:spPr>
            <a:solidFill>
              <a:schemeClr val="accent3">
                <a:lumMod val="60000"/>
                <a:lumOff val="40000"/>
              </a:schemeClr>
            </a:solidFill>
          </c:spPr>
          <c:invertIfNegative val="0"/>
          <c:dLbls>
            <c:dLbl>
              <c:idx val="0"/>
              <c:layout>
                <c:manualLayout>
                  <c:x val="-7.7577334418827987E-3"/>
                  <c:y val="0.193668502136946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54-4B02-BE0A-FF69FF46AF7C}"/>
                </c:ext>
              </c:extLst>
            </c:dLbl>
            <c:dLbl>
              <c:idx val="1"/>
              <c:layout>
                <c:manualLayout>
                  <c:x val="0"/>
                  <c:y val="0.194444431985712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54-4B02-BE0A-FF69FF46AF7C}"/>
                </c:ext>
              </c:extLst>
            </c:dLbl>
            <c:dLbl>
              <c:idx val="2"/>
              <c:layout>
                <c:manualLayout>
                  <c:x val="2.5859897607539758E-3"/>
                  <c:y val="0.194735069293226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54-4B02-BE0A-FF69FF46AF7C}"/>
                </c:ext>
              </c:extLst>
            </c:dLbl>
            <c:spPr>
              <a:noFill/>
              <a:ln>
                <a:noFill/>
              </a:ln>
              <a:effectLst/>
            </c:spPr>
            <c:txPr>
              <a:bodyPr rot="-5400000" vert="horz"/>
              <a:lstStyle/>
              <a:p>
                <a:pPr>
                  <a:defRPr sz="1050" baseline="0"/>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Marzo</c:v>
                </c:pt>
                <c:pt idx="1">
                  <c:v>Febrero</c:v>
                </c:pt>
                <c:pt idx="2">
                  <c:v>Enero</c:v>
                </c:pt>
              </c:strCache>
            </c:strRef>
          </c:cat>
          <c:val>
            <c:numRef>
              <c:f>'Afiliados y Cotizantes'!$C$7:$C$9</c:f>
              <c:numCache>
                <c:formatCode>#,##0</c:formatCode>
                <c:ptCount val="3"/>
                <c:pt idx="0">
                  <c:v>24241</c:v>
                </c:pt>
                <c:pt idx="1">
                  <c:v>25438</c:v>
                </c:pt>
                <c:pt idx="2">
                  <c:v>25267</c:v>
                </c:pt>
              </c:numCache>
            </c:numRef>
          </c:val>
          <c:extLst>
            <c:ext xmlns:c16="http://schemas.microsoft.com/office/drawing/2014/chart" uri="{C3380CC4-5D6E-409C-BE32-E72D297353CC}">
              <c16:uniqueId val="{00000007-6854-4B02-BE0A-FF69FF46AF7C}"/>
            </c:ext>
          </c:extLst>
        </c:ser>
        <c:dLbls>
          <c:showLegendKey val="0"/>
          <c:showVal val="1"/>
          <c:showCatName val="0"/>
          <c:showSerName val="0"/>
          <c:showPercent val="0"/>
          <c:showBubbleSize val="0"/>
        </c:dLbls>
        <c:gapWidth val="75"/>
        <c:axId val="1578271600"/>
        <c:axId val="1578260720"/>
      </c:barChart>
      <c:lineChart>
        <c:grouping val="standard"/>
        <c:varyColors val="0"/>
        <c:ser>
          <c:idx val="2"/>
          <c:order val="2"/>
          <c:tx>
            <c:strRef>
              <c:f>'Afiliados y Cotizantes'!$D$6</c:f>
              <c:strCache>
                <c:ptCount val="1"/>
                <c:pt idx="0">
                  <c:v>% Cotizantes</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Lbls>
            <c:dLbl>
              <c:idx val="0"/>
              <c:layout>
                <c:manualLayout>
                  <c:x val="-7.7272093495421197E-3"/>
                  <c:y val="-8.1490126180545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54-4B02-BE0A-FF69FF46AF7C}"/>
                </c:ext>
              </c:extLst>
            </c:dLbl>
            <c:dLbl>
              <c:idx val="1"/>
              <c:layout>
                <c:manualLayout>
                  <c:x val="-2.3235032004579517E-2"/>
                  <c:y val="-0.113737411883746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854-4B02-BE0A-FF69FF46AF7C}"/>
                </c:ext>
              </c:extLst>
            </c:dLbl>
            <c:dLbl>
              <c:idx val="2"/>
              <c:layout>
                <c:manualLayout>
                  <c:x val="-3.4707803203467044E-2"/>
                  <c:y val="2.8480662078962746E-3"/>
                </c:manualLayout>
              </c:layout>
              <c:spPr>
                <a:noFill/>
                <a:ln>
                  <a:noFill/>
                </a:ln>
                <a:effectLst/>
              </c:spPr>
              <c:txPr>
                <a:bodyPr wrap="square" lIns="38100" tIns="19050" rIns="38100" bIns="19050" anchor="ctr">
                  <a:noAutofit/>
                </a:bodyPr>
                <a:lstStyle/>
                <a:p>
                  <a:pPr>
                    <a:defRPr sz="900" b="1"/>
                  </a:pPr>
                  <a:endParaRPr lang="es-DO"/>
                </a:p>
              </c:txPr>
              <c:showLegendKey val="0"/>
              <c:showVal val="1"/>
              <c:showCatName val="0"/>
              <c:showSerName val="0"/>
              <c:showPercent val="0"/>
              <c:showBubbleSize val="0"/>
              <c:extLst>
                <c:ext xmlns:c15="http://schemas.microsoft.com/office/drawing/2012/chart" uri="{CE6537A1-D6FC-4f65-9D91-7224C49458BB}">
                  <c15:layout>
                    <c:manualLayout>
                      <c:w val="0.13795129235811132"/>
                      <c:h val="0.13217897696564784"/>
                    </c:manualLayout>
                  </c15:layout>
                </c:ext>
                <c:ext xmlns:c16="http://schemas.microsoft.com/office/drawing/2014/chart" uri="{C3380CC4-5D6E-409C-BE32-E72D297353CC}">
                  <c16:uniqueId val="{0000000A-6854-4B02-BE0A-FF69FF46AF7C}"/>
                </c:ext>
              </c:extLst>
            </c:dLbl>
            <c:spPr>
              <a:noFill/>
              <a:ln>
                <a:noFill/>
              </a:ln>
              <a:effectLst/>
            </c:spPr>
            <c:txPr>
              <a:bodyPr wrap="square" lIns="38100" tIns="19050" rIns="38100" bIns="19050" anchor="ctr">
                <a:spAutoFit/>
              </a:bodyPr>
              <a:lstStyle/>
              <a:p>
                <a:pPr>
                  <a:defRPr sz="900"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Marzo</c:v>
                </c:pt>
                <c:pt idx="1">
                  <c:v>Febrero</c:v>
                </c:pt>
                <c:pt idx="2">
                  <c:v>Enero</c:v>
                </c:pt>
              </c:strCache>
            </c:strRef>
          </c:cat>
          <c:val>
            <c:numRef>
              <c:f>'Afiliados y Cotizantes'!$D$7:$D$9</c:f>
              <c:numCache>
                <c:formatCode>0.00%</c:formatCode>
                <c:ptCount val="3"/>
                <c:pt idx="0">
                  <c:v>0.26628512423929523</c:v>
                </c:pt>
                <c:pt idx="1">
                  <c:v>0.27975673327541267</c:v>
                </c:pt>
                <c:pt idx="2">
                  <c:v>0.2782188356805444</c:v>
                </c:pt>
              </c:numCache>
            </c:numRef>
          </c:val>
          <c:smooth val="0"/>
          <c:extLst>
            <c:ext xmlns:c16="http://schemas.microsoft.com/office/drawing/2014/chart" uri="{C3380CC4-5D6E-409C-BE32-E72D297353CC}">
              <c16:uniqueId val="{0000000B-6854-4B02-BE0A-FF69FF46AF7C}"/>
            </c:ext>
          </c:extLst>
        </c:ser>
        <c:dLbls>
          <c:showLegendKey val="0"/>
          <c:showVal val="1"/>
          <c:showCatName val="0"/>
          <c:showSerName val="0"/>
          <c:showPercent val="0"/>
          <c:showBubbleSize val="0"/>
        </c:dLbls>
        <c:marker val="1"/>
        <c:smooth val="0"/>
        <c:axId val="1578262352"/>
        <c:axId val="1578258544"/>
      </c:lineChart>
      <c:catAx>
        <c:axId val="1578271600"/>
        <c:scaling>
          <c:orientation val="minMax"/>
        </c:scaling>
        <c:delete val="0"/>
        <c:axPos val="b"/>
        <c:numFmt formatCode="General" sourceLinked="0"/>
        <c:majorTickMark val="none"/>
        <c:minorTickMark val="none"/>
        <c:tickLblPos val="nextTo"/>
        <c:crossAx val="1578260720"/>
        <c:crosses val="autoZero"/>
        <c:auto val="1"/>
        <c:lblAlgn val="ctr"/>
        <c:lblOffset val="100"/>
        <c:noMultiLvlLbl val="0"/>
      </c:catAx>
      <c:valAx>
        <c:axId val="1578260720"/>
        <c:scaling>
          <c:orientation val="minMax"/>
        </c:scaling>
        <c:delete val="0"/>
        <c:axPos val="l"/>
        <c:numFmt formatCode="#,##0" sourceLinked="1"/>
        <c:majorTickMark val="none"/>
        <c:minorTickMark val="none"/>
        <c:tickLblPos val="nextTo"/>
        <c:crossAx val="1578271600"/>
        <c:crosses val="autoZero"/>
        <c:crossBetween val="between"/>
      </c:valAx>
      <c:valAx>
        <c:axId val="1578258544"/>
        <c:scaling>
          <c:orientation val="minMax"/>
        </c:scaling>
        <c:delete val="0"/>
        <c:axPos val="r"/>
        <c:numFmt formatCode="0.00%" sourceLinked="1"/>
        <c:majorTickMark val="out"/>
        <c:minorTickMark val="none"/>
        <c:tickLblPos val="nextTo"/>
        <c:crossAx val="1578262352"/>
        <c:crosses val="max"/>
        <c:crossBetween val="between"/>
      </c:valAx>
      <c:catAx>
        <c:axId val="1578262352"/>
        <c:scaling>
          <c:orientation val="minMax"/>
        </c:scaling>
        <c:delete val="1"/>
        <c:axPos val="b"/>
        <c:numFmt formatCode="General" sourceLinked="1"/>
        <c:majorTickMark val="out"/>
        <c:minorTickMark val="none"/>
        <c:tickLblPos val="nextTo"/>
        <c:crossAx val="1578258544"/>
        <c:crosses val="autoZero"/>
        <c:auto val="1"/>
        <c:lblAlgn val="ctr"/>
        <c:lblOffset val="100"/>
        <c:noMultiLvlLbl val="0"/>
      </c:catAx>
    </c:plotArea>
    <c:legend>
      <c:legendPos val="b"/>
      <c:overlay val="0"/>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bar"/>
        <c:grouping val="clustered"/>
        <c:varyColors val="0"/>
        <c:ser>
          <c:idx val="0"/>
          <c:order val="0"/>
          <c:tx>
            <c:v>Inclusiones</c:v>
          </c:tx>
          <c:spPr>
            <a:solidFill>
              <a:schemeClr val="bg1">
                <a:lumMod val="75000"/>
              </a:schemeClr>
            </a:solidFill>
            <a:ln>
              <a:solidFill>
                <a:schemeClr val="bg1">
                  <a:lumMod val="75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Marzo</c:v>
                </c:pt>
                <c:pt idx="1">
                  <c:v>Febrero</c:v>
                </c:pt>
                <c:pt idx="2">
                  <c:v>Enero</c:v>
                </c:pt>
              </c:strCache>
            </c:strRef>
          </c:cat>
          <c:val>
            <c:numRef>
              <c:f>Movimientos!$C$9:$C$11</c:f>
              <c:numCache>
                <c:formatCode>#,##0.00</c:formatCode>
                <c:ptCount val="3"/>
                <c:pt idx="0">
                  <c:v>48508817.200000003</c:v>
                </c:pt>
                <c:pt idx="1">
                  <c:v>56840436.420000002</c:v>
                </c:pt>
                <c:pt idx="2">
                  <c:v>31462972.59</c:v>
                </c:pt>
              </c:numCache>
            </c:numRef>
          </c:val>
          <c:extLst>
            <c:ext xmlns:c16="http://schemas.microsoft.com/office/drawing/2014/chart" uri="{C3380CC4-5D6E-409C-BE32-E72D297353CC}">
              <c16:uniqueId val="{00000000-5149-49A7-9ED4-8922C1B4A086}"/>
            </c:ext>
          </c:extLst>
        </c:ser>
        <c:ser>
          <c:idx val="1"/>
          <c:order val="1"/>
          <c:tx>
            <c:v>Aumentos</c:v>
          </c:tx>
          <c:spPr>
            <a:solidFill>
              <a:schemeClr val="accent3">
                <a:lumMod val="20000"/>
                <a:lumOff val="80000"/>
              </a:schemeClr>
            </a:solidFill>
            <a:ln>
              <a:solidFill>
                <a:schemeClr val="accent3">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Marzo</c:v>
                </c:pt>
                <c:pt idx="1">
                  <c:v>Febrero</c:v>
                </c:pt>
                <c:pt idx="2">
                  <c:v>Enero</c:v>
                </c:pt>
              </c:strCache>
            </c:strRef>
          </c:cat>
          <c:val>
            <c:numRef>
              <c:f>Movimientos!$I$9:$I$11</c:f>
              <c:numCache>
                <c:formatCode>#,##0.00</c:formatCode>
                <c:ptCount val="3"/>
                <c:pt idx="0">
                  <c:v>827750.25</c:v>
                </c:pt>
                <c:pt idx="1">
                  <c:v>2585829.08</c:v>
                </c:pt>
                <c:pt idx="2">
                  <c:v>258968.12000000002</c:v>
                </c:pt>
              </c:numCache>
            </c:numRef>
          </c:val>
          <c:extLst>
            <c:ext xmlns:c16="http://schemas.microsoft.com/office/drawing/2014/chart" uri="{C3380CC4-5D6E-409C-BE32-E72D297353CC}">
              <c16:uniqueId val="{00000001-5149-49A7-9ED4-8922C1B4A086}"/>
            </c:ext>
          </c:extLst>
        </c:ser>
        <c:ser>
          <c:idx val="2"/>
          <c:order val="2"/>
          <c:tx>
            <c:v>Exclusiones</c:v>
          </c:tx>
          <c:spPr>
            <a:solidFill>
              <a:schemeClr val="accent1">
                <a:lumMod val="60000"/>
                <a:lumOff val="40000"/>
              </a:schemeClr>
            </a:solidFill>
            <a:ln>
              <a:solidFill>
                <a:schemeClr val="accent1">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Marzo</c:v>
                </c:pt>
                <c:pt idx="1">
                  <c:v>Febrero</c:v>
                </c:pt>
                <c:pt idx="2">
                  <c:v>Enero</c:v>
                </c:pt>
              </c:strCache>
            </c:strRef>
          </c:cat>
          <c:val>
            <c:numRef>
              <c:f>Movimientos!$K$9:$K$11</c:f>
              <c:numCache>
                <c:formatCode>#,##0.00</c:formatCode>
                <c:ptCount val="3"/>
                <c:pt idx="0">
                  <c:v>6547333.3100000005</c:v>
                </c:pt>
                <c:pt idx="1">
                  <c:v>5787675.2400000002</c:v>
                </c:pt>
                <c:pt idx="2">
                  <c:v>3591619.03</c:v>
                </c:pt>
              </c:numCache>
            </c:numRef>
          </c:val>
          <c:extLst>
            <c:ext xmlns:c16="http://schemas.microsoft.com/office/drawing/2014/chart" uri="{C3380CC4-5D6E-409C-BE32-E72D297353CC}">
              <c16:uniqueId val="{00000002-5149-49A7-9ED4-8922C1B4A086}"/>
            </c:ext>
          </c:extLst>
        </c:ser>
        <c:ser>
          <c:idx val="3"/>
          <c:order val="3"/>
          <c:tx>
            <c:v>Suspensiones</c:v>
          </c:tx>
          <c:spPr>
            <a:solidFill>
              <a:schemeClr val="accent6">
                <a:lumMod val="60000"/>
                <a:lumOff val="40000"/>
              </a:schemeClr>
            </a:solidFill>
            <a:ln>
              <a:solidFill>
                <a:schemeClr val="accent6">
                  <a:lumMod val="60000"/>
                  <a:lumOff val="40000"/>
                </a:schemeClr>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Movimientos!$A$9:$A$11</c:f>
              <c:strCache>
                <c:ptCount val="3"/>
                <c:pt idx="0">
                  <c:v>Marzo</c:v>
                </c:pt>
                <c:pt idx="1">
                  <c:v>Febrero</c:v>
                </c:pt>
                <c:pt idx="2">
                  <c:v>Enero</c:v>
                </c:pt>
              </c:strCache>
            </c:strRef>
          </c:cat>
          <c:val>
            <c:numRef>
              <c:f>Movimientos!$M$9:$M$11</c:f>
              <c:numCache>
                <c:formatCode>#,##0.00</c:formatCode>
                <c:ptCount val="3"/>
                <c:pt idx="0">
                  <c:v>1948036.7</c:v>
                </c:pt>
                <c:pt idx="1">
                  <c:v>938106.97</c:v>
                </c:pt>
                <c:pt idx="2">
                  <c:v>721137</c:v>
                </c:pt>
              </c:numCache>
            </c:numRef>
          </c:val>
          <c:extLst>
            <c:ext xmlns:c16="http://schemas.microsoft.com/office/drawing/2014/chart" uri="{C3380CC4-5D6E-409C-BE32-E72D297353CC}">
              <c16:uniqueId val="{00000003-5149-49A7-9ED4-8922C1B4A086}"/>
            </c:ext>
          </c:extLst>
        </c:ser>
        <c:ser>
          <c:idx val="4"/>
          <c:order val="4"/>
          <c:tx>
            <c:v>Sobrevivencia</c:v>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Movimientos!$E$9:$E$11</c:f>
              <c:numCache>
                <c:formatCode>#,##0.00</c:formatCode>
                <c:ptCount val="3"/>
                <c:pt idx="0">
                  <c:v>2306198.64</c:v>
                </c:pt>
                <c:pt idx="1">
                  <c:v>1472890.58</c:v>
                </c:pt>
                <c:pt idx="2">
                  <c:v>1402779.25</c:v>
                </c:pt>
              </c:numCache>
            </c:numRef>
          </c:val>
          <c:extLst>
            <c:ext xmlns:c16="http://schemas.microsoft.com/office/drawing/2014/chart" uri="{C3380CC4-5D6E-409C-BE32-E72D297353CC}">
              <c16:uniqueId val="{00000004-5149-49A7-9ED4-8922C1B4A086}"/>
            </c:ext>
          </c:extLst>
        </c:ser>
        <c:ser>
          <c:idx val="5"/>
          <c:order val="5"/>
          <c:tx>
            <c:v>Reinclusión</c:v>
          </c:tx>
          <c:spPr>
            <a:solidFill>
              <a:srgbClr val="FFC000"/>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Movimientos!$G$9:$G$11</c:f>
              <c:numCache>
                <c:formatCode>#,##0.00</c:formatCode>
                <c:ptCount val="3"/>
                <c:pt idx="0">
                  <c:v>906427.17999999993</c:v>
                </c:pt>
                <c:pt idx="1">
                  <c:v>1375846.75</c:v>
                </c:pt>
                <c:pt idx="2">
                  <c:v>733334.45</c:v>
                </c:pt>
              </c:numCache>
            </c:numRef>
          </c:val>
          <c:extLst>
            <c:ext xmlns:c16="http://schemas.microsoft.com/office/drawing/2014/chart" uri="{C3380CC4-5D6E-409C-BE32-E72D297353CC}">
              <c16:uniqueId val="{00000005-5149-49A7-9ED4-8922C1B4A086}"/>
            </c:ext>
          </c:extLst>
        </c:ser>
        <c:dLbls>
          <c:dLblPos val="inEnd"/>
          <c:showLegendKey val="0"/>
          <c:showVal val="1"/>
          <c:showCatName val="0"/>
          <c:showSerName val="0"/>
          <c:showPercent val="0"/>
          <c:showBubbleSize val="0"/>
        </c:dLbls>
        <c:gapWidth val="150"/>
        <c:axId val="1665025616"/>
        <c:axId val="1670809952"/>
      </c:barChart>
      <c:catAx>
        <c:axId val="1665025616"/>
        <c:scaling>
          <c:orientation val="minMax"/>
        </c:scaling>
        <c:delete val="0"/>
        <c:axPos val="l"/>
        <c:numFmt formatCode="General" sourceLinked="0"/>
        <c:majorTickMark val="none"/>
        <c:minorTickMark val="none"/>
        <c:tickLblPos val="nextTo"/>
        <c:txPr>
          <a:bodyPr/>
          <a:lstStyle/>
          <a:p>
            <a:pPr>
              <a:defRPr b="1"/>
            </a:pPr>
            <a:endParaRPr lang="es-DO"/>
          </a:p>
        </c:txPr>
        <c:crossAx val="1670809952"/>
        <c:crosses val="autoZero"/>
        <c:auto val="1"/>
        <c:lblAlgn val="ctr"/>
        <c:lblOffset val="100"/>
        <c:noMultiLvlLbl val="0"/>
      </c:catAx>
      <c:valAx>
        <c:axId val="1670809952"/>
        <c:scaling>
          <c:logBase val="10"/>
          <c:orientation val="minMax"/>
          <c:max val="51000000"/>
          <c:min val="500000"/>
        </c:scaling>
        <c:delete val="0"/>
        <c:axPos val="b"/>
        <c:numFmt formatCode="#,##0.00" sourceLinked="1"/>
        <c:majorTickMark val="none"/>
        <c:minorTickMark val="none"/>
        <c:tickLblPos val="nextTo"/>
        <c:txPr>
          <a:bodyPr/>
          <a:lstStyle/>
          <a:p>
            <a:pPr>
              <a:defRPr b="1"/>
            </a:pPr>
            <a:endParaRPr lang="es-DO"/>
          </a:p>
        </c:txPr>
        <c:crossAx val="1665025616"/>
        <c:crosses val="autoZero"/>
        <c:crossBetween val="between"/>
        <c:majorUnit val="10"/>
      </c:valAx>
    </c:plotArea>
    <c:legend>
      <c:legendPos val="r"/>
      <c:overlay val="0"/>
      <c:txPr>
        <a:bodyPr/>
        <a:lstStyle/>
        <a:p>
          <a:pPr>
            <a:defRPr b="1"/>
          </a:pPr>
          <a:endParaRPr lang="es-DO"/>
        </a:p>
      </c:txPr>
    </c:legend>
    <c:plotVisOnly val="1"/>
    <c:dispBlanksAs val="gap"/>
    <c:showDLblsOverMax val="0"/>
  </c:chart>
  <c:spPr>
    <a:ln>
      <a:solidFill>
        <a:schemeClr val="bg1"/>
      </a:solid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Cantidad</a:t>
            </a:r>
            <a:r>
              <a:rPr lang="es-DO" baseline="0"/>
              <a:t> de Pensiones por Tipo de Pensión</a:t>
            </a:r>
            <a:endParaRPr lang="es-D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v>Enero-Marzo 2023</c:v>
          </c:tx>
          <c:spPr>
            <a:solidFill>
              <a:schemeClr val="bg1">
                <a:lumMod val="75000"/>
              </a:schemeClr>
            </a:solidFill>
            <a:ln>
              <a:noFill/>
            </a:ln>
            <a:effectLst/>
          </c:spPr>
          <c:invertIfNegative val="0"/>
          <c:cat>
            <c:strRef>
              <c:f>'Tipo de Pension'!$A$11:$A$19</c:f>
              <c:strCache>
                <c:ptCount val="9"/>
                <c:pt idx="0">
                  <c:v>PENSIÓN CIVIL</c:v>
                </c:pt>
                <c:pt idx="1">
                  <c:v>IDSS</c:v>
                </c:pt>
                <c:pt idx="2">
                  <c:v>GLORIAS DEL DEPORTE</c:v>
                </c:pt>
                <c:pt idx="3">
                  <c:v>PABELLÓN DE LA FAMA</c:v>
                </c:pt>
                <c:pt idx="4">
                  <c:v>PODER LEGISLATIVO</c:v>
                </c:pt>
                <c:pt idx="5">
                  <c:v>PODER EJECUTIVO</c:v>
                </c:pt>
                <c:pt idx="6">
                  <c:v>POLICÍA NACIONAL</c:v>
                </c:pt>
                <c:pt idx="7">
                  <c:v>PENSIÓN SOLIDARIA</c:v>
                </c:pt>
                <c:pt idx="8">
                  <c:v>PENSION POR SOBREVIVENCIA</c:v>
                </c:pt>
              </c:strCache>
            </c:strRef>
          </c:cat>
          <c:val>
            <c:numRef>
              <c:f>'Tipo de Pension'!$B$11:$B$19</c:f>
              <c:numCache>
                <c:formatCode>#,##0</c:formatCode>
                <c:ptCount val="9"/>
                <c:pt idx="0">
                  <c:v>32199</c:v>
                </c:pt>
                <c:pt idx="1">
                  <c:v>64416</c:v>
                </c:pt>
                <c:pt idx="2">
                  <c:v>255</c:v>
                </c:pt>
                <c:pt idx="3">
                  <c:v>159</c:v>
                </c:pt>
                <c:pt idx="4">
                  <c:v>250</c:v>
                </c:pt>
                <c:pt idx="5">
                  <c:v>27655</c:v>
                </c:pt>
                <c:pt idx="6">
                  <c:v>24120</c:v>
                </c:pt>
                <c:pt idx="7">
                  <c:v>28481</c:v>
                </c:pt>
                <c:pt idx="8">
                  <c:v>19021</c:v>
                </c:pt>
              </c:numCache>
            </c:numRef>
          </c:val>
          <c:extLst>
            <c:ext xmlns:c16="http://schemas.microsoft.com/office/drawing/2014/chart" uri="{C3380CC4-5D6E-409C-BE32-E72D297353CC}">
              <c16:uniqueId val="{00000000-B4F9-4047-9F40-71C6BD8AD3E7}"/>
            </c:ext>
          </c:extLst>
        </c:ser>
        <c:ser>
          <c:idx val="1"/>
          <c:order val="1"/>
          <c:tx>
            <c:v>Enero-Marzo 2024</c:v>
          </c:tx>
          <c:spPr>
            <a:solidFill>
              <a:schemeClr val="accent3"/>
            </a:solidFill>
            <a:ln>
              <a:noFill/>
            </a:ln>
            <a:effectLst/>
          </c:spPr>
          <c:invertIfNegative val="0"/>
          <c:cat>
            <c:strRef>
              <c:f>'Tipo de Pension'!$A$11:$A$19</c:f>
              <c:strCache>
                <c:ptCount val="9"/>
                <c:pt idx="0">
                  <c:v>PENSIÓN CIVIL</c:v>
                </c:pt>
                <c:pt idx="1">
                  <c:v>IDSS</c:v>
                </c:pt>
                <c:pt idx="2">
                  <c:v>GLORIAS DEL DEPORTE</c:v>
                </c:pt>
                <c:pt idx="3">
                  <c:v>PABELLÓN DE LA FAMA</c:v>
                </c:pt>
                <c:pt idx="4">
                  <c:v>PODER LEGISLATIVO</c:v>
                </c:pt>
                <c:pt idx="5">
                  <c:v>PODER EJECUTIVO</c:v>
                </c:pt>
                <c:pt idx="6">
                  <c:v>POLICÍA NACIONAL</c:v>
                </c:pt>
                <c:pt idx="7">
                  <c:v>PENSIÓN SOLIDARIA</c:v>
                </c:pt>
                <c:pt idx="8">
                  <c:v>PENSION POR SOBREVIVENCIA</c:v>
                </c:pt>
              </c:strCache>
            </c:strRef>
          </c:cat>
          <c:val>
            <c:numRef>
              <c:f>'Tipo de Pension'!$F$11:$F$19</c:f>
              <c:numCache>
                <c:formatCode>#,##0</c:formatCode>
                <c:ptCount val="9"/>
                <c:pt idx="0">
                  <c:v>33545</c:v>
                </c:pt>
                <c:pt idx="1">
                  <c:v>69432</c:v>
                </c:pt>
                <c:pt idx="2">
                  <c:v>253</c:v>
                </c:pt>
                <c:pt idx="3">
                  <c:v>169</c:v>
                </c:pt>
                <c:pt idx="4">
                  <c:v>229</c:v>
                </c:pt>
                <c:pt idx="5">
                  <c:v>33524</c:v>
                </c:pt>
                <c:pt idx="6">
                  <c:v>24989</c:v>
                </c:pt>
                <c:pt idx="7">
                  <c:v>47060</c:v>
                </c:pt>
                <c:pt idx="8">
                  <c:v>19857</c:v>
                </c:pt>
              </c:numCache>
            </c:numRef>
          </c:val>
          <c:extLst>
            <c:ext xmlns:c16="http://schemas.microsoft.com/office/drawing/2014/chart" uri="{C3380CC4-5D6E-409C-BE32-E72D297353CC}">
              <c16:uniqueId val="{00000001-B4F9-4047-9F40-71C6BD8AD3E7}"/>
            </c:ext>
          </c:extLst>
        </c:ser>
        <c:dLbls>
          <c:showLegendKey val="0"/>
          <c:showVal val="0"/>
          <c:showCatName val="0"/>
          <c:showSerName val="0"/>
          <c:showPercent val="0"/>
          <c:showBubbleSize val="0"/>
        </c:dLbls>
        <c:gapWidth val="50"/>
        <c:overlap val="-10"/>
        <c:axId val="1670801792"/>
        <c:axId val="1670802336"/>
      </c:barChart>
      <c:catAx>
        <c:axId val="167080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02336"/>
        <c:crosses val="autoZero"/>
        <c:auto val="1"/>
        <c:lblAlgn val="ctr"/>
        <c:lblOffset val="100"/>
        <c:noMultiLvlLbl val="0"/>
      </c:catAx>
      <c:valAx>
        <c:axId val="1670802336"/>
        <c:scaling>
          <c:orientation val="minMax"/>
          <c:max val="70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01792"/>
        <c:crosses val="autoZero"/>
        <c:crossBetween val="between"/>
        <c:majorUnit val="10000"/>
      </c:valAx>
      <c:spPr>
        <a:noFill/>
        <a:ln>
          <a:noFill/>
        </a:ln>
        <a:effectLst/>
      </c:spPr>
    </c:plotArea>
    <c:legend>
      <c:legendPos val="b"/>
      <c:layout>
        <c:manualLayout>
          <c:xMode val="edge"/>
          <c:yMode val="edge"/>
          <c:x val="0.20097366905261974"/>
          <c:y val="0.8993319686340091"/>
          <c:w val="0.64265757475713148"/>
          <c:h val="6.82925368111922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baseline="0"/>
              <a:t>Total Pagado por Tipo de Pensión</a:t>
            </a:r>
            <a:endParaRPr lang="es-D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v>Enero-Marzo 2023</c:v>
          </c:tx>
          <c:spPr>
            <a:solidFill>
              <a:schemeClr val="bg1">
                <a:lumMod val="75000"/>
              </a:schemeClr>
            </a:solidFill>
            <a:ln>
              <a:noFill/>
            </a:ln>
            <a:effectLst/>
          </c:spPr>
          <c:invertIfNegative val="0"/>
          <c:cat>
            <c:strRef>
              <c:f>'Tipo de Pension'!$A$11:$A$19</c:f>
              <c:strCache>
                <c:ptCount val="9"/>
                <c:pt idx="0">
                  <c:v>PENSIÓN CIVIL</c:v>
                </c:pt>
                <c:pt idx="1">
                  <c:v>IDSS</c:v>
                </c:pt>
                <c:pt idx="2">
                  <c:v>GLORIAS DEL DEPORTE</c:v>
                </c:pt>
                <c:pt idx="3">
                  <c:v>PABELLÓN DE LA FAMA</c:v>
                </c:pt>
                <c:pt idx="4">
                  <c:v>PODER LEGISLATIVO</c:v>
                </c:pt>
                <c:pt idx="5">
                  <c:v>PODER EJECUTIVO</c:v>
                </c:pt>
                <c:pt idx="6">
                  <c:v>POLICÍA NACIONAL</c:v>
                </c:pt>
                <c:pt idx="7">
                  <c:v>PENSIÓN SOLIDARIA</c:v>
                </c:pt>
                <c:pt idx="8">
                  <c:v>PENSION POR SOBREVIVENCIA</c:v>
                </c:pt>
              </c:strCache>
            </c:strRef>
          </c:cat>
          <c:val>
            <c:numRef>
              <c:f>'Tipo de Pension'!$D$11:$D$19</c:f>
              <c:numCache>
                <c:formatCode>#,##0.00</c:formatCode>
                <c:ptCount val="9"/>
                <c:pt idx="0">
                  <c:v>1506888435</c:v>
                </c:pt>
                <c:pt idx="1">
                  <c:v>1986643385</c:v>
                </c:pt>
                <c:pt idx="2">
                  <c:v>22770450</c:v>
                </c:pt>
                <c:pt idx="3">
                  <c:v>23453003</c:v>
                </c:pt>
                <c:pt idx="4">
                  <c:v>22722178</c:v>
                </c:pt>
                <c:pt idx="5">
                  <c:v>2162742545</c:v>
                </c:pt>
                <c:pt idx="6">
                  <c:v>1879578488</c:v>
                </c:pt>
                <c:pt idx="7">
                  <c:v>476496000</c:v>
                </c:pt>
                <c:pt idx="8">
                  <c:v>703263893</c:v>
                </c:pt>
              </c:numCache>
            </c:numRef>
          </c:val>
          <c:extLst>
            <c:ext xmlns:c16="http://schemas.microsoft.com/office/drawing/2014/chart" uri="{C3380CC4-5D6E-409C-BE32-E72D297353CC}">
              <c16:uniqueId val="{00000000-4569-44D0-B52B-F7CCBE23C12D}"/>
            </c:ext>
          </c:extLst>
        </c:ser>
        <c:ser>
          <c:idx val="1"/>
          <c:order val="1"/>
          <c:tx>
            <c:v>Enero-Marzo 2024</c:v>
          </c:tx>
          <c:spPr>
            <a:solidFill>
              <a:schemeClr val="accent3"/>
            </a:solidFill>
            <a:ln>
              <a:noFill/>
            </a:ln>
            <a:effectLst/>
          </c:spPr>
          <c:invertIfNegative val="0"/>
          <c:cat>
            <c:strRef>
              <c:f>'Tipo de Pension'!$A$11:$A$19</c:f>
              <c:strCache>
                <c:ptCount val="9"/>
                <c:pt idx="0">
                  <c:v>PENSIÓN CIVIL</c:v>
                </c:pt>
                <c:pt idx="1">
                  <c:v>IDSS</c:v>
                </c:pt>
                <c:pt idx="2">
                  <c:v>GLORIAS DEL DEPORTE</c:v>
                </c:pt>
                <c:pt idx="3">
                  <c:v>PABELLÓN DE LA FAMA</c:v>
                </c:pt>
                <c:pt idx="4">
                  <c:v>PODER LEGISLATIVO</c:v>
                </c:pt>
                <c:pt idx="5">
                  <c:v>PODER EJECUTIVO</c:v>
                </c:pt>
                <c:pt idx="6">
                  <c:v>POLICÍA NACIONAL</c:v>
                </c:pt>
                <c:pt idx="7">
                  <c:v>PENSIÓN SOLIDARIA</c:v>
                </c:pt>
                <c:pt idx="8">
                  <c:v>PENSION POR SOBREVIVENCIA</c:v>
                </c:pt>
              </c:strCache>
            </c:strRef>
          </c:cat>
          <c:val>
            <c:numRef>
              <c:f>'Tipo de Pension'!$H$11:$H$19</c:f>
              <c:numCache>
                <c:formatCode>#,##0.00</c:formatCode>
                <c:ptCount val="9"/>
                <c:pt idx="0">
                  <c:v>1621822088.1399999</c:v>
                </c:pt>
                <c:pt idx="1">
                  <c:v>2127665759.1000001</c:v>
                </c:pt>
                <c:pt idx="2">
                  <c:v>22730663.25</c:v>
                </c:pt>
                <c:pt idx="3">
                  <c:v>25111201.280000001</c:v>
                </c:pt>
                <c:pt idx="4">
                  <c:v>21836750.169999998</c:v>
                </c:pt>
                <c:pt idx="5">
                  <c:v>2873885821.79</c:v>
                </c:pt>
                <c:pt idx="6">
                  <c:v>2163586360.77</c:v>
                </c:pt>
                <c:pt idx="7">
                  <c:v>816120000</c:v>
                </c:pt>
                <c:pt idx="8">
                  <c:v>744344196.92999995</c:v>
                </c:pt>
              </c:numCache>
            </c:numRef>
          </c:val>
          <c:extLst>
            <c:ext xmlns:c16="http://schemas.microsoft.com/office/drawing/2014/chart" uri="{C3380CC4-5D6E-409C-BE32-E72D297353CC}">
              <c16:uniqueId val="{00000001-4569-44D0-B52B-F7CCBE23C12D}"/>
            </c:ext>
          </c:extLst>
        </c:ser>
        <c:dLbls>
          <c:showLegendKey val="0"/>
          <c:showVal val="0"/>
          <c:showCatName val="0"/>
          <c:showSerName val="0"/>
          <c:showPercent val="0"/>
          <c:showBubbleSize val="0"/>
        </c:dLbls>
        <c:gapWidth val="50"/>
        <c:overlap val="-10"/>
        <c:axId val="1670808864"/>
        <c:axId val="1670811040"/>
      </c:barChart>
      <c:catAx>
        <c:axId val="167080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11040"/>
        <c:crosses val="autoZero"/>
        <c:auto val="1"/>
        <c:lblAlgn val="ctr"/>
        <c:lblOffset val="100"/>
        <c:noMultiLvlLbl val="0"/>
      </c:catAx>
      <c:valAx>
        <c:axId val="1670811040"/>
        <c:scaling>
          <c:orientation val="minMax"/>
          <c:max val="2200000000"/>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08864"/>
        <c:crosses val="autoZero"/>
        <c:crossBetween val="between"/>
        <c:majorUnit val="3000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Cantidad</a:t>
            </a:r>
            <a:r>
              <a:rPr lang="es-DO" baseline="0"/>
              <a:t> de Pensiones</a:t>
            </a:r>
          </a:p>
          <a:p>
            <a:pPr>
              <a:defRPr/>
            </a:pPr>
            <a:r>
              <a:rPr lang="es-DO" baseline="0"/>
              <a:t>por Monto de Pensión</a:t>
            </a:r>
            <a:endParaRPr lang="es-D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v>Enero-Marzo 2023</c:v>
          </c:tx>
          <c:spPr>
            <a:solidFill>
              <a:schemeClr val="bg1">
                <a:lumMod val="75000"/>
              </a:schemeClr>
            </a:solidFill>
            <a:ln>
              <a:noFill/>
            </a:ln>
            <a:effectLst/>
          </c:spPr>
          <c:invertIfNegative val="0"/>
          <c:cat>
            <c:strRef>
              <c:f>'Tipo de Pension'!$A$34:$A$46</c:f>
              <c:strCache>
                <c:ptCount val="13"/>
                <c:pt idx="0">
                  <c:v>Menos de RD$5117.50</c:v>
                </c:pt>
                <c:pt idx="1">
                  <c:v>Igual a RD$5117.51</c:v>
                </c:pt>
                <c:pt idx="2">
                  <c:v>5,117.50 - 10,000.00</c:v>
                </c:pt>
                <c:pt idx="3">
                  <c:v>10,000.00 - 20,000.00</c:v>
                </c:pt>
                <c:pt idx="4">
                  <c:v>20,000.00 - 30,000.00</c:v>
                </c:pt>
                <c:pt idx="5">
                  <c:v>30,000.00 - 40,000.00</c:v>
                </c:pt>
                <c:pt idx="6">
                  <c:v>40,000.00 - 50,000.00</c:v>
                </c:pt>
                <c:pt idx="7">
                  <c:v>50,000.00 - 60,000.00</c:v>
                </c:pt>
                <c:pt idx="8">
                  <c:v>60,000.00 - 70,000.00</c:v>
                </c:pt>
                <c:pt idx="9">
                  <c:v>70,000.00 - 80,000.00</c:v>
                </c:pt>
                <c:pt idx="10">
                  <c:v>80,000.00 - 90,000.00</c:v>
                </c:pt>
                <c:pt idx="11">
                  <c:v>90,000.00 - 100,000.00</c:v>
                </c:pt>
                <c:pt idx="12">
                  <c:v>&gt;=100,000.00</c:v>
                </c:pt>
              </c:strCache>
            </c:strRef>
          </c:cat>
          <c:val>
            <c:numRef>
              <c:f>'Tipo de Pension'!$B$34:$B$46</c:f>
              <c:numCache>
                <c:formatCode>#,##0</c:formatCode>
                <c:ptCount val="13"/>
                <c:pt idx="0">
                  <c:v>35</c:v>
                </c:pt>
                <c:pt idx="1">
                  <c:v>0</c:v>
                </c:pt>
                <c:pt idx="2">
                  <c:v>28494</c:v>
                </c:pt>
                <c:pt idx="3">
                  <c:v>121168</c:v>
                </c:pt>
                <c:pt idx="4">
                  <c:v>8817</c:v>
                </c:pt>
                <c:pt idx="5">
                  <c:v>5116</c:v>
                </c:pt>
                <c:pt idx="6">
                  <c:v>2264</c:v>
                </c:pt>
                <c:pt idx="7">
                  <c:v>3515</c:v>
                </c:pt>
                <c:pt idx="8">
                  <c:v>974</c:v>
                </c:pt>
                <c:pt idx="9">
                  <c:v>575</c:v>
                </c:pt>
                <c:pt idx="10">
                  <c:v>614</c:v>
                </c:pt>
                <c:pt idx="11">
                  <c:v>386</c:v>
                </c:pt>
                <c:pt idx="12">
                  <c:v>478</c:v>
                </c:pt>
              </c:numCache>
            </c:numRef>
          </c:val>
          <c:extLst>
            <c:ext xmlns:c16="http://schemas.microsoft.com/office/drawing/2014/chart" uri="{C3380CC4-5D6E-409C-BE32-E72D297353CC}">
              <c16:uniqueId val="{00000000-C4E5-4C06-ADE3-C67B6B3CDF6E}"/>
            </c:ext>
          </c:extLst>
        </c:ser>
        <c:ser>
          <c:idx val="1"/>
          <c:order val="1"/>
          <c:tx>
            <c:v>Ener-Marzo 2024</c:v>
          </c:tx>
          <c:spPr>
            <a:solidFill>
              <a:schemeClr val="accent3"/>
            </a:solidFill>
            <a:ln>
              <a:noFill/>
            </a:ln>
            <a:effectLst/>
          </c:spPr>
          <c:invertIfNegative val="0"/>
          <c:cat>
            <c:strRef>
              <c:f>'Tipo de Pension'!$A$34:$A$46</c:f>
              <c:strCache>
                <c:ptCount val="13"/>
                <c:pt idx="0">
                  <c:v>Menos de RD$5117.50</c:v>
                </c:pt>
                <c:pt idx="1">
                  <c:v>Igual a RD$5117.51</c:v>
                </c:pt>
                <c:pt idx="2">
                  <c:v>5,117.50 - 10,000.00</c:v>
                </c:pt>
                <c:pt idx="3">
                  <c:v>10,000.00 - 20,000.00</c:v>
                </c:pt>
                <c:pt idx="4">
                  <c:v>20,000.00 - 30,000.00</c:v>
                </c:pt>
                <c:pt idx="5">
                  <c:v>30,000.00 - 40,000.00</c:v>
                </c:pt>
                <c:pt idx="6">
                  <c:v>40,000.00 - 50,000.00</c:v>
                </c:pt>
                <c:pt idx="7">
                  <c:v>50,000.00 - 60,000.00</c:v>
                </c:pt>
                <c:pt idx="8">
                  <c:v>60,000.00 - 70,000.00</c:v>
                </c:pt>
                <c:pt idx="9">
                  <c:v>70,000.00 - 80,000.00</c:v>
                </c:pt>
                <c:pt idx="10">
                  <c:v>80,000.00 - 90,000.00</c:v>
                </c:pt>
                <c:pt idx="11">
                  <c:v>90,000.00 - 100,000.00</c:v>
                </c:pt>
                <c:pt idx="12">
                  <c:v>&gt;=100,000.00</c:v>
                </c:pt>
              </c:strCache>
            </c:strRef>
          </c:cat>
          <c:val>
            <c:numRef>
              <c:f>'Tipo de Pension'!$F$34:$F$46</c:f>
              <c:numCache>
                <c:formatCode>#,##0</c:formatCode>
                <c:ptCount val="13"/>
                <c:pt idx="0">
                  <c:v>38</c:v>
                </c:pt>
                <c:pt idx="1">
                  <c:v>0</c:v>
                </c:pt>
                <c:pt idx="2">
                  <c:v>12</c:v>
                </c:pt>
                <c:pt idx="3">
                  <c:v>128875</c:v>
                </c:pt>
                <c:pt idx="4">
                  <c:v>9993</c:v>
                </c:pt>
                <c:pt idx="5">
                  <c:v>6054</c:v>
                </c:pt>
                <c:pt idx="6">
                  <c:v>3201</c:v>
                </c:pt>
                <c:pt idx="7">
                  <c:v>4374</c:v>
                </c:pt>
                <c:pt idx="8">
                  <c:v>1229</c:v>
                </c:pt>
                <c:pt idx="9">
                  <c:v>932</c:v>
                </c:pt>
                <c:pt idx="10">
                  <c:v>972</c:v>
                </c:pt>
                <c:pt idx="11">
                  <c:v>612</c:v>
                </c:pt>
                <c:pt idx="12">
                  <c:v>717</c:v>
                </c:pt>
              </c:numCache>
            </c:numRef>
          </c:val>
          <c:extLst>
            <c:ext xmlns:c16="http://schemas.microsoft.com/office/drawing/2014/chart" uri="{C3380CC4-5D6E-409C-BE32-E72D297353CC}">
              <c16:uniqueId val="{00000001-C4E5-4C06-ADE3-C67B6B3CDF6E}"/>
            </c:ext>
          </c:extLst>
        </c:ser>
        <c:dLbls>
          <c:showLegendKey val="0"/>
          <c:showVal val="0"/>
          <c:showCatName val="0"/>
          <c:showSerName val="0"/>
          <c:showPercent val="0"/>
          <c:showBubbleSize val="0"/>
        </c:dLbls>
        <c:gapWidth val="10"/>
        <c:overlap val="-10"/>
        <c:axId val="1670812128"/>
        <c:axId val="1670796896"/>
      </c:barChart>
      <c:catAx>
        <c:axId val="167081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796896"/>
        <c:crosses val="autoZero"/>
        <c:auto val="1"/>
        <c:lblAlgn val="ctr"/>
        <c:lblOffset val="100"/>
        <c:noMultiLvlLbl val="0"/>
      </c:catAx>
      <c:valAx>
        <c:axId val="1670796896"/>
        <c:scaling>
          <c:orientation val="minMax"/>
          <c:max val="126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12128"/>
        <c:crosses val="autoZero"/>
        <c:crossBetween val="between"/>
        <c:majorUnit val="18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baseline="0"/>
              <a:t>Total Pagado por Monto de Pensión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v>Enero-Marzo 2023</c:v>
          </c:tx>
          <c:spPr>
            <a:solidFill>
              <a:schemeClr val="bg1">
                <a:lumMod val="75000"/>
              </a:schemeClr>
            </a:solidFill>
            <a:ln>
              <a:noFill/>
            </a:ln>
            <a:effectLst/>
          </c:spPr>
          <c:invertIfNegative val="0"/>
          <c:cat>
            <c:strRef>
              <c:f>'Tipo de Pension'!$A$34:$A$46</c:f>
              <c:strCache>
                <c:ptCount val="13"/>
                <c:pt idx="0">
                  <c:v>Menos de RD$5117.50</c:v>
                </c:pt>
                <c:pt idx="1">
                  <c:v>Igual a RD$5117.51</c:v>
                </c:pt>
                <c:pt idx="2">
                  <c:v>5,117.50 - 10,000.00</c:v>
                </c:pt>
                <c:pt idx="3">
                  <c:v>10,000.00 - 20,000.00</c:v>
                </c:pt>
                <c:pt idx="4">
                  <c:v>20,000.00 - 30,000.00</c:v>
                </c:pt>
                <c:pt idx="5">
                  <c:v>30,000.00 - 40,000.00</c:v>
                </c:pt>
                <c:pt idx="6">
                  <c:v>40,000.00 - 50,000.00</c:v>
                </c:pt>
                <c:pt idx="7">
                  <c:v>50,000.00 - 60,000.00</c:v>
                </c:pt>
                <c:pt idx="8">
                  <c:v>60,000.00 - 70,000.00</c:v>
                </c:pt>
                <c:pt idx="9">
                  <c:v>70,000.00 - 80,000.00</c:v>
                </c:pt>
                <c:pt idx="10">
                  <c:v>80,000.00 - 90,000.00</c:v>
                </c:pt>
                <c:pt idx="11">
                  <c:v>90,000.00 - 100,000.00</c:v>
                </c:pt>
                <c:pt idx="12">
                  <c:v>&gt;=100,000.00</c:v>
                </c:pt>
              </c:strCache>
            </c:strRef>
          </c:cat>
          <c:val>
            <c:numRef>
              <c:f>'Tipo de Pension'!$D$34:$D$46</c:f>
              <c:numCache>
                <c:formatCode>#,##0</c:formatCode>
                <c:ptCount val="13"/>
                <c:pt idx="0">
                  <c:v>507379.04</c:v>
                </c:pt>
                <c:pt idx="1">
                  <c:v>0</c:v>
                </c:pt>
                <c:pt idx="2">
                  <c:v>476796149.37</c:v>
                </c:pt>
                <c:pt idx="3">
                  <c:v>3757304665.5199995</c:v>
                </c:pt>
                <c:pt idx="4">
                  <c:v>610457118.84000003</c:v>
                </c:pt>
                <c:pt idx="5">
                  <c:v>505233848.44999999</c:v>
                </c:pt>
                <c:pt idx="6">
                  <c:v>287213827.44</c:v>
                </c:pt>
                <c:pt idx="7">
                  <c:v>524500184.10000002</c:v>
                </c:pt>
                <c:pt idx="8">
                  <c:v>185433663.54000002</c:v>
                </c:pt>
                <c:pt idx="9">
                  <c:v>117944175.16</c:v>
                </c:pt>
                <c:pt idx="10">
                  <c:v>142943487.50999999</c:v>
                </c:pt>
                <c:pt idx="11">
                  <c:v>105976702.34999999</c:v>
                </c:pt>
                <c:pt idx="12">
                  <c:v>190668688.74000001</c:v>
                </c:pt>
              </c:numCache>
            </c:numRef>
          </c:val>
          <c:extLst>
            <c:ext xmlns:c16="http://schemas.microsoft.com/office/drawing/2014/chart" uri="{C3380CC4-5D6E-409C-BE32-E72D297353CC}">
              <c16:uniqueId val="{00000000-EBA7-44F1-B06B-1E6FB69EDFA2}"/>
            </c:ext>
          </c:extLst>
        </c:ser>
        <c:ser>
          <c:idx val="1"/>
          <c:order val="1"/>
          <c:tx>
            <c:v>Enero-Marzo 2024</c:v>
          </c:tx>
          <c:spPr>
            <a:solidFill>
              <a:schemeClr val="accent3"/>
            </a:solidFill>
            <a:ln>
              <a:noFill/>
            </a:ln>
            <a:effectLst/>
          </c:spPr>
          <c:invertIfNegative val="0"/>
          <c:cat>
            <c:strRef>
              <c:f>'Tipo de Pension'!$A$34:$A$46</c:f>
              <c:strCache>
                <c:ptCount val="13"/>
                <c:pt idx="0">
                  <c:v>Menos de RD$5117.50</c:v>
                </c:pt>
                <c:pt idx="1">
                  <c:v>Igual a RD$5117.51</c:v>
                </c:pt>
                <c:pt idx="2">
                  <c:v>5,117.50 - 10,000.00</c:v>
                </c:pt>
                <c:pt idx="3">
                  <c:v>10,000.00 - 20,000.00</c:v>
                </c:pt>
                <c:pt idx="4">
                  <c:v>20,000.00 - 30,000.00</c:v>
                </c:pt>
                <c:pt idx="5">
                  <c:v>30,000.00 - 40,000.00</c:v>
                </c:pt>
                <c:pt idx="6">
                  <c:v>40,000.00 - 50,000.00</c:v>
                </c:pt>
                <c:pt idx="7">
                  <c:v>50,000.00 - 60,000.00</c:v>
                </c:pt>
                <c:pt idx="8">
                  <c:v>60,000.00 - 70,000.00</c:v>
                </c:pt>
                <c:pt idx="9">
                  <c:v>70,000.00 - 80,000.00</c:v>
                </c:pt>
                <c:pt idx="10">
                  <c:v>80,000.00 - 90,000.00</c:v>
                </c:pt>
                <c:pt idx="11">
                  <c:v>90,000.00 - 100,000.00</c:v>
                </c:pt>
                <c:pt idx="12">
                  <c:v>&gt;=100,000.00</c:v>
                </c:pt>
              </c:strCache>
            </c:strRef>
          </c:cat>
          <c:val>
            <c:numRef>
              <c:f>'Tipo de Pension'!$H$34:$H$46</c:f>
              <c:numCache>
                <c:formatCode>#,##0.00</c:formatCode>
                <c:ptCount val="13"/>
                <c:pt idx="0">
                  <c:v>564379.04</c:v>
                </c:pt>
                <c:pt idx="1">
                  <c:v>0</c:v>
                </c:pt>
                <c:pt idx="2">
                  <c:v>276129.69</c:v>
                </c:pt>
                <c:pt idx="3">
                  <c:v>3979738274.52</c:v>
                </c:pt>
                <c:pt idx="4">
                  <c:v>681234746.97000003</c:v>
                </c:pt>
                <c:pt idx="5">
                  <c:v>584389407.32000005</c:v>
                </c:pt>
                <c:pt idx="6">
                  <c:v>401228448</c:v>
                </c:pt>
                <c:pt idx="7">
                  <c:v>662349839.87</c:v>
                </c:pt>
                <c:pt idx="8">
                  <c:v>230992855.56999999</c:v>
                </c:pt>
                <c:pt idx="9">
                  <c:v>202396756.28999999</c:v>
                </c:pt>
                <c:pt idx="10">
                  <c:v>235868211.49000001</c:v>
                </c:pt>
                <c:pt idx="11">
                  <c:v>166697985.65000001</c:v>
                </c:pt>
                <c:pt idx="12">
                  <c:v>291664446.25</c:v>
                </c:pt>
              </c:numCache>
            </c:numRef>
          </c:val>
          <c:extLst>
            <c:ext xmlns:c16="http://schemas.microsoft.com/office/drawing/2014/chart" uri="{C3380CC4-5D6E-409C-BE32-E72D297353CC}">
              <c16:uniqueId val="{00000001-EBA7-44F1-B06B-1E6FB69EDFA2}"/>
            </c:ext>
          </c:extLst>
        </c:ser>
        <c:dLbls>
          <c:showLegendKey val="0"/>
          <c:showVal val="0"/>
          <c:showCatName val="0"/>
          <c:showSerName val="0"/>
          <c:showPercent val="0"/>
          <c:showBubbleSize val="0"/>
        </c:dLbls>
        <c:gapWidth val="50"/>
        <c:overlap val="-10"/>
        <c:axId val="1670802880"/>
        <c:axId val="1670803968"/>
      </c:barChart>
      <c:catAx>
        <c:axId val="167080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03968"/>
        <c:crosses val="autoZero"/>
        <c:auto val="1"/>
        <c:lblAlgn val="ctr"/>
        <c:lblOffset val="100"/>
        <c:noMultiLvlLbl val="0"/>
      </c:catAx>
      <c:valAx>
        <c:axId val="1670803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02880"/>
        <c:crosses val="autoZero"/>
        <c:crossBetween val="between"/>
      </c:valAx>
      <c:spPr>
        <a:noFill/>
        <a:ln>
          <a:noFill/>
        </a:ln>
        <a:effectLst/>
      </c:spPr>
    </c:plotArea>
    <c:legend>
      <c:legendPos val="b"/>
      <c:layout>
        <c:manualLayout>
          <c:xMode val="edge"/>
          <c:yMode val="edge"/>
          <c:x val="0.19665485564304461"/>
          <c:y val="0.89405975544116423"/>
          <c:w val="0.61224562554680662"/>
          <c:h val="7.81527829033448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Cantidad</a:t>
            </a:r>
            <a:r>
              <a:rPr lang="es-DO" baseline="0"/>
              <a:t> de Pensiones</a:t>
            </a:r>
          </a:p>
          <a:p>
            <a:pPr>
              <a:defRPr/>
            </a:pPr>
            <a:r>
              <a:rPr lang="es-DO" baseline="0"/>
              <a:t>por Edad</a:t>
            </a:r>
            <a:endParaRPr lang="es-D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v>Enero-Marzo 2023</c:v>
          </c:tx>
          <c:spPr>
            <a:solidFill>
              <a:schemeClr val="bg1">
                <a:lumMod val="75000"/>
              </a:schemeClr>
            </a:solidFill>
            <a:ln>
              <a:noFill/>
            </a:ln>
            <a:effectLst/>
          </c:spPr>
          <c:invertIfNegative val="0"/>
          <c:cat>
            <c:strRef>
              <c:f>'Tipo de Pension'!$A$56:$A$67</c:f>
              <c:strCache>
                <c:ptCount val="11"/>
                <c:pt idx="0">
                  <c:v>0-18</c:v>
                </c:pt>
                <c:pt idx="1">
                  <c:v>18-30</c:v>
                </c:pt>
                <c:pt idx="2">
                  <c:v>30-40</c:v>
                </c:pt>
                <c:pt idx="3">
                  <c:v>40-50</c:v>
                </c:pt>
                <c:pt idx="4">
                  <c:v>50-60</c:v>
                </c:pt>
                <c:pt idx="5">
                  <c:v>60-70</c:v>
                </c:pt>
                <c:pt idx="6">
                  <c:v>70-80</c:v>
                </c:pt>
                <c:pt idx="7">
                  <c:v>80-90</c:v>
                </c:pt>
                <c:pt idx="8">
                  <c:v>90-100</c:v>
                </c:pt>
                <c:pt idx="9">
                  <c:v>100</c:v>
                </c:pt>
                <c:pt idx="10">
                  <c:v>Sin fecha de nacimiento</c:v>
                </c:pt>
              </c:strCache>
            </c:strRef>
          </c:cat>
          <c:val>
            <c:numRef>
              <c:f>'Tipo de Pension'!$B$58:$B$67</c:f>
              <c:numCache>
                <c:formatCode>#,##0</c:formatCode>
                <c:ptCount val="10"/>
                <c:pt idx="0">
                  <c:v>7</c:v>
                </c:pt>
                <c:pt idx="1">
                  <c:v>62</c:v>
                </c:pt>
                <c:pt idx="2">
                  <c:v>509</c:v>
                </c:pt>
                <c:pt idx="3">
                  <c:v>2694</c:v>
                </c:pt>
                <c:pt idx="4">
                  <c:v>41174</c:v>
                </c:pt>
                <c:pt idx="5">
                  <c:v>53660</c:v>
                </c:pt>
                <c:pt idx="6">
                  <c:v>27122</c:v>
                </c:pt>
                <c:pt idx="7">
                  <c:v>5833</c:v>
                </c:pt>
                <c:pt idx="8">
                  <c:v>344</c:v>
                </c:pt>
                <c:pt idx="9">
                  <c:v>65</c:v>
                </c:pt>
              </c:numCache>
            </c:numRef>
          </c:val>
          <c:extLst>
            <c:ext xmlns:c16="http://schemas.microsoft.com/office/drawing/2014/chart" uri="{C3380CC4-5D6E-409C-BE32-E72D297353CC}">
              <c16:uniqueId val="{00000000-3025-4BEB-A242-114DA170D702}"/>
            </c:ext>
          </c:extLst>
        </c:ser>
        <c:ser>
          <c:idx val="1"/>
          <c:order val="1"/>
          <c:tx>
            <c:v>Enero- Marzo 2024</c:v>
          </c:tx>
          <c:spPr>
            <a:solidFill>
              <a:schemeClr val="accent3"/>
            </a:solidFill>
            <a:ln>
              <a:noFill/>
            </a:ln>
            <a:effectLst/>
          </c:spPr>
          <c:invertIfNegative val="0"/>
          <c:cat>
            <c:strRef>
              <c:f>'Tipo de Pension'!$A$56:$A$67</c:f>
              <c:strCache>
                <c:ptCount val="11"/>
                <c:pt idx="0">
                  <c:v>0-18</c:v>
                </c:pt>
                <c:pt idx="1">
                  <c:v>18-30</c:v>
                </c:pt>
                <c:pt idx="2">
                  <c:v>30-40</c:v>
                </c:pt>
                <c:pt idx="3">
                  <c:v>40-50</c:v>
                </c:pt>
                <c:pt idx="4">
                  <c:v>50-60</c:v>
                </c:pt>
                <c:pt idx="5">
                  <c:v>60-70</c:v>
                </c:pt>
                <c:pt idx="6">
                  <c:v>70-80</c:v>
                </c:pt>
                <c:pt idx="7">
                  <c:v>80-90</c:v>
                </c:pt>
                <c:pt idx="8">
                  <c:v>90-100</c:v>
                </c:pt>
                <c:pt idx="9">
                  <c:v>100</c:v>
                </c:pt>
                <c:pt idx="10">
                  <c:v>Sin fecha de nacimiento</c:v>
                </c:pt>
              </c:strCache>
            </c:strRef>
          </c:cat>
          <c:val>
            <c:numRef>
              <c:f>'Tipo de Pension'!$F$58:$F$67</c:f>
              <c:numCache>
                <c:formatCode>#,##0</c:formatCode>
                <c:ptCount val="10"/>
                <c:pt idx="0">
                  <c:v>8</c:v>
                </c:pt>
                <c:pt idx="1">
                  <c:v>65</c:v>
                </c:pt>
                <c:pt idx="2">
                  <c:v>474</c:v>
                </c:pt>
                <c:pt idx="3">
                  <c:v>2697</c:v>
                </c:pt>
                <c:pt idx="4">
                  <c:v>45761</c:v>
                </c:pt>
                <c:pt idx="5">
                  <c:v>59749</c:v>
                </c:pt>
                <c:pt idx="6">
                  <c:v>28692</c:v>
                </c:pt>
                <c:pt idx="7">
                  <c:v>6422</c:v>
                </c:pt>
                <c:pt idx="8">
                  <c:v>390</c:v>
                </c:pt>
                <c:pt idx="9">
                  <c:v>61</c:v>
                </c:pt>
              </c:numCache>
            </c:numRef>
          </c:val>
          <c:extLst>
            <c:ext xmlns:c16="http://schemas.microsoft.com/office/drawing/2014/chart" uri="{C3380CC4-5D6E-409C-BE32-E72D297353CC}">
              <c16:uniqueId val="{00000001-3025-4BEB-A242-114DA170D702}"/>
            </c:ext>
          </c:extLst>
        </c:ser>
        <c:dLbls>
          <c:showLegendKey val="0"/>
          <c:showVal val="0"/>
          <c:showCatName val="0"/>
          <c:showSerName val="0"/>
          <c:showPercent val="0"/>
          <c:showBubbleSize val="0"/>
        </c:dLbls>
        <c:gapWidth val="50"/>
        <c:overlap val="-10"/>
        <c:axId val="1670800160"/>
        <c:axId val="1670805600"/>
      </c:barChart>
      <c:catAx>
        <c:axId val="167080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05600"/>
        <c:crosses val="autoZero"/>
        <c:auto val="1"/>
        <c:lblAlgn val="ctr"/>
        <c:lblOffset val="100"/>
        <c:noMultiLvlLbl val="0"/>
      </c:catAx>
      <c:valAx>
        <c:axId val="1670805600"/>
        <c:scaling>
          <c:orientation val="minMax"/>
          <c:max val="55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00160"/>
        <c:crosses val="autoZero"/>
        <c:crossBetween val="between"/>
        <c:majorUnit val="9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baseline="0"/>
              <a:t>Total Pagado por Edad de Pensionados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v>Enero-Marzo 2023</c:v>
          </c:tx>
          <c:spPr>
            <a:solidFill>
              <a:schemeClr val="bg1">
                <a:lumMod val="75000"/>
              </a:schemeClr>
            </a:solidFill>
            <a:ln>
              <a:noFill/>
            </a:ln>
            <a:effectLst/>
          </c:spPr>
          <c:invertIfNegative val="0"/>
          <c:cat>
            <c:strRef>
              <c:f>'Tipo de Pension'!$A$58:$A$67</c:f>
              <c:strCache>
                <c:ptCount val="10"/>
                <c:pt idx="0">
                  <c:v>18-30</c:v>
                </c:pt>
                <c:pt idx="1">
                  <c:v>30-40</c:v>
                </c:pt>
                <c:pt idx="2">
                  <c:v>40-50</c:v>
                </c:pt>
                <c:pt idx="3">
                  <c:v>50-60</c:v>
                </c:pt>
                <c:pt idx="4">
                  <c:v>60-70</c:v>
                </c:pt>
                <c:pt idx="5">
                  <c:v>70-80</c:v>
                </c:pt>
                <c:pt idx="6">
                  <c:v>80-90</c:v>
                </c:pt>
                <c:pt idx="7">
                  <c:v>90-100</c:v>
                </c:pt>
                <c:pt idx="8">
                  <c:v>100</c:v>
                </c:pt>
                <c:pt idx="9">
                  <c:v>Sin fecha de nacimiento</c:v>
                </c:pt>
              </c:strCache>
            </c:strRef>
          </c:cat>
          <c:val>
            <c:numRef>
              <c:f>'Tipo de Pension'!$D$56:$D$67</c:f>
              <c:numCache>
                <c:formatCode>#,##0.00</c:formatCode>
                <c:ptCount val="11"/>
                <c:pt idx="0">
                  <c:v>30000</c:v>
                </c:pt>
                <c:pt idx="1">
                  <c:v>237922.05</c:v>
                </c:pt>
                <c:pt idx="2">
                  <c:v>3172590.91</c:v>
                </c:pt>
                <c:pt idx="3">
                  <c:v>25835315.109999999</c:v>
                </c:pt>
                <c:pt idx="4">
                  <c:v>143319757.97</c:v>
                </c:pt>
                <c:pt idx="5">
                  <c:v>2013185081.98</c:v>
                </c:pt>
                <c:pt idx="6">
                  <c:v>2640958905.3600001</c:v>
                </c:pt>
                <c:pt idx="7">
                  <c:v>1198699188</c:v>
                </c:pt>
                <c:pt idx="8">
                  <c:v>256884613.80000001</c:v>
                </c:pt>
                <c:pt idx="9">
                  <c:v>14262495.949999999</c:v>
                </c:pt>
                <c:pt idx="10">
                  <c:v>3276520.01</c:v>
                </c:pt>
              </c:numCache>
            </c:numRef>
          </c:val>
          <c:extLst>
            <c:ext xmlns:c16="http://schemas.microsoft.com/office/drawing/2014/chart" uri="{C3380CC4-5D6E-409C-BE32-E72D297353CC}">
              <c16:uniqueId val="{00000000-99F1-4C2C-B1C5-95C571BD3EF0}"/>
            </c:ext>
          </c:extLst>
        </c:ser>
        <c:ser>
          <c:idx val="1"/>
          <c:order val="1"/>
          <c:tx>
            <c:v>Enero-Marzo 2024</c:v>
          </c:tx>
          <c:spPr>
            <a:solidFill>
              <a:schemeClr val="accent3"/>
            </a:solidFill>
            <a:ln>
              <a:noFill/>
            </a:ln>
            <a:effectLst/>
          </c:spPr>
          <c:invertIfNegative val="0"/>
          <c:cat>
            <c:strRef>
              <c:f>'Tipo de Pension'!$A$58:$A$67</c:f>
              <c:strCache>
                <c:ptCount val="10"/>
                <c:pt idx="0">
                  <c:v>18-30</c:v>
                </c:pt>
                <c:pt idx="1">
                  <c:v>30-40</c:v>
                </c:pt>
                <c:pt idx="2">
                  <c:v>40-50</c:v>
                </c:pt>
                <c:pt idx="3">
                  <c:v>50-60</c:v>
                </c:pt>
                <c:pt idx="4">
                  <c:v>60-70</c:v>
                </c:pt>
                <c:pt idx="5">
                  <c:v>70-80</c:v>
                </c:pt>
                <c:pt idx="6">
                  <c:v>80-90</c:v>
                </c:pt>
                <c:pt idx="7">
                  <c:v>90-100</c:v>
                </c:pt>
                <c:pt idx="8">
                  <c:v>100</c:v>
                </c:pt>
                <c:pt idx="9">
                  <c:v>Sin fecha de nacimiento</c:v>
                </c:pt>
              </c:strCache>
            </c:strRef>
          </c:cat>
          <c:val>
            <c:numRef>
              <c:f>'Tipo de Pension'!$H$58:$H$67</c:f>
              <c:numCache>
                <c:formatCode>#,##0</c:formatCode>
                <c:ptCount val="10"/>
                <c:pt idx="0">
                  <c:v>520186.5</c:v>
                </c:pt>
                <c:pt idx="1">
                  <c:v>3630810.52</c:v>
                </c:pt>
                <c:pt idx="2">
                  <c:v>28413182.25</c:v>
                </c:pt>
                <c:pt idx="3">
                  <c:v>170148330.47999999</c:v>
                </c:pt>
                <c:pt idx="4">
                  <c:v>2547616266.1300001</c:v>
                </c:pt>
                <c:pt idx="5">
                  <c:v>3103030552.71</c:v>
                </c:pt>
                <c:pt idx="6">
                  <c:v>1290590599.54</c:v>
                </c:pt>
                <c:pt idx="7">
                  <c:v>274744168.07999998</c:v>
                </c:pt>
                <c:pt idx="8">
                  <c:v>15101266.77</c:v>
                </c:pt>
                <c:pt idx="9">
                  <c:v>3511117.68</c:v>
                </c:pt>
              </c:numCache>
            </c:numRef>
          </c:val>
          <c:extLst>
            <c:ext xmlns:c16="http://schemas.microsoft.com/office/drawing/2014/chart" uri="{C3380CC4-5D6E-409C-BE32-E72D297353CC}">
              <c16:uniqueId val="{00000001-99F1-4C2C-B1C5-95C571BD3EF0}"/>
            </c:ext>
          </c:extLst>
        </c:ser>
        <c:dLbls>
          <c:showLegendKey val="0"/>
          <c:showVal val="0"/>
          <c:showCatName val="0"/>
          <c:showSerName val="0"/>
          <c:showPercent val="0"/>
          <c:showBubbleSize val="0"/>
        </c:dLbls>
        <c:gapWidth val="50"/>
        <c:overlap val="-10"/>
        <c:axId val="1670807232"/>
        <c:axId val="1670799072"/>
      </c:barChart>
      <c:catAx>
        <c:axId val="167080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799072"/>
        <c:crosses val="autoZero"/>
        <c:auto val="1"/>
        <c:lblAlgn val="ctr"/>
        <c:lblOffset val="100"/>
        <c:noMultiLvlLbl val="0"/>
      </c:catAx>
      <c:valAx>
        <c:axId val="1670799072"/>
        <c:scaling>
          <c:orientation val="minMax"/>
          <c:max val="2800000000"/>
          <c:min val="300000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0807232"/>
        <c:crosses val="autoZero"/>
        <c:crossBetween val="between"/>
        <c:majorUnit val="4500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accent1"/>
                </a:solidFill>
                <a:latin typeface="+mn-lt"/>
                <a:ea typeface="+mn-ea"/>
                <a:cs typeface="+mn-cs"/>
              </a:defRPr>
            </a:pPr>
            <a:r>
              <a:rPr lang="es-ES" sz="1400">
                <a:solidFill>
                  <a:schemeClr val="accent1"/>
                </a:solidFill>
              </a:rPr>
              <a:t>Porcentaje Modalidad</a:t>
            </a:r>
            <a:r>
              <a:rPr lang="es-ES" sz="1400" baseline="0">
                <a:solidFill>
                  <a:schemeClr val="accent1"/>
                </a:solidFill>
              </a:rPr>
              <a:t> de Pago</a:t>
            </a:r>
            <a:endParaRPr lang="es-ES" sz="1400">
              <a:solidFill>
                <a:schemeClr val="accent1"/>
              </a:solidFill>
            </a:endParaRPr>
          </a:p>
        </c:rich>
      </c:tx>
      <c:layout>
        <c:manualLayout>
          <c:xMode val="edge"/>
          <c:yMode val="edge"/>
          <c:x val="0.24317598335221177"/>
          <c:y val="3.2352237248844695E-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accent1"/>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882-47C0-9C20-76A0642EBB7A}"/>
              </c:ext>
            </c:extLst>
          </c:dPt>
          <c:dPt>
            <c:idx val="1"/>
            <c:bubble3D val="0"/>
            <c:spPr>
              <a:solidFill>
                <a:schemeClr val="bg1">
                  <a:lumMod val="7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1882-47C0-9C20-76A0642EBB7A}"/>
              </c:ext>
            </c:extLst>
          </c:dPt>
          <c:dLbls>
            <c:dLbl>
              <c:idx val="0"/>
              <c:layout>
                <c:manualLayout>
                  <c:x val="-1.8055555555555554E-2"/>
                  <c:y val="-0.35532407407407407"/>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sz="1000" b="1" baseline="0">
                        <a:solidFill>
                          <a:schemeClr val="tx1">
                            <a:lumMod val="75000"/>
                            <a:lumOff val="25000"/>
                          </a:schemeClr>
                        </a:solidFill>
                      </a:rPr>
                      <a:t>Electrónico</a:t>
                    </a:r>
                  </a:p>
                  <a:p>
                    <a:pPr>
                      <a:defRPr sz="1000" b="1">
                        <a:solidFill>
                          <a:schemeClr val="tx1">
                            <a:lumMod val="75000"/>
                            <a:lumOff val="25000"/>
                          </a:schemeClr>
                        </a:solidFill>
                      </a:defRPr>
                    </a:pPr>
                    <a:r>
                      <a:rPr lang="en-US" sz="1000" b="1" baseline="0">
                        <a:solidFill>
                          <a:schemeClr val="tx1">
                            <a:lumMod val="75000"/>
                            <a:lumOff val="25000"/>
                          </a:schemeClr>
                        </a:solidFill>
                      </a:rPr>
                      <a:t> </a:t>
                    </a:r>
                    <a:fld id="{6A789905-C907-4699-A041-A6FD64461BF5}" type="VALUE">
                      <a:rPr lang="en-US" sz="1000" b="1" baseline="0">
                        <a:solidFill>
                          <a:schemeClr val="tx1">
                            <a:lumMod val="75000"/>
                            <a:lumOff val="25000"/>
                          </a:schemeClr>
                        </a:solidFill>
                      </a:rPr>
                      <a:pPr>
                        <a:defRPr sz="1000" b="1">
                          <a:solidFill>
                            <a:schemeClr val="tx1">
                              <a:lumMod val="75000"/>
                              <a:lumOff val="25000"/>
                            </a:schemeClr>
                          </a:solidFill>
                        </a:defRPr>
                      </a:pPr>
                      <a:t>[VALUE]</a:t>
                    </a:fld>
                    <a:endParaRPr lang="en-US" sz="1000" b="1" baseline="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1"/>
              <c:showCatName val="1"/>
              <c:showSerName val="0"/>
              <c:showPercent val="0"/>
              <c:showBubbleSize val="0"/>
              <c:extLst>
                <c:ext xmlns:c15="http://schemas.microsoft.com/office/drawing/2012/chart" uri="{CE6537A1-D6FC-4f65-9D91-7224C49458BB}">
                  <c15:layout>
                    <c:manualLayout>
                      <c:w val="0.23541666666666666"/>
                      <c:h val="0.21064814814814814"/>
                    </c:manualLayout>
                  </c15:layout>
                  <c15:dlblFieldTable/>
                  <c15:showDataLabelsRange val="0"/>
                </c:ext>
                <c:ext xmlns:c16="http://schemas.microsoft.com/office/drawing/2014/chart" uri="{C3380CC4-5D6E-409C-BE32-E72D297353CC}">
                  <c16:uniqueId val="{00000001-1882-47C0-9C20-76A0642EBB7A}"/>
                </c:ext>
              </c:extLst>
            </c:dLbl>
            <c:dLbl>
              <c:idx val="1"/>
              <c:layout>
                <c:manualLayout>
                  <c:x val="-4.6721964522656895E-2"/>
                  <c:y val="5.2783916405700331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sz="1000" b="1" baseline="0">
                        <a:solidFill>
                          <a:schemeClr val="tx1">
                            <a:lumMod val="75000"/>
                            <a:lumOff val="25000"/>
                          </a:schemeClr>
                        </a:solidFill>
                      </a:rPr>
                      <a:t>Cheque</a:t>
                    </a:r>
                  </a:p>
                  <a:p>
                    <a:pPr>
                      <a:defRPr sz="1000" b="1">
                        <a:solidFill>
                          <a:schemeClr val="tx1">
                            <a:lumMod val="75000"/>
                            <a:lumOff val="25000"/>
                          </a:schemeClr>
                        </a:solidFill>
                      </a:defRPr>
                    </a:pPr>
                    <a:r>
                      <a:rPr lang="en-US" sz="1000" b="1" baseline="0">
                        <a:solidFill>
                          <a:schemeClr val="tx1">
                            <a:lumMod val="75000"/>
                            <a:lumOff val="25000"/>
                          </a:schemeClr>
                        </a:solidFill>
                      </a:rPr>
                      <a:t> </a:t>
                    </a:r>
                    <a:fld id="{928CA2D4-AB57-4300-BD4F-83CC6382AA06}" type="VALUE">
                      <a:rPr lang="en-US" sz="1000" b="1" baseline="0">
                        <a:solidFill>
                          <a:schemeClr val="tx1">
                            <a:lumMod val="75000"/>
                            <a:lumOff val="25000"/>
                          </a:schemeClr>
                        </a:solidFill>
                      </a:rPr>
                      <a:pPr>
                        <a:defRPr sz="1000" b="1">
                          <a:solidFill>
                            <a:schemeClr val="tx1">
                              <a:lumMod val="75000"/>
                              <a:lumOff val="25000"/>
                            </a:schemeClr>
                          </a:solidFill>
                        </a:defRPr>
                      </a:pPr>
                      <a:t>[VALUE]</a:t>
                    </a:fld>
                    <a:endParaRPr lang="en-US" sz="1000" b="1" baseline="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1"/>
              <c:showCatName val="1"/>
              <c:showSerName val="0"/>
              <c:showPercent val="0"/>
              <c:showBubbleSize val="0"/>
              <c:extLst>
                <c:ext xmlns:c15="http://schemas.microsoft.com/office/drawing/2012/chart" uri="{CE6537A1-D6FC-4f65-9D91-7224C49458BB}">
                  <c15:layout>
                    <c:manualLayout>
                      <c:w val="0.18002209762708696"/>
                      <c:h val="0.14416160985114215"/>
                    </c:manualLayout>
                  </c15:layout>
                  <c15:dlblFieldTable/>
                  <c15:showDataLabelsRange val="0"/>
                </c:ext>
                <c:ext xmlns:c16="http://schemas.microsoft.com/office/drawing/2014/chart" uri="{C3380CC4-5D6E-409C-BE32-E72D297353CC}">
                  <c16:uniqueId val="{00000002-1882-47C0-9C20-76A0642EBB7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DO"/>
              </a:p>
            </c:txPr>
            <c:showLegendKey val="0"/>
            <c:showVal val="0"/>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(Modalidad!$O$9,Modalidad!$Q$9)</c:f>
              <c:strCache>
                <c:ptCount val="2"/>
                <c:pt idx="0">
                  <c:v>Monto</c:v>
                </c:pt>
                <c:pt idx="1">
                  <c:v>Monto</c:v>
                </c:pt>
              </c:strCache>
            </c:strRef>
          </c:cat>
          <c:val>
            <c:numRef>
              <c:f>(Modalidad!$O$29,Modalidad!$Q$29)</c:f>
              <c:numCache>
                <c:formatCode>0.00%</c:formatCode>
                <c:ptCount val="2"/>
                <c:pt idx="0">
                  <c:v>0.99776824245628648</c:v>
                </c:pt>
                <c:pt idx="1">
                  <c:v>2.2317575437134293E-3</c:v>
                </c:pt>
              </c:numCache>
            </c:numRef>
          </c:val>
          <c:extLst>
            <c:ext xmlns:c16="http://schemas.microsoft.com/office/drawing/2014/chart" uri="{C3380CC4-5D6E-409C-BE32-E72D297353CC}">
              <c16:uniqueId val="{00000000-1882-47C0-9C20-76A0642EBB7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0597950039618"/>
          <c:y val="4.2299470680314477E-2"/>
          <c:w val="0.65858516691985691"/>
          <c:h val="0.72007785017025605"/>
        </c:manualLayout>
      </c:layout>
      <c:barChart>
        <c:barDir val="col"/>
        <c:grouping val="clustered"/>
        <c:varyColors val="0"/>
        <c:ser>
          <c:idx val="0"/>
          <c:order val="0"/>
          <c:tx>
            <c:v>Pensionados</c:v>
          </c:tx>
          <c:spPr>
            <a:solidFill>
              <a:schemeClr val="accent3">
                <a:lumMod val="60000"/>
                <a:lumOff val="40000"/>
              </a:schemeClr>
            </a:solidFill>
            <a:ln>
              <a:solidFill>
                <a:schemeClr val="accent3">
                  <a:lumMod val="60000"/>
                  <a:lumOff val="40000"/>
                </a:schemeClr>
              </a:solidFill>
            </a:ln>
          </c:spPr>
          <c:invertIfNegative val="0"/>
          <c:dLbls>
            <c:dLbl>
              <c:idx val="1"/>
              <c:layout>
                <c:manualLayout>
                  <c:x val="0"/>
                  <c:y val="7.1753363350627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88-4D3B-A92B-728D1A25D15E}"/>
                </c:ext>
              </c:extLst>
            </c:dLbl>
            <c:dLbl>
              <c:idx val="2"/>
              <c:layout>
                <c:manualLayout>
                  <c:x val="-6.8069299191727039E-3"/>
                  <c:y val="1.34537556282426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EE-4D86-9DDE-7D4E78FEC9D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Retroactivos!$A$10:$A$12</c:f>
              <c:strCache>
                <c:ptCount val="3"/>
                <c:pt idx="0">
                  <c:v>Marzo</c:v>
                </c:pt>
                <c:pt idx="1">
                  <c:v>Febrero </c:v>
                </c:pt>
                <c:pt idx="2">
                  <c:v>Enero</c:v>
                </c:pt>
              </c:strCache>
            </c:strRef>
          </c:cat>
          <c:val>
            <c:numRef>
              <c:f>Retroactivos!$K$10:$K$12</c:f>
              <c:numCache>
                <c:formatCode>_(* #,##0_);_(* \(#,##0\);_(* "-"??_);_(@_)</c:formatCode>
                <c:ptCount val="3"/>
                <c:pt idx="0">
                  <c:v>0</c:v>
                </c:pt>
                <c:pt idx="1">
                  <c:v>303</c:v>
                </c:pt>
                <c:pt idx="2">
                  <c:v>1</c:v>
                </c:pt>
              </c:numCache>
            </c:numRef>
          </c:val>
          <c:extLst>
            <c:ext xmlns:c16="http://schemas.microsoft.com/office/drawing/2014/chart" uri="{C3380CC4-5D6E-409C-BE32-E72D297353CC}">
              <c16:uniqueId val="{00000002-6B88-4F3E-9D80-50FAAA1EC586}"/>
            </c:ext>
          </c:extLst>
        </c:ser>
        <c:ser>
          <c:idx val="1"/>
          <c:order val="1"/>
          <c:tx>
            <c:v>Pensiones</c:v>
          </c:tx>
          <c:spPr>
            <a:solidFill>
              <a:schemeClr val="bg1">
                <a:lumMod val="75000"/>
              </a:schemeClr>
            </a:solidFill>
            <a:ln>
              <a:solidFill>
                <a:schemeClr val="bg1">
                  <a:lumMod val="75000"/>
                </a:schemeClr>
              </a:solidFill>
            </a:ln>
          </c:spPr>
          <c:invertIfNegative val="0"/>
          <c:dLbls>
            <c:dLbl>
              <c:idx val="1"/>
              <c:layout>
                <c:manualLayout>
                  <c:x val="0"/>
                  <c:y val="8.52071189788705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88-4D3B-A92B-728D1A25D15E}"/>
                </c:ext>
              </c:extLst>
            </c:dLbl>
            <c:dLbl>
              <c:idx val="2"/>
              <c:layout>
                <c:manualLayout>
                  <c:x val="6.8069299191725373E-3"/>
                  <c:y val="1.34537556282426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EE-4D86-9DDE-7D4E78FEC9D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Retroactivos!$A$10:$A$12</c:f>
              <c:strCache>
                <c:ptCount val="3"/>
                <c:pt idx="0">
                  <c:v>Marzo</c:v>
                </c:pt>
                <c:pt idx="1">
                  <c:v>Febrero </c:v>
                </c:pt>
                <c:pt idx="2">
                  <c:v>Enero</c:v>
                </c:pt>
              </c:strCache>
            </c:strRef>
          </c:cat>
          <c:val>
            <c:numRef>
              <c:f>Retroactivos!$L$10:$L$12</c:f>
              <c:numCache>
                <c:formatCode>_(* #,##0_);_(* \(#,##0\);_(* "-"??_);_(@_)</c:formatCode>
                <c:ptCount val="3"/>
                <c:pt idx="0">
                  <c:v>0</c:v>
                </c:pt>
                <c:pt idx="1">
                  <c:v>329</c:v>
                </c:pt>
                <c:pt idx="2">
                  <c:v>1</c:v>
                </c:pt>
              </c:numCache>
            </c:numRef>
          </c:val>
          <c:extLst>
            <c:ext xmlns:c16="http://schemas.microsoft.com/office/drawing/2014/chart" uri="{C3380CC4-5D6E-409C-BE32-E72D297353CC}">
              <c16:uniqueId val="{00000005-6B88-4F3E-9D80-50FAAA1EC586}"/>
            </c:ext>
          </c:extLst>
        </c:ser>
        <c:dLbls>
          <c:showLegendKey val="0"/>
          <c:showVal val="1"/>
          <c:showCatName val="0"/>
          <c:showSerName val="0"/>
          <c:showPercent val="0"/>
          <c:showBubbleSize val="0"/>
        </c:dLbls>
        <c:gapWidth val="75"/>
        <c:axId val="1672051440"/>
        <c:axId val="1672050896"/>
      </c:barChart>
      <c:lineChart>
        <c:grouping val="standard"/>
        <c:varyColors val="0"/>
        <c:ser>
          <c:idx val="2"/>
          <c:order val="2"/>
          <c:tx>
            <c:strRef>
              <c:f>Retroactivos!$M$8</c:f>
              <c:strCache>
                <c:ptCount val="1"/>
                <c:pt idx="0">
                  <c:v>Monto</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Pt>
            <c:idx val="0"/>
            <c:bubble3D val="0"/>
            <c:extLst>
              <c:ext xmlns:c16="http://schemas.microsoft.com/office/drawing/2014/chart" uri="{C3380CC4-5D6E-409C-BE32-E72D297353CC}">
                <c16:uniqueId val="{00000006-6B88-4F3E-9D80-50FAAA1EC586}"/>
              </c:ext>
            </c:extLst>
          </c:dPt>
          <c:dLbls>
            <c:dLbl>
              <c:idx val="1"/>
              <c:layout>
                <c:manualLayout>
                  <c:x val="-9.5297018868416725E-2"/>
                  <c:y val="-4.0361266884728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88-4D3B-A92B-728D1A25D15E}"/>
                </c:ext>
              </c:extLst>
            </c:dLbl>
            <c:dLbl>
              <c:idx val="2"/>
              <c:layout>
                <c:manualLayout>
                  <c:x val="-8.395213566979573E-2"/>
                  <c:y val="-7.1753363350627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88-4D3B-A92B-728D1A25D15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Retroactivos!$A$10:$A$12</c:f>
              <c:strCache>
                <c:ptCount val="3"/>
                <c:pt idx="0">
                  <c:v>Marzo</c:v>
                </c:pt>
                <c:pt idx="1">
                  <c:v>Febrero </c:v>
                </c:pt>
                <c:pt idx="2">
                  <c:v>Enero</c:v>
                </c:pt>
              </c:strCache>
            </c:strRef>
          </c:cat>
          <c:val>
            <c:numRef>
              <c:f>Retroactivos!$M$10:$M$12</c:f>
              <c:numCache>
                <c:formatCode>_(* #,##0.00_);_(* \(#,##0.00\);_(* "-"??_);_(@_)</c:formatCode>
                <c:ptCount val="3"/>
                <c:pt idx="0">
                  <c:v>0</c:v>
                </c:pt>
                <c:pt idx="1">
                  <c:v>23213282.740000002</c:v>
                </c:pt>
                <c:pt idx="2">
                  <c:v>507816</c:v>
                </c:pt>
              </c:numCache>
            </c:numRef>
          </c:val>
          <c:smooth val="0"/>
          <c:extLst>
            <c:ext xmlns:c16="http://schemas.microsoft.com/office/drawing/2014/chart" uri="{C3380CC4-5D6E-409C-BE32-E72D297353CC}">
              <c16:uniqueId val="{00000008-6B88-4F3E-9D80-50FAAA1EC586}"/>
            </c:ext>
          </c:extLst>
        </c:ser>
        <c:dLbls>
          <c:showLegendKey val="0"/>
          <c:showVal val="1"/>
          <c:showCatName val="0"/>
          <c:showSerName val="0"/>
          <c:showPercent val="0"/>
          <c:showBubbleSize val="0"/>
        </c:dLbls>
        <c:marker val="1"/>
        <c:smooth val="0"/>
        <c:axId val="1672055792"/>
        <c:axId val="1672053072"/>
      </c:lineChart>
      <c:catAx>
        <c:axId val="1672051440"/>
        <c:scaling>
          <c:orientation val="minMax"/>
        </c:scaling>
        <c:delete val="0"/>
        <c:axPos val="b"/>
        <c:numFmt formatCode="General" sourceLinked="0"/>
        <c:majorTickMark val="none"/>
        <c:minorTickMark val="none"/>
        <c:tickLblPos val="nextTo"/>
        <c:crossAx val="1672050896"/>
        <c:crosses val="autoZero"/>
        <c:auto val="1"/>
        <c:lblAlgn val="ctr"/>
        <c:lblOffset val="100"/>
        <c:noMultiLvlLbl val="0"/>
      </c:catAx>
      <c:valAx>
        <c:axId val="1672050896"/>
        <c:scaling>
          <c:orientation val="minMax"/>
        </c:scaling>
        <c:delete val="0"/>
        <c:axPos val="l"/>
        <c:numFmt formatCode="_(* #,##0_);_(* \(#,##0\);_(* &quot;-&quot;??_);_(@_)" sourceLinked="1"/>
        <c:majorTickMark val="none"/>
        <c:minorTickMark val="none"/>
        <c:tickLblPos val="nextTo"/>
        <c:crossAx val="1672051440"/>
        <c:crosses val="autoZero"/>
        <c:crossBetween val="between"/>
      </c:valAx>
      <c:valAx>
        <c:axId val="1672053072"/>
        <c:scaling>
          <c:orientation val="minMax"/>
        </c:scaling>
        <c:delete val="0"/>
        <c:axPos val="r"/>
        <c:numFmt formatCode="_(* #,##0.00_);_(* \(#,##0.00\);_(* &quot;-&quot;??_);_(@_)" sourceLinked="1"/>
        <c:majorTickMark val="out"/>
        <c:minorTickMark val="none"/>
        <c:tickLblPos val="nextTo"/>
        <c:crossAx val="1672055792"/>
        <c:crosses val="max"/>
        <c:crossBetween val="between"/>
      </c:valAx>
      <c:catAx>
        <c:axId val="1672055792"/>
        <c:scaling>
          <c:orientation val="minMax"/>
        </c:scaling>
        <c:delete val="1"/>
        <c:axPos val="b"/>
        <c:numFmt formatCode="General" sourceLinked="1"/>
        <c:majorTickMark val="out"/>
        <c:minorTickMark val="none"/>
        <c:tickLblPos val="nextTo"/>
        <c:crossAx val="1672053072"/>
        <c:crosses val="autoZero"/>
        <c:auto val="1"/>
        <c:lblAlgn val="ctr"/>
        <c:lblOffset val="100"/>
        <c:noMultiLvlLbl val="0"/>
      </c:catAx>
    </c:plotArea>
    <c:legend>
      <c:legendPos val="b"/>
      <c:layout>
        <c:manualLayout>
          <c:xMode val="edge"/>
          <c:yMode val="edge"/>
          <c:x val="0.24932899446490744"/>
          <c:y val="0.87879252468585134"/>
          <c:w val="0.51212458447537823"/>
          <c:h val="8.4031421083945429E-2"/>
        </c:manualLayout>
      </c:layout>
      <c:overlay val="0"/>
      <c:txPr>
        <a:bodyPr/>
        <a:lstStyle/>
        <a:p>
          <a:pPr>
            <a:defRPr sz="900"/>
          </a:pPr>
          <a:endParaRPr lang="es-DO"/>
        </a:p>
      </c:txPr>
    </c:legend>
    <c:plotVisOnly val="1"/>
    <c:dispBlanksAs val="gap"/>
    <c:showDLblsOverMax val="0"/>
  </c:chart>
  <c:spPr>
    <a:ln>
      <a:noFill/>
    </a:ln>
  </c:sp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sz="1100" b="1">
                <a:solidFill>
                  <a:schemeClr val="tx2">
                    <a:lumMod val="60000"/>
                    <a:lumOff val="40000"/>
                  </a:schemeClr>
                </a:solidFill>
              </a:rPr>
              <a:t>Reintegro</a:t>
            </a:r>
            <a:r>
              <a:rPr lang="es-DO" sz="1100" b="1" baseline="0">
                <a:solidFill>
                  <a:schemeClr val="tx2">
                    <a:lumMod val="60000"/>
                    <a:lumOff val="40000"/>
                  </a:schemeClr>
                </a:solidFill>
              </a:rPr>
              <a:t> de Cheques</a:t>
            </a:r>
            <a:endParaRPr lang="es-DO" sz="1100" b="1">
              <a:solidFill>
                <a:schemeClr val="tx2">
                  <a:lumMod val="60000"/>
                  <a:lumOff val="4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strRef>
              <c:f>Reintegros!$H$7</c:f>
              <c:strCache>
                <c:ptCount val="1"/>
                <c:pt idx="0">
                  <c:v>Cantidad 
de Cheques</c:v>
                </c:pt>
              </c:strCache>
            </c:strRef>
          </c:tx>
          <c:spPr>
            <a:solidFill>
              <a:schemeClr val="bg1">
                <a:lumMod val="65000"/>
              </a:schemeClr>
            </a:solidFill>
            <a:ln>
              <a:noFill/>
            </a:ln>
            <a:effectLst/>
          </c:spPr>
          <c:invertIfNegative val="0"/>
          <c:cat>
            <c:strRef>
              <c:f>Reintegros!$A$8:$A$10</c:f>
              <c:strCache>
                <c:ptCount val="3"/>
                <c:pt idx="0">
                  <c:v>Abril</c:v>
                </c:pt>
                <c:pt idx="1">
                  <c:v>Mayo</c:v>
                </c:pt>
                <c:pt idx="2">
                  <c:v>Junio</c:v>
                </c:pt>
              </c:strCache>
            </c:strRef>
          </c:cat>
          <c:val>
            <c:numRef>
              <c:f>Reintegros!$H$8:$H$10</c:f>
              <c:numCache>
                <c:formatCode>_(* #,##0_);_(* \(#,##0\);_(* "-"??_);_(@_)</c:formatCode>
                <c:ptCount val="3"/>
                <c:pt idx="0">
                  <c:v>0</c:v>
                </c:pt>
                <c:pt idx="1">
                  <c:v>80</c:v>
                </c:pt>
                <c:pt idx="2">
                  <c:v>2996</c:v>
                </c:pt>
              </c:numCache>
            </c:numRef>
          </c:val>
          <c:extLst>
            <c:ext xmlns:c16="http://schemas.microsoft.com/office/drawing/2014/chart" uri="{C3380CC4-5D6E-409C-BE32-E72D297353CC}">
              <c16:uniqueId val="{00000000-8DE3-4894-8909-6FB7CBDC635F}"/>
            </c:ext>
          </c:extLst>
        </c:ser>
        <c:ser>
          <c:idx val="1"/>
          <c:order val="1"/>
          <c:tx>
            <c:strRef>
              <c:f>Reintegros!$I$7</c:f>
              <c:strCache>
                <c:ptCount val="1"/>
                <c:pt idx="0">
                  <c:v>Monto</c:v>
                </c:pt>
              </c:strCache>
            </c:strRef>
          </c:tx>
          <c:spPr>
            <a:solidFill>
              <a:schemeClr val="accent3"/>
            </a:solidFill>
            <a:ln>
              <a:noFill/>
            </a:ln>
            <a:effectLst/>
          </c:spPr>
          <c:invertIfNegative val="0"/>
          <c:cat>
            <c:strRef>
              <c:f>Reintegros!$A$8:$A$10</c:f>
              <c:strCache>
                <c:ptCount val="3"/>
                <c:pt idx="0">
                  <c:v>Abril</c:v>
                </c:pt>
                <c:pt idx="1">
                  <c:v>Mayo</c:v>
                </c:pt>
                <c:pt idx="2">
                  <c:v>Junio</c:v>
                </c:pt>
              </c:strCache>
            </c:strRef>
          </c:cat>
          <c:val>
            <c:numRef>
              <c:f>Reintegros!$I$8:$I$10</c:f>
              <c:numCache>
                <c:formatCode>_(* #,##0.00_);_(* \(#,##0.00\);_(* "-"??_);_(@_)</c:formatCode>
                <c:ptCount val="3"/>
                <c:pt idx="0">
                  <c:v>0</c:v>
                </c:pt>
                <c:pt idx="1">
                  <c:v>797212.89</c:v>
                </c:pt>
                <c:pt idx="2" formatCode="_(* #,##0_);_(* \(#,##0\);_(* &quot;-&quot;??_);_(@_)">
                  <c:v>20744930.620000001</c:v>
                </c:pt>
              </c:numCache>
            </c:numRef>
          </c:val>
          <c:extLst>
            <c:ext xmlns:c16="http://schemas.microsoft.com/office/drawing/2014/chart" uri="{C3380CC4-5D6E-409C-BE32-E72D297353CC}">
              <c16:uniqueId val="{00000001-8DE3-4894-8909-6FB7CBDC635F}"/>
            </c:ext>
          </c:extLst>
        </c:ser>
        <c:dLbls>
          <c:showLegendKey val="0"/>
          <c:showVal val="0"/>
          <c:showCatName val="0"/>
          <c:showSerName val="0"/>
          <c:showPercent val="0"/>
          <c:showBubbleSize val="0"/>
        </c:dLbls>
        <c:gapWidth val="219"/>
        <c:overlap val="-27"/>
        <c:axId val="1672047088"/>
        <c:axId val="1672050352"/>
      </c:barChart>
      <c:catAx>
        <c:axId val="167204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2050352"/>
        <c:crosses val="autoZero"/>
        <c:auto val="1"/>
        <c:lblAlgn val="ctr"/>
        <c:lblOffset val="100"/>
        <c:noMultiLvlLbl val="0"/>
      </c:catAx>
      <c:valAx>
        <c:axId val="1672050352"/>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204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861211035074938"/>
          <c:y val="3.4863870221580044E-2"/>
          <c:w val="0.78893118039654453"/>
          <c:h val="0.65586379419781204"/>
        </c:manualLayout>
      </c:layout>
      <c:barChart>
        <c:barDir val="col"/>
        <c:grouping val="clustered"/>
        <c:varyColors val="0"/>
        <c:ser>
          <c:idx val="0"/>
          <c:order val="0"/>
          <c:tx>
            <c:strRef>
              <c:f>'Afiliados y Cotizantes'!$B$6</c:f>
              <c:strCache>
                <c:ptCount val="1"/>
                <c:pt idx="0">
                  <c:v>Afiliados al Sistema de Reparto</c:v>
                </c:pt>
              </c:strCache>
            </c:strRef>
          </c:tx>
          <c:spPr>
            <a:solidFill>
              <a:schemeClr val="bg1">
                <a:lumMod val="75000"/>
              </a:schemeClr>
            </a:solidFill>
            <a:ln>
              <a:solidFill>
                <a:schemeClr val="bg1">
                  <a:lumMod val="75000"/>
                </a:schemeClr>
              </a:solidFill>
            </a:ln>
          </c:spPr>
          <c:invertIfNegative val="0"/>
          <c:dLbls>
            <c:dLbl>
              <c:idx val="0"/>
              <c:layout>
                <c:manualLayout>
                  <c:x val="2.3665036994507917E-17"/>
                  <c:y val="0.22250136602998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5C-4406-B71E-65516B4B4A9D}"/>
                </c:ext>
              </c:extLst>
            </c:dLbl>
            <c:dLbl>
              <c:idx val="1"/>
              <c:layout>
                <c:manualLayout>
                  <c:x val="2.5816702227310574E-3"/>
                  <c:y val="0.472334064262240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5C-4406-B71E-65516B4B4A9D}"/>
                </c:ext>
              </c:extLst>
            </c:dLbl>
            <c:dLbl>
              <c:idx val="2"/>
              <c:layout>
                <c:manualLayout>
                  <c:x val="-5.1633404454622094E-3"/>
                  <c:y val="0.478160265843433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5C-4406-B71E-65516B4B4A9D}"/>
                </c:ext>
              </c:extLst>
            </c:dLbl>
            <c:spPr>
              <a:noFill/>
              <a:ln>
                <a:noFill/>
              </a:ln>
              <a:effectLst/>
            </c:spPr>
            <c:txPr>
              <a:bodyPr rot="-5400000" vert="horz"/>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Marzo</c:v>
                </c:pt>
                <c:pt idx="1">
                  <c:v>Febrero</c:v>
                </c:pt>
                <c:pt idx="2">
                  <c:v>Enero</c:v>
                </c:pt>
              </c:strCache>
            </c:strRef>
          </c:cat>
          <c:val>
            <c:numRef>
              <c:f>'Afiliados y Cotizantes'!$B$7:$B$9</c:f>
              <c:numCache>
                <c:formatCode>#,##0</c:formatCode>
                <c:ptCount val="3"/>
                <c:pt idx="0">
                  <c:v>91034</c:v>
                </c:pt>
                <c:pt idx="1">
                  <c:v>90929</c:v>
                </c:pt>
                <c:pt idx="2">
                  <c:v>90817</c:v>
                </c:pt>
              </c:numCache>
            </c:numRef>
          </c:val>
          <c:extLst>
            <c:ext xmlns:c16="http://schemas.microsoft.com/office/drawing/2014/chart" uri="{C3380CC4-5D6E-409C-BE32-E72D297353CC}">
              <c16:uniqueId val="{00000003-C75C-4406-B71E-65516B4B4A9D}"/>
            </c:ext>
          </c:extLst>
        </c:ser>
        <c:ser>
          <c:idx val="1"/>
          <c:order val="1"/>
          <c:tx>
            <c:v>No Cotizantes</c:v>
          </c:tx>
          <c:spPr>
            <a:solidFill>
              <a:schemeClr val="accent3">
                <a:lumMod val="60000"/>
                <a:lumOff val="40000"/>
              </a:schemeClr>
            </a:solidFill>
          </c:spPr>
          <c:invertIfNegative val="0"/>
          <c:dLbls>
            <c:dLbl>
              <c:idx val="0"/>
              <c:layout>
                <c:manualLayout>
                  <c:x val="5.1633404454621149E-3"/>
                  <c:y val="0.393979007543447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5C-4406-B71E-65516B4B4A9D}"/>
                </c:ext>
              </c:extLst>
            </c:dLbl>
            <c:dLbl>
              <c:idx val="1"/>
              <c:layout>
                <c:manualLayout>
                  <c:x val="2.5816702227310574E-3"/>
                  <c:y val="0.394030184119631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5C-4406-B71E-65516B4B4A9D}"/>
                </c:ext>
              </c:extLst>
            </c:dLbl>
            <c:dLbl>
              <c:idx val="2"/>
              <c:layout>
                <c:manualLayout>
                  <c:x val="-2.5816702227310574E-3"/>
                  <c:y val="0.393799647736819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5C-4406-B71E-65516B4B4A9D}"/>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'Afiliados y Cotizantes'!$A$7:$A$9</c:f>
              <c:strCache>
                <c:ptCount val="3"/>
                <c:pt idx="0">
                  <c:v>Marzo</c:v>
                </c:pt>
                <c:pt idx="1">
                  <c:v>Febrero</c:v>
                </c:pt>
                <c:pt idx="2">
                  <c:v>Enero</c:v>
                </c:pt>
              </c:strCache>
            </c:strRef>
          </c:cat>
          <c:val>
            <c:numRef>
              <c:f>'Afiliados y Cotizantes'!$E$7:$E$9</c:f>
              <c:numCache>
                <c:formatCode>#,##0</c:formatCode>
                <c:ptCount val="3"/>
                <c:pt idx="0">
                  <c:v>66793</c:v>
                </c:pt>
                <c:pt idx="1">
                  <c:v>65491</c:v>
                </c:pt>
                <c:pt idx="2">
                  <c:v>65550</c:v>
                </c:pt>
              </c:numCache>
            </c:numRef>
          </c:val>
          <c:extLst>
            <c:ext xmlns:c16="http://schemas.microsoft.com/office/drawing/2014/chart" uri="{C3380CC4-5D6E-409C-BE32-E72D297353CC}">
              <c16:uniqueId val="{00000007-C75C-4406-B71E-65516B4B4A9D}"/>
            </c:ext>
          </c:extLst>
        </c:ser>
        <c:dLbls>
          <c:showLegendKey val="0"/>
          <c:showVal val="1"/>
          <c:showCatName val="0"/>
          <c:showSerName val="0"/>
          <c:showPercent val="0"/>
          <c:showBubbleSize val="0"/>
        </c:dLbls>
        <c:gapWidth val="75"/>
        <c:axId val="1667770560"/>
        <c:axId val="1667758048"/>
      </c:barChart>
      <c:lineChart>
        <c:grouping val="standard"/>
        <c:varyColors val="0"/>
        <c:ser>
          <c:idx val="2"/>
          <c:order val="2"/>
          <c:tx>
            <c:strRef>
              <c:f>'Afiliados y Cotizantes'!$F$6</c:f>
              <c:strCache>
                <c:ptCount val="1"/>
                <c:pt idx="0">
                  <c:v>% No Cotizantes</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Lbls>
            <c:dLbl>
              <c:idx val="0"/>
              <c:layout>
                <c:manualLayout>
                  <c:x val="-7.7450106681931728E-3"/>
                  <c:y val="-0.121616463706442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5C-4406-B71E-65516B4B4A9D}"/>
                </c:ext>
              </c:extLst>
            </c:dLbl>
            <c:dLbl>
              <c:idx val="1"/>
              <c:layout>
                <c:manualLayout>
                  <c:x val="-6.9705096013738546E-2"/>
                  <c:y val="-0.136842629316782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5C-4406-B71E-65516B4B4A9D}"/>
                </c:ext>
              </c:extLst>
            </c:dLbl>
            <c:dLbl>
              <c:idx val="2"/>
              <c:layout>
                <c:manualLayout>
                  <c:x val="-4.3888393786427976E-2"/>
                  <c:y val="-0.102999609984574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5C-4406-B71E-65516B4B4A9D}"/>
                </c:ext>
              </c:extLst>
            </c:dLbl>
            <c:spPr>
              <a:noFill/>
              <a:ln>
                <a:noFill/>
              </a:ln>
              <a:effectLst/>
            </c:spPr>
            <c:txPr>
              <a:bodyPr wrap="square" lIns="38100" tIns="19050" rIns="38100" bIns="19050" anchor="ctr">
                <a:spAutoFit/>
              </a:bodyPr>
              <a:lstStyle/>
              <a:p>
                <a:pPr>
                  <a:defRPr sz="1050"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'Afiliados y Cotizantes'!$A$7:$A$9</c:f>
              <c:strCache>
                <c:ptCount val="3"/>
                <c:pt idx="0">
                  <c:v>Marzo</c:v>
                </c:pt>
                <c:pt idx="1">
                  <c:v>Febrero</c:v>
                </c:pt>
                <c:pt idx="2">
                  <c:v>Enero</c:v>
                </c:pt>
              </c:strCache>
            </c:strRef>
          </c:cat>
          <c:val>
            <c:numRef>
              <c:f>'Afiliados y Cotizantes'!$F$7:$F$9</c:f>
              <c:numCache>
                <c:formatCode>0.00%</c:formatCode>
                <c:ptCount val="3"/>
                <c:pt idx="0">
                  <c:v>0.73371487576070482</c:v>
                </c:pt>
                <c:pt idx="1">
                  <c:v>0.72024326672458727</c:v>
                </c:pt>
                <c:pt idx="2">
                  <c:v>0.7217811643194556</c:v>
                </c:pt>
              </c:numCache>
            </c:numRef>
          </c:val>
          <c:smooth val="0"/>
          <c:extLst>
            <c:ext xmlns:c16="http://schemas.microsoft.com/office/drawing/2014/chart" uri="{C3380CC4-5D6E-409C-BE32-E72D297353CC}">
              <c16:uniqueId val="{0000000B-C75C-4406-B71E-65516B4B4A9D}"/>
            </c:ext>
          </c:extLst>
        </c:ser>
        <c:dLbls>
          <c:showLegendKey val="0"/>
          <c:showVal val="1"/>
          <c:showCatName val="0"/>
          <c:showSerName val="0"/>
          <c:showPercent val="0"/>
          <c:showBubbleSize val="0"/>
        </c:dLbls>
        <c:marker val="1"/>
        <c:smooth val="0"/>
        <c:axId val="1667766752"/>
        <c:axId val="1667762944"/>
      </c:lineChart>
      <c:catAx>
        <c:axId val="1667770560"/>
        <c:scaling>
          <c:orientation val="minMax"/>
        </c:scaling>
        <c:delete val="0"/>
        <c:axPos val="b"/>
        <c:numFmt formatCode="General" sourceLinked="0"/>
        <c:majorTickMark val="none"/>
        <c:minorTickMark val="none"/>
        <c:tickLblPos val="nextTo"/>
        <c:crossAx val="1667758048"/>
        <c:crosses val="autoZero"/>
        <c:auto val="1"/>
        <c:lblAlgn val="ctr"/>
        <c:lblOffset val="100"/>
        <c:noMultiLvlLbl val="0"/>
      </c:catAx>
      <c:valAx>
        <c:axId val="1667758048"/>
        <c:scaling>
          <c:orientation val="minMax"/>
        </c:scaling>
        <c:delete val="0"/>
        <c:axPos val="l"/>
        <c:numFmt formatCode="#,##0" sourceLinked="1"/>
        <c:majorTickMark val="none"/>
        <c:minorTickMark val="none"/>
        <c:tickLblPos val="nextTo"/>
        <c:crossAx val="1667770560"/>
        <c:crosses val="autoZero"/>
        <c:crossBetween val="between"/>
      </c:valAx>
      <c:valAx>
        <c:axId val="1667762944"/>
        <c:scaling>
          <c:orientation val="minMax"/>
        </c:scaling>
        <c:delete val="0"/>
        <c:axPos val="r"/>
        <c:numFmt formatCode="0.00%" sourceLinked="1"/>
        <c:majorTickMark val="out"/>
        <c:minorTickMark val="none"/>
        <c:tickLblPos val="nextTo"/>
        <c:crossAx val="1667766752"/>
        <c:crosses val="max"/>
        <c:crossBetween val="between"/>
      </c:valAx>
      <c:catAx>
        <c:axId val="1667766752"/>
        <c:scaling>
          <c:orientation val="minMax"/>
        </c:scaling>
        <c:delete val="1"/>
        <c:axPos val="b"/>
        <c:numFmt formatCode="General" sourceLinked="1"/>
        <c:majorTickMark val="out"/>
        <c:minorTickMark val="none"/>
        <c:tickLblPos val="nextTo"/>
        <c:crossAx val="1667762944"/>
        <c:crosses val="autoZero"/>
        <c:auto val="1"/>
        <c:lblAlgn val="ctr"/>
        <c:lblOffset val="100"/>
        <c:noMultiLvlLbl val="0"/>
      </c:catAx>
    </c:plotArea>
    <c:legend>
      <c:legendPos val="b"/>
      <c:overlay val="0"/>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sz="1100" b="1">
                <a:solidFill>
                  <a:schemeClr val="tx2">
                    <a:lumMod val="60000"/>
                    <a:lumOff val="40000"/>
                  </a:schemeClr>
                </a:solidFill>
              </a:rPr>
              <a:t>Créditos</a:t>
            </a:r>
            <a:r>
              <a:rPr lang="es-DO" sz="1100" b="1" baseline="0">
                <a:solidFill>
                  <a:schemeClr val="tx2">
                    <a:lumMod val="60000"/>
                    <a:lumOff val="40000"/>
                  </a:schemeClr>
                </a:solidFill>
              </a:rPr>
              <a:t> Rechazados</a:t>
            </a:r>
            <a:endParaRPr lang="es-DO" sz="1100" b="1">
              <a:solidFill>
                <a:schemeClr val="tx2">
                  <a:lumMod val="60000"/>
                  <a:lumOff val="4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strRef>
              <c:f>'Créditos Rechazados'!$H$7</c:f>
              <c:strCache>
                <c:ptCount val="1"/>
                <c:pt idx="0">
                  <c:v>Cantidad 
</c:v>
                </c:pt>
              </c:strCache>
            </c:strRef>
          </c:tx>
          <c:spPr>
            <a:solidFill>
              <a:schemeClr val="bg1">
                <a:lumMod val="75000"/>
              </a:schemeClr>
            </a:solidFill>
            <a:ln>
              <a:solidFill>
                <a:schemeClr val="accent3">
                  <a:lumMod val="60000"/>
                  <a:lumOff val="40000"/>
                </a:schemeClr>
              </a:solidFill>
            </a:ln>
            <a:effectLst/>
          </c:spPr>
          <c:invertIfNegative val="0"/>
          <c:cat>
            <c:strRef>
              <c:f>'Créditos Rechazados'!$A$8:$A$10</c:f>
              <c:strCache>
                <c:ptCount val="3"/>
                <c:pt idx="0">
                  <c:v>Abril</c:v>
                </c:pt>
                <c:pt idx="1">
                  <c:v>Mayo</c:v>
                </c:pt>
                <c:pt idx="2">
                  <c:v>Junio</c:v>
                </c:pt>
              </c:strCache>
            </c:strRef>
          </c:cat>
          <c:val>
            <c:numRef>
              <c:f>'Créditos Rechazados'!$H$8:$H$10</c:f>
              <c:numCache>
                <c:formatCode>_(* #,##0_);_(* \(#,##0\);_(* "-"??_);_(@_)</c:formatCode>
                <c:ptCount val="3"/>
                <c:pt idx="0">
                  <c:v>0</c:v>
                </c:pt>
                <c:pt idx="1">
                  <c:v>40</c:v>
                </c:pt>
                <c:pt idx="2">
                  <c:v>142</c:v>
                </c:pt>
              </c:numCache>
            </c:numRef>
          </c:val>
          <c:extLst>
            <c:ext xmlns:c16="http://schemas.microsoft.com/office/drawing/2014/chart" uri="{C3380CC4-5D6E-409C-BE32-E72D297353CC}">
              <c16:uniqueId val="{00000000-1AA9-4FB4-B4A2-1D086BEA9BB5}"/>
            </c:ext>
          </c:extLst>
        </c:ser>
        <c:ser>
          <c:idx val="1"/>
          <c:order val="1"/>
          <c:tx>
            <c:strRef>
              <c:f>'Créditos Rechazados'!$I$7</c:f>
              <c:strCache>
                <c:ptCount val="1"/>
                <c:pt idx="0">
                  <c:v>Monto</c:v>
                </c:pt>
              </c:strCache>
            </c:strRef>
          </c:tx>
          <c:spPr>
            <a:solidFill>
              <a:schemeClr val="accent3"/>
            </a:solidFill>
            <a:ln>
              <a:noFill/>
            </a:ln>
            <a:effectLst/>
          </c:spPr>
          <c:invertIfNegative val="0"/>
          <c:cat>
            <c:strRef>
              <c:f>'Créditos Rechazados'!$A$8:$A$10</c:f>
              <c:strCache>
                <c:ptCount val="3"/>
                <c:pt idx="0">
                  <c:v>Abril</c:v>
                </c:pt>
                <c:pt idx="1">
                  <c:v>Mayo</c:v>
                </c:pt>
                <c:pt idx="2">
                  <c:v>Junio</c:v>
                </c:pt>
              </c:strCache>
            </c:strRef>
          </c:cat>
          <c:val>
            <c:numRef>
              <c:f>'Créditos Rechazados'!$I$8:$I$10</c:f>
              <c:numCache>
                <c:formatCode>_(* #,##0.00_);_(* \(#,##0.00\);_(* "-"??_);_(@_)</c:formatCode>
                <c:ptCount val="3"/>
                <c:pt idx="0">
                  <c:v>0</c:v>
                </c:pt>
                <c:pt idx="1">
                  <c:v>414032.22</c:v>
                </c:pt>
                <c:pt idx="2" formatCode="_(* #,##0_);_(* \(#,##0\);_(* &quot;-&quot;??_);_(@_)">
                  <c:v>1591442.78</c:v>
                </c:pt>
              </c:numCache>
            </c:numRef>
          </c:val>
          <c:extLst>
            <c:ext xmlns:c16="http://schemas.microsoft.com/office/drawing/2014/chart" uri="{C3380CC4-5D6E-409C-BE32-E72D297353CC}">
              <c16:uniqueId val="{00000001-1AA9-4FB4-B4A2-1D086BEA9BB5}"/>
            </c:ext>
          </c:extLst>
        </c:ser>
        <c:dLbls>
          <c:showLegendKey val="0"/>
          <c:showVal val="0"/>
          <c:showCatName val="0"/>
          <c:showSerName val="0"/>
          <c:showPercent val="0"/>
          <c:showBubbleSize val="0"/>
        </c:dLbls>
        <c:gapWidth val="219"/>
        <c:overlap val="-27"/>
        <c:axId val="1672047632"/>
        <c:axId val="1672049264"/>
      </c:barChart>
      <c:catAx>
        <c:axId val="1672047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2049264"/>
        <c:crosses val="autoZero"/>
        <c:auto val="1"/>
        <c:lblAlgn val="ctr"/>
        <c:lblOffset val="100"/>
        <c:noMultiLvlLbl val="0"/>
      </c:catAx>
      <c:valAx>
        <c:axId val="1672049264"/>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72047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16805319017807"/>
          <c:y val="0.1147686611742301"/>
          <c:w val="0.71680195964278259"/>
          <c:h val="0.69625725323778975"/>
        </c:manualLayout>
      </c:layout>
      <c:barChart>
        <c:barDir val="col"/>
        <c:grouping val="clustered"/>
        <c:varyColors val="0"/>
        <c:ser>
          <c:idx val="0"/>
          <c:order val="0"/>
          <c:tx>
            <c:strRef>
              <c:f>'Recuperación Fondos'!$C$7</c:f>
              <c:strCache>
                <c:ptCount val="1"/>
                <c:pt idx="0">
                  <c:v>Monto 
Solicitado</c:v>
                </c:pt>
              </c:strCache>
            </c:strRef>
          </c:tx>
          <c:spPr>
            <a:solidFill>
              <a:schemeClr val="bg1">
                <a:lumMod val="75000"/>
              </a:schemeClr>
            </a:solidFill>
            <a:ln>
              <a:solidFill>
                <a:schemeClr val="bg1">
                  <a:lumMod val="75000"/>
                </a:schemeClr>
              </a:solidFill>
            </a:ln>
          </c:spPr>
          <c:invertIfNegative val="0"/>
          <c:dLbls>
            <c:dLbl>
              <c:idx val="0"/>
              <c:layout>
                <c:manualLayout>
                  <c:x val="1.1568720852990166E-2"/>
                  <c:y val="-2.0040690556597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53-4937-ACFC-AC9F032F728F}"/>
                </c:ext>
              </c:extLst>
            </c:dLbl>
            <c:dLbl>
              <c:idx val="1"/>
              <c:layout>
                <c:manualLayout>
                  <c:x val="1.9182306332050394E-2"/>
                  <c:y val="-4.01493958516923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53-4937-ACFC-AC9F032F728F}"/>
                </c:ext>
              </c:extLst>
            </c:dLbl>
            <c:dLbl>
              <c:idx val="2"/>
              <c:layout>
                <c:manualLayout>
                  <c:x val="-4.1711647931624477E-4"/>
                  <c:y val="1.0088951449305363E-2"/>
                </c:manualLayout>
              </c:layout>
              <c:spPr>
                <a:noFill/>
                <a:ln>
                  <a:noFill/>
                </a:ln>
                <a:effectLst/>
              </c:spPr>
              <c:txPr>
                <a:bodyPr wrap="square" lIns="38100" tIns="19050" rIns="38100" bIns="19050" anchor="ctr">
                  <a:noAutofit/>
                </a:bodyPr>
                <a:lstStyle/>
                <a:p>
                  <a:pPr>
                    <a:defRPr/>
                  </a:pPr>
                  <a:endParaRPr lang="es-DO"/>
                </a:p>
              </c:txPr>
              <c:showLegendKey val="0"/>
              <c:showVal val="1"/>
              <c:showCatName val="0"/>
              <c:showSerName val="0"/>
              <c:showPercent val="0"/>
              <c:showBubbleSize val="0"/>
              <c:extLst>
                <c:ext xmlns:c15="http://schemas.microsoft.com/office/drawing/2012/chart" uri="{CE6537A1-D6FC-4f65-9D91-7224C49458BB}">
                  <c15:layout>
                    <c:manualLayout>
                      <c:w val="0.16405018275115812"/>
                      <c:h val="4.2081605857547569E-2"/>
                    </c:manualLayout>
                  </c15:layout>
                </c:ext>
                <c:ext xmlns:c16="http://schemas.microsoft.com/office/drawing/2014/chart" uri="{C3380CC4-5D6E-409C-BE32-E72D297353CC}">
                  <c16:uniqueId val="{00000002-F953-4937-ACFC-AC9F032F728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'Recuperación Fondos'!$A$8:$A$10</c:f>
              <c:strCache>
                <c:ptCount val="3"/>
                <c:pt idx="0">
                  <c:v>Marzo</c:v>
                </c:pt>
                <c:pt idx="1">
                  <c:v>Febrero</c:v>
                </c:pt>
                <c:pt idx="2">
                  <c:v>Enero</c:v>
                </c:pt>
              </c:strCache>
            </c:strRef>
          </c:cat>
          <c:val>
            <c:numRef>
              <c:f>'Recuperación Fondos'!$C$8:$C$10</c:f>
              <c:numCache>
                <c:formatCode>#,##0.00_);[Red]\(#,##0.00\)</c:formatCode>
                <c:ptCount val="3"/>
                <c:pt idx="0">
                  <c:v>6935630.5699999994</c:v>
                </c:pt>
                <c:pt idx="1">
                  <c:v>6727719.4799999995</c:v>
                </c:pt>
                <c:pt idx="2">
                  <c:v>9251611.5299999993</c:v>
                </c:pt>
              </c:numCache>
            </c:numRef>
          </c:val>
          <c:extLst>
            <c:ext xmlns:c16="http://schemas.microsoft.com/office/drawing/2014/chart" uri="{C3380CC4-5D6E-409C-BE32-E72D297353CC}">
              <c16:uniqueId val="{00000003-F953-4937-ACFC-AC9F032F728F}"/>
            </c:ext>
          </c:extLst>
        </c:ser>
        <c:ser>
          <c:idx val="1"/>
          <c:order val="1"/>
          <c:tx>
            <c:strRef>
              <c:f>'Recuperación Fondos'!$F$7</c:f>
              <c:strCache>
                <c:ptCount val="1"/>
                <c:pt idx="0">
                  <c:v>Total 
Recuperado</c:v>
                </c:pt>
              </c:strCache>
            </c:strRef>
          </c:tx>
          <c:spPr>
            <a:solidFill>
              <a:schemeClr val="accent3">
                <a:lumMod val="60000"/>
                <a:lumOff val="40000"/>
              </a:schemeClr>
            </a:solidFill>
            <a:ln>
              <a:solidFill>
                <a:schemeClr val="accent3">
                  <a:lumMod val="60000"/>
                  <a:lumOff val="40000"/>
                </a:schemeClr>
              </a:solidFill>
            </a:ln>
          </c:spPr>
          <c:invertIfNegative val="0"/>
          <c:dLbls>
            <c:dLbl>
              <c:idx val="0"/>
              <c:layout>
                <c:manualLayout>
                  <c:x val="1.4354024410601823E-2"/>
                  <c:y val="1.2011107102512995E-2"/>
                </c:manualLayout>
              </c:layout>
              <c:spPr>
                <a:noFill/>
                <a:ln>
                  <a:noFill/>
                </a:ln>
                <a:effectLst/>
              </c:spPr>
              <c:txPr>
                <a:bodyPr wrap="square" lIns="38100" tIns="19050" rIns="38100" bIns="19050" anchor="ctr">
                  <a:noAutofit/>
                </a:bodyPr>
                <a:lstStyle/>
                <a:p>
                  <a:pPr>
                    <a:defRPr/>
                  </a:pPr>
                  <a:endParaRPr lang="es-DO"/>
                </a:p>
              </c:txPr>
              <c:showLegendKey val="0"/>
              <c:showVal val="1"/>
              <c:showCatName val="0"/>
              <c:showSerName val="0"/>
              <c:showPercent val="0"/>
              <c:showBubbleSize val="0"/>
              <c:extLst>
                <c:ext xmlns:c15="http://schemas.microsoft.com/office/drawing/2012/chart" uri="{CE6537A1-D6FC-4f65-9D91-7224C49458BB}">
                  <c15:layout>
                    <c:manualLayout>
                      <c:w val="0.13107200811714922"/>
                      <c:h val="4.5837202287660944E-2"/>
                    </c:manualLayout>
                  </c15:layout>
                </c:ext>
                <c:ext xmlns:c16="http://schemas.microsoft.com/office/drawing/2014/chart" uri="{C3380CC4-5D6E-409C-BE32-E72D297353CC}">
                  <c16:uniqueId val="{00000004-F953-4937-ACFC-AC9F032F728F}"/>
                </c:ext>
              </c:extLst>
            </c:dLbl>
            <c:dLbl>
              <c:idx val="1"/>
              <c:layout>
                <c:manualLayout>
                  <c:x val="4.004152379754003E-3"/>
                  <c:y val="1.85186389955110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53-4937-ACFC-AC9F032F728F}"/>
                </c:ext>
              </c:extLst>
            </c:dLbl>
            <c:dLbl>
              <c:idx val="2"/>
              <c:layout>
                <c:manualLayout>
                  <c:x val="-1.598692580187087E-3"/>
                  <c:y val="2.3407715828508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53-4937-ACFC-AC9F032F728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'Recuperación Fondos'!$A$8:$A$10</c:f>
              <c:strCache>
                <c:ptCount val="3"/>
                <c:pt idx="0">
                  <c:v>Marzo</c:v>
                </c:pt>
                <c:pt idx="1">
                  <c:v>Febrero</c:v>
                </c:pt>
                <c:pt idx="2">
                  <c:v>Enero</c:v>
                </c:pt>
              </c:strCache>
            </c:strRef>
          </c:cat>
          <c:val>
            <c:numRef>
              <c:f>'Recuperación Fondos'!$F$8:$F$10</c:f>
              <c:numCache>
                <c:formatCode>_(* #,##0.00_);_(* \(#,##0.00\);_(* "-"??_);_(@_)</c:formatCode>
                <c:ptCount val="3"/>
                <c:pt idx="0">
                  <c:v>3487973.2600000002</c:v>
                </c:pt>
                <c:pt idx="1">
                  <c:v>3253483.3000000007</c:v>
                </c:pt>
                <c:pt idx="2">
                  <c:v>438383.22000000009</c:v>
                </c:pt>
              </c:numCache>
            </c:numRef>
          </c:val>
          <c:extLst>
            <c:ext xmlns:c16="http://schemas.microsoft.com/office/drawing/2014/chart" uri="{C3380CC4-5D6E-409C-BE32-E72D297353CC}">
              <c16:uniqueId val="{00000007-F953-4937-ACFC-AC9F032F728F}"/>
            </c:ext>
          </c:extLst>
        </c:ser>
        <c:dLbls>
          <c:showLegendKey val="0"/>
          <c:showVal val="1"/>
          <c:showCatName val="0"/>
          <c:showSerName val="0"/>
          <c:showPercent val="0"/>
          <c:showBubbleSize val="0"/>
        </c:dLbls>
        <c:gapWidth val="75"/>
        <c:axId val="1672048720"/>
        <c:axId val="1672045456"/>
      </c:barChart>
      <c:lineChart>
        <c:grouping val="standard"/>
        <c:varyColors val="0"/>
        <c:ser>
          <c:idx val="2"/>
          <c:order val="2"/>
          <c:tx>
            <c:strRef>
              <c:f>'Recuperación Fondos'!$G$7</c:f>
              <c:strCache>
                <c:ptCount val="1"/>
                <c:pt idx="0">
                  <c:v>% Recuperado</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dLbls>
            <c:dLbl>
              <c:idx val="0"/>
              <c:layout>
                <c:manualLayout>
                  <c:x val="-9.6445290055332478E-2"/>
                  <c:y val="-1.2755424914685863E-2"/>
                </c:manualLayout>
              </c:layout>
              <c:spPr>
                <a:noFill/>
                <a:ln>
                  <a:noFill/>
                </a:ln>
                <a:effectLst/>
              </c:spPr>
              <c:txPr>
                <a:bodyPr wrap="square" lIns="38100" tIns="19050" rIns="38100" bIns="19050" anchor="ctr">
                  <a:noAutofit/>
                </a:bodyPr>
                <a:lstStyle/>
                <a:p>
                  <a:pPr>
                    <a:defRPr sz="800" b="1"/>
                  </a:pPr>
                  <a:endParaRPr lang="es-DO"/>
                </a:p>
              </c:txPr>
              <c:showLegendKey val="0"/>
              <c:showVal val="1"/>
              <c:showCatName val="0"/>
              <c:showSerName val="0"/>
              <c:showPercent val="0"/>
              <c:showBubbleSize val="0"/>
              <c:extLst>
                <c:ext xmlns:c15="http://schemas.microsoft.com/office/drawing/2012/chart" uri="{CE6537A1-D6FC-4f65-9D91-7224C49458BB}">
                  <c15:layout>
                    <c:manualLayout>
                      <c:w val="0.1051238097194996"/>
                      <c:h val="7.4435921244847145E-2"/>
                    </c:manualLayout>
                  </c15:layout>
                </c:ext>
                <c:ext xmlns:c16="http://schemas.microsoft.com/office/drawing/2014/chart" uri="{C3380CC4-5D6E-409C-BE32-E72D297353CC}">
                  <c16:uniqueId val="{00000008-F953-4937-ACFC-AC9F032F728F}"/>
                </c:ext>
              </c:extLst>
            </c:dLbl>
            <c:dLbl>
              <c:idx val="1"/>
              <c:layout>
                <c:manualLayout>
                  <c:x val="-8.0756784548152889E-3"/>
                  <c:y val="-1.7063862882287256E-2"/>
                </c:manualLayout>
              </c:layout>
              <c:spPr>
                <a:noFill/>
                <a:ln>
                  <a:noFill/>
                </a:ln>
                <a:effectLst/>
              </c:spPr>
              <c:txPr>
                <a:bodyPr wrap="square" lIns="38100" tIns="19050" rIns="38100" bIns="19050" anchor="ctr">
                  <a:noAutofit/>
                </a:bodyPr>
                <a:lstStyle/>
                <a:p>
                  <a:pPr>
                    <a:defRPr sz="800" b="1"/>
                  </a:pPr>
                  <a:endParaRPr lang="es-DO"/>
                </a:p>
              </c:txPr>
              <c:showLegendKey val="0"/>
              <c:showVal val="1"/>
              <c:showCatName val="0"/>
              <c:showSerName val="0"/>
              <c:showPercent val="0"/>
              <c:showBubbleSize val="0"/>
              <c:extLst>
                <c:ext xmlns:c15="http://schemas.microsoft.com/office/drawing/2012/chart" uri="{CE6537A1-D6FC-4f65-9D91-7224C49458BB}">
                  <c15:layout>
                    <c:manualLayout>
                      <c:w val="0.10912780795442271"/>
                      <c:h val="6.3169131954507005E-2"/>
                    </c:manualLayout>
                  </c15:layout>
                </c:ext>
                <c:ext xmlns:c16="http://schemas.microsoft.com/office/drawing/2014/chart" uri="{C3380CC4-5D6E-409C-BE32-E72D297353CC}">
                  <c16:uniqueId val="{00000009-F953-4937-ACFC-AC9F032F728F}"/>
                </c:ext>
              </c:extLst>
            </c:dLbl>
            <c:dLbl>
              <c:idx val="2"/>
              <c:layout>
                <c:manualLayout>
                  <c:x val="-1.9030230582906038E-2"/>
                  <c:y val="-4.2445041134131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53-4937-ACFC-AC9F032F728F}"/>
                </c:ext>
              </c:extLst>
            </c:dLbl>
            <c:spPr>
              <a:noFill/>
              <a:ln>
                <a:noFill/>
              </a:ln>
              <a:effectLst/>
            </c:spPr>
            <c:txPr>
              <a:bodyPr wrap="square" lIns="38100" tIns="19050" rIns="38100" bIns="19050" anchor="ctr">
                <a:spAutoFit/>
              </a:bodyPr>
              <a:lstStyle/>
              <a:p>
                <a:pPr>
                  <a:defRPr sz="800"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'Recuperación Fondos'!$A$8:$A$10</c:f>
              <c:strCache>
                <c:ptCount val="3"/>
                <c:pt idx="0">
                  <c:v>Marzo</c:v>
                </c:pt>
                <c:pt idx="1">
                  <c:v>Febrero</c:v>
                </c:pt>
                <c:pt idx="2">
                  <c:v>Enero</c:v>
                </c:pt>
              </c:strCache>
            </c:strRef>
          </c:cat>
          <c:val>
            <c:numRef>
              <c:f>'Recuperación Fondos'!$G$8:$G$10</c:f>
              <c:numCache>
                <c:formatCode>0.00%</c:formatCode>
                <c:ptCount val="3"/>
                <c:pt idx="0">
                  <c:v>0.50290643724410489</c:v>
                </c:pt>
                <c:pt idx="1">
                  <c:v>0.48359378087506122</c:v>
                </c:pt>
                <c:pt idx="2">
                  <c:v>4.7384525234167515E-2</c:v>
                </c:pt>
              </c:numCache>
            </c:numRef>
          </c:val>
          <c:smooth val="0"/>
          <c:extLst>
            <c:ext xmlns:c16="http://schemas.microsoft.com/office/drawing/2014/chart" uri="{C3380CC4-5D6E-409C-BE32-E72D297353CC}">
              <c16:uniqueId val="{0000000B-F953-4937-ACFC-AC9F032F728F}"/>
            </c:ext>
          </c:extLst>
        </c:ser>
        <c:dLbls>
          <c:showLegendKey val="0"/>
          <c:showVal val="1"/>
          <c:showCatName val="0"/>
          <c:showSerName val="0"/>
          <c:showPercent val="0"/>
          <c:showBubbleSize val="0"/>
        </c:dLbls>
        <c:marker val="1"/>
        <c:smooth val="0"/>
        <c:axId val="1672048176"/>
        <c:axId val="1672052528"/>
      </c:lineChart>
      <c:valAx>
        <c:axId val="1672052528"/>
        <c:scaling>
          <c:orientation val="minMax"/>
        </c:scaling>
        <c:delete val="0"/>
        <c:axPos val="r"/>
        <c:numFmt formatCode="0.00%" sourceLinked="1"/>
        <c:majorTickMark val="none"/>
        <c:minorTickMark val="none"/>
        <c:tickLblPos val="nextTo"/>
        <c:crossAx val="1672048176"/>
        <c:crosses val="max"/>
        <c:crossBetween val="between"/>
      </c:valAx>
      <c:catAx>
        <c:axId val="1672048176"/>
        <c:scaling>
          <c:orientation val="minMax"/>
        </c:scaling>
        <c:delete val="0"/>
        <c:axPos val="b"/>
        <c:numFmt formatCode="General" sourceLinked="0"/>
        <c:majorTickMark val="none"/>
        <c:minorTickMark val="none"/>
        <c:tickLblPos val="nextTo"/>
        <c:crossAx val="1672052528"/>
        <c:crosses val="autoZero"/>
        <c:auto val="1"/>
        <c:lblAlgn val="ctr"/>
        <c:lblOffset val="100"/>
        <c:noMultiLvlLbl val="0"/>
      </c:catAx>
      <c:valAx>
        <c:axId val="1672045456"/>
        <c:scaling>
          <c:orientation val="minMax"/>
          <c:max val="5500000"/>
          <c:min val="0"/>
        </c:scaling>
        <c:delete val="0"/>
        <c:axPos val="l"/>
        <c:numFmt formatCode="#,##0.00_);[Red]\(#,##0.00\)" sourceLinked="1"/>
        <c:majorTickMark val="out"/>
        <c:minorTickMark val="none"/>
        <c:tickLblPos val="nextTo"/>
        <c:crossAx val="1672048720"/>
        <c:crosses val="autoZero"/>
        <c:crossBetween val="between"/>
        <c:majorUnit val="500000"/>
      </c:valAx>
      <c:catAx>
        <c:axId val="1672048720"/>
        <c:scaling>
          <c:orientation val="minMax"/>
        </c:scaling>
        <c:delete val="1"/>
        <c:axPos val="b"/>
        <c:numFmt formatCode="General" sourceLinked="1"/>
        <c:majorTickMark val="out"/>
        <c:minorTickMark val="none"/>
        <c:tickLblPos val="nextTo"/>
        <c:crossAx val="1672045456"/>
        <c:crosses val="autoZero"/>
        <c:auto val="1"/>
        <c:lblAlgn val="ctr"/>
        <c:lblOffset val="100"/>
        <c:noMultiLvlLbl val="0"/>
      </c:catAx>
    </c:plotArea>
    <c:legend>
      <c:legendPos val="b"/>
      <c:overlay val="0"/>
      <c:txPr>
        <a:bodyPr/>
        <a:lstStyle/>
        <a:p>
          <a:pPr>
            <a:defRPr sz="800" baseline="0"/>
          </a:pPr>
          <a:endParaRPr lang="es-DO"/>
        </a:p>
      </c:txPr>
    </c:legend>
    <c:plotVisOnly val="1"/>
    <c:dispBlanksAs val="gap"/>
    <c:showDLblsOverMax val="0"/>
  </c:chart>
  <c:spPr>
    <a:ln>
      <a:noFill/>
    </a:ln>
  </c:sp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1"/>
          <c:order val="0"/>
          <c:tx>
            <c:strRef>
              <c:f>Servicios!$K$11</c:f>
              <c:strCache>
                <c:ptCount val="1"/>
                <c:pt idx="0">
                  <c:v>Recibidas</c:v>
                </c:pt>
              </c:strCache>
            </c:strRef>
          </c:tx>
          <c:spPr>
            <a:solidFill>
              <a:schemeClr val="bg1">
                <a:lumMod val="65000"/>
              </a:schemeClr>
            </a:solidFill>
            <a:ln>
              <a:solidFill>
                <a:schemeClr val="bg1">
                  <a:lumMod val="65000"/>
                </a:schemeClr>
              </a:solidFill>
            </a:ln>
          </c:spPr>
          <c:invertIfNegative val="0"/>
          <c:cat>
            <c:strRef>
              <c:f>Servicios!$A$12:$A$24</c:f>
              <c:strCache>
                <c:ptCount val="13"/>
                <c:pt idx="0">
                  <c:v>Modificación Datos Críticos</c:v>
                </c:pt>
                <c:pt idx="1">
                  <c:v>Pensión por sobrevivencia</c:v>
                </c:pt>
                <c:pt idx="2">
                  <c:v>Registro de Poderes</c:v>
                </c:pt>
                <c:pt idx="3">
                  <c:v>Solicitud Aplicación/Suspensión de Descuento 2%</c:v>
                </c:pt>
                <c:pt idx="4">
                  <c:v>Solicitud de actualización de datos  Pensionados</c:v>
                </c:pt>
                <c:pt idx="5">
                  <c:v>Solicitud de Exclusión</c:v>
                </c:pt>
                <c:pt idx="6">
                  <c:v>Solicitud de Inclusión a Nómina</c:v>
                </c:pt>
                <c:pt idx="7">
                  <c:v>Solicitud de Reajuste de Pensión</c:v>
                </c:pt>
                <c:pt idx="8">
                  <c:v>Solicitud de Reclamación de Deuda</c:v>
                </c:pt>
                <c:pt idx="9">
                  <c:v>Solicitud Pago Único Compensatorio</c:v>
                </c:pt>
                <c:pt idx="10">
                  <c:v>Solicitud Pensión</c:v>
                </c:pt>
                <c:pt idx="11">
                  <c:v>Solicitud Re-activación/Re-inclusión Pensión</c:v>
                </c:pt>
                <c:pt idx="12">
                  <c:v>Solicitud Traspaso</c:v>
                </c:pt>
              </c:strCache>
            </c:strRef>
          </c:cat>
          <c:val>
            <c:numRef>
              <c:f>Servicios!$K$12:$K$24</c:f>
              <c:numCache>
                <c:formatCode>#,##0</c:formatCode>
                <c:ptCount val="13"/>
                <c:pt idx="0">
                  <c:v>18</c:v>
                </c:pt>
                <c:pt idx="1">
                  <c:v>482</c:v>
                </c:pt>
                <c:pt idx="2">
                  <c:v>134</c:v>
                </c:pt>
                <c:pt idx="3">
                  <c:v>652</c:v>
                </c:pt>
                <c:pt idx="4">
                  <c:v>11739</c:v>
                </c:pt>
                <c:pt idx="5">
                  <c:v>1631</c:v>
                </c:pt>
                <c:pt idx="6">
                  <c:v>8354</c:v>
                </c:pt>
                <c:pt idx="7">
                  <c:v>21</c:v>
                </c:pt>
                <c:pt idx="8">
                  <c:v>226</c:v>
                </c:pt>
                <c:pt idx="9">
                  <c:v>26</c:v>
                </c:pt>
                <c:pt idx="10">
                  <c:v>506</c:v>
                </c:pt>
                <c:pt idx="11">
                  <c:v>226</c:v>
                </c:pt>
                <c:pt idx="12">
                  <c:v>11</c:v>
                </c:pt>
              </c:numCache>
            </c:numRef>
          </c:val>
          <c:extLst>
            <c:ext xmlns:c16="http://schemas.microsoft.com/office/drawing/2014/chart" uri="{C3380CC4-5D6E-409C-BE32-E72D297353CC}">
              <c16:uniqueId val="{00000000-87CC-45A1-A6C8-669D4A3C48EA}"/>
            </c:ext>
          </c:extLst>
        </c:ser>
        <c:ser>
          <c:idx val="22"/>
          <c:order val="1"/>
          <c:tx>
            <c:strRef>
              <c:f>Servicios!$L$11</c:f>
              <c:strCache>
                <c:ptCount val="1"/>
                <c:pt idx="0">
                  <c:v>Procesadas</c:v>
                </c:pt>
              </c:strCache>
            </c:strRef>
          </c:tx>
          <c:spPr>
            <a:solidFill>
              <a:schemeClr val="accent3">
                <a:lumMod val="60000"/>
                <a:lumOff val="40000"/>
              </a:schemeClr>
            </a:solidFill>
            <a:ln>
              <a:solidFill>
                <a:schemeClr val="accent3">
                  <a:lumMod val="60000"/>
                  <a:lumOff val="40000"/>
                </a:schemeClr>
              </a:solidFill>
            </a:ln>
          </c:spPr>
          <c:invertIfNegative val="0"/>
          <c:cat>
            <c:strRef>
              <c:f>Servicios!$A$12:$A$24</c:f>
              <c:strCache>
                <c:ptCount val="13"/>
                <c:pt idx="0">
                  <c:v>Modificación Datos Críticos</c:v>
                </c:pt>
                <c:pt idx="1">
                  <c:v>Pensión por sobrevivencia</c:v>
                </c:pt>
                <c:pt idx="2">
                  <c:v>Registro de Poderes</c:v>
                </c:pt>
                <c:pt idx="3">
                  <c:v>Solicitud Aplicación/Suspensión de Descuento 2%</c:v>
                </c:pt>
                <c:pt idx="4">
                  <c:v>Solicitud de actualización de datos  Pensionados</c:v>
                </c:pt>
                <c:pt idx="5">
                  <c:v>Solicitud de Exclusión</c:v>
                </c:pt>
                <c:pt idx="6">
                  <c:v>Solicitud de Inclusión a Nómina</c:v>
                </c:pt>
                <c:pt idx="7">
                  <c:v>Solicitud de Reajuste de Pensión</c:v>
                </c:pt>
                <c:pt idx="8">
                  <c:v>Solicitud de Reclamación de Deuda</c:v>
                </c:pt>
                <c:pt idx="9">
                  <c:v>Solicitud Pago Único Compensatorio</c:v>
                </c:pt>
                <c:pt idx="10">
                  <c:v>Solicitud Pensión</c:v>
                </c:pt>
                <c:pt idx="11">
                  <c:v>Solicitud Re-activación/Re-inclusión Pensión</c:v>
                </c:pt>
                <c:pt idx="12">
                  <c:v>Solicitud Traspaso</c:v>
                </c:pt>
              </c:strCache>
            </c:strRef>
          </c:cat>
          <c:val>
            <c:numRef>
              <c:f>Servicios!$L$12:$L$24</c:f>
              <c:numCache>
                <c:formatCode>#,##0</c:formatCode>
                <c:ptCount val="13"/>
                <c:pt idx="0">
                  <c:v>15</c:v>
                </c:pt>
                <c:pt idx="1">
                  <c:v>460</c:v>
                </c:pt>
                <c:pt idx="2">
                  <c:v>89</c:v>
                </c:pt>
                <c:pt idx="3">
                  <c:v>650</c:v>
                </c:pt>
                <c:pt idx="4">
                  <c:v>11417</c:v>
                </c:pt>
                <c:pt idx="5">
                  <c:v>1600</c:v>
                </c:pt>
                <c:pt idx="6">
                  <c:v>8305</c:v>
                </c:pt>
                <c:pt idx="7">
                  <c:v>21</c:v>
                </c:pt>
                <c:pt idx="8">
                  <c:v>219</c:v>
                </c:pt>
                <c:pt idx="9">
                  <c:v>25</c:v>
                </c:pt>
                <c:pt idx="10">
                  <c:v>482</c:v>
                </c:pt>
                <c:pt idx="11">
                  <c:v>223</c:v>
                </c:pt>
                <c:pt idx="12">
                  <c:v>11</c:v>
                </c:pt>
              </c:numCache>
            </c:numRef>
          </c:val>
          <c:extLst>
            <c:ext xmlns:c16="http://schemas.microsoft.com/office/drawing/2014/chart" uri="{C3380CC4-5D6E-409C-BE32-E72D297353CC}">
              <c16:uniqueId val="{00000001-87CC-45A1-A6C8-669D4A3C48EA}"/>
            </c:ext>
          </c:extLst>
        </c:ser>
        <c:dLbls>
          <c:showLegendKey val="0"/>
          <c:showVal val="0"/>
          <c:showCatName val="0"/>
          <c:showSerName val="0"/>
          <c:showPercent val="0"/>
          <c:showBubbleSize val="0"/>
        </c:dLbls>
        <c:gapWidth val="50"/>
        <c:axId val="1672055248"/>
        <c:axId val="1672041104"/>
      </c:barChart>
      <c:lineChart>
        <c:grouping val="standard"/>
        <c:varyColors val="0"/>
        <c:ser>
          <c:idx val="23"/>
          <c:order val="2"/>
          <c:tx>
            <c:strRef>
              <c:f>Servicios!$M$11</c:f>
              <c:strCache>
                <c:ptCount val="1"/>
                <c:pt idx="0">
                  <c:v>% Eficiencia</c:v>
                </c:pt>
              </c:strCache>
            </c:strRef>
          </c:tx>
          <c:spPr>
            <a:ln>
              <a:solidFill>
                <a:schemeClr val="accent1"/>
              </a:solidFill>
            </a:ln>
          </c:spPr>
          <c:marker>
            <c:symbol val="triangle"/>
            <c:size val="7"/>
            <c:spPr>
              <a:solidFill>
                <a:schemeClr val="accent1"/>
              </a:solidFill>
              <a:ln>
                <a:solidFill>
                  <a:schemeClr val="accent1"/>
                </a:solidFill>
              </a:ln>
            </c:spPr>
          </c:marker>
          <c:cat>
            <c:strRef>
              <c:f>Servicios!$A$12:$A$24</c:f>
              <c:strCache>
                <c:ptCount val="13"/>
                <c:pt idx="0">
                  <c:v>Modificación Datos Críticos</c:v>
                </c:pt>
                <c:pt idx="1">
                  <c:v>Pensión por sobrevivencia</c:v>
                </c:pt>
                <c:pt idx="2">
                  <c:v>Registro de Poderes</c:v>
                </c:pt>
                <c:pt idx="3">
                  <c:v>Solicitud Aplicación/Suspensión de Descuento 2%</c:v>
                </c:pt>
                <c:pt idx="4">
                  <c:v>Solicitud de actualización de datos  Pensionados</c:v>
                </c:pt>
                <c:pt idx="5">
                  <c:v>Solicitud de Exclusión</c:v>
                </c:pt>
                <c:pt idx="6">
                  <c:v>Solicitud de Inclusión a Nómina</c:v>
                </c:pt>
                <c:pt idx="7">
                  <c:v>Solicitud de Reajuste de Pensión</c:v>
                </c:pt>
                <c:pt idx="8">
                  <c:v>Solicitud de Reclamación de Deuda</c:v>
                </c:pt>
                <c:pt idx="9">
                  <c:v>Solicitud Pago Único Compensatorio</c:v>
                </c:pt>
                <c:pt idx="10">
                  <c:v>Solicitud Pensión</c:v>
                </c:pt>
                <c:pt idx="11">
                  <c:v>Solicitud Re-activación/Re-inclusión Pensión</c:v>
                </c:pt>
                <c:pt idx="12">
                  <c:v>Solicitud Traspaso</c:v>
                </c:pt>
              </c:strCache>
            </c:strRef>
          </c:cat>
          <c:val>
            <c:numRef>
              <c:f>Servicios!$M$12:$M$24</c:f>
              <c:numCache>
                <c:formatCode>0.0%</c:formatCode>
                <c:ptCount val="13"/>
                <c:pt idx="0">
                  <c:v>0.83333333333333337</c:v>
                </c:pt>
                <c:pt idx="1">
                  <c:v>0.9543568464730291</c:v>
                </c:pt>
                <c:pt idx="2">
                  <c:v>0.66417910447761197</c:v>
                </c:pt>
                <c:pt idx="3">
                  <c:v>0.99693251533742333</c:v>
                </c:pt>
                <c:pt idx="4">
                  <c:v>0.97257006559332138</c:v>
                </c:pt>
                <c:pt idx="5">
                  <c:v>0.9809932556713673</c:v>
                </c:pt>
                <c:pt idx="6">
                  <c:v>0.99413454632511367</c:v>
                </c:pt>
                <c:pt idx="7">
                  <c:v>1</c:v>
                </c:pt>
                <c:pt idx="8">
                  <c:v>0.96902654867256632</c:v>
                </c:pt>
                <c:pt idx="9">
                  <c:v>0.96153846153846156</c:v>
                </c:pt>
                <c:pt idx="10">
                  <c:v>0.95256916996047436</c:v>
                </c:pt>
                <c:pt idx="11">
                  <c:v>0.98672566371681414</c:v>
                </c:pt>
                <c:pt idx="12">
                  <c:v>1</c:v>
                </c:pt>
              </c:numCache>
            </c:numRef>
          </c:val>
          <c:smooth val="0"/>
          <c:extLst>
            <c:ext xmlns:c16="http://schemas.microsoft.com/office/drawing/2014/chart" uri="{C3380CC4-5D6E-409C-BE32-E72D297353CC}">
              <c16:uniqueId val="{00000002-87CC-45A1-A6C8-669D4A3C48EA}"/>
            </c:ext>
          </c:extLst>
        </c:ser>
        <c:dLbls>
          <c:showLegendKey val="0"/>
          <c:showVal val="0"/>
          <c:showCatName val="0"/>
          <c:showSerName val="0"/>
          <c:showPercent val="0"/>
          <c:showBubbleSize val="0"/>
        </c:dLbls>
        <c:marker val="1"/>
        <c:smooth val="0"/>
        <c:axId val="1672042192"/>
        <c:axId val="1672041648"/>
      </c:lineChart>
      <c:catAx>
        <c:axId val="1672055248"/>
        <c:scaling>
          <c:orientation val="minMax"/>
        </c:scaling>
        <c:delete val="0"/>
        <c:axPos val="b"/>
        <c:numFmt formatCode="General" sourceLinked="0"/>
        <c:majorTickMark val="out"/>
        <c:minorTickMark val="none"/>
        <c:tickLblPos val="nextTo"/>
        <c:crossAx val="1672041104"/>
        <c:crosses val="autoZero"/>
        <c:auto val="1"/>
        <c:lblAlgn val="ctr"/>
        <c:lblOffset val="100"/>
        <c:noMultiLvlLbl val="0"/>
      </c:catAx>
      <c:valAx>
        <c:axId val="1672041104"/>
        <c:scaling>
          <c:logBase val="10"/>
          <c:orientation val="minMax"/>
          <c:max val="100000"/>
        </c:scaling>
        <c:delete val="0"/>
        <c:axPos val="l"/>
        <c:majorGridlines>
          <c:spPr>
            <a:ln>
              <a:noFill/>
            </a:ln>
          </c:spPr>
        </c:majorGridlines>
        <c:numFmt formatCode="#,##0" sourceLinked="1"/>
        <c:majorTickMark val="out"/>
        <c:minorTickMark val="none"/>
        <c:tickLblPos val="nextTo"/>
        <c:crossAx val="1672055248"/>
        <c:crosses val="autoZero"/>
        <c:crossBetween val="between"/>
      </c:valAx>
      <c:valAx>
        <c:axId val="1672041648"/>
        <c:scaling>
          <c:orientation val="minMax"/>
          <c:max val="1"/>
          <c:min val="0.70000000000000007"/>
        </c:scaling>
        <c:delete val="0"/>
        <c:axPos val="r"/>
        <c:numFmt formatCode="0.0%" sourceLinked="1"/>
        <c:majorTickMark val="out"/>
        <c:minorTickMark val="none"/>
        <c:tickLblPos val="nextTo"/>
        <c:crossAx val="1672042192"/>
        <c:crosses val="max"/>
        <c:crossBetween val="between"/>
        <c:majorUnit val="5.000000000000001E-2"/>
      </c:valAx>
      <c:catAx>
        <c:axId val="1672042192"/>
        <c:scaling>
          <c:orientation val="minMax"/>
        </c:scaling>
        <c:delete val="1"/>
        <c:axPos val="b"/>
        <c:numFmt formatCode="General" sourceLinked="1"/>
        <c:majorTickMark val="out"/>
        <c:minorTickMark val="none"/>
        <c:tickLblPos val="nextTo"/>
        <c:crossAx val="1672041648"/>
        <c:crosses val="autoZero"/>
        <c:auto val="1"/>
        <c:lblAlgn val="ctr"/>
        <c:lblOffset val="100"/>
        <c:noMultiLvlLbl val="0"/>
      </c:catAx>
    </c:plotArea>
    <c:legend>
      <c:legendPos val="b"/>
      <c:overlay val="0"/>
    </c:legend>
    <c:plotVisOnly val="1"/>
    <c:dispBlanksAs val="gap"/>
    <c:showDLblsOverMax val="0"/>
  </c:chart>
  <c:spPr>
    <a:ln>
      <a:noFill/>
    </a:ln>
  </c:spPr>
  <c:printSettings>
    <c:headerFooter/>
    <c:pageMargins b="0.75" l="0.7" r="0.7" t="0.75" header="0.3" footer="0.3"/>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1"/>
          <c:order val="0"/>
          <c:tx>
            <c:strRef>
              <c:f>Servicios!$K$11</c:f>
              <c:strCache>
                <c:ptCount val="1"/>
                <c:pt idx="0">
                  <c:v>Recibidas</c:v>
                </c:pt>
              </c:strCache>
            </c:strRef>
          </c:tx>
          <c:spPr>
            <a:solidFill>
              <a:schemeClr val="bg1">
                <a:lumMod val="65000"/>
              </a:schemeClr>
            </a:solidFill>
            <a:ln>
              <a:solidFill>
                <a:schemeClr val="bg1">
                  <a:lumMod val="65000"/>
                </a:schemeClr>
              </a:solidFill>
            </a:ln>
          </c:spPr>
          <c:invertIfNegative val="0"/>
          <c:cat>
            <c:strRef>
              <c:f>Servicios!$A$33:$A$47</c:f>
              <c:strCache>
                <c:ptCount val="15"/>
                <c:pt idx="0">
                  <c:v>Descripción </c:v>
                </c:pt>
                <c:pt idx="1">
                  <c:v>Pensión por Sobrevivencia Concubina</c:v>
                </c:pt>
                <c:pt idx="2">
                  <c:v>Pensión por Sobrevivencia Conyugue</c:v>
                </c:pt>
                <c:pt idx="3">
                  <c:v>Pension por Sobrevivencia Estudiante PN</c:v>
                </c:pt>
                <c:pt idx="4">
                  <c:v>Pensión por Sobrevivencia Menor</c:v>
                </c:pt>
                <c:pt idx="5">
                  <c:v>Pensión por Sobrevivencia Padres</c:v>
                </c:pt>
                <c:pt idx="6">
                  <c:v>Reactivacion</c:v>
                </c:pt>
                <c:pt idx="7">
                  <c:v>Reembolso - RE</c:v>
                </c:pt>
                <c:pt idx="8">
                  <c:v>Reinclusion</c:v>
                </c:pt>
                <c:pt idx="9">
                  <c:v>Retroactivo – RT</c:v>
                </c:pt>
                <c:pt idx="10">
                  <c:v>Retroactivo – RTI</c:v>
                </c:pt>
                <c:pt idx="11">
                  <c:v>Solicitud de aplicacion de Descuento ADL</c:v>
                </c:pt>
                <c:pt idx="12">
                  <c:v>Solicitud de Inclusión a Nómina</c:v>
                </c:pt>
                <c:pt idx="13">
                  <c:v>Solicitud de Suspension de Descuento SDL</c:v>
                </c:pt>
                <c:pt idx="14">
                  <c:v>Solicitud Modificación Monto Pensión</c:v>
                </c:pt>
              </c:strCache>
            </c:strRef>
          </c:cat>
          <c:val>
            <c:numRef>
              <c:f>Servicios!$K$33:$K$47</c:f>
              <c:numCache>
                <c:formatCode>#,##0</c:formatCode>
                <c:ptCount val="15"/>
                <c:pt idx="0" formatCode="General">
                  <c:v>0</c:v>
                </c:pt>
                <c:pt idx="1">
                  <c:v>49</c:v>
                </c:pt>
                <c:pt idx="2">
                  <c:v>288</c:v>
                </c:pt>
                <c:pt idx="3">
                  <c:v>3</c:v>
                </c:pt>
                <c:pt idx="4">
                  <c:v>16</c:v>
                </c:pt>
                <c:pt idx="5">
                  <c:v>1</c:v>
                </c:pt>
                <c:pt idx="6">
                  <c:v>154</c:v>
                </c:pt>
                <c:pt idx="7">
                  <c:v>40</c:v>
                </c:pt>
                <c:pt idx="8">
                  <c:v>35</c:v>
                </c:pt>
                <c:pt idx="9">
                  <c:v>669</c:v>
                </c:pt>
                <c:pt idx="10">
                  <c:v>251</c:v>
                </c:pt>
                <c:pt idx="11">
                  <c:v>45</c:v>
                </c:pt>
                <c:pt idx="12">
                  <c:v>7665</c:v>
                </c:pt>
                <c:pt idx="13">
                  <c:v>94</c:v>
                </c:pt>
                <c:pt idx="14">
                  <c:v>1105</c:v>
                </c:pt>
              </c:numCache>
            </c:numRef>
          </c:val>
          <c:extLst>
            <c:ext xmlns:c16="http://schemas.microsoft.com/office/drawing/2014/chart" uri="{C3380CC4-5D6E-409C-BE32-E72D297353CC}">
              <c16:uniqueId val="{00000000-06E3-4EA1-A621-3A7FC20B75EF}"/>
            </c:ext>
          </c:extLst>
        </c:ser>
        <c:dLbls>
          <c:showLegendKey val="0"/>
          <c:showVal val="0"/>
          <c:showCatName val="0"/>
          <c:showSerName val="0"/>
          <c:showPercent val="0"/>
          <c:showBubbleSize val="0"/>
        </c:dLbls>
        <c:gapWidth val="50"/>
        <c:axId val="1672043824"/>
        <c:axId val="1672044368"/>
      </c:barChart>
      <c:catAx>
        <c:axId val="1672043824"/>
        <c:scaling>
          <c:orientation val="minMax"/>
        </c:scaling>
        <c:delete val="0"/>
        <c:axPos val="b"/>
        <c:numFmt formatCode="General" sourceLinked="0"/>
        <c:majorTickMark val="out"/>
        <c:minorTickMark val="none"/>
        <c:tickLblPos val="nextTo"/>
        <c:crossAx val="1672044368"/>
        <c:crosses val="autoZero"/>
        <c:auto val="1"/>
        <c:lblAlgn val="ctr"/>
        <c:lblOffset val="100"/>
        <c:noMultiLvlLbl val="0"/>
      </c:catAx>
      <c:valAx>
        <c:axId val="1672044368"/>
        <c:scaling>
          <c:logBase val="10"/>
          <c:orientation val="minMax"/>
          <c:max val="12000"/>
          <c:min val="10"/>
        </c:scaling>
        <c:delete val="0"/>
        <c:axPos val="l"/>
        <c:majorGridlines>
          <c:spPr>
            <a:ln>
              <a:noFill/>
            </a:ln>
          </c:spPr>
        </c:majorGridlines>
        <c:numFmt formatCode="#,##0" sourceLinked="0"/>
        <c:majorTickMark val="out"/>
        <c:minorTickMark val="none"/>
        <c:tickLblPos val="nextTo"/>
        <c:crossAx val="1672043824"/>
        <c:crosses val="autoZero"/>
        <c:crossBetween val="between"/>
        <c:majorUnit val="10"/>
      </c:valAx>
    </c:plotArea>
    <c:plotVisOnly val="1"/>
    <c:dispBlanksAs val="gap"/>
    <c:showDLblsOverMax val="0"/>
  </c:chart>
  <c:spPr>
    <a:noFill/>
    <a:ln>
      <a:noFill/>
    </a:ln>
  </c:spPr>
  <c:printSettings>
    <c:headerFooter/>
    <c:pageMargins b="0.75" l="0.7" r="0.7" t="0.75" header="0.3" footer="0.3"/>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1"/>
          <c:order val="0"/>
          <c:tx>
            <c:strRef>
              <c:f>Servicios!$K$65</c:f>
              <c:strCache>
                <c:ptCount val="1"/>
                <c:pt idx="0">
                  <c:v>Recibidas</c:v>
                </c:pt>
              </c:strCache>
            </c:strRef>
          </c:tx>
          <c:spPr>
            <a:solidFill>
              <a:schemeClr val="bg1">
                <a:lumMod val="65000"/>
              </a:schemeClr>
            </a:solidFill>
            <a:ln>
              <a:solidFill>
                <a:schemeClr val="bg1">
                  <a:lumMod val="65000"/>
                </a:schemeClr>
              </a:solidFill>
            </a:ln>
          </c:spPr>
          <c:invertIfNegative val="0"/>
          <c:cat>
            <c:strRef>
              <c:f>Servicios!$A$66:$A$69</c:f>
              <c:strCache>
                <c:ptCount val="4"/>
                <c:pt idx="0">
                  <c:v>Sobrevivencia Civil</c:v>
                </c:pt>
                <c:pt idx="1">
                  <c:v>Sobrevivencia Policía Nacional</c:v>
                </c:pt>
                <c:pt idx="2">
                  <c:v>Discapacidad Civil</c:v>
                </c:pt>
                <c:pt idx="3">
                  <c:v>Discapacidad Policía Nacional</c:v>
                </c:pt>
              </c:strCache>
            </c:strRef>
          </c:cat>
          <c:val>
            <c:numRef>
              <c:f>Servicios!$K$66:$K$69</c:f>
              <c:numCache>
                <c:formatCode>#,##0</c:formatCode>
                <c:ptCount val="4"/>
                <c:pt idx="0">
                  <c:v>9</c:v>
                </c:pt>
                <c:pt idx="1">
                  <c:v>15</c:v>
                </c:pt>
                <c:pt idx="2">
                  <c:v>3</c:v>
                </c:pt>
                <c:pt idx="3">
                  <c:v>0</c:v>
                </c:pt>
              </c:numCache>
            </c:numRef>
          </c:val>
          <c:extLst>
            <c:ext xmlns:c16="http://schemas.microsoft.com/office/drawing/2014/chart" uri="{C3380CC4-5D6E-409C-BE32-E72D297353CC}">
              <c16:uniqueId val="{00000000-2ADE-4A05-A70D-CF127407BAED}"/>
            </c:ext>
          </c:extLst>
        </c:ser>
        <c:ser>
          <c:idx val="22"/>
          <c:order val="1"/>
          <c:tx>
            <c:strRef>
              <c:f>Servicios!$L$65</c:f>
              <c:strCache>
                <c:ptCount val="1"/>
                <c:pt idx="0">
                  <c:v>Otorgadas</c:v>
                </c:pt>
              </c:strCache>
            </c:strRef>
          </c:tx>
          <c:spPr>
            <a:solidFill>
              <a:schemeClr val="accent3">
                <a:lumMod val="60000"/>
                <a:lumOff val="40000"/>
              </a:schemeClr>
            </a:solidFill>
            <a:ln>
              <a:solidFill>
                <a:schemeClr val="accent3">
                  <a:lumMod val="60000"/>
                  <a:lumOff val="40000"/>
                </a:schemeClr>
              </a:solidFill>
            </a:ln>
          </c:spPr>
          <c:invertIfNegative val="0"/>
          <c:cat>
            <c:strRef>
              <c:f>Servicios!$A$66:$A$69</c:f>
              <c:strCache>
                <c:ptCount val="4"/>
                <c:pt idx="0">
                  <c:v>Sobrevivencia Civil</c:v>
                </c:pt>
                <c:pt idx="1">
                  <c:v>Sobrevivencia Policía Nacional</c:v>
                </c:pt>
                <c:pt idx="2">
                  <c:v>Discapacidad Civil</c:v>
                </c:pt>
                <c:pt idx="3">
                  <c:v>Discapacidad Policía Nacional</c:v>
                </c:pt>
              </c:strCache>
            </c:strRef>
          </c:cat>
          <c:val>
            <c:numRef>
              <c:f>Servicios!$L$66:$L$69</c:f>
              <c:numCache>
                <c:formatCode>#,##0</c:formatCode>
                <c:ptCount val="4"/>
                <c:pt idx="0">
                  <c:v>23</c:v>
                </c:pt>
                <c:pt idx="1">
                  <c:v>18</c:v>
                </c:pt>
                <c:pt idx="2">
                  <c:v>10</c:v>
                </c:pt>
                <c:pt idx="3">
                  <c:v>0</c:v>
                </c:pt>
              </c:numCache>
            </c:numRef>
          </c:val>
          <c:extLst>
            <c:ext xmlns:c16="http://schemas.microsoft.com/office/drawing/2014/chart" uri="{C3380CC4-5D6E-409C-BE32-E72D297353CC}">
              <c16:uniqueId val="{00000001-2ADE-4A05-A70D-CF127407BAED}"/>
            </c:ext>
          </c:extLst>
        </c:ser>
        <c:dLbls>
          <c:showLegendKey val="0"/>
          <c:showVal val="0"/>
          <c:showCatName val="0"/>
          <c:showSerName val="0"/>
          <c:showPercent val="0"/>
          <c:showBubbleSize val="0"/>
        </c:dLbls>
        <c:gapWidth val="50"/>
        <c:axId val="1672055248"/>
        <c:axId val="1672041104"/>
      </c:barChart>
      <c:catAx>
        <c:axId val="1672055248"/>
        <c:scaling>
          <c:orientation val="minMax"/>
        </c:scaling>
        <c:delete val="0"/>
        <c:axPos val="b"/>
        <c:numFmt formatCode="General" sourceLinked="0"/>
        <c:majorTickMark val="out"/>
        <c:minorTickMark val="none"/>
        <c:tickLblPos val="nextTo"/>
        <c:crossAx val="1672041104"/>
        <c:crosses val="autoZero"/>
        <c:auto val="1"/>
        <c:lblAlgn val="ctr"/>
        <c:lblOffset val="100"/>
        <c:noMultiLvlLbl val="0"/>
      </c:catAx>
      <c:valAx>
        <c:axId val="1672041104"/>
        <c:scaling>
          <c:orientation val="minMax"/>
          <c:max val="30"/>
        </c:scaling>
        <c:delete val="0"/>
        <c:axPos val="l"/>
        <c:majorGridlines>
          <c:spPr>
            <a:ln>
              <a:noFill/>
            </a:ln>
          </c:spPr>
        </c:majorGridlines>
        <c:numFmt formatCode="#,##0" sourceLinked="1"/>
        <c:majorTickMark val="out"/>
        <c:minorTickMark val="none"/>
        <c:tickLblPos val="nextTo"/>
        <c:crossAx val="167205524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sz="1100">
                <a:solidFill>
                  <a:schemeClr val="accent1"/>
                </a:solidFill>
              </a:rPr>
              <a:t>Porcentaje de Cotizantes</a:t>
            </a:r>
            <a:r>
              <a:rPr lang="es-ES" sz="1100" baseline="0">
                <a:solidFill>
                  <a:schemeClr val="accent1"/>
                </a:solidFill>
              </a:rPr>
              <a:t> y No Cotizantes</a:t>
            </a:r>
            <a:endParaRPr lang="es-ES" sz="1100">
              <a:solidFill>
                <a:schemeClr val="accent1"/>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5"/>
          <c:dPt>
            <c:idx val="0"/>
            <c:bubble3D val="0"/>
            <c:explosion val="0"/>
            <c:spPr>
              <a:solidFill>
                <a:schemeClr val="bg1">
                  <a:lumMod val="7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2EA7-43FD-B304-646A53AEE0FB}"/>
              </c:ext>
            </c:extLst>
          </c:dPt>
          <c:dPt>
            <c:idx val="1"/>
            <c:bubble3D val="0"/>
            <c:spPr>
              <a:solidFill>
                <a:schemeClr val="accent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2EA7-43FD-B304-646A53AEE0FB}"/>
              </c:ext>
            </c:extLst>
          </c:dPt>
          <c:dLbls>
            <c:dLbl>
              <c:idx val="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A7-43FD-B304-646A53AEE0FB}"/>
                </c:ext>
              </c:extLst>
            </c:dLbl>
            <c:dLbl>
              <c:idx val="1"/>
              <c:layout>
                <c:manualLayout>
                  <c:x val="0.25484867525940447"/>
                  <c:y val="-0.2075442007309298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1"/>
              <c:showCatName val="1"/>
              <c:showSerName val="0"/>
              <c:showPercent val="0"/>
              <c:showBubbleSize val="0"/>
              <c:extLst>
                <c:ext xmlns:c15="http://schemas.microsoft.com/office/drawing/2012/chart" uri="{CE6537A1-D6FC-4f65-9D91-7224C49458BB}">
                  <c15:layout>
                    <c:manualLayout>
                      <c:w val="0.29511379846281588"/>
                      <c:h val="0.16543398115697963"/>
                    </c:manualLayout>
                  </c15:layout>
                </c:ext>
                <c:ext xmlns:c16="http://schemas.microsoft.com/office/drawing/2014/chart" uri="{C3380CC4-5D6E-409C-BE32-E72D297353CC}">
                  <c16:uniqueId val="{00000003-2EA7-43FD-B304-646A53AEE0F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DO"/>
              </a:p>
            </c:txPr>
            <c:dLblPos val="bestFit"/>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 y Cotizantes'!$D$6,'Afiliados y Cotizantes'!$F$6)</c:f>
              <c:strCache>
                <c:ptCount val="2"/>
                <c:pt idx="0">
                  <c:v>% Cotizantes</c:v>
                </c:pt>
                <c:pt idx="1">
                  <c:v>% No Cotizantes</c:v>
                </c:pt>
              </c:strCache>
            </c:strRef>
          </c:cat>
          <c:val>
            <c:numRef>
              <c:f>('Afiliados y Cotizantes'!$D$10,'Afiliados y Cotizantes'!$F$10)</c:f>
              <c:numCache>
                <c:formatCode>0.00%</c:formatCode>
                <c:ptCount val="2"/>
                <c:pt idx="0">
                  <c:v>0.27474888188283597</c:v>
                </c:pt>
                <c:pt idx="1">
                  <c:v>0.72525111811716403</c:v>
                </c:pt>
              </c:numCache>
            </c:numRef>
          </c:val>
          <c:extLst>
            <c:ext xmlns:c16="http://schemas.microsoft.com/office/drawing/2014/chart" uri="{C3380CC4-5D6E-409C-BE32-E72D297353CC}">
              <c16:uniqueId val="{00000004-2EA7-43FD-B304-646A53AEE0FB}"/>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sz="1100" b="1">
                <a:solidFill>
                  <a:schemeClr val="accent1"/>
                </a:solidFill>
              </a:rPr>
              <a:t>Afiliados Policia Nacional</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DO"/>
        </a:p>
      </c:txPr>
    </c:title>
    <c:autoTitleDeleted val="0"/>
    <c:plotArea>
      <c:layout/>
      <c:barChart>
        <c:barDir val="col"/>
        <c:grouping val="clustered"/>
        <c:varyColors val="0"/>
        <c:ser>
          <c:idx val="0"/>
          <c:order val="0"/>
          <c:tx>
            <c:strRef>
              <c:f>'Afiliados y Cotizantes'!$G$6</c:f>
              <c:strCache>
                <c:ptCount val="1"/>
                <c:pt idx="0">
                  <c:v>Afiliados Policia Nacional</c:v>
                </c:pt>
              </c:strCache>
            </c:strRef>
          </c:tx>
          <c:spPr>
            <a:solidFill>
              <a:schemeClr val="bg1">
                <a:lumMod val="75000"/>
              </a:schemeClr>
            </a:solidFill>
            <a:ln>
              <a:noFill/>
            </a:ln>
            <a:effectLst>
              <a:outerShdw blurRad="76200" dir="18900000" sy="23000" kx="-1200000" algn="bl" rotWithShape="0">
                <a:prstClr val="black">
                  <a:alpha val="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'Afiliados y Cotizantes'!$A$7:$A$9</c:f>
              <c:strCache>
                <c:ptCount val="3"/>
                <c:pt idx="0">
                  <c:v>Marzo</c:v>
                </c:pt>
                <c:pt idx="1">
                  <c:v>Febrero</c:v>
                </c:pt>
                <c:pt idx="2">
                  <c:v>Enero</c:v>
                </c:pt>
              </c:strCache>
            </c:strRef>
          </c:cat>
          <c:val>
            <c:numRef>
              <c:f>'Afiliados y Cotizantes'!$G$7:$G$9</c:f>
              <c:numCache>
                <c:formatCode>#,##0</c:formatCode>
                <c:ptCount val="3"/>
                <c:pt idx="0">
                  <c:v>56016</c:v>
                </c:pt>
                <c:pt idx="1">
                  <c:v>55916</c:v>
                </c:pt>
                <c:pt idx="2">
                  <c:v>55807</c:v>
                </c:pt>
              </c:numCache>
            </c:numRef>
          </c:val>
          <c:extLst>
            <c:ext xmlns:c16="http://schemas.microsoft.com/office/drawing/2014/chart" uri="{C3380CC4-5D6E-409C-BE32-E72D297353CC}">
              <c16:uniqueId val="{00000000-7C7C-4C5D-AA0A-07EE66F30F81}"/>
            </c:ext>
          </c:extLst>
        </c:ser>
        <c:dLbls>
          <c:dLblPos val="inEnd"/>
          <c:showLegendKey val="0"/>
          <c:showVal val="1"/>
          <c:showCatName val="0"/>
          <c:showSerName val="0"/>
          <c:showPercent val="0"/>
          <c:showBubbleSize val="0"/>
        </c:dLbls>
        <c:gapWidth val="41"/>
        <c:axId val="509055728"/>
        <c:axId val="509058352"/>
      </c:barChart>
      <c:catAx>
        <c:axId val="5090557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dk1">
                    <a:lumMod val="65000"/>
                    <a:lumOff val="35000"/>
                  </a:schemeClr>
                </a:solidFill>
                <a:effectLst/>
                <a:latin typeface="+mn-lt"/>
                <a:ea typeface="+mn-ea"/>
                <a:cs typeface="+mn-cs"/>
              </a:defRPr>
            </a:pPr>
            <a:endParaRPr lang="es-DO"/>
          </a:p>
        </c:txPr>
        <c:crossAx val="509058352"/>
        <c:crosses val="autoZero"/>
        <c:auto val="1"/>
        <c:lblAlgn val="ctr"/>
        <c:lblOffset val="100"/>
        <c:noMultiLvlLbl val="0"/>
      </c:catAx>
      <c:valAx>
        <c:axId val="509058352"/>
        <c:scaling>
          <c:orientation val="minMax"/>
        </c:scaling>
        <c:delete val="1"/>
        <c:axPos val="l"/>
        <c:numFmt formatCode="#,##0" sourceLinked="1"/>
        <c:majorTickMark val="none"/>
        <c:minorTickMark val="none"/>
        <c:tickLblPos val="nextTo"/>
        <c:crossAx val="509055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D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8018372703412"/>
          <c:y val="3.5109750841474434E-2"/>
          <c:w val="0.68917891513560803"/>
          <c:h val="0.8326195683872849"/>
        </c:manualLayout>
      </c:layout>
      <c:barChart>
        <c:barDir val="col"/>
        <c:grouping val="clustered"/>
        <c:varyColors val="0"/>
        <c:ser>
          <c:idx val="0"/>
          <c:order val="0"/>
          <c:tx>
            <c:strRef>
              <c:f>Cotizantes!$B$7</c:f>
              <c:strCache>
                <c:ptCount val="1"/>
                <c:pt idx="0">
                  <c:v>Público 
</c:v>
                </c:pt>
              </c:strCache>
            </c:strRef>
          </c:tx>
          <c:spPr>
            <a:solidFill>
              <a:schemeClr val="bg1">
                <a:lumMod val="75000"/>
              </a:schemeClr>
            </a:solidFill>
            <a:ln>
              <a:solidFill>
                <a:schemeClr val="bg1">
                  <a:lumMod val="75000"/>
                </a:schemeClr>
              </a:solidFill>
            </a:ln>
          </c:spPr>
          <c:invertIfNegative val="0"/>
          <c:dLbls>
            <c:dLbl>
              <c:idx val="0"/>
              <c:layout>
                <c:manualLayout>
                  <c:x val="-2.7771099146605784E-3"/>
                  <c:y val="0.216870195930268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C0-431D-A784-ADE8732008D2}"/>
                </c:ext>
              </c:extLst>
            </c:dLbl>
            <c:dLbl>
              <c:idx val="1"/>
              <c:layout>
                <c:manualLayout>
                  <c:x val="-2.7770361414853994E-3"/>
                  <c:y val="0.233135460625038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C0-431D-A784-ADE8732008D2}"/>
                </c:ext>
              </c:extLst>
            </c:dLbl>
            <c:dLbl>
              <c:idx val="2"/>
              <c:layout>
                <c:manualLayout>
                  <c:x val="2.7770361414853994E-3"/>
                  <c:y val="0.222291950828525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C0-431D-A784-ADE8732008D2}"/>
                </c:ext>
              </c:extLst>
            </c:dLbl>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Cotizantes!$A$8:$A$10</c:f>
              <c:strCache>
                <c:ptCount val="3"/>
                <c:pt idx="0">
                  <c:v>Marzo</c:v>
                </c:pt>
                <c:pt idx="1">
                  <c:v>Febrero</c:v>
                </c:pt>
                <c:pt idx="2">
                  <c:v>Enero</c:v>
                </c:pt>
              </c:strCache>
            </c:strRef>
          </c:cat>
          <c:val>
            <c:numRef>
              <c:f>Cotizantes!$B$8:$B$10</c:f>
              <c:numCache>
                <c:formatCode>#,##0</c:formatCode>
                <c:ptCount val="3"/>
                <c:pt idx="0">
                  <c:v>19635</c:v>
                </c:pt>
                <c:pt idx="1">
                  <c:v>20605</c:v>
                </c:pt>
                <c:pt idx="2">
                  <c:v>20466</c:v>
                </c:pt>
              </c:numCache>
            </c:numRef>
          </c:val>
          <c:extLst>
            <c:ext xmlns:c16="http://schemas.microsoft.com/office/drawing/2014/chart" uri="{C3380CC4-5D6E-409C-BE32-E72D297353CC}">
              <c16:uniqueId val="{00000000-2F8B-4152-BDE9-0C66FFE1287D}"/>
            </c:ext>
          </c:extLst>
        </c:ser>
        <c:ser>
          <c:idx val="1"/>
          <c:order val="1"/>
          <c:tx>
            <c:strRef>
              <c:f>Cotizantes!$C$7</c:f>
              <c:strCache>
                <c:ptCount val="1"/>
                <c:pt idx="0">
                  <c:v>Privado</c:v>
                </c:pt>
              </c:strCache>
            </c:strRef>
          </c:tx>
          <c:spPr>
            <a:solidFill>
              <a:schemeClr val="accent3">
                <a:lumMod val="60000"/>
                <a:lumOff val="40000"/>
              </a:schemeClr>
            </a:solidFill>
            <a:ln>
              <a:solidFill>
                <a:schemeClr val="accent3">
                  <a:lumMod val="60000"/>
                  <a:lumOff val="40000"/>
                </a:schemeClr>
              </a:solidFill>
            </a:ln>
          </c:spPr>
          <c:invertIfNegative val="0"/>
          <c:dLbls>
            <c:spPr>
              <a:noFill/>
              <a:ln>
                <a:noFill/>
              </a:ln>
              <a:effectLst/>
            </c:spPr>
            <c:txPr>
              <a:bodyPr rot="-5400000" vert="horz" wrap="square" lIns="38100" tIns="19050" rIns="38100" bIns="19050" anchor="ctr">
                <a:spAutoFit/>
              </a:bodyPr>
              <a:lstStyle/>
              <a:p>
                <a:pPr>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Cotizantes!$A$8:$A$10</c:f>
              <c:strCache>
                <c:ptCount val="3"/>
                <c:pt idx="0">
                  <c:v>Marzo</c:v>
                </c:pt>
                <c:pt idx="1">
                  <c:v>Febrero</c:v>
                </c:pt>
                <c:pt idx="2">
                  <c:v>Enero</c:v>
                </c:pt>
              </c:strCache>
            </c:strRef>
          </c:cat>
          <c:val>
            <c:numRef>
              <c:f>Cotizantes!$C$8:$C$10</c:f>
              <c:numCache>
                <c:formatCode>#,##0</c:formatCode>
                <c:ptCount val="3"/>
                <c:pt idx="0">
                  <c:v>4606</c:v>
                </c:pt>
                <c:pt idx="1">
                  <c:v>4883</c:v>
                </c:pt>
                <c:pt idx="2">
                  <c:v>4801</c:v>
                </c:pt>
              </c:numCache>
            </c:numRef>
          </c:val>
          <c:extLst>
            <c:ext xmlns:c16="http://schemas.microsoft.com/office/drawing/2014/chart" uri="{C3380CC4-5D6E-409C-BE32-E72D297353CC}">
              <c16:uniqueId val="{00000001-2F8B-4152-BDE9-0C66FFE1287D}"/>
            </c:ext>
          </c:extLst>
        </c:ser>
        <c:dLbls>
          <c:showLegendKey val="0"/>
          <c:showVal val="0"/>
          <c:showCatName val="0"/>
          <c:showSerName val="0"/>
          <c:showPercent val="0"/>
          <c:showBubbleSize val="0"/>
        </c:dLbls>
        <c:gapWidth val="150"/>
        <c:axId val="1667763488"/>
        <c:axId val="1667764032"/>
      </c:barChart>
      <c:catAx>
        <c:axId val="1667763488"/>
        <c:scaling>
          <c:orientation val="minMax"/>
        </c:scaling>
        <c:delete val="0"/>
        <c:axPos val="b"/>
        <c:numFmt formatCode="General" sourceLinked="0"/>
        <c:majorTickMark val="none"/>
        <c:minorTickMark val="none"/>
        <c:tickLblPos val="nextTo"/>
        <c:crossAx val="1667764032"/>
        <c:crosses val="autoZero"/>
        <c:auto val="1"/>
        <c:lblAlgn val="ctr"/>
        <c:lblOffset val="100"/>
        <c:noMultiLvlLbl val="0"/>
      </c:catAx>
      <c:valAx>
        <c:axId val="1667764032"/>
        <c:scaling>
          <c:orientation val="minMax"/>
        </c:scaling>
        <c:delete val="0"/>
        <c:axPos val="l"/>
        <c:numFmt formatCode="#,##0" sourceLinked="1"/>
        <c:majorTickMark val="out"/>
        <c:minorTickMark val="none"/>
        <c:tickLblPos val="nextTo"/>
        <c:crossAx val="1667763488"/>
        <c:crosses val="autoZero"/>
        <c:crossBetween val="between"/>
      </c:valAx>
    </c:plotArea>
    <c:legend>
      <c:legendPos val="r"/>
      <c:layout>
        <c:manualLayout>
          <c:xMode val="edge"/>
          <c:yMode val="edge"/>
          <c:x val="0.83812576552930884"/>
          <c:y val="0.41853966170895307"/>
          <c:w val="0.14242979002624673"/>
          <c:h val="0.16743438320209975"/>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sz="1100">
                <a:solidFill>
                  <a:schemeClr val="accent1"/>
                </a:solidFill>
              </a:rPr>
              <a:t>Porcentaje</a:t>
            </a:r>
            <a:r>
              <a:rPr lang="es-ES" sz="1100" baseline="0">
                <a:solidFill>
                  <a:schemeClr val="accent1"/>
                </a:solidFill>
              </a:rPr>
              <a:t> Cotizantes por Tipo de Empleador</a:t>
            </a:r>
            <a:endParaRPr lang="es-ES" sz="1100">
              <a:solidFill>
                <a:schemeClr val="accent1"/>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chemeClr val="bg1">
                <a:lumMod val="75000"/>
              </a:schemeClr>
            </a:solidFill>
          </c:spPr>
          <c:explosion val="21"/>
          <c:dPt>
            <c:idx val="0"/>
            <c:bubble3D val="0"/>
            <c:spPr>
              <a:solidFill>
                <a:schemeClr val="accent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3FC0-4626-8946-C199BABBAAC4}"/>
              </c:ext>
            </c:extLst>
          </c:dPt>
          <c:dPt>
            <c:idx val="1"/>
            <c:bubble3D val="0"/>
            <c:spPr>
              <a:solidFill>
                <a:schemeClr val="bg1">
                  <a:lumMod val="75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3FC0-4626-8946-C199BABBAAC4}"/>
              </c:ext>
            </c:extLst>
          </c:dPt>
          <c:dLbls>
            <c:dLbl>
              <c:idx val="0"/>
              <c:tx>
                <c:rich>
                  <a:bodyPr/>
                  <a:lstStyle/>
                  <a:p>
                    <a:fld id="{1E83FA5F-D0AB-48CE-96D6-99FDB27CB416}" type="CATEGORYNAME">
                      <a:rPr lang="en-US"/>
                      <a:pPr/>
                      <a:t>[CATEGORY NAME]</a:t>
                    </a:fld>
                    <a:r>
                      <a:rPr lang="en-US" baseline="0"/>
                      <a:t>
</a:t>
                    </a:r>
                    <a:fld id="{C20B6CD3-A00D-42C3-9725-57F7CEEDB32F}" type="VALUE">
                      <a:rPr lang="en-US" baseline="0"/>
                      <a:pPr/>
                      <a:t>[VALUE]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FC0-4626-8946-C199BABBAAC4}"/>
                </c:ext>
              </c:extLst>
            </c:dLbl>
            <c:dLbl>
              <c:idx val="1"/>
              <c:layout>
                <c:manualLayout>
                  <c:x val="0.11996024068101704"/>
                  <c:y val="0.1051616494653449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FC0-4626-8946-C199BABBAAC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showLegendKey val="0"/>
            <c:showVal val="0"/>
            <c:showCatName val="1"/>
            <c:showSerName val="0"/>
            <c:showPercent val="1"/>
            <c:showBubbleSize val="0"/>
            <c:showLeaderLines val="0"/>
            <c:extLst>
              <c:ext xmlns:c15="http://schemas.microsoft.com/office/drawing/2012/chart" uri="{CE6537A1-D6FC-4f65-9D91-7224C49458BB}"/>
            </c:extLst>
          </c:dLbls>
          <c:cat>
            <c:strRef>
              <c:f>Cotizantes!$E$7:$F$7</c:f>
              <c:strCache>
                <c:ptCount val="2"/>
                <c:pt idx="0">
                  <c:v>% Público</c:v>
                </c:pt>
                <c:pt idx="1">
                  <c:v>% Privado</c:v>
                </c:pt>
              </c:strCache>
            </c:strRef>
          </c:cat>
          <c:val>
            <c:numRef>
              <c:f>Cotizantes!$E$11:$F$11</c:f>
              <c:numCache>
                <c:formatCode>0%</c:formatCode>
                <c:ptCount val="2"/>
                <c:pt idx="0">
                  <c:v>0.80946676652607097</c:v>
                </c:pt>
                <c:pt idx="1">
                  <c:v>0.190533233473929</c:v>
                </c:pt>
              </c:numCache>
            </c:numRef>
          </c:val>
          <c:extLst>
            <c:ext xmlns:c16="http://schemas.microsoft.com/office/drawing/2014/chart" uri="{C3380CC4-5D6E-409C-BE32-E72D297353CC}">
              <c16:uniqueId val="{00000000-3FC0-4626-8946-C199BABBAAC4}"/>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Empleador!$B$7</c:f>
              <c:strCache>
                <c:ptCount val="1"/>
                <c:pt idx="0">
                  <c:v>Público (RD$)</c:v>
                </c:pt>
              </c:strCache>
            </c:strRef>
          </c:tx>
          <c:spPr>
            <a:solidFill>
              <a:schemeClr val="bg1">
                <a:lumMod val="75000"/>
              </a:schemeClr>
            </a:solidFill>
            <a:ln>
              <a:solidFill>
                <a:schemeClr val="bg1">
                  <a:lumMod val="75000"/>
                </a:schemeClr>
              </a:solidFill>
            </a:ln>
          </c:spPr>
          <c:invertIfNegative val="0"/>
          <c:dLbls>
            <c:spPr>
              <a:noFill/>
              <a:ln>
                <a:noFill/>
              </a:ln>
              <a:effectLst/>
            </c:spPr>
            <c:txPr>
              <a:bodyPr wrap="square" lIns="38100" tIns="19050" rIns="38100" bIns="19050" anchor="ctr">
                <a:spAutoFit/>
              </a:bodyPr>
              <a:lstStyle/>
              <a:p>
                <a:pPr>
                  <a:defRPr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Empleador!$A$8:$A$10</c:f>
              <c:strCache>
                <c:ptCount val="3"/>
                <c:pt idx="0">
                  <c:v>Marzo</c:v>
                </c:pt>
                <c:pt idx="1">
                  <c:v>Febrero</c:v>
                </c:pt>
                <c:pt idx="2">
                  <c:v>Enero</c:v>
                </c:pt>
              </c:strCache>
            </c:strRef>
          </c:cat>
          <c:val>
            <c:numRef>
              <c:f>Empleador!$B$8:$B$10</c:f>
              <c:numCache>
                <c:formatCode>_(* #,##0.00_);_(* \(#,##0.00\);_(* "-"??_);_(@_)</c:formatCode>
                <c:ptCount val="3"/>
                <c:pt idx="0">
                  <c:v>105763359.95</c:v>
                </c:pt>
                <c:pt idx="1">
                  <c:v>93785464.859999999</c:v>
                </c:pt>
                <c:pt idx="2">
                  <c:v>112208286.73999999</c:v>
                </c:pt>
              </c:numCache>
            </c:numRef>
          </c:val>
          <c:extLst>
            <c:ext xmlns:c16="http://schemas.microsoft.com/office/drawing/2014/chart" uri="{C3380CC4-5D6E-409C-BE32-E72D297353CC}">
              <c16:uniqueId val="{00000000-3754-4074-BEFF-2DE0A00E38F1}"/>
            </c:ext>
          </c:extLst>
        </c:ser>
        <c:ser>
          <c:idx val="1"/>
          <c:order val="1"/>
          <c:tx>
            <c:strRef>
              <c:f>Empleador!$C$7</c:f>
              <c:strCache>
                <c:ptCount val="1"/>
                <c:pt idx="0">
                  <c:v>Privado (RD$)</c:v>
                </c:pt>
              </c:strCache>
            </c:strRef>
          </c:tx>
          <c:spPr>
            <a:solidFill>
              <a:schemeClr val="accent3">
                <a:lumMod val="60000"/>
                <a:lumOff val="40000"/>
              </a:schemeClr>
            </a:solidFill>
            <a:ln>
              <a:solidFill>
                <a:schemeClr val="accent3">
                  <a:lumMod val="60000"/>
                  <a:lumOff val="40000"/>
                </a:schemeClr>
              </a:solidFill>
            </a:ln>
          </c:spPr>
          <c:invertIfNegative val="0"/>
          <c:dLbls>
            <c:dLbl>
              <c:idx val="0"/>
              <c:layout>
                <c:manualLayout>
                  <c:x val="3.20766864871802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38-4061-9CFB-E05ABCE275A3}"/>
                </c:ext>
              </c:extLst>
            </c:dLbl>
            <c:dLbl>
              <c:idx val="1"/>
              <c:layout>
                <c:manualLayout>
                  <c:x val="3.84913162701046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38-4061-9CFB-E05ABCE275A3}"/>
                </c:ext>
              </c:extLst>
            </c:dLbl>
            <c:dLbl>
              <c:idx val="2"/>
              <c:layout>
                <c:manualLayout>
                  <c:x val="2.888175309967149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B-423A-9D8D-AF7B1DB209E8}"/>
                </c:ext>
              </c:extLst>
            </c:dLbl>
            <c:spPr>
              <a:noFill/>
              <a:ln>
                <a:noFill/>
              </a:ln>
              <a:effectLst/>
            </c:spPr>
            <c:txPr>
              <a:bodyPr wrap="square" lIns="38100" tIns="19050" rIns="38100" bIns="19050" anchor="ctr">
                <a:spAutoFit/>
              </a:bodyPr>
              <a:lstStyle/>
              <a:p>
                <a:pPr>
                  <a:defRPr b="1"/>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Empleador!$A$8:$A$10</c:f>
              <c:strCache>
                <c:ptCount val="3"/>
                <c:pt idx="0">
                  <c:v>Marzo</c:v>
                </c:pt>
                <c:pt idx="1">
                  <c:v>Febrero</c:v>
                </c:pt>
                <c:pt idx="2">
                  <c:v>Enero</c:v>
                </c:pt>
              </c:strCache>
            </c:strRef>
          </c:cat>
          <c:val>
            <c:numRef>
              <c:f>Empleador!$C$8:$C$10</c:f>
              <c:numCache>
                <c:formatCode>_(* #,##0.00_);_(* \(#,##0.00\);_(* "-"??_);_(@_)</c:formatCode>
                <c:ptCount val="3"/>
                <c:pt idx="0">
                  <c:v>14422276.359999999</c:v>
                </c:pt>
                <c:pt idx="1">
                  <c:v>12788927.02</c:v>
                </c:pt>
                <c:pt idx="2">
                  <c:v>15301130.01</c:v>
                </c:pt>
              </c:numCache>
            </c:numRef>
          </c:val>
          <c:extLst>
            <c:ext xmlns:c16="http://schemas.microsoft.com/office/drawing/2014/chart" uri="{C3380CC4-5D6E-409C-BE32-E72D297353CC}">
              <c16:uniqueId val="{00000001-3754-4074-BEFF-2DE0A00E38F1}"/>
            </c:ext>
          </c:extLst>
        </c:ser>
        <c:dLbls>
          <c:showLegendKey val="0"/>
          <c:showVal val="1"/>
          <c:showCatName val="0"/>
          <c:showSerName val="0"/>
          <c:showPercent val="0"/>
          <c:showBubbleSize val="0"/>
        </c:dLbls>
        <c:gapWidth val="75"/>
        <c:axId val="1667757504"/>
        <c:axId val="1667761312"/>
      </c:barChart>
      <c:catAx>
        <c:axId val="1667757504"/>
        <c:scaling>
          <c:orientation val="minMax"/>
        </c:scaling>
        <c:delete val="0"/>
        <c:axPos val="b"/>
        <c:numFmt formatCode="General" sourceLinked="0"/>
        <c:majorTickMark val="none"/>
        <c:minorTickMark val="none"/>
        <c:tickLblPos val="nextTo"/>
        <c:crossAx val="1667761312"/>
        <c:crosses val="autoZero"/>
        <c:auto val="1"/>
        <c:lblAlgn val="ctr"/>
        <c:lblOffset val="100"/>
        <c:noMultiLvlLbl val="0"/>
      </c:catAx>
      <c:valAx>
        <c:axId val="1667761312"/>
        <c:scaling>
          <c:orientation val="minMax"/>
        </c:scaling>
        <c:delete val="0"/>
        <c:axPos val="l"/>
        <c:numFmt formatCode="_(* #,##0.00_);_(* \(#,##0.00\);_(* &quot;-&quot;??_);_(@_)" sourceLinked="1"/>
        <c:majorTickMark val="none"/>
        <c:minorTickMark val="none"/>
        <c:tickLblPos val="nextTo"/>
        <c:crossAx val="166775750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100" b="1" i="0" u="none" strike="noStrike" kern="1200" cap="none" spc="20" baseline="0">
                <a:solidFill>
                  <a:schemeClr val="accent1"/>
                </a:solidFill>
                <a:latin typeface="+mn-lt"/>
                <a:ea typeface="+mn-ea"/>
                <a:cs typeface="+mn-cs"/>
              </a:defRPr>
            </a:pPr>
            <a:r>
              <a:rPr lang="en-US" sz="1100" b="1">
                <a:solidFill>
                  <a:schemeClr val="accent1"/>
                </a:solidFill>
              </a:rPr>
              <a:t>Porcentaje Monto Total</a:t>
            </a:r>
            <a:r>
              <a:rPr lang="en-US" sz="1100" b="1" baseline="0">
                <a:solidFill>
                  <a:schemeClr val="accent1"/>
                </a:solidFill>
              </a:rPr>
              <a:t> Individualizado por Tipo de Empleador</a:t>
            </a:r>
            <a:endParaRPr lang="en-US" sz="1100" b="1">
              <a:solidFill>
                <a:schemeClr val="accent1"/>
              </a:solidFill>
            </a:endParaRPr>
          </a:p>
        </c:rich>
      </c:tx>
      <c:overlay val="0"/>
      <c:spPr>
        <a:noFill/>
        <a:ln>
          <a:noFill/>
        </a:ln>
        <a:effectLst/>
      </c:spPr>
      <c:txPr>
        <a:bodyPr rot="0" spcFirstLastPara="1" vertOverflow="ellipsis" vert="horz" wrap="square" anchor="ctr" anchorCtr="1"/>
        <a:lstStyle/>
        <a:p>
          <a:pPr>
            <a:defRPr sz="1100" b="1" i="0" u="none" strike="noStrike" kern="1200" cap="none" spc="20" baseline="0">
              <a:solidFill>
                <a:schemeClr val="accent1"/>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4"/>
          <c:dPt>
            <c:idx val="0"/>
            <c:bubble3D val="0"/>
            <c:spPr>
              <a:solidFill>
                <a:schemeClr val="accent3"/>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A7F0-4060-96BC-C2830A8E27F4}"/>
              </c:ext>
            </c:extLst>
          </c:dPt>
          <c:dPt>
            <c:idx val="1"/>
            <c:bubble3D val="0"/>
            <c:spPr>
              <a:solidFill>
                <a:schemeClr val="bg1">
                  <a:lumMod val="5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A7F0-4060-96BC-C2830A8E27F4}"/>
              </c:ext>
            </c:extLst>
          </c:dPt>
          <c:dLbls>
            <c:dLbl>
              <c:idx val="0"/>
              <c:tx>
                <c:rich>
                  <a:bodyPr/>
                  <a:lstStyle/>
                  <a:p>
                    <a:r>
                      <a:rPr lang="en-US" baseline="0"/>
                      <a:t>
</a:t>
                    </a:r>
                    <a:fld id="{1E0124BD-4345-4E4A-B14D-12CA58C69878}" type="PERCENTAGE">
                      <a:rPr lang="en-US" baseline="0"/>
                      <a:pPr/>
                      <a:t>[PERCENTAGE]</a:t>
                    </a:fld>
                    <a:endParaRPr lang="en-US" baseline="0"/>
                  </a:p>
                </c:rich>
              </c:tx>
              <c:dLblPos val="in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7F0-4060-96BC-C2830A8E27F4}"/>
                </c:ext>
              </c:extLst>
            </c:dLbl>
            <c:dLbl>
              <c:idx val="1"/>
              <c:layout>
                <c:manualLayout>
                  <c:x val="7.4119001557259923E-2"/>
                  <c:y val="9.9428685560682892E-2"/>
                </c:manualLayout>
              </c:layout>
              <c:tx>
                <c:rich>
                  <a:bodyPr/>
                  <a:lstStyle/>
                  <a:p>
                    <a:r>
                      <a:rPr lang="en-US" baseline="0"/>
                      <a:t>
</a:t>
                    </a:r>
                    <a:fld id="{9808AA45-761B-4E95-9508-605747744867}"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7F0-4060-96BC-C2830A8E27F4}"/>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mn-lt"/>
                    <a:ea typeface="+mn-ea"/>
                    <a:cs typeface="+mn-cs"/>
                  </a:defRPr>
                </a:pPr>
                <a:endParaRPr lang="es-DO"/>
              </a:p>
            </c:txPr>
            <c:dLblPos val="in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Empleador!$B$7:$C$7</c:f>
              <c:strCache>
                <c:ptCount val="2"/>
                <c:pt idx="0">
                  <c:v>Público (RD$)</c:v>
                </c:pt>
                <c:pt idx="1">
                  <c:v>Privado (RD$)</c:v>
                </c:pt>
              </c:strCache>
            </c:strRef>
          </c:cat>
          <c:val>
            <c:numRef>
              <c:f>Empleador!$B$25:$C$25</c:f>
              <c:numCache>
                <c:formatCode>0%</c:formatCode>
                <c:ptCount val="2"/>
                <c:pt idx="0">
                  <c:v>0.88000000000790368</c:v>
                </c:pt>
                <c:pt idx="1">
                  <c:v>0.11999999999209641</c:v>
                </c:pt>
              </c:numCache>
            </c:numRef>
          </c:val>
          <c:extLst>
            <c:ext xmlns:c16="http://schemas.microsoft.com/office/drawing/2014/chart" uri="{C3380CC4-5D6E-409C-BE32-E72D297353CC}">
              <c16:uniqueId val="{00000004-A7F0-4060-96BC-C2830A8E27F4}"/>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3">
  <a:schemeClr val="accent3"/>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7.xml"/><Relationship Id="rId5" Type="http://schemas.openxmlformats.org/officeDocument/2006/relationships/image" Target="../media/image2.png"/><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1.png"/><Relationship Id="rId1" Type="http://schemas.openxmlformats.org/officeDocument/2006/relationships/chart" Target="../charts/chart19.xml"/><Relationship Id="rId4" Type="http://schemas.openxmlformats.org/officeDocument/2006/relationships/image" Target="../media/image2.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image" Target="../media/image1.png"/><Relationship Id="rId1" Type="http://schemas.openxmlformats.org/officeDocument/2006/relationships/image" Target="../media/image5.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7.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chart" Target="../charts/chart2.xml"/><Relationship Id="rId6"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1.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3.xml"/><Relationship Id="rId1" Type="http://schemas.openxmlformats.org/officeDocument/2006/relationships/chart" Target="../charts/chart32.xml"/><Relationship Id="rId5" Type="http://schemas.openxmlformats.org/officeDocument/2006/relationships/chart" Target="../charts/chart34.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1.png"/><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png"/><Relationship Id="rId1" Type="http://schemas.openxmlformats.org/officeDocument/2006/relationships/chart" Target="../charts/chart8.xm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1.xml"/><Relationship Id="rId4"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608135</xdr:colOff>
      <xdr:row>32</xdr:row>
      <xdr:rowOff>21980</xdr:rowOff>
    </xdr:from>
    <xdr:to>
      <xdr:col>5</xdr:col>
      <xdr:colOff>703385</xdr:colOff>
      <xdr:row>49</xdr:row>
      <xdr:rowOff>124557</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154372</xdr:colOff>
      <xdr:row>1</xdr:row>
      <xdr:rowOff>43961</xdr:rowOff>
    </xdr:from>
    <xdr:to>
      <xdr:col>1</xdr:col>
      <xdr:colOff>213178</xdr:colOff>
      <xdr:row>4</xdr:row>
      <xdr:rowOff>7327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54372" y="234461"/>
          <a:ext cx="842787" cy="534866"/>
        </a:xfrm>
        <a:prstGeom prst="rect">
          <a:avLst/>
        </a:prstGeom>
      </xdr:spPr>
    </xdr:pic>
    <xdr:clientData/>
  </xdr:twoCellAnchor>
  <xdr:twoCellAnchor editAs="oneCell">
    <xdr:from>
      <xdr:col>3</xdr:col>
      <xdr:colOff>662353</xdr:colOff>
      <xdr:row>1</xdr:row>
      <xdr:rowOff>22900</xdr:rowOff>
    </xdr:from>
    <xdr:to>
      <xdr:col>6</xdr:col>
      <xdr:colOff>421404</xdr:colOff>
      <xdr:row>4</xdr:row>
      <xdr:rowOff>9338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02622" y="213400"/>
          <a:ext cx="2235551" cy="557938"/>
        </a:xfrm>
        <a:prstGeom prst="rect">
          <a:avLst/>
        </a:prstGeom>
      </xdr:spPr>
    </xdr:pic>
    <xdr:clientData/>
  </xdr:twoCellAnchor>
  <xdr:twoCellAnchor>
    <xdr:from>
      <xdr:col>2</xdr:col>
      <xdr:colOff>139212</xdr:colOff>
      <xdr:row>30</xdr:row>
      <xdr:rowOff>80596</xdr:rowOff>
    </xdr:from>
    <xdr:to>
      <xdr:col>4</xdr:col>
      <xdr:colOff>131885</xdr:colOff>
      <xdr:row>31</xdr:row>
      <xdr:rowOff>139211</xdr:rowOff>
    </xdr:to>
    <xdr:sp macro="" textlink="">
      <xdr:nvSpPr>
        <xdr:cNvPr id="4" name="CuadroTexto 3">
          <a:extLst>
            <a:ext uri="{FF2B5EF4-FFF2-40B4-BE49-F238E27FC236}">
              <a16:creationId xmlns:a16="http://schemas.microsoft.com/office/drawing/2014/main" id="{D505F560-0670-97A6-6B39-0A52AC835241}"/>
            </a:ext>
          </a:extLst>
        </xdr:cNvPr>
        <xdr:cNvSpPr txBox="1"/>
      </xdr:nvSpPr>
      <xdr:spPr>
        <a:xfrm>
          <a:off x="1948962" y="3480288"/>
          <a:ext cx="1670538" cy="249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ES" sz="1100" b="1" i="0" baseline="0">
              <a:solidFill>
                <a:schemeClr val="accent1"/>
              </a:solidFill>
              <a:effectLst/>
              <a:latin typeface="+mn-lt"/>
              <a:ea typeface="+mn-ea"/>
              <a:cs typeface="+mn-cs"/>
            </a:rPr>
            <a:t>Programado vs Ejecutado</a:t>
          </a:r>
          <a:endParaRPr lang="es-DO">
            <a:solidFill>
              <a:schemeClr val="accent1"/>
            </a:solidFill>
            <a:effectLst/>
          </a:endParaRPr>
        </a:p>
        <a:p>
          <a:endParaRPr lang="es-DO" sz="1100">
            <a:solidFill>
              <a:schemeClr val="accent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143531</xdr:colOff>
      <xdr:row>28</xdr:row>
      <xdr:rowOff>99393</xdr:rowOff>
    </xdr:from>
    <xdr:to>
      <xdr:col>6</xdr:col>
      <xdr:colOff>8282</xdr:colOff>
      <xdr:row>40</xdr:row>
      <xdr:rowOff>124239</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98425</xdr:colOff>
      <xdr:row>42</xdr:row>
      <xdr:rowOff>137386</xdr:rowOff>
    </xdr:from>
    <xdr:to>
      <xdr:col>6</xdr:col>
      <xdr:colOff>482622</xdr:colOff>
      <xdr:row>54</xdr:row>
      <xdr:rowOff>60187</xdr:rowOff>
    </xdr:to>
    <xdr:graphicFrame macro="">
      <xdr:nvGraphicFramePr>
        <xdr:cNvPr id="3" name="2 Gráfico">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455544</xdr:colOff>
      <xdr:row>29</xdr:row>
      <xdr:rowOff>37272</xdr:rowOff>
    </xdr:from>
    <xdr:to>
      <xdr:col>12</xdr:col>
      <xdr:colOff>463827</xdr:colOff>
      <xdr:row>41</xdr:row>
      <xdr:rowOff>49696</xdr:rowOff>
    </xdr:to>
    <xdr:graphicFrame macro="">
      <xdr:nvGraphicFramePr>
        <xdr:cNvPr id="4" name="3 Gráfico">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431109</xdr:colOff>
      <xdr:row>41</xdr:row>
      <xdr:rowOff>113089</xdr:rowOff>
    </xdr:from>
    <xdr:to>
      <xdr:col>3</xdr:col>
      <xdr:colOff>630637</xdr:colOff>
      <xdr:row>42</xdr:row>
      <xdr:rowOff>132139</xdr:rowOff>
    </xdr:to>
    <xdr:sp macro="" textlink="">
      <xdr:nvSpPr>
        <xdr:cNvPr id="5" name="4 CuadroTexto">
          <a:extLst>
            <a:ext uri="{FF2B5EF4-FFF2-40B4-BE49-F238E27FC236}">
              <a16:creationId xmlns:a16="http://schemas.microsoft.com/office/drawing/2014/main" id="{00000000-0008-0000-0700-000005000000}"/>
            </a:ext>
          </a:extLst>
        </xdr:cNvPr>
        <xdr:cNvSpPr txBox="1"/>
      </xdr:nvSpPr>
      <xdr:spPr>
        <a:xfrm>
          <a:off x="1983684" y="5389939"/>
          <a:ext cx="961528" cy="2095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100" b="1">
              <a:solidFill>
                <a:schemeClr val="accent5">
                  <a:lumMod val="75000"/>
                </a:schemeClr>
              </a:solidFill>
            </a:rPr>
            <a:t>Pensiones</a:t>
          </a:r>
        </a:p>
      </xdr:txBody>
    </xdr:sp>
    <xdr:clientData/>
  </xdr:twoCellAnchor>
  <xdr:twoCellAnchor>
    <xdr:from>
      <xdr:col>6</xdr:col>
      <xdr:colOff>542299</xdr:colOff>
      <xdr:row>28</xdr:row>
      <xdr:rowOff>4141</xdr:rowOff>
    </xdr:from>
    <xdr:to>
      <xdr:col>12</xdr:col>
      <xdr:colOff>324932</xdr:colOff>
      <xdr:row>28</xdr:row>
      <xdr:rowOff>58353</xdr:rowOff>
    </xdr:to>
    <xdr:sp macro="" textlink="">
      <xdr:nvSpPr>
        <xdr:cNvPr id="11" name="1 CuadroTexto">
          <a:extLst>
            <a:ext uri="{FF2B5EF4-FFF2-40B4-BE49-F238E27FC236}">
              <a16:creationId xmlns:a16="http://schemas.microsoft.com/office/drawing/2014/main" id="{00000000-0008-0000-0700-00000B000000}"/>
            </a:ext>
          </a:extLst>
        </xdr:cNvPr>
        <xdr:cNvSpPr txBox="1"/>
      </xdr:nvSpPr>
      <xdr:spPr>
        <a:xfrm>
          <a:off x="7681908" y="2994163"/>
          <a:ext cx="2060350" cy="5421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DO" sz="1100" b="1">
              <a:solidFill>
                <a:schemeClr val="accent5">
                  <a:lumMod val="75000"/>
                </a:schemeClr>
              </a:solidFill>
            </a:rPr>
            <a:t>Monto</a:t>
          </a:r>
        </a:p>
      </xdr:txBody>
    </xdr:sp>
    <xdr:clientData/>
  </xdr:twoCellAnchor>
  <xdr:twoCellAnchor editAs="oneCell">
    <xdr:from>
      <xdr:col>2</xdr:col>
      <xdr:colOff>446942</xdr:colOff>
      <xdr:row>1</xdr:row>
      <xdr:rowOff>36635</xdr:rowOff>
    </xdr:from>
    <xdr:to>
      <xdr:col>3</xdr:col>
      <xdr:colOff>667472</xdr:colOff>
      <xdr:row>4</xdr:row>
      <xdr:rowOff>87923</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4"/>
        <a:stretch>
          <a:fillRect/>
        </a:stretch>
      </xdr:blipFill>
      <xdr:spPr>
        <a:xfrm>
          <a:off x="2154115" y="227135"/>
          <a:ext cx="989857" cy="622788"/>
        </a:xfrm>
        <a:prstGeom prst="rect">
          <a:avLst/>
        </a:prstGeom>
      </xdr:spPr>
    </xdr:pic>
    <xdr:clientData/>
  </xdr:twoCellAnchor>
  <xdr:twoCellAnchor editAs="oneCell">
    <xdr:from>
      <xdr:col>9</xdr:col>
      <xdr:colOff>140805</xdr:colOff>
      <xdr:row>0</xdr:row>
      <xdr:rowOff>124240</xdr:rowOff>
    </xdr:from>
    <xdr:to>
      <xdr:col>11</xdr:col>
      <xdr:colOff>520755</xdr:colOff>
      <xdr:row>3</xdr:row>
      <xdr:rowOff>110678</xdr:rowOff>
    </xdr:to>
    <xdr:pic>
      <xdr:nvPicPr>
        <xdr:cNvPr id="14" name="Picture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05870" y="124240"/>
          <a:ext cx="2246436" cy="557938"/>
        </a:xfrm>
        <a:prstGeom prst="rect">
          <a:avLst/>
        </a:prstGeom>
      </xdr:spPr>
    </xdr:pic>
    <xdr:clientData/>
  </xdr:twoCellAnchor>
  <xdr:twoCellAnchor>
    <xdr:from>
      <xdr:col>6</xdr:col>
      <xdr:colOff>809625</xdr:colOff>
      <xdr:row>41</xdr:row>
      <xdr:rowOff>33337</xdr:rowOff>
    </xdr:from>
    <xdr:to>
      <xdr:col>12</xdr:col>
      <xdr:colOff>638175</xdr:colOff>
      <xdr:row>55</xdr:row>
      <xdr:rowOff>109537</xdr:rowOff>
    </xdr:to>
    <xdr:graphicFrame macro="">
      <xdr:nvGraphicFramePr>
        <xdr:cNvPr id="7" name="Gráfico 6">
          <a:extLst>
            <a:ext uri="{FF2B5EF4-FFF2-40B4-BE49-F238E27FC236}">
              <a16:creationId xmlns:a16="http://schemas.microsoft.com/office/drawing/2014/main" id="{A42BF6BF-17CA-41F1-AC5B-7C97748ADB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0.30281</cdr:x>
      <cdr:y>0</cdr:y>
    </cdr:from>
    <cdr:to>
      <cdr:x>0.71115</cdr:x>
      <cdr:y>0.09722</cdr:y>
    </cdr:to>
    <cdr:sp macro="" textlink="">
      <cdr:nvSpPr>
        <cdr:cNvPr id="2" name="1 CuadroTexto"/>
        <cdr:cNvSpPr txBox="1"/>
      </cdr:nvSpPr>
      <cdr:spPr>
        <a:xfrm xmlns:a="http://schemas.openxmlformats.org/drawingml/2006/main">
          <a:off x="1631919" y="0"/>
          <a:ext cx="2200646" cy="253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DO" sz="1100" b="1">
              <a:solidFill>
                <a:schemeClr val="accent5">
                  <a:lumMod val="75000"/>
                </a:schemeClr>
              </a:solidFill>
            </a:rPr>
            <a:t>Pensionados</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2</xdr:col>
      <xdr:colOff>446942</xdr:colOff>
      <xdr:row>1</xdr:row>
      <xdr:rowOff>36635</xdr:rowOff>
    </xdr:from>
    <xdr:to>
      <xdr:col>3</xdr:col>
      <xdr:colOff>530968</xdr:colOff>
      <xdr:row>4</xdr:row>
      <xdr:rowOff>87923</xdr:rowOff>
    </xdr:to>
    <xdr:pic>
      <xdr:nvPicPr>
        <xdr:cNvPr id="2" name="Picture 7">
          <a:extLst>
            <a:ext uri="{FF2B5EF4-FFF2-40B4-BE49-F238E27FC236}">
              <a16:creationId xmlns:a16="http://schemas.microsoft.com/office/drawing/2014/main" id="{E942B9E2-F9D1-4E35-8E7F-20E9BC51523D}"/>
            </a:ext>
          </a:extLst>
        </xdr:cNvPr>
        <xdr:cNvPicPr>
          <a:picLocks noChangeAspect="1"/>
        </xdr:cNvPicPr>
      </xdr:nvPicPr>
      <xdr:blipFill>
        <a:blip xmlns:r="http://schemas.openxmlformats.org/officeDocument/2006/relationships" r:embed="rId1"/>
        <a:stretch>
          <a:fillRect/>
        </a:stretch>
      </xdr:blipFill>
      <xdr:spPr>
        <a:xfrm>
          <a:off x="2409092" y="227135"/>
          <a:ext cx="987658" cy="622788"/>
        </a:xfrm>
        <a:prstGeom prst="rect">
          <a:avLst/>
        </a:prstGeom>
      </xdr:spPr>
    </xdr:pic>
    <xdr:clientData/>
  </xdr:twoCellAnchor>
  <xdr:twoCellAnchor editAs="oneCell">
    <xdr:from>
      <xdr:col>14</xdr:col>
      <xdr:colOff>133350</xdr:colOff>
      <xdr:row>1</xdr:row>
      <xdr:rowOff>9525</xdr:rowOff>
    </xdr:from>
    <xdr:to>
      <xdr:col>16</xdr:col>
      <xdr:colOff>373620</xdr:colOff>
      <xdr:row>4</xdr:row>
      <xdr:rowOff>7169</xdr:rowOff>
    </xdr:to>
    <xdr:pic>
      <xdr:nvPicPr>
        <xdr:cNvPr id="3" name="Picture 8">
          <a:extLst>
            <a:ext uri="{FF2B5EF4-FFF2-40B4-BE49-F238E27FC236}">
              <a16:creationId xmlns:a16="http://schemas.microsoft.com/office/drawing/2014/main" id="{F0EDD90A-9281-44E9-A447-233166329F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44025" y="200025"/>
          <a:ext cx="2259569" cy="557938"/>
        </a:xfrm>
        <a:prstGeom prst="rect">
          <a:avLst/>
        </a:prstGeom>
      </xdr:spPr>
    </xdr:pic>
    <xdr:clientData/>
  </xdr:twoCellAnchor>
  <xdr:twoCellAnchor>
    <xdr:from>
      <xdr:col>2</xdr:col>
      <xdr:colOff>23595</xdr:colOff>
      <xdr:row>15</xdr:row>
      <xdr:rowOff>172726</xdr:rowOff>
    </xdr:from>
    <xdr:to>
      <xdr:col>12</xdr:col>
      <xdr:colOff>33057</xdr:colOff>
      <xdr:row>32</xdr:row>
      <xdr:rowOff>74491</xdr:rowOff>
    </xdr:to>
    <xdr:graphicFrame macro="">
      <xdr:nvGraphicFramePr>
        <xdr:cNvPr id="6" name="Gráfico 5">
          <a:extLst>
            <a:ext uri="{FF2B5EF4-FFF2-40B4-BE49-F238E27FC236}">
              <a16:creationId xmlns:a16="http://schemas.microsoft.com/office/drawing/2014/main" id="{E89759A0-5C3E-1BAD-FEDD-D69933DC8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248089</xdr:colOff>
      <xdr:row>30</xdr:row>
      <xdr:rowOff>105815</xdr:rowOff>
    </xdr:from>
    <xdr:to>
      <xdr:col>12</xdr:col>
      <xdr:colOff>886240</xdr:colOff>
      <xdr:row>45</xdr:row>
      <xdr:rowOff>99392</xdr:rowOff>
    </xdr:to>
    <xdr:graphicFrame macro="">
      <xdr:nvGraphicFramePr>
        <xdr:cNvPr id="2" name="1 Gráfico">
          <a:extLst>
            <a:ext uri="{FF2B5EF4-FFF2-40B4-BE49-F238E27FC236}">
              <a16:creationId xmlns:a16="http://schemas.microsoft.com/office/drawing/2014/main" id="{608E5EA0-87A6-489D-A102-39C905707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674077</xdr:colOff>
      <xdr:row>2</xdr:row>
      <xdr:rowOff>0</xdr:rowOff>
    </xdr:from>
    <xdr:to>
      <xdr:col>3</xdr:col>
      <xdr:colOff>403704</xdr:colOff>
      <xdr:row>5</xdr:row>
      <xdr:rowOff>51288</xdr:rowOff>
    </xdr:to>
    <xdr:pic>
      <xdr:nvPicPr>
        <xdr:cNvPr id="3" name="Picture 2">
          <a:extLst>
            <a:ext uri="{FF2B5EF4-FFF2-40B4-BE49-F238E27FC236}">
              <a16:creationId xmlns:a16="http://schemas.microsoft.com/office/drawing/2014/main" id="{ED303029-753E-46CF-9AE6-8340C7F23165}"/>
            </a:ext>
          </a:extLst>
        </xdr:cNvPr>
        <xdr:cNvPicPr>
          <a:picLocks noChangeAspect="1"/>
        </xdr:cNvPicPr>
      </xdr:nvPicPr>
      <xdr:blipFill>
        <a:blip xmlns:r="http://schemas.openxmlformats.org/officeDocument/2006/relationships" r:embed="rId2"/>
        <a:stretch>
          <a:fillRect/>
        </a:stretch>
      </xdr:blipFill>
      <xdr:spPr>
        <a:xfrm>
          <a:off x="2331427" y="381000"/>
          <a:ext cx="991323" cy="622788"/>
        </a:xfrm>
        <a:prstGeom prst="rect">
          <a:avLst/>
        </a:prstGeom>
      </xdr:spPr>
    </xdr:pic>
    <xdr:clientData/>
  </xdr:twoCellAnchor>
  <xdr:twoCellAnchor>
    <xdr:from>
      <xdr:col>0</xdr:col>
      <xdr:colOff>82827</xdr:colOff>
      <xdr:row>29</xdr:row>
      <xdr:rowOff>92489</xdr:rowOff>
    </xdr:from>
    <xdr:to>
      <xdr:col>6</xdr:col>
      <xdr:colOff>182217</xdr:colOff>
      <xdr:row>44</xdr:row>
      <xdr:rowOff>99391</xdr:rowOff>
    </xdr:to>
    <xdr:graphicFrame macro="">
      <xdr:nvGraphicFramePr>
        <xdr:cNvPr id="4" name="1 Gráfico">
          <a:extLst>
            <a:ext uri="{FF2B5EF4-FFF2-40B4-BE49-F238E27FC236}">
              <a16:creationId xmlns:a16="http://schemas.microsoft.com/office/drawing/2014/main" id="{B882A147-3351-46DD-B052-100241B59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865187</xdr:colOff>
      <xdr:row>1</xdr:row>
      <xdr:rowOff>119062</xdr:rowOff>
    </xdr:from>
    <xdr:to>
      <xdr:col>12</xdr:col>
      <xdr:colOff>982542</xdr:colOff>
      <xdr:row>4</xdr:row>
      <xdr:rowOff>105500</xdr:rowOff>
    </xdr:to>
    <xdr:pic>
      <xdr:nvPicPr>
        <xdr:cNvPr id="5" name="Picture 4">
          <a:extLst>
            <a:ext uri="{FF2B5EF4-FFF2-40B4-BE49-F238E27FC236}">
              <a16:creationId xmlns:a16="http://schemas.microsoft.com/office/drawing/2014/main" id="{C2132418-C961-4545-82D6-330F26F777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685337" y="309562"/>
          <a:ext cx="2241674" cy="557938"/>
        </a:xfrm>
        <a:prstGeom prst="rect">
          <a:avLst/>
        </a:prstGeom>
      </xdr:spPr>
    </xdr:pic>
    <xdr:clientData/>
  </xdr:twoCellAnchor>
  <xdr:twoCellAnchor>
    <xdr:from>
      <xdr:col>9</xdr:col>
      <xdr:colOff>438978</xdr:colOff>
      <xdr:row>28</xdr:row>
      <xdr:rowOff>182217</xdr:rowOff>
    </xdr:from>
    <xdr:to>
      <xdr:col>10</xdr:col>
      <xdr:colOff>397565</xdr:colOff>
      <xdr:row>30</xdr:row>
      <xdr:rowOff>41413</xdr:rowOff>
    </xdr:to>
    <xdr:sp macro="" textlink="">
      <xdr:nvSpPr>
        <xdr:cNvPr id="6" name="CuadroTexto 2">
          <a:extLst>
            <a:ext uri="{FF2B5EF4-FFF2-40B4-BE49-F238E27FC236}">
              <a16:creationId xmlns:a16="http://schemas.microsoft.com/office/drawing/2014/main" id="{8587D218-959D-45F1-8620-EDEFAA76CF39}"/>
            </a:ext>
          </a:extLst>
        </xdr:cNvPr>
        <xdr:cNvSpPr txBox="1"/>
      </xdr:nvSpPr>
      <xdr:spPr>
        <a:xfrm>
          <a:off x="8363778" y="5468592"/>
          <a:ext cx="853937"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tx2">
                  <a:lumMod val="60000"/>
                  <a:lumOff val="40000"/>
                </a:schemeClr>
              </a:solidFill>
            </a:rPr>
            <a:t>PENSIONES</a:t>
          </a:r>
        </a:p>
      </xdr:txBody>
    </xdr:sp>
    <xdr:clientData/>
  </xdr:twoCellAnchor>
  <xdr:twoCellAnchor>
    <xdr:from>
      <xdr:col>2</xdr:col>
      <xdr:colOff>434009</xdr:colOff>
      <xdr:row>28</xdr:row>
      <xdr:rowOff>36444</xdr:rowOff>
    </xdr:from>
    <xdr:to>
      <xdr:col>3</xdr:col>
      <xdr:colOff>273328</xdr:colOff>
      <xdr:row>29</xdr:row>
      <xdr:rowOff>86140</xdr:rowOff>
    </xdr:to>
    <xdr:sp macro="" textlink="">
      <xdr:nvSpPr>
        <xdr:cNvPr id="7" name="CuadroTexto 3">
          <a:extLst>
            <a:ext uri="{FF2B5EF4-FFF2-40B4-BE49-F238E27FC236}">
              <a16:creationId xmlns:a16="http://schemas.microsoft.com/office/drawing/2014/main" id="{A921A9C9-820E-4CAF-854C-39006CD45DCB}"/>
            </a:ext>
          </a:extLst>
        </xdr:cNvPr>
        <xdr:cNvSpPr txBox="1"/>
      </xdr:nvSpPr>
      <xdr:spPr>
        <a:xfrm>
          <a:off x="2091359" y="5322819"/>
          <a:ext cx="734669"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tx2">
                  <a:lumMod val="60000"/>
                  <a:lumOff val="40000"/>
                </a:schemeClr>
              </a:solidFill>
            </a:rPr>
            <a:t>MONTO</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499965</xdr:colOff>
      <xdr:row>6</xdr:row>
      <xdr:rowOff>106479</xdr:rowOff>
    </xdr:from>
    <xdr:to>
      <xdr:col>17</xdr:col>
      <xdr:colOff>965642</xdr:colOff>
      <xdr:row>8</xdr:row>
      <xdr:rowOff>266099</xdr:rowOff>
    </xdr:to>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90878" y="868479"/>
          <a:ext cx="2238155" cy="548903"/>
        </a:xfrm>
        <a:prstGeom prst="rect">
          <a:avLst/>
        </a:prstGeom>
      </xdr:spPr>
    </xdr:pic>
    <xdr:clientData/>
  </xdr:twoCellAnchor>
  <xdr:oneCellAnchor>
    <xdr:from>
      <xdr:col>1</xdr:col>
      <xdr:colOff>198783</xdr:colOff>
      <xdr:row>1</xdr:row>
      <xdr:rowOff>82827</xdr:rowOff>
    </xdr:from>
    <xdr:ext cx="989857" cy="622788"/>
    <xdr:pic>
      <xdr:nvPicPr>
        <xdr:cNvPr id="12" name="Picture 9">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2"/>
        <a:stretch>
          <a:fillRect/>
        </a:stretch>
      </xdr:blipFill>
      <xdr:spPr>
        <a:xfrm>
          <a:off x="9433892" y="82827"/>
          <a:ext cx="989857" cy="622788"/>
        </a:xfrm>
        <a:prstGeom prst="rect">
          <a:avLst/>
        </a:prstGeom>
      </xdr:spPr>
    </xdr:pic>
    <xdr:clientData/>
  </xdr:oneCellAnchor>
  <xdr:twoCellAnchor>
    <xdr:from>
      <xdr:col>14</xdr:col>
      <xdr:colOff>11538</xdr:colOff>
      <xdr:row>8</xdr:row>
      <xdr:rowOff>349233</xdr:rowOff>
    </xdr:from>
    <xdr:to>
      <xdr:col>18</xdr:col>
      <xdr:colOff>932414</xdr:colOff>
      <xdr:row>23</xdr:row>
      <xdr:rowOff>95044</xdr:rowOff>
    </xdr:to>
    <xdr:graphicFrame macro="">
      <xdr:nvGraphicFramePr>
        <xdr:cNvPr id="3" name="Gráfico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637008</xdr:colOff>
      <xdr:row>8</xdr:row>
      <xdr:rowOff>375728</xdr:rowOff>
    </xdr:from>
    <xdr:to>
      <xdr:col>24</xdr:col>
      <xdr:colOff>221371</xdr:colOff>
      <xdr:row>23</xdr:row>
      <xdr:rowOff>115352</xdr:rowOff>
    </xdr:to>
    <xdr:graphicFrame macro="">
      <xdr:nvGraphicFramePr>
        <xdr:cNvPr id="14" name="Gráfico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704632</xdr:colOff>
      <xdr:row>32</xdr:row>
      <xdr:rowOff>222443</xdr:rowOff>
    </xdr:from>
    <xdr:to>
      <xdr:col>19</xdr:col>
      <xdr:colOff>247627</xdr:colOff>
      <xdr:row>47</xdr:row>
      <xdr:rowOff>96938</xdr:rowOff>
    </xdr:to>
    <xdr:graphicFrame macro="">
      <xdr:nvGraphicFramePr>
        <xdr:cNvPr id="16" name="Gráfico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840440</xdr:colOff>
      <xdr:row>32</xdr:row>
      <xdr:rowOff>526189</xdr:rowOff>
    </xdr:from>
    <xdr:to>
      <xdr:col>26</xdr:col>
      <xdr:colOff>78440</xdr:colOff>
      <xdr:row>47</xdr:row>
      <xdr:rowOff>22606</xdr:rowOff>
    </xdr:to>
    <xdr:graphicFrame macro="">
      <xdr:nvGraphicFramePr>
        <xdr:cNvPr id="17" name="Gráfico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32644</xdr:colOff>
      <xdr:row>52</xdr:row>
      <xdr:rowOff>169062</xdr:rowOff>
    </xdr:from>
    <xdr:to>
      <xdr:col>18</xdr:col>
      <xdr:colOff>965169</xdr:colOff>
      <xdr:row>68</xdr:row>
      <xdr:rowOff>2143</xdr:rowOff>
    </xdr:to>
    <xdr:graphicFrame macro="">
      <xdr:nvGraphicFramePr>
        <xdr:cNvPr id="18" name="Gráfico 17">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165562</xdr:colOff>
      <xdr:row>53</xdr:row>
      <xdr:rowOff>43432</xdr:rowOff>
    </xdr:from>
    <xdr:to>
      <xdr:col>25</xdr:col>
      <xdr:colOff>221591</xdr:colOff>
      <xdr:row>68</xdr:row>
      <xdr:rowOff>78219</xdr:rowOff>
    </xdr:to>
    <xdr:graphicFrame macro="">
      <xdr:nvGraphicFramePr>
        <xdr:cNvPr id="19" name="Gráfico 18">
          <a:extLst>
            <a:ext uri="{FF2B5EF4-FFF2-40B4-BE49-F238E27FC236}">
              <a16:creationId xmlns:a16="http://schemas.microsoft.com/office/drawing/2014/main"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20</xdr:col>
      <xdr:colOff>744862</xdr:colOff>
      <xdr:row>6</xdr:row>
      <xdr:rowOff>170527</xdr:rowOff>
    </xdr:from>
    <xdr:to>
      <xdr:col>22</xdr:col>
      <xdr:colOff>897569</xdr:colOff>
      <xdr:row>8</xdr:row>
      <xdr:rowOff>330147</xdr:rowOff>
    </xdr:to>
    <xdr:pic>
      <xdr:nvPicPr>
        <xdr:cNvPr id="10" name="Picture 10">
          <a:extLst>
            <a:ext uri="{FF2B5EF4-FFF2-40B4-BE49-F238E27FC236}">
              <a16:creationId xmlns:a16="http://schemas.microsoft.com/office/drawing/2014/main" id="{B8825771-E97A-4C02-BE46-B46CB47933B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937862" y="932527"/>
          <a:ext cx="2231642" cy="548903"/>
        </a:xfrm>
        <a:prstGeom prst="rect">
          <a:avLst/>
        </a:prstGeom>
      </xdr:spPr>
    </xdr:pic>
    <xdr:clientData/>
  </xdr:twoCellAnchor>
  <xdr:twoCellAnchor editAs="oneCell">
    <xdr:from>
      <xdr:col>8</xdr:col>
      <xdr:colOff>530173</xdr:colOff>
      <xdr:row>1</xdr:row>
      <xdr:rowOff>0</xdr:rowOff>
    </xdr:from>
    <xdr:to>
      <xdr:col>11</xdr:col>
      <xdr:colOff>480379</xdr:colOff>
      <xdr:row>3</xdr:row>
      <xdr:rowOff>170826</xdr:rowOff>
    </xdr:to>
    <xdr:pic>
      <xdr:nvPicPr>
        <xdr:cNvPr id="13" name="Picture 10">
          <a:extLst>
            <a:ext uri="{FF2B5EF4-FFF2-40B4-BE49-F238E27FC236}">
              <a16:creationId xmlns:a16="http://schemas.microsoft.com/office/drawing/2014/main" id="{25D078B7-007D-43F3-B3A7-90E4A3740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0055" y="0"/>
          <a:ext cx="2236206" cy="551826"/>
        </a:xfrm>
        <a:prstGeom prst="rect">
          <a:avLst/>
        </a:prstGeom>
      </xdr:spPr>
    </xdr:pic>
    <xdr:clientData/>
  </xdr:twoCellAnchor>
  <xdr:twoCellAnchor editAs="oneCell">
    <xdr:from>
      <xdr:col>15</xdr:col>
      <xdr:colOff>642937</xdr:colOff>
      <xdr:row>31</xdr:row>
      <xdr:rowOff>11906</xdr:rowOff>
    </xdr:from>
    <xdr:to>
      <xdr:col>18</xdr:col>
      <xdr:colOff>60864</xdr:colOff>
      <xdr:row>32</xdr:row>
      <xdr:rowOff>123900</xdr:rowOff>
    </xdr:to>
    <xdr:pic>
      <xdr:nvPicPr>
        <xdr:cNvPr id="2" name="Picture 1">
          <a:extLst>
            <a:ext uri="{FF2B5EF4-FFF2-40B4-BE49-F238E27FC236}">
              <a16:creationId xmlns:a16="http://schemas.microsoft.com/office/drawing/2014/main" id="{9518A9BD-6433-440B-BCDE-7BC9BDB25F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00" y="6357937"/>
          <a:ext cx="2239708" cy="552526"/>
        </a:xfrm>
        <a:prstGeom prst="rect">
          <a:avLst/>
        </a:prstGeom>
      </xdr:spPr>
    </xdr:pic>
    <xdr:clientData/>
  </xdr:twoCellAnchor>
  <xdr:twoCellAnchor editAs="oneCell">
    <xdr:from>
      <xdr:col>21</xdr:col>
      <xdr:colOff>223837</xdr:colOff>
      <xdr:row>31</xdr:row>
      <xdr:rowOff>57150</xdr:rowOff>
    </xdr:from>
    <xdr:to>
      <xdr:col>24</xdr:col>
      <xdr:colOff>22764</xdr:colOff>
      <xdr:row>32</xdr:row>
      <xdr:rowOff>169144</xdr:rowOff>
    </xdr:to>
    <xdr:pic>
      <xdr:nvPicPr>
        <xdr:cNvPr id="4" name="Picture 3">
          <a:extLst>
            <a:ext uri="{FF2B5EF4-FFF2-40B4-BE49-F238E27FC236}">
              <a16:creationId xmlns:a16="http://schemas.microsoft.com/office/drawing/2014/main" id="{F1F52993-961C-4243-8269-30CC5DF312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97962" y="6403181"/>
          <a:ext cx="2239708" cy="552526"/>
        </a:xfrm>
        <a:prstGeom prst="rect">
          <a:avLst/>
        </a:prstGeom>
      </xdr:spPr>
    </xdr:pic>
    <xdr:clientData/>
  </xdr:twoCellAnchor>
  <xdr:twoCellAnchor editAs="oneCell">
    <xdr:from>
      <xdr:col>15</xdr:col>
      <xdr:colOff>726281</xdr:colOff>
      <xdr:row>49</xdr:row>
      <xdr:rowOff>119063</xdr:rowOff>
    </xdr:from>
    <xdr:to>
      <xdr:col>18</xdr:col>
      <xdr:colOff>144208</xdr:colOff>
      <xdr:row>52</xdr:row>
      <xdr:rowOff>111995</xdr:rowOff>
    </xdr:to>
    <xdr:pic>
      <xdr:nvPicPr>
        <xdr:cNvPr id="6" name="Picture 5">
          <a:extLst>
            <a:ext uri="{FF2B5EF4-FFF2-40B4-BE49-F238E27FC236}">
              <a16:creationId xmlns:a16="http://schemas.microsoft.com/office/drawing/2014/main" id="{835886D4-5826-453D-9F75-455E2A6B8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94844" y="10489407"/>
          <a:ext cx="2239708" cy="552526"/>
        </a:xfrm>
        <a:prstGeom prst="rect">
          <a:avLst/>
        </a:prstGeom>
      </xdr:spPr>
    </xdr:pic>
    <xdr:clientData/>
  </xdr:twoCellAnchor>
  <xdr:twoCellAnchor editAs="oneCell">
    <xdr:from>
      <xdr:col>21</xdr:col>
      <xdr:colOff>342900</xdr:colOff>
      <xdr:row>50</xdr:row>
      <xdr:rowOff>57151</xdr:rowOff>
    </xdr:from>
    <xdr:to>
      <xdr:col>24</xdr:col>
      <xdr:colOff>141827</xdr:colOff>
      <xdr:row>53</xdr:row>
      <xdr:rowOff>14365</xdr:rowOff>
    </xdr:to>
    <xdr:pic>
      <xdr:nvPicPr>
        <xdr:cNvPr id="7" name="Picture 6">
          <a:extLst>
            <a:ext uri="{FF2B5EF4-FFF2-40B4-BE49-F238E27FC236}">
              <a16:creationId xmlns:a16="http://schemas.microsoft.com/office/drawing/2014/main" id="{31EBED7F-FBFF-42C1-9E1A-CCB45A3675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17025" y="10606089"/>
          <a:ext cx="2239708" cy="5525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109904</xdr:colOff>
      <xdr:row>2</xdr:row>
      <xdr:rowOff>73270</xdr:rowOff>
    </xdr:from>
    <xdr:to>
      <xdr:col>4</xdr:col>
      <xdr:colOff>288916</xdr:colOff>
      <xdr:row>5</xdr:row>
      <xdr:rowOff>124559</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2718289" y="263770"/>
          <a:ext cx="989857" cy="622788"/>
        </a:xfrm>
        <a:prstGeom prst="rect">
          <a:avLst/>
        </a:prstGeom>
      </xdr:spPr>
    </xdr:pic>
    <xdr:clientData/>
  </xdr:twoCellAnchor>
  <xdr:twoCellAnchor>
    <xdr:from>
      <xdr:col>4</xdr:col>
      <xdr:colOff>325904</xdr:colOff>
      <xdr:row>30</xdr:row>
      <xdr:rowOff>169208</xdr:rowOff>
    </xdr:from>
    <xdr:to>
      <xdr:col>9</xdr:col>
      <xdr:colOff>419660</xdr:colOff>
      <xdr:row>46</xdr:row>
      <xdr:rowOff>100291</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476250</xdr:colOff>
      <xdr:row>2</xdr:row>
      <xdr:rowOff>38100</xdr:rowOff>
    </xdr:from>
    <xdr:to>
      <xdr:col>13</xdr:col>
      <xdr:colOff>657959</xdr:colOff>
      <xdr:row>5</xdr:row>
      <xdr:rowOff>24539</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39275" y="228600"/>
          <a:ext cx="2246436" cy="5579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100954</xdr:colOff>
      <xdr:row>31</xdr:row>
      <xdr:rowOff>171252</xdr:rowOff>
    </xdr:from>
    <xdr:to>
      <xdr:col>11</xdr:col>
      <xdr:colOff>78441</xdr:colOff>
      <xdr:row>46</xdr:row>
      <xdr:rowOff>145675</xdr:rowOff>
    </xdr:to>
    <xdr:graphicFrame macro="">
      <xdr:nvGraphicFramePr>
        <xdr:cNvPr id="7" name="6 Gráfico">
          <a:extLst>
            <a:ext uri="{FF2B5EF4-FFF2-40B4-BE49-F238E27FC236}">
              <a16:creationId xmlns:a16="http://schemas.microsoft.com/office/drawing/2014/main" id="{00000000-0008-0000-0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189295</xdr:colOff>
      <xdr:row>29</xdr:row>
      <xdr:rowOff>174990</xdr:rowOff>
    </xdr:from>
    <xdr:to>
      <xdr:col>9</xdr:col>
      <xdr:colOff>656071</xdr:colOff>
      <xdr:row>31</xdr:row>
      <xdr:rowOff>57759</xdr:rowOff>
    </xdr:to>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1684720" y="3156315"/>
          <a:ext cx="3743376" cy="2637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100" b="1">
              <a:solidFill>
                <a:schemeClr val="tx2">
                  <a:lumMod val="60000"/>
                  <a:lumOff val="40000"/>
                </a:schemeClr>
              </a:solidFill>
            </a:rPr>
            <a:t>Pago de Retroactivos</a:t>
          </a:r>
        </a:p>
      </xdr:txBody>
    </xdr:sp>
    <xdr:clientData/>
  </xdr:twoCellAnchor>
  <xdr:twoCellAnchor editAs="oneCell">
    <xdr:from>
      <xdr:col>1</xdr:col>
      <xdr:colOff>203688</xdr:colOff>
      <xdr:row>2</xdr:row>
      <xdr:rowOff>27842</xdr:rowOff>
    </xdr:from>
    <xdr:to>
      <xdr:col>2</xdr:col>
      <xdr:colOff>458209</xdr:colOff>
      <xdr:row>5</xdr:row>
      <xdr:rowOff>79130</xdr:rowOff>
    </xdr:to>
    <xdr:pic>
      <xdr:nvPicPr>
        <xdr:cNvPr id="12" name="Picture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2"/>
        <a:stretch>
          <a:fillRect/>
        </a:stretch>
      </xdr:blipFill>
      <xdr:spPr>
        <a:xfrm>
          <a:off x="965688" y="218342"/>
          <a:ext cx="987946" cy="622788"/>
        </a:xfrm>
        <a:prstGeom prst="rect">
          <a:avLst/>
        </a:prstGeom>
      </xdr:spPr>
    </xdr:pic>
    <xdr:clientData/>
  </xdr:twoCellAnchor>
  <xdr:twoCellAnchor editAs="oneCell">
    <xdr:from>
      <xdr:col>9</xdr:col>
      <xdr:colOff>747506</xdr:colOff>
      <xdr:row>2</xdr:row>
      <xdr:rowOff>33545</xdr:rowOff>
    </xdr:from>
    <xdr:to>
      <xdr:col>12</xdr:col>
      <xdr:colOff>628527</xdr:colOff>
      <xdr:row>5</xdr:row>
      <xdr:rowOff>19983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19531" y="224045"/>
          <a:ext cx="2224171" cy="5579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222738</xdr:colOff>
      <xdr:row>1</xdr:row>
      <xdr:rowOff>46892</xdr:rowOff>
    </xdr:from>
    <xdr:to>
      <xdr:col>2</xdr:col>
      <xdr:colOff>677730</xdr:colOff>
      <xdr:row>4</xdr:row>
      <xdr:rowOff>98180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984738" y="237392"/>
          <a:ext cx="1188417" cy="622788"/>
        </a:xfrm>
        <a:prstGeom prst="rect">
          <a:avLst/>
        </a:prstGeom>
      </xdr:spPr>
    </xdr:pic>
    <xdr:clientData/>
  </xdr:twoCellAnchor>
  <xdr:twoCellAnchor editAs="oneCell">
    <xdr:from>
      <xdr:col>6</xdr:col>
      <xdr:colOff>219808</xdr:colOff>
      <xdr:row>1</xdr:row>
      <xdr:rowOff>14654</xdr:rowOff>
    </xdr:from>
    <xdr:to>
      <xdr:col>9</xdr:col>
      <xdr:colOff>261573</xdr:colOff>
      <xdr:row>4</xdr:row>
      <xdr:rowOff>1092</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25233" y="205154"/>
          <a:ext cx="2242040" cy="557938"/>
        </a:xfrm>
        <a:prstGeom prst="rect">
          <a:avLst/>
        </a:prstGeom>
      </xdr:spPr>
    </xdr:pic>
    <xdr:clientData/>
  </xdr:twoCellAnchor>
  <xdr:twoCellAnchor>
    <xdr:from>
      <xdr:col>9</xdr:col>
      <xdr:colOff>247650</xdr:colOff>
      <xdr:row>1</xdr:row>
      <xdr:rowOff>185737</xdr:rowOff>
    </xdr:from>
    <xdr:to>
      <xdr:col>14</xdr:col>
      <xdr:colOff>971550</xdr:colOff>
      <xdr:row>29</xdr:row>
      <xdr:rowOff>14287</xdr:rowOff>
    </xdr:to>
    <xdr:graphicFrame macro="">
      <xdr:nvGraphicFramePr>
        <xdr:cNvPr id="6" name="Chart 5">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498230</xdr:colOff>
      <xdr:row>2</xdr:row>
      <xdr:rowOff>109903</xdr:rowOff>
    </xdr:from>
    <xdr:to>
      <xdr:col>13</xdr:col>
      <xdr:colOff>747345</xdr:colOff>
      <xdr:row>3</xdr:row>
      <xdr:rowOff>183172</xdr:rowOff>
    </xdr:to>
    <xdr:sp macro="" textlink="">
      <xdr:nvSpPr>
        <xdr:cNvPr id="3" name="3 CuadroTexto">
          <a:extLst>
            <a:ext uri="{FF2B5EF4-FFF2-40B4-BE49-F238E27FC236}">
              <a16:creationId xmlns:a16="http://schemas.microsoft.com/office/drawing/2014/main" id="{00000000-0008-0000-0E00-000003000000}"/>
            </a:ext>
          </a:extLst>
        </xdr:cNvPr>
        <xdr:cNvSpPr txBox="1"/>
      </xdr:nvSpPr>
      <xdr:spPr>
        <a:xfrm>
          <a:off x="10137530" y="490903"/>
          <a:ext cx="1792165" cy="2637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DO" sz="1100" b="1">
              <a:solidFill>
                <a:schemeClr val="tx2">
                  <a:lumMod val="60000"/>
                  <a:lumOff val="40000"/>
                </a:schemeClr>
              </a:solidFill>
            </a:rPr>
            <a:t>Créditos</a:t>
          </a:r>
          <a:r>
            <a:rPr lang="es-DO" sz="1100" b="1" baseline="0">
              <a:solidFill>
                <a:schemeClr val="tx2">
                  <a:lumMod val="60000"/>
                  <a:lumOff val="40000"/>
                </a:schemeClr>
              </a:solidFill>
            </a:rPr>
            <a:t> Rechazados</a:t>
          </a:r>
          <a:endParaRPr lang="es-DO" sz="1100" b="1">
            <a:solidFill>
              <a:schemeClr val="tx2">
                <a:lumMod val="60000"/>
                <a:lumOff val="40000"/>
              </a:schemeClr>
            </a:solidFill>
          </a:endParaRPr>
        </a:p>
      </xdr:txBody>
    </xdr:sp>
    <xdr:clientData/>
  </xdr:twoCellAnchor>
  <xdr:twoCellAnchor editAs="oneCell">
    <xdr:from>
      <xdr:col>1</xdr:col>
      <xdr:colOff>365613</xdr:colOff>
      <xdr:row>0</xdr:row>
      <xdr:rowOff>189767</xdr:rowOff>
    </xdr:from>
    <xdr:to>
      <xdr:col>2</xdr:col>
      <xdr:colOff>820605</xdr:colOff>
      <xdr:row>4</xdr:row>
      <xdr:rowOff>50555</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1127613" y="189767"/>
          <a:ext cx="1188417" cy="622788"/>
        </a:xfrm>
        <a:prstGeom prst="rect">
          <a:avLst/>
        </a:prstGeom>
      </xdr:spPr>
    </xdr:pic>
    <xdr:clientData/>
  </xdr:twoCellAnchor>
  <xdr:twoCellAnchor editAs="oneCell">
    <xdr:from>
      <xdr:col>6</xdr:col>
      <xdr:colOff>0</xdr:colOff>
      <xdr:row>1</xdr:row>
      <xdr:rowOff>43962</xdr:rowOff>
    </xdr:from>
    <xdr:to>
      <xdr:col>8</xdr:col>
      <xdr:colOff>908540</xdr:colOff>
      <xdr:row>4</xdr:row>
      <xdr:rowOff>30400</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05425" y="234462"/>
          <a:ext cx="2242040" cy="557938"/>
        </a:xfrm>
        <a:prstGeom prst="rect">
          <a:avLst/>
        </a:prstGeom>
      </xdr:spPr>
    </xdr:pic>
    <xdr:clientData/>
  </xdr:twoCellAnchor>
  <xdr:twoCellAnchor>
    <xdr:from>
      <xdr:col>9</xdr:col>
      <xdr:colOff>285750</xdr:colOff>
      <xdr:row>2</xdr:row>
      <xdr:rowOff>119062</xdr:rowOff>
    </xdr:from>
    <xdr:to>
      <xdr:col>14</xdr:col>
      <xdr:colOff>1009650</xdr:colOff>
      <xdr:row>28</xdr:row>
      <xdr:rowOff>138112</xdr:rowOff>
    </xdr:to>
    <xdr:graphicFrame macro="">
      <xdr:nvGraphicFramePr>
        <xdr:cNvPr id="6" name="Chart 5">
          <a:extLst>
            <a:ext uri="{FF2B5EF4-FFF2-40B4-BE49-F238E27FC236}">
              <a16:creationId xmlns:a16="http://schemas.microsoft.com/office/drawing/2014/main" id="{00000000-0008-0000-0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47625</xdr:colOff>
      <xdr:row>2</xdr:row>
      <xdr:rowOff>89547</xdr:rowOff>
    </xdr:from>
    <xdr:to>
      <xdr:col>3</xdr:col>
      <xdr:colOff>425971</xdr:colOff>
      <xdr:row>5</xdr:row>
      <xdr:rowOff>140835</xdr:rowOff>
    </xdr:to>
    <xdr:pic>
      <xdr:nvPicPr>
        <xdr:cNvPr id="2" name="Picture 1">
          <a:extLst>
            <a:ext uri="{FF2B5EF4-FFF2-40B4-BE49-F238E27FC236}">
              <a16:creationId xmlns:a16="http://schemas.microsoft.com/office/drawing/2014/main" id="{1FD885CE-A212-4769-998C-D1677A36476A}"/>
            </a:ext>
          </a:extLst>
        </xdr:cNvPr>
        <xdr:cNvPicPr>
          <a:picLocks noChangeAspect="1"/>
        </xdr:cNvPicPr>
      </xdr:nvPicPr>
      <xdr:blipFill>
        <a:blip xmlns:r="http://schemas.openxmlformats.org/officeDocument/2006/relationships" r:embed="rId1"/>
        <a:stretch>
          <a:fillRect/>
        </a:stretch>
      </xdr:blipFill>
      <xdr:spPr>
        <a:xfrm>
          <a:off x="1981200" y="280047"/>
          <a:ext cx="987946" cy="622788"/>
        </a:xfrm>
        <a:prstGeom prst="rect">
          <a:avLst/>
        </a:prstGeom>
      </xdr:spPr>
    </xdr:pic>
    <xdr:clientData/>
  </xdr:twoCellAnchor>
  <xdr:twoCellAnchor editAs="oneCell">
    <xdr:from>
      <xdr:col>5</xdr:col>
      <xdr:colOff>505718</xdr:colOff>
      <xdr:row>2</xdr:row>
      <xdr:rowOff>85725</xdr:rowOff>
    </xdr:from>
    <xdr:to>
      <xdr:col>8</xdr:col>
      <xdr:colOff>339114</xdr:colOff>
      <xdr:row>5</xdr:row>
      <xdr:rowOff>72163</xdr:rowOff>
    </xdr:to>
    <xdr:pic>
      <xdr:nvPicPr>
        <xdr:cNvPr id="3" name="Picture 2">
          <a:extLst>
            <a:ext uri="{FF2B5EF4-FFF2-40B4-BE49-F238E27FC236}">
              <a16:creationId xmlns:a16="http://schemas.microsoft.com/office/drawing/2014/main" id="{1A801DD6-C7F5-451B-A1B2-AAA2065284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96818" y="276225"/>
          <a:ext cx="2224171" cy="557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88058</xdr:colOff>
      <xdr:row>29</xdr:row>
      <xdr:rowOff>36566</xdr:rowOff>
    </xdr:from>
    <xdr:to>
      <xdr:col>5</xdr:col>
      <xdr:colOff>175314</xdr:colOff>
      <xdr:row>40</xdr:row>
      <xdr:rowOff>170649</xdr:rowOff>
    </xdr:to>
    <xdr:graphicFrame macro="">
      <xdr:nvGraphicFramePr>
        <xdr:cNvPr id="2" name="10 Gráfico">
          <a:extLst>
            <a:ext uri="{FF2B5EF4-FFF2-40B4-BE49-F238E27FC236}">
              <a16:creationId xmlns:a16="http://schemas.microsoft.com/office/drawing/2014/main" id="{7412F171-EEEB-49E2-966D-2F1CACD4A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588089</xdr:colOff>
      <xdr:row>66</xdr:row>
      <xdr:rowOff>44161</xdr:rowOff>
    </xdr:from>
    <xdr:to>
      <xdr:col>17</xdr:col>
      <xdr:colOff>702388</xdr:colOff>
      <xdr:row>67</xdr:row>
      <xdr:rowOff>120361</xdr:rowOff>
    </xdr:to>
    <xdr:sp macro="" textlink="">
      <xdr:nvSpPr>
        <xdr:cNvPr id="3" name="1 CuadroTexto">
          <a:extLst>
            <a:ext uri="{FF2B5EF4-FFF2-40B4-BE49-F238E27FC236}">
              <a16:creationId xmlns:a16="http://schemas.microsoft.com/office/drawing/2014/main" id="{7E3A95FC-AC94-4EE6-8655-9FEDB168D4F6}"/>
            </a:ext>
          </a:extLst>
        </xdr:cNvPr>
        <xdr:cNvSpPr txBox="1"/>
      </xdr:nvSpPr>
      <xdr:spPr>
        <a:xfrm>
          <a:off x="12018089" y="12426661"/>
          <a:ext cx="1638299"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accent1"/>
              </a:solidFill>
            </a:rPr>
            <a:t>Afiliados/Cotizantes</a:t>
          </a:r>
        </a:p>
      </xdr:txBody>
    </xdr:sp>
    <xdr:clientData/>
  </xdr:twoCellAnchor>
  <xdr:twoCellAnchor>
    <xdr:from>
      <xdr:col>7</xdr:col>
      <xdr:colOff>294817</xdr:colOff>
      <xdr:row>27</xdr:row>
      <xdr:rowOff>80787</xdr:rowOff>
    </xdr:from>
    <xdr:to>
      <xdr:col>9</xdr:col>
      <xdr:colOff>641381</xdr:colOff>
      <xdr:row>28</xdr:row>
      <xdr:rowOff>156987</xdr:rowOff>
    </xdr:to>
    <xdr:sp macro="" textlink="">
      <xdr:nvSpPr>
        <xdr:cNvPr id="4" name="2 CuadroTexto">
          <a:extLst>
            <a:ext uri="{FF2B5EF4-FFF2-40B4-BE49-F238E27FC236}">
              <a16:creationId xmlns:a16="http://schemas.microsoft.com/office/drawing/2014/main" id="{1641605F-E6E2-484F-A7BE-C823C39B7978}"/>
            </a:ext>
          </a:extLst>
        </xdr:cNvPr>
        <xdr:cNvSpPr txBox="1"/>
      </xdr:nvSpPr>
      <xdr:spPr>
        <a:xfrm>
          <a:off x="6266992" y="2757312"/>
          <a:ext cx="1870564"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accent1"/>
              </a:solidFill>
            </a:rPr>
            <a:t>Afiliados/No Cotizantes</a:t>
          </a:r>
        </a:p>
      </xdr:txBody>
    </xdr:sp>
    <xdr:clientData/>
  </xdr:twoCellAnchor>
  <xdr:oneCellAnchor>
    <xdr:from>
      <xdr:col>0</xdr:col>
      <xdr:colOff>346908</xdr:colOff>
      <xdr:row>1</xdr:row>
      <xdr:rowOff>113567</xdr:rowOff>
    </xdr:from>
    <xdr:ext cx="871814" cy="549520"/>
    <xdr:pic>
      <xdr:nvPicPr>
        <xdr:cNvPr id="5" name="Picture 8">
          <a:extLst>
            <a:ext uri="{FF2B5EF4-FFF2-40B4-BE49-F238E27FC236}">
              <a16:creationId xmlns:a16="http://schemas.microsoft.com/office/drawing/2014/main" id="{4DD5A5D0-8A9D-405C-BF51-D9919A6643E5}"/>
            </a:ext>
          </a:extLst>
        </xdr:cNvPr>
        <xdr:cNvPicPr>
          <a:picLocks noChangeAspect="1"/>
        </xdr:cNvPicPr>
      </xdr:nvPicPr>
      <xdr:blipFill>
        <a:blip xmlns:r="http://schemas.openxmlformats.org/officeDocument/2006/relationships" r:embed="rId2"/>
        <a:stretch>
          <a:fillRect/>
        </a:stretch>
      </xdr:blipFill>
      <xdr:spPr>
        <a:xfrm>
          <a:off x="346908" y="304067"/>
          <a:ext cx="871814" cy="549520"/>
        </a:xfrm>
        <a:prstGeom prst="rect">
          <a:avLst/>
        </a:prstGeom>
      </xdr:spPr>
    </xdr:pic>
    <xdr:clientData/>
  </xdr:oneCellAnchor>
  <xdr:twoCellAnchor>
    <xdr:from>
      <xdr:col>5</xdr:col>
      <xdr:colOff>414854</xdr:colOff>
      <xdr:row>29</xdr:row>
      <xdr:rowOff>100407</xdr:rowOff>
    </xdr:from>
    <xdr:to>
      <xdr:col>11</xdr:col>
      <xdr:colOff>217865</xdr:colOff>
      <xdr:row>41</xdr:row>
      <xdr:rowOff>38757</xdr:rowOff>
    </xdr:to>
    <xdr:graphicFrame macro="">
      <xdr:nvGraphicFramePr>
        <xdr:cNvPr id="6" name="10 Gráfico">
          <a:extLst>
            <a:ext uri="{FF2B5EF4-FFF2-40B4-BE49-F238E27FC236}">
              <a16:creationId xmlns:a16="http://schemas.microsoft.com/office/drawing/2014/main" id="{3C96AE7C-3C81-42F8-9061-2945E252F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727085</xdr:colOff>
      <xdr:row>43</xdr:row>
      <xdr:rowOff>19945</xdr:rowOff>
    </xdr:from>
    <xdr:to>
      <xdr:col>11</xdr:col>
      <xdr:colOff>182800</xdr:colOff>
      <xdr:row>57</xdr:row>
      <xdr:rowOff>96145</xdr:rowOff>
    </xdr:to>
    <xdr:graphicFrame macro="">
      <xdr:nvGraphicFramePr>
        <xdr:cNvPr id="7" name="Gráfico 6">
          <a:extLst>
            <a:ext uri="{FF2B5EF4-FFF2-40B4-BE49-F238E27FC236}">
              <a16:creationId xmlns:a16="http://schemas.microsoft.com/office/drawing/2014/main" id="{3918E741-4A5F-4509-AAD0-034771F70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816953</xdr:colOff>
      <xdr:row>1</xdr:row>
      <xdr:rowOff>43229</xdr:rowOff>
    </xdr:from>
    <xdr:ext cx="2232100" cy="557938"/>
    <xdr:pic>
      <xdr:nvPicPr>
        <xdr:cNvPr id="8" name="Picture 9">
          <a:extLst>
            <a:ext uri="{FF2B5EF4-FFF2-40B4-BE49-F238E27FC236}">
              <a16:creationId xmlns:a16="http://schemas.microsoft.com/office/drawing/2014/main" id="{F8AF9267-88C4-44C4-A567-EB0184EBA86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74503" y="233729"/>
          <a:ext cx="2232100" cy="557938"/>
        </a:xfrm>
        <a:prstGeom prst="rect">
          <a:avLst/>
        </a:prstGeom>
      </xdr:spPr>
    </xdr:pic>
    <xdr:clientData/>
  </xdr:oneCellAnchor>
  <xdr:twoCellAnchor>
    <xdr:from>
      <xdr:col>1</xdr:col>
      <xdr:colOff>638175</xdr:colOff>
      <xdr:row>27</xdr:row>
      <xdr:rowOff>90587</xdr:rowOff>
    </xdr:from>
    <xdr:to>
      <xdr:col>3</xdr:col>
      <xdr:colOff>323850</xdr:colOff>
      <xdr:row>28</xdr:row>
      <xdr:rowOff>166787</xdr:rowOff>
    </xdr:to>
    <xdr:sp macro="" textlink="">
      <xdr:nvSpPr>
        <xdr:cNvPr id="9" name="1 CuadroTexto">
          <a:extLst>
            <a:ext uri="{FF2B5EF4-FFF2-40B4-BE49-F238E27FC236}">
              <a16:creationId xmlns:a16="http://schemas.microsoft.com/office/drawing/2014/main" id="{53C8BA23-7508-4CB1-81D8-368BB9F6EE14}"/>
            </a:ext>
          </a:extLst>
        </xdr:cNvPr>
        <xdr:cNvSpPr txBox="1"/>
      </xdr:nvSpPr>
      <xdr:spPr>
        <a:xfrm>
          <a:off x="1447800" y="2767112"/>
          <a:ext cx="1323975"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100" b="1">
              <a:solidFill>
                <a:schemeClr val="accent1"/>
              </a:solidFill>
            </a:rPr>
            <a:t>Afiliados/Cotizantes</a:t>
          </a:r>
        </a:p>
      </xdr:txBody>
    </xdr:sp>
    <xdr:clientData/>
  </xdr:twoCellAnchor>
  <xdr:twoCellAnchor>
    <xdr:from>
      <xdr:col>0</xdr:col>
      <xdr:colOff>291351</xdr:colOff>
      <xdr:row>42</xdr:row>
      <xdr:rowOff>145675</xdr:rowOff>
    </xdr:from>
    <xdr:to>
      <xdr:col>5</xdr:col>
      <xdr:colOff>717175</xdr:colOff>
      <xdr:row>57</xdr:row>
      <xdr:rowOff>32496</xdr:rowOff>
    </xdr:to>
    <xdr:graphicFrame macro="">
      <xdr:nvGraphicFramePr>
        <xdr:cNvPr id="13" name="Gráfico 12">
          <a:extLst>
            <a:ext uri="{FF2B5EF4-FFF2-40B4-BE49-F238E27FC236}">
              <a16:creationId xmlns:a16="http://schemas.microsoft.com/office/drawing/2014/main" id="{FB5FE624-4100-C68A-BE51-0D04822C9B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24668</xdr:colOff>
      <xdr:row>37</xdr:row>
      <xdr:rowOff>98668</xdr:rowOff>
    </xdr:from>
    <xdr:to>
      <xdr:col>5</xdr:col>
      <xdr:colOff>503603</xdr:colOff>
      <xdr:row>55</xdr:row>
      <xdr:rowOff>51288</xdr:rowOff>
    </xdr:to>
    <xdr:graphicFrame macro="">
      <xdr:nvGraphicFramePr>
        <xdr:cNvPr id="2" name="7 Gráfico">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373674</xdr:colOff>
      <xdr:row>2</xdr:row>
      <xdr:rowOff>87923</xdr:rowOff>
    </xdr:from>
    <xdr:ext cx="989857" cy="622788"/>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a:stretch>
          <a:fillRect/>
        </a:stretch>
      </xdr:blipFill>
      <xdr:spPr>
        <a:xfrm>
          <a:off x="373674" y="7193573"/>
          <a:ext cx="989857" cy="622788"/>
        </a:xfrm>
        <a:prstGeom prst="rect">
          <a:avLst/>
        </a:prstGeom>
      </xdr:spPr>
    </xdr:pic>
    <xdr:clientData/>
  </xdr:oneCellAnchor>
  <xdr:twoCellAnchor editAs="oneCell">
    <xdr:from>
      <xdr:col>4</xdr:col>
      <xdr:colOff>571501</xdr:colOff>
      <xdr:row>1</xdr:row>
      <xdr:rowOff>153865</xdr:rowOff>
    </xdr:from>
    <xdr:to>
      <xdr:col>7</xdr:col>
      <xdr:colOff>180245</xdr:colOff>
      <xdr:row>4</xdr:row>
      <xdr:rowOff>140302</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8424" y="153865"/>
          <a:ext cx="2246436" cy="557938"/>
        </a:xfrm>
        <a:prstGeom prst="rect">
          <a:avLst/>
        </a:prstGeom>
      </xdr:spPr>
    </xdr:pic>
    <xdr:clientData/>
  </xdr:twoCellAnchor>
  <xdr:twoCellAnchor>
    <xdr:from>
      <xdr:col>1</xdr:col>
      <xdr:colOff>836544</xdr:colOff>
      <xdr:row>35</xdr:row>
      <xdr:rowOff>107675</xdr:rowOff>
    </xdr:from>
    <xdr:to>
      <xdr:col>5</xdr:col>
      <xdr:colOff>91109</xdr:colOff>
      <xdr:row>37</xdr:row>
      <xdr:rowOff>182218</xdr:rowOff>
    </xdr:to>
    <xdr:sp macro="" textlink="">
      <xdr:nvSpPr>
        <xdr:cNvPr id="3" name="CuadroTexto 2">
          <a:extLst>
            <a:ext uri="{FF2B5EF4-FFF2-40B4-BE49-F238E27FC236}">
              <a16:creationId xmlns:a16="http://schemas.microsoft.com/office/drawing/2014/main" id="{53CF2A34-922B-238A-7CE5-F0C850928E51}"/>
            </a:ext>
          </a:extLst>
        </xdr:cNvPr>
        <xdr:cNvSpPr txBox="1"/>
      </xdr:nvSpPr>
      <xdr:spPr>
        <a:xfrm>
          <a:off x="1714501" y="2658718"/>
          <a:ext cx="2766391" cy="455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s-ES" sz="1100" b="1" i="0" baseline="0">
              <a:solidFill>
                <a:schemeClr val="accent1"/>
              </a:solidFill>
              <a:effectLst/>
              <a:latin typeface="+mn-lt"/>
              <a:ea typeface="+mn-ea"/>
              <a:cs typeface="+mn-cs"/>
            </a:rPr>
            <a:t>Recuperación de Fondos</a:t>
          </a:r>
          <a:endParaRPr lang="es-DO">
            <a:solidFill>
              <a:schemeClr val="accent1"/>
            </a:solidFill>
            <a:effectLst/>
          </a:endParaRPr>
        </a:p>
        <a:p>
          <a:pPr algn="ctr" rtl="0"/>
          <a:r>
            <a:rPr lang="es-ES" sz="1100" b="1" i="0" baseline="0">
              <a:solidFill>
                <a:schemeClr val="accent1"/>
              </a:solidFill>
              <a:effectLst/>
              <a:latin typeface="+mn-lt"/>
              <a:ea typeface="+mn-ea"/>
              <a:cs typeface="+mn-cs"/>
            </a:rPr>
            <a:t>Monto solicitado / Total Recuperado</a:t>
          </a:r>
          <a:endParaRPr lang="es-DO">
            <a:solidFill>
              <a:schemeClr val="accent1"/>
            </a:solidFill>
            <a:effectLst/>
          </a:endParaRPr>
        </a:p>
        <a:p>
          <a:pPr algn="ctr"/>
          <a:endParaRPr lang="es-DO" sz="1100">
            <a:solidFill>
              <a:schemeClr val="accent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730070</xdr:colOff>
      <xdr:row>7</xdr:row>
      <xdr:rowOff>175005</xdr:rowOff>
    </xdr:from>
    <xdr:to>
      <xdr:col>20</xdr:col>
      <xdr:colOff>582707</xdr:colOff>
      <xdr:row>28</xdr:row>
      <xdr:rowOff>116541</xdr:rowOff>
    </xdr:to>
    <xdr:graphicFrame macro="">
      <xdr:nvGraphicFramePr>
        <xdr:cNvPr id="5" name="4 Gráfico">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88900</xdr:colOff>
      <xdr:row>32</xdr:row>
      <xdr:rowOff>111125</xdr:rowOff>
    </xdr:from>
    <xdr:to>
      <xdr:col>21</xdr:col>
      <xdr:colOff>241294</xdr:colOff>
      <xdr:row>56</xdr:row>
      <xdr:rowOff>149219</xdr:rowOff>
    </xdr:to>
    <xdr:graphicFrame macro="">
      <xdr:nvGraphicFramePr>
        <xdr:cNvPr id="6" name="5 Gráfico">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123825</xdr:colOff>
      <xdr:row>4</xdr:row>
      <xdr:rowOff>0</xdr:rowOff>
    </xdr:from>
    <xdr:to>
      <xdr:col>0</xdr:col>
      <xdr:colOff>1113682</xdr:colOff>
      <xdr:row>7</xdr:row>
      <xdr:rowOff>51288</xdr:rowOff>
    </xdr:to>
    <xdr:pic>
      <xdr:nvPicPr>
        <xdr:cNvPr id="7" name="Picture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3"/>
        <a:stretch>
          <a:fillRect/>
        </a:stretch>
      </xdr:blipFill>
      <xdr:spPr>
        <a:xfrm>
          <a:off x="885825" y="571500"/>
          <a:ext cx="989857" cy="622788"/>
        </a:xfrm>
        <a:prstGeom prst="rect">
          <a:avLst/>
        </a:prstGeom>
      </xdr:spPr>
    </xdr:pic>
    <xdr:clientData/>
  </xdr:twoCellAnchor>
  <xdr:twoCellAnchor editAs="oneCell">
    <xdr:from>
      <xdr:col>10</xdr:col>
      <xdr:colOff>419100</xdr:colOff>
      <xdr:row>3</xdr:row>
      <xdr:rowOff>133350</xdr:rowOff>
    </xdr:from>
    <xdr:to>
      <xdr:col>13</xdr:col>
      <xdr:colOff>334712</xdr:colOff>
      <xdr:row>6</xdr:row>
      <xdr:rowOff>119788</xdr:rowOff>
    </xdr:to>
    <xdr:pic>
      <xdr:nvPicPr>
        <xdr:cNvPr id="8" name="Picture 7">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19575" y="514350"/>
          <a:ext cx="2246436" cy="557938"/>
        </a:xfrm>
        <a:prstGeom prst="rect">
          <a:avLst/>
        </a:prstGeom>
      </xdr:spPr>
    </xdr:pic>
    <xdr:clientData/>
  </xdr:twoCellAnchor>
  <xdr:twoCellAnchor>
    <xdr:from>
      <xdr:col>15</xdr:col>
      <xdr:colOff>459441</xdr:colOff>
      <xdr:row>59</xdr:row>
      <xdr:rowOff>156883</xdr:rowOff>
    </xdr:from>
    <xdr:to>
      <xdr:col>21</xdr:col>
      <xdr:colOff>110072</xdr:colOff>
      <xdr:row>77</xdr:row>
      <xdr:rowOff>128882</xdr:rowOff>
    </xdr:to>
    <xdr:graphicFrame macro="">
      <xdr:nvGraphicFramePr>
        <xdr:cNvPr id="2" name="4 Gráfico">
          <a:extLst>
            <a:ext uri="{FF2B5EF4-FFF2-40B4-BE49-F238E27FC236}">
              <a16:creationId xmlns:a16="http://schemas.microsoft.com/office/drawing/2014/main" id="{601405CA-A455-4EE1-81E2-87C3B89AB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0.37758</cdr:x>
      <cdr:y>0.0195</cdr:y>
    </cdr:from>
    <cdr:to>
      <cdr:x>0.65124</cdr:x>
      <cdr:y>0.08894</cdr:y>
    </cdr:to>
    <cdr:sp macro="" textlink="">
      <cdr:nvSpPr>
        <cdr:cNvPr id="2" name="1 CuadroTexto"/>
        <cdr:cNvSpPr txBox="1"/>
      </cdr:nvSpPr>
      <cdr:spPr>
        <a:xfrm xmlns:a="http://schemas.openxmlformats.org/drawingml/2006/main">
          <a:off x="1900604" y="53486"/>
          <a:ext cx="1377461"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DO" sz="1100"/>
        </a:p>
      </cdr:txBody>
    </cdr:sp>
  </cdr:relSizeAnchor>
</c:userShapes>
</file>

<file path=xl/drawings/drawing4.xml><?xml version="1.0" encoding="utf-8"?>
<c:userShapes xmlns:c="http://schemas.openxmlformats.org/drawingml/2006/chart">
  <cdr:relSizeAnchor xmlns:cdr="http://schemas.openxmlformats.org/drawingml/2006/chartDrawing">
    <cdr:from>
      <cdr:x>0.37758</cdr:x>
      <cdr:y>0.0195</cdr:y>
    </cdr:from>
    <cdr:to>
      <cdr:x>0.65124</cdr:x>
      <cdr:y>0.08894</cdr:y>
    </cdr:to>
    <cdr:sp macro="" textlink="">
      <cdr:nvSpPr>
        <cdr:cNvPr id="2" name="1 CuadroTexto"/>
        <cdr:cNvSpPr txBox="1"/>
      </cdr:nvSpPr>
      <cdr:spPr>
        <a:xfrm xmlns:a="http://schemas.openxmlformats.org/drawingml/2006/main">
          <a:off x="1900604" y="53486"/>
          <a:ext cx="1377461"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DO"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24848</xdr:colOff>
      <xdr:row>29</xdr:row>
      <xdr:rowOff>64160</xdr:rowOff>
    </xdr:from>
    <xdr:to>
      <xdr:col>5</xdr:col>
      <xdr:colOff>516973</xdr:colOff>
      <xdr:row>41</xdr:row>
      <xdr:rowOff>120575</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141832</xdr:colOff>
      <xdr:row>1</xdr:row>
      <xdr:rowOff>87924</xdr:rowOff>
    </xdr:from>
    <xdr:to>
      <xdr:col>1</xdr:col>
      <xdr:colOff>206650</xdr:colOff>
      <xdr:row>4</xdr:row>
      <xdr:rowOff>80596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41832" y="278424"/>
          <a:ext cx="896694" cy="564172"/>
        </a:xfrm>
        <a:prstGeom prst="rect">
          <a:avLst/>
        </a:prstGeom>
      </xdr:spPr>
    </xdr:pic>
    <xdr:clientData/>
  </xdr:twoCellAnchor>
  <xdr:twoCellAnchor>
    <xdr:from>
      <xdr:col>5</xdr:col>
      <xdr:colOff>377336</xdr:colOff>
      <xdr:row>28</xdr:row>
      <xdr:rowOff>12212</xdr:rowOff>
    </xdr:from>
    <xdr:to>
      <xdr:col>10</xdr:col>
      <xdr:colOff>388327</xdr:colOff>
      <xdr:row>39</xdr:row>
      <xdr:rowOff>151424</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534866</xdr:colOff>
      <xdr:row>1</xdr:row>
      <xdr:rowOff>58616</xdr:rowOff>
    </xdr:from>
    <xdr:to>
      <xdr:col>6</xdr:col>
      <xdr:colOff>495302</xdr:colOff>
      <xdr:row>4</xdr:row>
      <xdr:rowOff>45054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91962" y="249116"/>
          <a:ext cx="2246436" cy="557938"/>
        </a:xfrm>
        <a:prstGeom prst="rect">
          <a:avLst/>
        </a:prstGeom>
      </xdr:spPr>
    </xdr:pic>
    <xdr:clientData/>
  </xdr:twoCellAnchor>
  <xdr:oneCellAnchor>
    <xdr:from>
      <xdr:col>0</xdr:col>
      <xdr:colOff>720587</xdr:colOff>
      <xdr:row>27</xdr:row>
      <xdr:rowOff>107674</xdr:rowOff>
    </xdr:from>
    <xdr:ext cx="2898914" cy="298174"/>
    <xdr:sp macro="" textlink="">
      <xdr:nvSpPr>
        <xdr:cNvPr id="2" name="CuadroTexto 1">
          <a:extLst>
            <a:ext uri="{FF2B5EF4-FFF2-40B4-BE49-F238E27FC236}">
              <a16:creationId xmlns:a16="http://schemas.microsoft.com/office/drawing/2014/main" id="{708D513B-E3E0-7594-8479-50134A15EED6}"/>
            </a:ext>
          </a:extLst>
        </xdr:cNvPr>
        <xdr:cNvSpPr txBox="1"/>
      </xdr:nvSpPr>
      <xdr:spPr>
        <a:xfrm>
          <a:off x="720587" y="2915478"/>
          <a:ext cx="2898914" cy="29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es-ES" sz="1100" b="1" i="0" baseline="0">
              <a:solidFill>
                <a:srgbClr val="0070C0"/>
              </a:solidFill>
              <a:effectLst/>
              <a:latin typeface="+mn-lt"/>
              <a:ea typeface="+mn-ea"/>
              <a:cs typeface="+mn-cs"/>
            </a:rPr>
            <a:t>Cantidad de cotizantes por tipo de empleador</a:t>
          </a:r>
          <a:endParaRPr lang="es-DO">
            <a:solidFill>
              <a:srgbClr val="0070C0"/>
            </a:solidFill>
            <a:effectLst/>
          </a:endParaRPr>
        </a:p>
        <a:p>
          <a:endParaRPr lang="es-D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100558</xdr:colOff>
      <xdr:row>29</xdr:row>
      <xdr:rowOff>90013</xdr:rowOff>
    </xdr:from>
    <xdr:to>
      <xdr:col>4</xdr:col>
      <xdr:colOff>476674</xdr:colOff>
      <xdr:row>39</xdr:row>
      <xdr:rowOff>84153</xdr:rowOff>
    </xdr:to>
    <xdr:graphicFrame macro="">
      <xdr:nvGraphicFramePr>
        <xdr:cNvPr id="5" name="4 Gráfic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80597</xdr:colOff>
      <xdr:row>2</xdr:row>
      <xdr:rowOff>36634</xdr:rowOff>
    </xdr:from>
    <xdr:to>
      <xdr:col>0</xdr:col>
      <xdr:colOff>639575</xdr:colOff>
      <xdr:row>4</xdr:row>
      <xdr:rowOff>7326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80597" y="608134"/>
          <a:ext cx="558978" cy="351692"/>
        </a:xfrm>
        <a:prstGeom prst="rect">
          <a:avLst/>
        </a:prstGeom>
      </xdr:spPr>
    </xdr:pic>
    <xdr:clientData/>
  </xdr:twoCellAnchor>
  <xdr:twoCellAnchor>
    <xdr:from>
      <xdr:col>4</xdr:col>
      <xdr:colOff>271159</xdr:colOff>
      <xdr:row>27</xdr:row>
      <xdr:rowOff>153324</xdr:rowOff>
    </xdr:from>
    <xdr:to>
      <xdr:col>9</xdr:col>
      <xdr:colOff>447006</xdr:colOff>
      <xdr:row>39</xdr:row>
      <xdr:rowOff>30231</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1273014</xdr:colOff>
      <xdr:row>1</xdr:row>
      <xdr:rowOff>163271</xdr:rowOff>
    </xdr:from>
    <xdr:to>
      <xdr:col>4</xdr:col>
      <xdr:colOff>275020</xdr:colOff>
      <xdr:row>4</xdr:row>
      <xdr:rowOff>1943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53166" y="353771"/>
          <a:ext cx="1652441" cy="410172"/>
        </a:xfrm>
        <a:prstGeom prst="rect">
          <a:avLst/>
        </a:prstGeom>
      </xdr:spPr>
    </xdr:pic>
    <xdr:clientData/>
  </xdr:twoCellAnchor>
  <xdr:twoCellAnchor>
    <xdr:from>
      <xdr:col>1</xdr:col>
      <xdr:colOff>679174</xdr:colOff>
      <xdr:row>27</xdr:row>
      <xdr:rowOff>149087</xdr:rowOff>
    </xdr:from>
    <xdr:to>
      <xdr:col>3</xdr:col>
      <xdr:colOff>969065</xdr:colOff>
      <xdr:row>29</xdr:row>
      <xdr:rowOff>8282</xdr:rowOff>
    </xdr:to>
    <xdr:sp macro="" textlink="">
      <xdr:nvSpPr>
        <xdr:cNvPr id="2" name="TextBox 1">
          <a:extLst>
            <a:ext uri="{FF2B5EF4-FFF2-40B4-BE49-F238E27FC236}">
              <a16:creationId xmlns:a16="http://schemas.microsoft.com/office/drawing/2014/main" id="{1FAB721E-8696-1E7D-CC68-9C6E3EC787D8}"/>
            </a:ext>
          </a:extLst>
        </xdr:cNvPr>
        <xdr:cNvSpPr txBox="1"/>
      </xdr:nvSpPr>
      <xdr:spPr>
        <a:xfrm>
          <a:off x="1457739" y="2816087"/>
          <a:ext cx="2708413" cy="240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accent1"/>
              </a:solidFill>
            </a:rPr>
            <a:t>Montos mensuales por sector empleador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28</xdr:row>
      <xdr:rowOff>189851</xdr:rowOff>
    </xdr:from>
    <xdr:to>
      <xdr:col>2</xdr:col>
      <xdr:colOff>1006896</xdr:colOff>
      <xdr:row>41</xdr:row>
      <xdr:rowOff>0</xdr:rowOff>
    </xdr:to>
    <xdr:graphicFrame macro="">
      <xdr:nvGraphicFramePr>
        <xdr:cNvPr id="3" name="2 Gráfico">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161190</xdr:colOff>
      <xdr:row>1</xdr:row>
      <xdr:rowOff>124557</xdr:rowOff>
    </xdr:from>
    <xdr:to>
      <xdr:col>0</xdr:col>
      <xdr:colOff>1046239</xdr:colOff>
      <xdr:row>4</xdr:row>
      <xdr:rowOff>109903</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61190" y="315057"/>
          <a:ext cx="885049" cy="556846"/>
        </a:xfrm>
        <a:prstGeom prst="rect">
          <a:avLst/>
        </a:prstGeom>
      </xdr:spPr>
    </xdr:pic>
    <xdr:clientData/>
  </xdr:twoCellAnchor>
  <xdr:twoCellAnchor editAs="oneCell">
    <xdr:from>
      <xdr:col>2</xdr:col>
      <xdr:colOff>718043</xdr:colOff>
      <xdr:row>1</xdr:row>
      <xdr:rowOff>109904</xdr:rowOff>
    </xdr:from>
    <xdr:to>
      <xdr:col>4</xdr:col>
      <xdr:colOff>444018</xdr:colOff>
      <xdr:row>4</xdr:row>
      <xdr:rowOff>96342</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94543" y="300404"/>
          <a:ext cx="2246437" cy="5579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28</xdr:row>
      <xdr:rowOff>7083</xdr:rowOff>
    </xdr:from>
    <xdr:to>
      <xdr:col>2</xdr:col>
      <xdr:colOff>1044575</xdr:colOff>
      <xdr:row>41</xdr:row>
      <xdr:rowOff>58615</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389843</xdr:colOff>
      <xdr:row>2</xdr:row>
      <xdr:rowOff>23496</xdr:rowOff>
    </xdr:from>
    <xdr:to>
      <xdr:col>0</xdr:col>
      <xdr:colOff>968670</xdr:colOff>
      <xdr:row>4</xdr:row>
      <xdr:rowOff>6676</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389843" y="404496"/>
          <a:ext cx="578827" cy="364180"/>
        </a:xfrm>
        <a:prstGeom prst="rect">
          <a:avLst/>
        </a:prstGeom>
      </xdr:spPr>
    </xdr:pic>
    <xdr:clientData/>
  </xdr:twoCellAnchor>
  <xdr:twoCellAnchor editAs="oneCell">
    <xdr:from>
      <xdr:col>2</xdr:col>
      <xdr:colOff>1137948</xdr:colOff>
      <xdr:row>1</xdr:row>
      <xdr:rowOff>141991</xdr:rowOff>
    </xdr:from>
    <xdr:to>
      <xdr:col>4</xdr:col>
      <xdr:colOff>59524</xdr:colOff>
      <xdr:row>3</xdr:row>
      <xdr:rowOff>171163</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01310" y="332491"/>
          <a:ext cx="1641127" cy="410172"/>
        </a:xfrm>
        <a:prstGeom prst="rect">
          <a:avLst/>
        </a:prstGeom>
      </xdr:spPr>
    </xdr:pic>
    <xdr:clientData/>
  </xdr:twoCellAnchor>
  <xdr:twoCellAnchor>
    <xdr:from>
      <xdr:col>3</xdr:col>
      <xdr:colOff>600075</xdr:colOff>
      <xdr:row>28</xdr:row>
      <xdr:rowOff>71437</xdr:rowOff>
    </xdr:from>
    <xdr:to>
      <xdr:col>9</xdr:col>
      <xdr:colOff>57150</xdr:colOff>
      <xdr:row>41</xdr:row>
      <xdr:rowOff>133350</xdr:rowOff>
    </xdr:to>
    <xdr:graphicFrame macro="">
      <xdr:nvGraphicFramePr>
        <xdr:cNvPr id="4" name="Gráfico 3">
          <a:extLst>
            <a:ext uri="{FF2B5EF4-FFF2-40B4-BE49-F238E27FC236}">
              <a16:creationId xmlns:a16="http://schemas.microsoft.com/office/drawing/2014/main" id="{77BBF88E-78EE-4615-A07B-EE21FD6649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163767</xdr:colOff>
      <xdr:row>34</xdr:row>
      <xdr:rowOff>177678</xdr:rowOff>
    </xdr:from>
    <xdr:to>
      <xdr:col>6</xdr:col>
      <xdr:colOff>707619</xdr:colOff>
      <xdr:row>54</xdr:row>
      <xdr:rowOff>80432</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301325</xdr:colOff>
      <xdr:row>1</xdr:row>
      <xdr:rowOff>109903</xdr:rowOff>
    </xdr:from>
    <xdr:to>
      <xdr:col>1</xdr:col>
      <xdr:colOff>329514</xdr:colOff>
      <xdr:row>4</xdr:row>
      <xdr:rowOff>58615</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301325" y="300403"/>
          <a:ext cx="826824" cy="520212"/>
        </a:xfrm>
        <a:prstGeom prst="rect">
          <a:avLst/>
        </a:prstGeom>
      </xdr:spPr>
    </xdr:pic>
    <xdr:clientData/>
  </xdr:twoCellAnchor>
  <xdr:twoCellAnchor editAs="oneCell">
    <xdr:from>
      <xdr:col>5</xdr:col>
      <xdr:colOff>696058</xdr:colOff>
      <xdr:row>1</xdr:row>
      <xdr:rowOff>7326</xdr:rowOff>
    </xdr:from>
    <xdr:to>
      <xdr:col>8</xdr:col>
      <xdr:colOff>128818</xdr:colOff>
      <xdr:row>3</xdr:row>
      <xdr:rowOff>184264</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22077" y="197826"/>
          <a:ext cx="2246436" cy="557938"/>
        </a:xfrm>
        <a:prstGeom prst="rect">
          <a:avLst/>
        </a:prstGeom>
      </xdr:spPr>
    </xdr:pic>
    <xdr:clientData/>
  </xdr:twoCellAnchor>
  <xdr:twoCellAnchor>
    <xdr:from>
      <xdr:col>2</xdr:col>
      <xdr:colOff>751418</xdr:colOff>
      <xdr:row>32</xdr:row>
      <xdr:rowOff>105833</xdr:rowOff>
    </xdr:from>
    <xdr:to>
      <xdr:col>4</xdr:col>
      <xdr:colOff>518584</xdr:colOff>
      <xdr:row>33</xdr:row>
      <xdr:rowOff>137582</xdr:rowOff>
    </xdr:to>
    <xdr:sp macro="" textlink="">
      <xdr:nvSpPr>
        <xdr:cNvPr id="3" name="CuadroTexto 2">
          <a:extLst>
            <a:ext uri="{FF2B5EF4-FFF2-40B4-BE49-F238E27FC236}">
              <a16:creationId xmlns:a16="http://schemas.microsoft.com/office/drawing/2014/main" id="{56DFC084-82C1-FD55-AFDF-8B4E1841BABD}"/>
            </a:ext>
          </a:extLst>
        </xdr:cNvPr>
        <xdr:cNvSpPr txBox="1"/>
      </xdr:nvSpPr>
      <xdr:spPr>
        <a:xfrm>
          <a:off x="2762251" y="3302000"/>
          <a:ext cx="2180166" cy="222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solidFill>
                <a:schemeClr val="accent1"/>
              </a:solidFill>
            </a:rPr>
            <a:t>Programado Total</a:t>
          </a:r>
          <a:r>
            <a:rPr lang="es-DO" sz="1200" b="1" baseline="0">
              <a:solidFill>
                <a:schemeClr val="accent1"/>
              </a:solidFill>
            </a:rPr>
            <a:t> vs Ejecutado</a:t>
          </a:r>
          <a:endParaRPr lang="es-DO" sz="1200" b="1">
            <a:solidFill>
              <a:schemeClr val="accent1"/>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50"/>
  <sheetViews>
    <sheetView showGridLines="0" zoomScale="99" zoomScaleNormal="99" workbookViewId="0">
      <selection activeCell="M31" sqref="M31"/>
    </sheetView>
  </sheetViews>
  <sheetFormatPr defaultColWidth="11.42578125" defaultRowHeight="15" x14ac:dyDescent="0.25"/>
  <cols>
    <col min="1" max="1" width="11.7109375" style="1" customWidth="1"/>
    <col min="2" max="2" width="15.42578125" style="1" customWidth="1"/>
    <col min="3" max="3" width="14" style="1" bestFit="1" customWidth="1"/>
    <col min="4" max="4" width="11.42578125" style="1" bestFit="1" customWidth="1"/>
    <col min="5" max="5" width="14.28515625" style="1" customWidth="1"/>
    <col min="6" max="6" width="11.42578125" style="1" bestFit="1" customWidth="1"/>
    <col min="7" max="16384" width="11.42578125" style="1"/>
  </cols>
  <sheetData>
    <row r="1" spans="1:8" x14ac:dyDescent="0.25">
      <c r="A1" s="343" t="s">
        <v>0</v>
      </c>
      <c r="B1" s="343"/>
      <c r="C1" s="343"/>
      <c r="D1" s="343"/>
      <c r="E1" s="343"/>
      <c r="F1" s="343"/>
    </row>
    <row r="2" spans="1:8" x14ac:dyDescent="0.25">
      <c r="A2" s="343" t="s">
        <v>1</v>
      </c>
      <c r="B2" s="343"/>
      <c r="C2" s="343"/>
      <c r="D2" s="343"/>
      <c r="E2" s="343"/>
      <c r="F2" s="343"/>
    </row>
    <row r="3" spans="1:8" x14ac:dyDescent="0.25">
      <c r="A3" s="343" t="s">
        <v>2</v>
      </c>
      <c r="B3" s="343"/>
      <c r="C3" s="343"/>
      <c r="D3" s="343"/>
      <c r="E3" s="343"/>
      <c r="F3" s="343"/>
    </row>
    <row r="4" spans="1:8" x14ac:dyDescent="0.25">
      <c r="A4" s="343" t="s">
        <v>273</v>
      </c>
      <c r="B4" s="343"/>
      <c r="C4" s="343"/>
      <c r="D4" s="343"/>
      <c r="E4" s="343"/>
      <c r="F4" s="343"/>
    </row>
    <row r="5" spans="1:8" x14ac:dyDescent="0.25">
      <c r="A5" s="343" t="s">
        <v>272</v>
      </c>
      <c r="B5" s="343"/>
      <c r="C5" s="343"/>
      <c r="D5" s="343"/>
      <c r="E5" s="343"/>
      <c r="F5" s="343"/>
    </row>
    <row r="6" spans="1:8" x14ac:dyDescent="0.25">
      <c r="A6" s="342" t="s">
        <v>3</v>
      </c>
      <c r="B6" s="342" t="s">
        <v>4</v>
      </c>
      <c r="C6" s="342" t="s">
        <v>5</v>
      </c>
      <c r="D6" s="342"/>
      <c r="E6" s="342" t="s">
        <v>6</v>
      </c>
      <c r="F6" s="342"/>
    </row>
    <row r="7" spans="1:8" ht="11.25" customHeight="1" x14ac:dyDescent="0.25">
      <c r="A7" s="342"/>
      <c r="B7" s="342"/>
      <c r="C7" s="342"/>
      <c r="D7" s="342"/>
      <c r="E7" s="342"/>
      <c r="F7" s="342"/>
    </row>
    <row r="8" spans="1:8" ht="13.5" customHeight="1" x14ac:dyDescent="0.25">
      <c r="A8" s="128"/>
      <c r="B8" s="129" t="s">
        <v>7</v>
      </c>
      <c r="C8" s="129" t="s">
        <v>8</v>
      </c>
      <c r="D8" s="129" t="s">
        <v>9</v>
      </c>
      <c r="E8" s="129" t="s">
        <v>8</v>
      </c>
      <c r="F8" s="129" t="s">
        <v>9</v>
      </c>
      <c r="G8"/>
      <c r="H8"/>
    </row>
    <row r="9" spans="1:8" hidden="1" x14ac:dyDescent="0.25">
      <c r="A9" s="185" t="s">
        <v>10</v>
      </c>
      <c r="B9" s="272"/>
      <c r="C9" s="272"/>
      <c r="D9" s="238" t="e">
        <f>C9/B9</f>
        <v>#DIV/0!</v>
      </c>
      <c r="E9" s="278">
        <f>B9-C9</f>
        <v>0</v>
      </c>
      <c r="F9" s="227" t="e">
        <f>E9/B9</f>
        <v>#DIV/0!</v>
      </c>
      <c r="G9"/>
      <c r="H9"/>
    </row>
    <row r="10" spans="1:8" x14ac:dyDescent="0.25">
      <c r="A10" s="86" t="s">
        <v>269</v>
      </c>
      <c r="B10" s="273">
        <v>38460380.950000003</v>
      </c>
      <c r="C10" s="298">
        <v>36835984.170000002</v>
      </c>
      <c r="D10" s="274">
        <f>+C10/B10</f>
        <v>0.95776441262732737</v>
      </c>
      <c r="E10" s="279">
        <f>+B10-C10</f>
        <v>1624396.7800000012</v>
      </c>
      <c r="F10" s="281">
        <f>(E10/B10)</f>
        <v>4.2235587372672682E-2</v>
      </c>
      <c r="G10"/>
      <c r="H10"/>
    </row>
    <row r="11" spans="1:8" x14ac:dyDescent="0.25">
      <c r="A11" s="86" t="s">
        <v>270</v>
      </c>
      <c r="B11" s="273">
        <v>39285380.950000003</v>
      </c>
      <c r="C11" s="298">
        <v>35921046.909999996</v>
      </c>
      <c r="D11" s="274">
        <f>+C11/B11</f>
        <v>0.9143616796211822</v>
      </c>
      <c r="E11" s="279">
        <f>+B11-C11</f>
        <v>3364334.0400000066</v>
      </c>
      <c r="F11" s="281">
        <f>(E11/B11)</f>
        <v>8.5638320378817814E-2</v>
      </c>
      <c r="G11"/>
      <c r="H11"/>
    </row>
    <row r="12" spans="1:8" x14ac:dyDescent="0.25">
      <c r="A12" s="86" t="s">
        <v>271</v>
      </c>
      <c r="B12" s="273">
        <v>38460380.950000003</v>
      </c>
      <c r="C12" s="104">
        <v>37191958.969999999</v>
      </c>
      <c r="D12" s="274">
        <f>+C12/B12</f>
        <v>0.96702003597808861</v>
      </c>
      <c r="E12" s="279">
        <f>+B12-C12</f>
        <v>1268421.9800000042</v>
      </c>
      <c r="F12" s="281">
        <f>(E12/B12)</f>
        <v>3.2979964021911334E-2</v>
      </c>
      <c r="G12"/>
      <c r="H12"/>
    </row>
    <row r="13" spans="1:8" x14ac:dyDescent="0.25">
      <c r="A13" s="132" t="s">
        <v>286</v>
      </c>
      <c r="B13" s="237">
        <f>SUM(B9:B12)</f>
        <v>116206142.85000001</v>
      </c>
      <c r="C13" s="237">
        <f>SUM(C9:C12)</f>
        <v>109948990.05</v>
      </c>
      <c r="D13" s="276">
        <f>(C13/B13)</f>
        <v>0.94615471569281151</v>
      </c>
      <c r="E13" s="280">
        <f>SUM(E9:E12)</f>
        <v>6257152.8000000119</v>
      </c>
      <c r="F13" s="277">
        <f>(E13/B13)</f>
        <v>5.3845284307188511E-2</v>
      </c>
      <c r="G13"/>
      <c r="H13"/>
    </row>
    <row r="14" spans="1:8" hidden="1" x14ac:dyDescent="0.25">
      <c r="A14" s="86" t="s">
        <v>15</v>
      </c>
      <c r="B14" s="133"/>
      <c r="C14" s="134"/>
      <c r="D14" s="2" t="e">
        <f t="shared" ref="D14:D25" si="0">+C14/B14</f>
        <v>#DIV/0!</v>
      </c>
      <c r="E14" s="135"/>
      <c r="F14" s="4" t="e">
        <f t="shared" ref="F14:F25" si="1">(E14/B14)</f>
        <v>#DIV/0!</v>
      </c>
      <c r="G14"/>
      <c r="H14"/>
    </row>
    <row r="15" spans="1:8" hidden="1" x14ac:dyDescent="0.25">
      <c r="A15" s="86" t="s">
        <v>16</v>
      </c>
      <c r="B15" s="133"/>
      <c r="C15" s="134"/>
      <c r="D15" s="2" t="e">
        <f t="shared" si="0"/>
        <v>#DIV/0!</v>
      </c>
      <c r="E15" s="135"/>
      <c r="F15" s="4" t="e">
        <f t="shared" si="1"/>
        <v>#DIV/0!</v>
      </c>
      <c r="G15"/>
      <c r="H15"/>
    </row>
    <row r="16" spans="1:8" hidden="1" x14ac:dyDescent="0.25">
      <c r="A16" s="86" t="s">
        <v>17</v>
      </c>
      <c r="B16" s="133"/>
      <c r="C16" s="134"/>
      <c r="D16" s="2" t="e">
        <f t="shared" si="0"/>
        <v>#DIV/0!</v>
      </c>
      <c r="E16" s="135"/>
      <c r="F16" s="4" t="e">
        <f t="shared" si="1"/>
        <v>#DIV/0!</v>
      </c>
      <c r="G16"/>
      <c r="H16"/>
    </row>
    <row r="17" spans="1:8" hidden="1" x14ac:dyDescent="0.25">
      <c r="A17" s="132" t="s">
        <v>18</v>
      </c>
      <c r="B17" s="8">
        <f>SUM(B14:B16)</f>
        <v>0</v>
      </c>
      <c r="C17" s="8">
        <f>SUM(C14:C16)</f>
        <v>0</v>
      </c>
      <c r="D17" s="3" t="e">
        <f>(C17/B17)</f>
        <v>#DIV/0!</v>
      </c>
      <c r="E17" s="9">
        <f>SUM(E14:E16)</f>
        <v>0</v>
      </c>
      <c r="F17" s="5" t="e">
        <f>(E17/B17)</f>
        <v>#DIV/0!</v>
      </c>
      <c r="G17"/>
      <c r="H17"/>
    </row>
    <row r="18" spans="1:8" hidden="1" x14ac:dyDescent="0.25">
      <c r="A18" s="86" t="s">
        <v>19</v>
      </c>
      <c r="B18" s="133"/>
      <c r="C18" s="134"/>
      <c r="D18" s="2" t="e">
        <f t="shared" si="0"/>
        <v>#DIV/0!</v>
      </c>
      <c r="E18" s="135"/>
      <c r="F18" s="4" t="e">
        <f t="shared" si="1"/>
        <v>#DIV/0!</v>
      </c>
      <c r="G18"/>
      <c r="H18"/>
    </row>
    <row r="19" spans="1:8" hidden="1" x14ac:dyDescent="0.25">
      <c r="A19" s="86" t="s">
        <v>20</v>
      </c>
      <c r="B19" s="133"/>
      <c r="C19" s="134"/>
      <c r="D19" s="2" t="e">
        <f t="shared" si="0"/>
        <v>#DIV/0!</v>
      </c>
      <c r="E19" s="135"/>
      <c r="F19" s="4" t="e">
        <f t="shared" si="1"/>
        <v>#DIV/0!</v>
      </c>
      <c r="G19"/>
      <c r="H19"/>
    </row>
    <row r="20" spans="1:8" hidden="1" x14ac:dyDescent="0.25">
      <c r="A20" s="86" t="s">
        <v>21</v>
      </c>
      <c r="B20" s="133"/>
      <c r="C20" s="134"/>
      <c r="D20" s="2" t="e">
        <f t="shared" si="0"/>
        <v>#DIV/0!</v>
      </c>
      <c r="E20" s="135"/>
      <c r="F20" s="4" t="e">
        <f t="shared" si="1"/>
        <v>#DIV/0!</v>
      </c>
      <c r="G20"/>
      <c r="H20"/>
    </row>
    <row r="21" spans="1:8" hidden="1" x14ac:dyDescent="0.25">
      <c r="A21" s="132" t="s">
        <v>22</v>
      </c>
      <c r="B21" s="8">
        <f>SUM(B18:B20)</f>
        <v>0</v>
      </c>
      <c r="C21" s="8">
        <f>SUM(C18:C20)</f>
        <v>0</v>
      </c>
      <c r="D21" s="3" t="e">
        <f>(C21/B21)</f>
        <v>#DIV/0!</v>
      </c>
      <c r="E21" s="9">
        <f>SUM(E18:E20)</f>
        <v>0</v>
      </c>
      <c r="F21" s="5" t="e">
        <f>(E21/B21)</f>
        <v>#DIV/0!</v>
      </c>
      <c r="G21"/>
      <c r="H21"/>
    </row>
    <row r="22" spans="1:8" hidden="1" x14ac:dyDescent="0.25">
      <c r="A22" s="86" t="s">
        <v>13</v>
      </c>
      <c r="B22" s="133"/>
      <c r="C22" s="134"/>
      <c r="D22" s="2" t="e">
        <f t="shared" si="0"/>
        <v>#DIV/0!</v>
      </c>
      <c r="E22" s="135"/>
      <c r="F22" s="4" t="e">
        <f t="shared" si="1"/>
        <v>#DIV/0!</v>
      </c>
      <c r="G22"/>
      <c r="H22"/>
    </row>
    <row r="23" spans="1:8" hidden="1" x14ac:dyDescent="0.25">
      <c r="A23" s="86" t="s">
        <v>12</v>
      </c>
      <c r="B23" s="133"/>
      <c r="C23" s="134"/>
      <c r="D23" s="2" t="e">
        <f t="shared" si="0"/>
        <v>#DIV/0!</v>
      </c>
      <c r="E23" s="135"/>
      <c r="F23" s="4" t="e">
        <f t="shared" si="1"/>
        <v>#DIV/0!</v>
      </c>
      <c r="G23"/>
      <c r="H23"/>
    </row>
    <row r="24" spans="1:8" hidden="1" x14ac:dyDescent="0.25">
      <c r="A24" s="86" t="s">
        <v>11</v>
      </c>
      <c r="B24" s="133"/>
      <c r="C24" s="134"/>
      <c r="D24" s="2" t="e">
        <f t="shared" si="0"/>
        <v>#DIV/0!</v>
      </c>
      <c r="E24" s="135"/>
      <c r="F24" s="4" t="e">
        <f t="shared" si="1"/>
        <v>#DIV/0!</v>
      </c>
      <c r="G24"/>
      <c r="H24"/>
    </row>
    <row r="25" spans="1:8" hidden="1" x14ac:dyDescent="0.25">
      <c r="A25" s="86" t="s">
        <v>10</v>
      </c>
      <c r="B25" s="133"/>
      <c r="C25" s="134"/>
      <c r="D25" s="2" t="e">
        <f t="shared" si="0"/>
        <v>#DIV/0!</v>
      </c>
      <c r="E25" s="135"/>
      <c r="F25" s="4" t="e">
        <f t="shared" si="1"/>
        <v>#DIV/0!</v>
      </c>
      <c r="G25"/>
      <c r="H25"/>
    </row>
    <row r="26" spans="1:8" hidden="1" x14ac:dyDescent="0.25">
      <c r="A26" s="132" t="s">
        <v>14</v>
      </c>
      <c r="B26" s="8">
        <f>SUM(B22:B25)</f>
        <v>0</v>
      </c>
      <c r="C26" s="8">
        <f>SUM(C22:C25)</f>
        <v>0</v>
      </c>
      <c r="D26" s="3" t="e">
        <f>(C26/B26)</f>
        <v>#DIV/0!</v>
      </c>
      <c r="E26" s="9">
        <f>SUM(E22:E25)</f>
        <v>0</v>
      </c>
      <c r="F26" s="5" t="e">
        <f>(E26/B26)</f>
        <v>#DIV/0!</v>
      </c>
      <c r="G26"/>
      <c r="H26"/>
    </row>
    <row r="27" spans="1:8" hidden="1" x14ac:dyDescent="0.25">
      <c r="A27" s="136" t="s">
        <v>23</v>
      </c>
      <c r="B27" s="10">
        <f>+B13+B17+B21+B26</f>
        <v>116206142.85000001</v>
      </c>
      <c r="C27" s="10">
        <f>+C13+C17+C21+C26</f>
        <v>109948990.05</v>
      </c>
      <c r="D27" s="7">
        <f>(C27/B27)</f>
        <v>0.94615471569281151</v>
      </c>
      <c r="E27" s="11">
        <f>+E13+E17+E21+E26</f>
        <v>6257152.8000000119</v>
      </c>
      <c r="F27" s="6">
        <f>(E27/B27)</f>
        <v>5.3845284307188511E-2</v>
      </c>
      <c r="G27"/>
      <c r="H27"/>
    </row>
    <row r="28" spans="1:8" ht="0.75" customHeight="1" x14ac:dyDescent="0.25">
      <c r="A28" s="340" t="s">
        <v>24</v>
      </c>
      <c r="B28" s="341"/>
      <c r="C28" s="341"/>
      <c r="D28" s="341"/>
      <c r="E28" s="341"/>
      <c r="F28" s="341"/>
      <c r="G28"/>
      <c r="H28"/>
    </row>
    <row r="29" spans="1:8" ht="12.75" customHeight="1" x14ac:dyDescent="0.25">
      <c r="A29" s="340" t="s">
        <v>295</v>
      </c>
      <c r="B29" s="341"/>
      <c r="C29" s="341"/>
      <c r="D29" s="341"/>
      <c r="E29" s="341"/>
      <c r="F29" s="341"/>
      <c r="G29"/>
      <c r="H29"/>
    </row>
    <row r="30" spans="1:8" ht="18" customHeight="1" x14ac:dyDescent="0.25">
      <c r="A30" s="340" t="s">
        <v>302</v>
      </c>
      <c r="B30" s="341"/>
      <c r="C30" s="341"/>
      <c r="D30" s="341"/>
      <c r="E30" s="341"/>
      <c r="F30" s="341"/>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50" spans="1:6" x14ac:dyDescent="0.25">
      <c r="A50" s="86"/>
      <c r="B50" s="130"/>
      <c r="C50" s="130"/>
      <c r="D50" s="2"/>
      <c r="E50" s="131"/>
      <c r="F50" s="4"/>
    </row>
  </sheetData>
  <mergeCells count="12">
    <mergeCell ref="A1:F1"/>
    <mergeCell ref="A2:F2"/>
    <mergeCell ref="A3:F3"/>
    <mergeCell ref="A5:F5"/>
    <mergeCell ref="C6:D7"/>
    <mergeCell ref="E6:F7"/>
    <mergeCell ref="A4:F4"/>
    <mergeCell ref="A30:F30"/>
    <mergeCell ref="A28:F28"/>
    <mergeCell ref="A29:F29"/>
    <mergeCell ref="B6:B7"/>
    <mergeCell ref="A6:A7"/>
  </mergeCells>
  <pageMargins left="0.7" right="0.7" top="0.75" bottom="0.75" header="0.3" footer="0.3"/>
  <pageSetup paperSize="9" scale="99" orientation="portrait" r:id="rId1"/>
  <ignoredErrors>
    <ignoredError sqref="E11" unlockedFormula="1"/>
    <ignoredError sqref="D13"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4278C-BA39-4F00-919F-B47AB0755D7F}">
  <sheetPr>
    <tabColor rgb="FF00B0F0"/>
    <pageSetUpPr fitToPage="1"/>
  </sheetPr>
  <dimension ref="A1:Q44"/>
  <sheetViews>
    <sheetView showGridLines="0" zoomScale="78" zoomScaleNormal="78" workbookViewId="0">
      <selection activeCell="G12" sqref="G12"/>
    </sheetView>
  </sheetViews>
  <sheetFormatPr defaultColWidth="11.42578125" defaultRowHeight="15" x14ac:dyDescent="0.25"/>
  <cols>
    <col min="1" max="1" width="11.42578125" style="1"/>
    <col min="2" max="2" width="13.42578125" style="1" customWidth="1"/>
    <col min="3" max="3" width="18.85546875" style="1" bestFit="1" customWidth="1"/>
    <col min="4" max="4" width="13.42578125" style="1" customWidth="1"/>
    <col min="5" max="5" width="16.5703125" style="1" bestFit="1" customWidth="1"/>
    <col min="6" max="6" width="13.42578125" style="1" customWidth="1"/>
    <col min="7" max="7" width="17" style="1" bestFit="1" customWidth="1"/>
    <col min="8" max="8" width="13.42578125" style="1" customWidth="1"/>
    <col min="9" max="9" width="17.42578125" style="1" bestFit="1" customWidth="1"/>
    <col min="10" max="10" width="13.42578125" style="1" customWidth="1"/>
    <col min="11" max="11" width="18.28515625" style="1" bestFit="1" customWidth="1"/>
    <col min="12" max="12" width="13.42578125" style="1" customWidth="1"/>
    <col min="13" max="13" width="17.42578125" style="1" bestFit="1" customWidth="1"/>
    <col min="14" max="14" width="10.7109375" style="1" bestFit="1" customWidth="1"/>
    <col min="15" max="15" width="19.140625" style="1" bestFit="1" customWidth="1"/>
    <col min="16" max="16384" width="11.42578125" style="1"/>
  </cols>
  <sheetData>
    <row r="1" spans="1:17" x14ac:dyDescent="0.25">
      <c r="A1" s="343" t="s">
        <v>0</v>
      </c>
      <c r="B1" s="343"/>
      <c r="C1" s="343"/>
      <c r="D1" s="343"/>
      <c r="E1" s="343"/>
      <c r="F1" s="343"/>
      <c r="G1" s="343"/>
      <c r="H1" s="343"/>
      <c r="I1" s="343"/>
      <c r="J1" s="343"/>
      <c r="K1" s="343"/>
      <c r="L1" s="343"/>
      <c r="M1" s="343"/>
      <c r="N1" s="343"/>
      <c r="O1" s="343"/>
    </row>
    <row r="2" spans="1:17" x14ac:dyDescent="0.25">
      <c r="A2" s="343" t="s">
        <v>62</v>
      </c>
      <c r="B2" s="343"/>
      <c r="C2" s="343"/>
      <c r="D2" s="343"/>
      <c r="E2" s="343"/>
      <c r="F2" s="343"/>
      <c r="G2" s="343"/>
      <c r="H2" s="343"/>
      <c r="I2" s="343"/>
      <c r="J2" s="343"/>
      <c r="K2" s="343"/>
      <c r="L2" s="343"/>
      <c r="M2" s="343"/>
      <c r="N2" s="343"/>
      <c r="O2" s="343"/>
    </row>
    <row r="3" spans="1:17" x14ac:dyDescent="0.25">
      <c r="A3" s="343" t="s">
        <v>100</v>
      </c>
      <c r="B3" s="343"/>
      <c r="C3" s="343"/>
      <c r="D3" s="343"/>
      <c r="E3" s="343"/>
      <c r="F3" s="343"/>
      <c r="G3" s="343"/>
      <c r="H3" s="343"/>
      <c r="I3" s="343"/>
      <c r="J3" s="343"/>
      <c r="K3" s="343"/>
      <c r="L3" s="343"/>
      <c r="M3" s="343"/>
      <c r="N3" s="343"/>
      <c r="O3" s="343"/>
    </row>
    <row r="4" spans="1:17" x14ac:dyDescent="0.25">
      <c r="A4" s="343" t="s">
        <v>273</v>
      </c>
      <c r="B4" s="343"/>
      <c r="C4" s="343"/>
      <c r="D4" s="343"/>
      <c r="E4" s="343"/>
      <c r="F4" s="343"/>
      <c r="G4" s="343"/>
      <c r="H4" s="343"/>
      <c r="I4" s="343"/>
      <c r="J4" s="343"/>
      <c r="K4" s="343"/>
      <c r="L4" s="343"/>
      <c r="M4" s="343"/>
      <c r="N4" s="343"/>
      <c r="O4" s="343"/>
      <c r="P4" s="22"/>
      <c r="Q4" s="22"/>
    </row>
    <row r="5" spans="1:17" x14ac:dyDescent="0.25">
      <c r="A5" s="343" t="s">
        <v>272</v>
      </c>
      <c r="B5" s="343"/>
      <c r="C5" s="343"/>
      <c r="D5" s="343"/>
      <c r="E5" s="343"/>
      <c r="F5" s="343"/>
      <c r="G5" s="343"/>
      <c r="H5" s="343"/>
      <c r="I5" s="343"/>
      <c r="J5" s="343"/>
      <c r="K5" s="343"/>
      <c r="L5" s="343"/>
      <c r="M5" s="343"/>
      <c r="N5" s="343"/>
      <c r="O5" s="343"/>
    </row>
    <row r="6" spans="1:17" x14ac:dyDescent="0.25">
      <c r="A6" s="343" t="s">
        <v>101</v>
      </c>
      <c r="B6" s="343"/>
      <c r="C6" s="343"/>
      <c r="D6" s="343"/>
      <c r="E6" s="343"/>
      <c r="F6" s="343"/>
      <c r="G6" s="343"/>
      <c r="H6" s="343"/>
      <c r="I6" s="343"/>
      <c r="J6" s="343"/>
      <c r="K6" s="343"/>
      <c r="L6" s="343"/>
      <c r="M6" s="343"/>
      <c r="N6" s="343"/>
      <c r="O6" s="343"/>
    </row>
    <row r="7" spans="1:17" ht="15" customHeight="1" x14ac:dyDescent="0.25">
      <c r="A7" s="156"/>
      <c r="B7" s="345" t="s">
        <v>102</v>
      </c>
      <c r="C7" s="345"/>
      <c r="D7" s="345" t="s">
        <v>103</v>
      </c>
      <c r="E7" s="345"/>
      <c r="F7" s="345" t="s">
        <v>104</v>
      </c>
      <c r="G7" s="345"/>
      <c r="H7" s="345" t="s">
        <v>105</v>
      </c>
      <c r="I7" s="345"/>
      <c r="J7" s="345" t="s">
        <v>106</v>
      </c>
      <c r="K7" s="345"/>
      <c r="L7" s="370" t="s">
        <v>107</v>
      </c>
      <c r="M7" s="370"/>
      <c r="N7" s="370" t="s">
        <v>23</v>
      </c>
      <c r="O7" s="370"/>
      <c r="P7"/>
      <c r="Q7"/>
    </row>
    <row r="8" spans="1:17" x14ac:dyDescent="0.25">
      <c r="A8" s="143" t="s">
        <v>3</v>
      </c>
      <c r="B8" s="143" t="s">
        <v>108</v>
      </c>
      <c r="C8" s="143" t="s">
        <v>7</v>
      </c>
      <c r="D8" s="143" t="s">
        <v>108</v>
      </c>
      <c r="E8" s="143" t="s">
        <v>7</v>
      </c>
      <c r="F8" s="143" t="s">
        <v>108</v>
      </c>
      <c r="G8" s="143" t="s">
        <v>7</v>
      </c>
      <c r="H8" s="143" t="s">
        <v>108</v>
      </c>
      <c r="I8" s="143" t="s">
        <v>7</v>
      </c>
      <c r="J8" s="143" t="s">
        <v>108</v>
      </c>
      <c r="K8" s="143" t="s">
        <v>7</v>
      </c>
      <c r="L8" s="143" t="s">
        <v>108</v>
      </c>
      <c r="M8" s="143" t="s">
        <v>7</v>
      </c>
      <c r="N8" s="143" t="s">
        <v>108</v>
      </c>
      <c r="O8" s="143" t="s">
        <v>7</v>
      </c>
      <c r="P8"/>
      <c r="Q8"/>
    </row>
    <row r="9" spans="1:17" x14ac:dyDescent="0.25">
      <c r="A9" s="70" t="s">
        <v>277</v>
      </c>
      <c r="B9" s="157">
        <v>3814</v>
      </c>
      <c r="C9" s="232">
        <v>48508817.200000003</v>
      </c>
      <c r="D9" s="157">
        <v>149</v>
      </c>
      <c r="E9" s="232">
        <v>2306198.64</v>
      </c>
      <c r="F9" s="157">
        <v>81</v>
      </c>
      <c r="G9" s="232">
        <v>906427.17999999993</v>
      </c>
      <c r="H9" s="157">
        <v>44</v>
      </c>
      <c r="I9" s="232">
        <v>827750.25</v>
      </c>
      <c r="J9" s="157">
        <v>554</v>
      </c>
      <c r="K9" s="232">
        <v>6547333.3100000005</v>
      </c>
      <c r="L9" s="157">
        <v>148</v>
      </c>
      <c r="M9" s="232">
        <v>1948036.7</v>
      </c>
      <c r="N9" s="47">
        <f>(B9+D9+F9)-(J9+L9)</f>
        <v>3342</v>
      </c>
      <c r="O9" s="252">
        <f>(C9+E9+G9+I9)-(K9+M9)</f>
        <v>44053823.260000005</v>
      </c>
      <c r="P9"/>
      <c r="Q9"/>
    </row>
    <row r="10" spans="1:17" x14ac:dyDescent="0.25">
      <c r="A10" s="70" t="s">
        <v>270</v>
      </c>
      <c r="B10" s="157">
        <v>3611</v>
      </c>
      <c r="C10" s="232">
        <v>56840436.420000002</v>
      </c>
      <c r="D10" s="157">
        <v>109</v>
      </c>
      <c r="E10" s="232">
        <v>1472890.58</v>
      </c>
      <c r="F10" s="157">
        <v>108</v>
      </c>
      <c r="G10" s="232">
        <v>1375846.75</v>
      </c>
      <c r="H10" s="157">
        <v>147</v>
      </c>
      <c r="I10" s="232">
        <v>2585829.08</v>
      </c>
      <c r="J10" s="157">
        <v>491</v>
      </c>
      <c r="K10" s="232">
        <v>5787675.2400000002</v>
      </c>
      <c r="L10" s="157">
        <v>61</v>
      </c>
      <c r="M10" s="232">
        <v>938106.97</v>
      </c>
      <c r="N10" s="47">
        <f>(B10+D10+F10)-(J10+L10)</f>
        <v>3276</v>
      </c>
      <c r="O10" s="252">
        <f>(C10+E10+G10+I10)-(K10+M10)</f>
        <v>55549220.619999997</v>
      </c>
      <c r="P10"/>
      <c r="Q10"/>
    </row>
    <row r="11" spans="1:17" x14ac:dyDescent="0.25">
      <c r="A11" s="70" t="s">
        <v>274</v>
      </c>
      <c r="B11" s="157">
        <v>2214</v>
      </c>
      <c r="C11" s="232">
        <v>31462972.59</v>
      </c>
      <c r="D11" s="157">
        <v>98</v>
      </c>
      <c r="E11" s="232">
        <v>1402779.25</v>
      </c>
      <c r="F11" s="157">
        <v>54</v>
      </c>
      <c r="G11" s="232">
        <v>733334.45</v>
      </c>
      <c r="H11" s="157">
        <v>27</v>
      </c>
      <c r="I11" s="232">
        <v>258968.12000000002</v>
      </c>
      <c r="J11" s="157">
        <v>292</v>
      </c>
      <c r="K11" s="232">
        <v>3591619.03</v>
      </c>
      <c r="L11" s="157">
        <v>48</v>
      </c>
      <c r="M11" s="232">
        <v>721137</v>
      </c>
      <c r="N11" s="47">
        <f>(B11+D11+F11)-(J11+L11)</f>
        <v>2026</v>
      </c>
      <c r="O11" s="252">
        <f>(C11+E11+G11+I11)-(K11+M11)</f>
        <v>29545298.379999995</v>
      </c>
      <c r="P11"/>
      <c r="Q11"/>
    </row>
    <row r="12" spans="1:17" x14ac:dyDescent="0.25">
      <c r="A12" s="46" t="s">
        <v>286</v>
      </c>
      <c r="B12" s="8">
        <f t="shared" ref="B12:I12" si="0">SUM(B9:B11)</f>
        <v>9639</v>
      </c>
      <c r="C12" s="237">
        <f t="shared" si="0"/>
        <v>136812226.21000001</v>
      </c>
      <c r="D12" s="8">
        <f t="shared" si="0"/>
        <v>356</v>
      </c>
      <c r="E12" s="237">
        <f t="shared" si="0"/>
        <v>5181868.4700000007</v>
      </c>
      <c r="F12" s="8">
        <f t="shared" si="0"/>
        <v>243</v>
      </c>
      <c r="G12" s="237">
        <f t="shared" si="0"/>
        <v>3015608.38</v>
      </c>
      <c r="H12" s="8">
        <f t="shared" si="0"/>
        <v>218</v>
      </c>
      <c r="I12" s="237">
        <f t="shared" si="0"/>
        <v>3672547.45</v>
      </c>
      <c r="J12" s="8">
        <f t="shared" ref="J12:M12" si="1">SUM(J9:J11)</f>
        <v>1337</v>
      </c>
      <c r="K12" s="237">
        <f t="shared" si="1"/>
        <v>15926627.58</v>
      </c>
      <c r="L12" s="8">
        <f t="shared" si="1"/>
        <v>257</v>
      </c>
      <c r="M12" s="237">
        <f t="shared" si="1"/>
        <v>3607280.67</v>
      </c>
      <c r="N12" s="8">
        <f>SUM(N9:N11)</f>
        <v>8644</v>
      </c>
      <c r="O12" s="236">
        <f>SUM(O9:O11)</f>
        <v>129148342.25999999</v>
      </c>
      <c r="P12"/>
      <c r="Q12"/>
    </row>
    <row r="13" spans="1:17" hidden="1" x14ac:dyDescent="0.25">
      <c r="A13" s="70" t="s">
        <v>15</v>
      </c>
      <c r="B13" s="157"/>
      <c r="C13" s="157"/>
      <c r="D13" s="157"/>
      <c r="E13" s="157"/>
      <c r="F13" s="157"/>
      <c r="G13" s="157"/>
      <c r="H13" s="157"/>
      <c r="I13" s="157"/>
      <c r="J13" s="157"/>
      <c r="K13" s="157"/>
      <c r="L13" s="157"/>
      <c r="M13" s="157"/>
      <c r="N13" s="47">
        <f t="shared" ref="N13:N23" si="2">+B13-(J13+L13)</f>
        <v>0</v>
      </c>
      <c r="O13" s="47">
        <f t="shared" ref="O13:O23" si="3">+K13+M13+I13+C13</f>
        <v>0</v>
      </c>
      <c r="P13"/>
      <c r="Q13"/>
    </row>
    <row r="14" spans="1:17" hidden="1" x14ac:dyDescent="0.25">
      <c r="A14" s="70" t="s">
        <v>16</v>
      </c>
      <c r="B14" s="157"/>
      <c r="C14" s="157"/>
      <c r="D14" s="157"/>
      <c r="E14" s="157"/>
      <c r="F14" s="157"/>
      <c r="G14" s="157"/>
      <c r="H14" s="157"/>
      <c r="I14" s="157"/>
      <c r="J14" s="157"/>
      <c r="K14" s="157"/>
      <c r="L14" s="157"/>
      <c r="M14" s="157"/>
      <c r="N14" s="47">
        <f t="shared" si="2"/>
        <v>0</v>
      </c>
      <c r="O14" s="47">
        <f t="shared" si="3"/>
        <v>0</v>
      </c>
      <c r="P14"/>
      <c r="Q14"/>
    </row>
    <row r="15" spans="1:17" hidden="1" x14ac:dyDescent="0.25">
      <c r="A15" s="70" t="s">
        <v>17</v>
      </c>
      <c r="B15" s="157"/>
      <c r="C15" s="157"/>
      <c r="D15" s="157"/>
      <c r="E15" s="157"/>
      <c r="F15" s="157"/>
      <c r="G15" s="157"/>
      <c r="H15" s="157"/>
      <c r="I15" s="157"/>
      <c r="J15" s="157"/>
      <c r="K15" s="157"/>
      <c r="L15" s="157"/>
      <c r="M15" s="157"/>
      <c r="N15" s="47">
        <f t="shared" si="2"/>
        <v>0</v>
      </c>
      <c r="O15" s="47">
        <f t="shared" si="3"/>
        <v>0</v>
      </c>
      <c r="P15"/>
      <c r="Q15"/>
    </row>
    <row r="16" spans="1:17" hidden="1" x14ac:dyDescent="0.25">
      <c r="A16" s="46" t="s">
        <v>18</v>
      </c>
      <c r="B16" s="8">
        <f t="shared" ref="B16:O16" si="4">SUM(B13:B15)</f>
        <v>0</v>
      </c>
      <c r="C16" s="8">
        <f t="shared" si="4"/>
        <v>0</v>
      </c>
      <c r="D16" s="8"/>
      <c r="E16" s="8"/>
      <c r="F16" s="8"/>
      <c r="G16" s="8"/>
      <c r="H16" s="8">
        <f t="shared" si="4"/>
        <v>0</v>
      </c>
      <c r="I16" s="8">
        <f t="shared" si="4"/>
        <v>0</v>
      </c>
      <c r="J16" s="8">
        <f t="shared" si="4"/>
        <v>0</v>
      </c>
      <c r="K16" s="8">
        <f t="shared" si="4"/>
        <v>0</v>
      </c>
      <c r="L16" s="8">
        <f t="shared" si="4"/>
        <v>0</v>
      </c>
      <c r="M16" s="8">
        <f t="shared" si="4"/>
        <v>0</v>
      </c>
      <c r="N16" s="8">
        <f t="shared" si="4"/>
        <v>0</v>
      </c>
      <c r="O16" s="8">
        <f t="shared" si="4"/>
        <v>0</v>
      </c>
      <c r="P16"/>
      <c r="Q16"/>
    </row>
    <row r="17" spans="1:17" hidden="1" x14ac:dyDescent="0.25">
      <c r="A17" s="70" t="s">
        <v>34</v>
      </c>
      <c r="B17" s="157"/>
      <c r="C17" s="157"/>
      <c r="D17" s="157"/>
      <c r="E17" s="157"/>
      <c r="F17" s="157"/>
      <c r="G17" s="157"/>
      <c r="H17" s="157"/>
      <c r="I17" s="157"/>
      <c r="J17" s="157"/>
      <c r="K17" s="157"/>
      <c r="L17" s="157"/>
      <c r="M17" s="157"/>
      <c r="N17" s="47">
        <f t="shared" si="2"/>
        <v>0</v>
      </c>
      <c r="O17" s="47">
        <f t="shared" si="3"/>
        <v>0</v>
      </c>
      <c r="P17"/>
      <c r="Q17"/>
    </row>
    <row r="18" spans="1:17" hidden="1" x14ac:dyDescent="0.25">
      <c r="A18" s="70" t="s">
        <v>20</v>
      </c>
      <c r="B18" s="157"/>
      <c r="C18" s="157"/>
      <c r="D18" s="157"/>
      <c r="E18" s="157"/>
      <c r="F18" s="157"/>
      <c r="G18" s="157"/>
      <c r="H18" s="157"/>
      <c r="I18" s="157"/>
      <c r="J18" s="157"/>
      <c r="K18" s="157"/>
      <c r="L18" s="157"/>
      <c r="M18" s="157"/>
      <c r="N18" s="47">
        <f t="shared" si="2"/>
        <v>0</v>
      </c>
      <c r="O18" s="47">
        <f t="shared" si="3"/>
        <v>0</v>
      </c>
      <c r="P18"/>
      <c r="Q18"/>
    </row>
    <row r="19" spans="1:17" hidden="1" x14ac:dyDescent="0.25">
      <c r="A19" s="70" t="s">
        <v>21</v>
      </c>
      <c r="B19" s="157"/>
      <c r="C19" s="157"/>
      <c r="D19" s="157"/>
      <c r="E19" s="157"/>
      <c r="F19" s="157"/>
      <c r="G19" s="157"/>
      <c r="H19" s="157"/>
      <c r="I19" s="157"/>
      <c r="J19" s="157"/>
      <c r="K19" s="157"/>
      <c r="L19" s="157"/>
      <c r="M19" s="157"/>
      <c r="N19" s="47">
        <f t="shared" si="2"/>
        <v>0</v>
      </c>
      <c r="O19" s="47">
        <f t="shared" si="3"/>
        <v>0</v>
      </c>
      <c r="P19"/>
      <c r="Q19"/>
    </row>
    <row r="20" spans="1:17" hidden="1" x14ac:dyDescent="0.25">
      <c r="A20" s="46" t="s">
        <v>22</v>
      </c>
      <c r="B20" s="8">
        <f t="shared" ref="B20:O20" si="5">SUM(B17:B19)</f>
        <v>0</v>
      </c>
      <c r="C20" s="8">
        <f t="shared" si="5"/>
        <v>0</v>
      </c>
      <c r="D20" s="8"/>
      <c r="E20" s="8"/>
      <c r="F20" s="8"/>
      <c r="G20" s="8"/>
      <c r="H20" s="8">
        <f t="shared" si="5"/>
        <v>0</v>
      </c>
      <c r="I20" s="8">
        <f t="shared" si="5"/>
        <v>0</v>
      </c>
      <c r="J20" s="8">
        <f t="shared" si="5"/>
        <v>0</v>
      </c>
      <c r="K20" s="8">
        <f t="shared" si="5"/>
        <v>0</v>
      </c>
      <c r="L20" s="8">
        <f t="shared" si="5"/>
        <v>0</v>
      </c>
      <c r="M20" s="8">
        <f t="shared" si="5"/>
        <v>0</v>
      </c>
      <c r="N20" s="8">
        <f t="shared" si="5"/>
        <v>0</v>
      </c>
      <c r="O20" s="8">
        <f t="shared" si="5"/>
        <v>0</v>
      </c>
      <c r="P20"/>
      <c r="Q20"/>
    </row>
    <row r="21" spans="1:17" hidden="1" x14ac:dyDescent="0.25">
      <c r="A21" s="70" t="s">
        <v>13</v>
      </c>
      <c r="B21" s="157"/>
      <c r="C21" s="157"/>
      <c r="D21" s="157"/>
      <c r="E21" s="157"/>
      <c r="F21" s="157"/>
      <c r="G21" s="157"/>
      <c r="H21" s="157"/>
      <c r="I21" s="157"/>
      <c r="J21" s="157"/>
      <c r="K21" s="157"/>
      <c r="L21" s="157"/>
      <c r="M21" s="157"/>
      <c r="N21" s="47">
        <f t="shared" si="2"/>
        <v>0</v>
      </c>
      <c r="O21" s="47">
        <f t="shared" si="3"/>
        <v>0</v>
      </c>
      <c r="P21"/>
      <c r="Q21"/>
    </row>
    <row r="22" spans="1:17" hidden="1" x14ac:dyDescent="0.25">
      <c r="A22" s="70" t="s">
        <v>12</v>
      </c>
      <c r="B22" s="157"/>
      <c r="C22" s="157"/>
      <c r="D22" s="157"/>
      <c r="E22" s="157"/>
      <c r="F22" s="157"/>
      <c r="G22" s="157"/>
      <c r="H22" s="157"/>
      <c r="I22" s="157"/>
      <c r="J22" s="157"/>
      <c r="K22" s="157"/>
      <c r="L22" s="157"/>
      <c r="M22" s="157"/>
      <c r="N22" s="47">
        <f t="shared" si="2"/>
        <v>0</v>
      </c>
      <c r="O22" s="47">
        <f t="shared" si="3"/>
        <v>0</v>
      </c>
      <c r="P22"/>
      <c r="Q22"/>
    </row>
    <row r="23" spans="1:17" hidden="1" x14ac:dyDescent="0.25">
      <c r="A23" s="70" t="s">
        <v>11</v>
      </c>
      <c r="B23" s="157"/>
      <c r="C23" s="157"/>
      <c r="D23" s="157"/>
      <c r="E23" s="157"/>
      <c r="F23" s="157"/>
      <c r="G23" s="157"/>
      <c r="H23" s="157"/>
      <c r="I23" s="157"/>
      <c r="J23" s="157"/>
      <c r="K23" s="157"/>
      <c r="L23" s="157"/>
      <c r="M23" s="157"/>
      <c r="N23" s="47">
        <f t="shared" si="2"/>
        <v>0</v>
      </c>
      <c r="O23" s="47">
        <f t="shared" si="3"/>
        <v>0</v>
      </c>
      <c r="P23"/>
      <c r="Q23"/>
    </row>
    <row r="24" spans="1:17" hidden="1" x14ac:dyDescent="0.25">
      <c r="A24" s="46" t="s">
        <v>14</v>
      </c>
      <c r="B24" s="8">
        <f t="shared" ref="B24:O24" si="6">SUM(B21:B23)</f>
        <v>0</v>
      </c>
      <c r="C24" s="8">
        <f t="shared" si="6"/>
        <v>0</v>
      </c>
      <c r="D24" s="8"/>
      <c r="E24" s="8"/>
      <c r="F24" s="8"/>
      <c r="G24" s="8"/>
      <c r="H24" s="8">
        <f t="shared" si="6"/>
        <v>0</v>
      </c>
      <c r="I24" s="8">
        <f t="shared" si="6"/>
        <v>0</v>
      </c>
      <c r="J24" s="8">
        <f t="shared" si="6"/>
        <v>0</v>
      </c>
      <c r="K24" s="8">
        <f t="shared" si="6"/>
        <v>0</v>
      </c>
      <c r="L24" s="8">
        <f t="shared" si="6"/>
        <v>0</v>
      </c>
      <c r="M24" s="8">
        <f t="shared" si="6"/>
        <v>0</v>
      </c>
      <c r="N24" s="8">
        <f t="shared" si="6"/>
        <v>0</v>
      </c>
      <c r="O24" s="8">
        <f t="shared" si="6"/>
        <v>0</v>
      </c>
      <c r="P24"/>
      <c r="Q24"/>
    </row>
    <row r="25" spans="1:17" hidden="1" x14ac:dyDescent="0.25">
      <c r="A25" s="49" t="s">
        <v>23</v>
      </c>
      <c r="B25" s="50">
        <f>+B12+B16+B20+B24</f>
        <v>9639</v>
      </c>
      <c r="C25" s="48">
        <f t="shared" ref="C25:O25" si="7">+C12+C16+C20+C24</f>
        <v>136812226.21000001</v>
      </c>
      <c r="D25" s="48"/>
      <c r="E25" s="48"/>
      <c r="F25" s="48"/>
      <c r="G25" s="48"/>
      <c r="H25" s="48">
        <f t="shared" si="7"/>
        <v>218</v>
      </c>
      <c r="I25" s="48">
        <f t="shared" si="7"/>
        <v>3672547.45</v>
      </c>
      <c r="J25" s="48">
        <f t="shared" si="7"/>
        <v>1337</v>
      </c>
      <c r="K25" s="48">
        <f t="shared" si="7"/>
        <v>15926627.58</v>
      </c>
      <c r="L25" s="48">
        <f t="shared" si="7"/>
        <v>257</v>
      </c>
      <c r="M25" s="48">
        <f t="shared" si="7"/>
        <v>3607280.67</v>
      </c>
      <c r="N25" s="48">
        <f t="shared" si="7"/>
        <v>8644</v>
      </c>
      <c r="O25" s="48">
        <f t="shared" si="7"/>
        <v>129148342.25999999</v>
      </c>
      <c r="P25"/>
      <c r="Q25"/>
    </row>
    <row r="26" spans="1:17" x14ac:dyDescent="0.25">
      <c r="A26" s="138" t="s">
        <v>78</v>
      </c>
      <c r="B26"/>
      <c r="C26"/>
      <c r="D26"/>
      <c r="E26"/>
      <c r="F26"/>
      <c r="G26"/>
      <c r="H26"/>
      <c r="I26"/>
      <c r="J26"/>
      <c r="K26"/>
      <c r="L26"/>
      <c r="M26"/>
      <c r="N26"/>
      <c r="O26"/>
      <c r="P26"/>
      <c r="Q26"/>
    </row>
    <row r="27" spans="1:17" s="15" customFormat="1" ht="11.25" x14ac:dyDescent="0.2">
      <c r="A27" s="207"/>
      <c r="B27" s="141"/>
      <c r="C27" s="141"/>
      <c r="D27" s="141"/>
      <c r="E27" s="141"/>
      <c r="F27" s="141"/>
      <c r="G27" s="141"/>
      <c r="H27" s="141"/>
      <c r="I27" s="141"/>
      <c r="J27" s="138"/>
      <c r="K27" s="138"/>
      <c r="L27" s="138"/>
      <c r="M27" s="138"/>
      <c r="N27" s="138"/>
      <c r="O27" s="138"/>
      <c r="P27" s="138"/>
      <c r="Q27" s="138"/>
    </row>
    <row r="28" spans="1:17" x14ac:dyDescent="0.25">
      <c r="A28"/>
      <c r="B28"/>
      <c r="C28"/>
      <c r="D28"/>
      <c r="E28"/>
      <c r="F28"/>
      <c r="G28"/>
      <c r="H28"/>
      <c r="I28"/>
      <c r="J28"/>
      <c r="K28"/>
      <c r="L28"/>
      <c r="M28"/>
      <c r="N28"/>
      <c r="O28"/>
      <c r="P28"/>
      <c r="Q28"/>
    </row>
    <row r="29" spans="1:17" x14ac:dyDescent="0.25">
      <c r="A29"/>
      <c r="B29"/>
      <c r="C29"/>
      <c r="D29"/>
      <c r="E29"/>
      <c r="F29"/>
      <c r="G29"/>
      <c r="H29"/>
      <c r="I29"/>
      <c r="J29"/>
      <c r="K29"/>
      <c r="L29"/>
      <c r="M29"/>
      <c r="N29"/>
      <c r="O29"/>
      <c r="P29"/>
      <c r="Q29"/>
    </row>
    <row r="30" spans="1:17" x14ac:dyDescent="0.25">
      <c r="A30"/>
      <c r="B30"/>
      <c r="C30"/>
      <c r="D30"/>
      <c r="E30"/>
      <c r="F30"/>
      <c r="G30"/>
      <c r="H30"/>
      <c r="I30"/>
      <c r="J30"/>
      <c r="K30"/>
      <c r="L30"/>
      <c r="M30"/>
      <c r="N30"/>
      <c r="O30"/>
      <c r="P30"/>
      <c r="Q30"/>
    </row>
    <row r="31" spans="1:17" x14ac:dyDescent="0.25">
      <c r="A31"/>
      <c r="B31"/>
      <c r="C31"/>
      <c r="D31"/>
      <c r="E31"/>
      <c r="F31"/>
      <c r="G31"/>
      <c r="H31"/>
      <c r="I31"/>
      <c r="J31"/>
      <c r="K31"/>
      <c r="L31"/>
      <c r="M31"/>
      <c r="N31"/>
      <c r="O31"/>
      <c r="P31"/>
      <c r="Q31"/>
    </row>
    <row r="32" spans="1:17" x14ac:dyDescent="0.25">
      <c r="A32"/>
      <c r="B32"/>
      <c r="C32"/>
      <c r="D32"/>
      <c r="E32"/>
      <c r="F32"/>
      <c r="G32"/>
      <c r="H32"/>
      <c r="I32"/>
      <c r="J32"/>
      <c r="K32"/>
      <c r="L32"/>
      <c r="M32"/>
      <c r="N32"/>
      <c r="O32"/>
      <c r="P32"/>
      <c r="Q32"/>
    </row>
    <row r="33" spans="1:17" x14ac:dyDescent="0.25">
      <c r="A33"/>
      <c r="B33"/>
      <c r="C33"/>
      <c r="D33"/>
      <c r="E33"/>
      <c r="F33"/>
      <c r="G33"/>
      <c r="H33"/>
      <c r="I33"/>
      <c r="J33"/>
      <c r="K33"/>
      <c r="L33"/>
      <c r="M33"/>
      <c r="N33"/>
      <c r="O33"/>
      <c r="P33"/>
      <c r="Q33"/>
    </row>
    <row r="34" spans="1:17" x14ac:dyDescent="0.25">
      <c r="A34"/>
      <c r="B34"/>
      <c r="C34"/>
      <c r="D34"/>
      <c r="E34"/>
      <c r="F34"/>
      <c r="G34"/>
      <c r="H34"/>
      <c r="I34"/>
      <c r="J34"/>
      <c r="K34"/>
      <c r="L34"/>
      <c r="M34"/>
      <c r="N34"/>
      <c r="O34"/>
      <c r="P34"/>
      <c r="Q34"/>
    </row>
    <row r="35" spans="1:17" x14ac:dyDescent="0.25">
      <c r="A35"/>
      <c r="B35"/>
      <c r="C35"/>
      <c r="D35"/>
      <c r="E35"/>
      <c r="F35"/>
      <c r="G35"/>
      <c r="H35"/>
      <c r="I35"/>
      <c r="J35"/>
      <c r="K35"/>
      <c r="L35"/>
      <c r="M35"/>
      <c r="N35"/>
      <c r="O35"/>
      <c r="P35"/>
      <c r="Q35"/>
    </row>
    <row r="36" spans="1:17" x14ac:dyDescent="0.25">
      <c r="A36"/>
      <c r="B36"/>
      <c r="C36"/>
      <c r="D36"/>
      <c r="E36"/>
      <c r="F36"/>
      <c r="G36"/>
      <c r="H36"/>
      <c r="I36"/>
      <c r="J36"/>
      <c r="K36"/>
      <c r="L36"/>
      <c r="M36"/>
      <c r="N36"/>
      <c r="O36"/>
      <c r="P36"/>
      <c r="Q36"/>
    </row>
    <row r="37" spans="1:17" x14ac:dyDescent="0.25">
      <c r="A37"/>
      <c r="B37"/>
      <c r="C37"/>
      <c r="D37"/>
      <c r="E37"/>
      <c r="F37"/>
      <c r="G37"/>
      <c r="H37"/>
      <c r="I37"/>
      <c r="J37"/>
      <c r="K37"/>
      <c r="L37"/>
      <c r="M37"/>
      <c r="N37"/>
      <c r="O37"/>
      <c r="P37"/>
      <c r="Q37"/>
    </row>
    <row r="38" spans="1:17" x14ac:dyDescent="0.25">
      <c r="A38"/>
      <c r="B38"/>
      <c r="C38"/>
      <c r="D38"/>
      <c r="E38"/>
      <c r="F38"/>
      <c r="G38"/>
      <c r="H38"/>
      <c r="I38"/>
      <c r="J38"/>
      <c r="K38"/>
      <c r="L38"/>
      <c r="M38"/>
      <c r="N38"/>
      <c r="O38"/>
      <c r="P38"/>
      <c r="Q38"/>
    </row>
    <row r="39" spans="1:17" x14ac:dyDescent="0.25">
      <c r="A39"/>
      <c r="B39"/>
      <c r="C39"/>
      <c r="D39"/>
      <c r="E39"/>
      <c r="F39"/>
      <c r="G39"/>
      <c r="H39"/>
      <c r="I39"/>
      <c r="J39"/>
      <c r="K39"/>
      <c r="L39"/>
      <c r="M39"/>
      <c r="N39"/>
      <c r="O39"/>
      <c r="P39"/>
      <c r="Q39"/>
    </row>
    <row r="42" spans="1:17" x14ac:dyDescent="0.25">
      <c r="B42" s="70"/>
      <c r="C42" s="157"/>
      <c r="D42" s="157"/>
      <c r="E42" s="157"/>
      <c r="F42" s="157"/>
      <c r="G42" s="157"/>
      <c r="H42" s="157"/>
      <c r="I42" s="157"/>
      <c r="J42" s="157"/>
      <c r="K42" s="157"/>
      <c r="L42" s="157"/>
      <c r="M42" s="157"/>
      <c r="N42" s="157"/>
      <c r="O42" s="47"/>
      <c r="P42" s="79"/>
    </row>
    <row r="44" spans="1:17" x14ac:dyDescent="0.25">
      <c r="B44" s="70"/>
      <c r="C44" s="157"/>
      <c r="D44" s="157"/>
      <c r="E44" s="157"/>
      <c r="F44" s="157"/>
      <c r="G44" s="157"/>
      <c r="H44" s="157"/>
      <c r="I44" s="157"/>
      <c r="J44" s="157"/>
      <c r="K44" s="157"/>
      <c r="L44" s="157"/>
      <c r="M44" s="157"/>
      <c r="N44" s="157"/>
      <c r="O44" s="47"/>
      <c r="P44" s="79"/>
    </row>
  </sheetData>
  <mergeCells count="13">
    <mergeCell ref="A6:O6"/>
    <mergeCell ref="A1:O1"/>
    <mergeCell ref="A2:O2"/>
    <mergeCell ref="A3:O3"/>
    <mergeCell ref="A4:O4"/>
    <mergeCell ref="A5:O5"/>
    <mergeCell ref="N7:O7"/>
    <mergeCell ref="B7:C7"/>
    <mergeCell ref="D7:E7"/>
    <mergeCell ref="F7:G7"/>
    <mergeCell ref="H7:I7"/>
    <mergeCell ref="J7:K7"/>
    <mergeCell ref="L7:M7"/>
  </mergeCells>
  <pageMargins left="0.7" right="0.7" top="0.75" bottom="0.75" header="0.3" footer="0.3"/>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5:H72"/>
  <sheetViews>
    <sheetView topLeftCell="A10" workbookViewId="0">
      <selection activeCell="H23" sqref="H23"/>
    </sheetView>
  </sheetViews>
  <sheetFormatPr defaultColWidth="11.42578125" defaultRowHeight="15" x14ac:dyDescent="0.25"/>
  <cols>
    <col min="1" max="1" width="18.42578125" customWidth="1"/>
    <col min="3" max="3" width="18.140625" customWidth="1"/>
    <col min="6" max="6" width="13.7109375" bestFit="1" customWidth="1"/>
  </cols>
  <sheetData>
    <row r="5" spans="1:8" x14ac:dyDescent="0.25">
      <c r="A5" t="s">
        <v>109</v>
      </c>
    </row>
    <row r="6" spans="1:8" x14ac:dyDescent="0.25">
      <c r="A6" t="s">
        <v>110</v>
      </c>
      <c r="B6" t="s">
        <v>111</v>
      </c>
      <c r="C6" s="74">
        <v>31310</v>
      </c>
      <c r="D6" s="102">
        <v>0.2</v>
      </c>
      <c r="E6" s="74">
        <v>391848281</v>
      </c>
      <c r="F6" s="102">
        <v>0.19</v>
      </c>
    </row>
    <row r="7" spans="1:8" x14ac:dyDescent="0.25">
      <c r="A7" t="s">
        <v>112</v>
      </c>
      <c r="B7" s="74">
        <v>58606</v>
      </c>
      <c r="C7" s="102">
        <v>0.37</v>
      </c>
      <c r="D7" s="74">
        <v>502596251</v>
      </c>
      <c r="E7" s="102">
        <v>0.25</v>
      </c>
    </row>
    <row r="8" spans="1:8" x14ac:dyDescent="0.25">
      <c r="A8" t="s">
        <v>113</v>
      </c>
      <c r="B8" t="s">
        <v>114</v>
      </c>
      <c r="C8" t="s">
        <v>115</v>
      </c>
      <c r="D8">
        <v>280</v>
      </c>
      <c r="E8" s="103">
        <v>2E-3</v>
      </c>
      <c r="F8" s="74">
        <v>4723136</v>
      </c>
      <c r="G8" s="103">
        <v>2E-3</v>
      </c>
    </row>
    <row r="9" spans="1:8" x14ac:dyDescent="0.25">
      <c r="A9" t="s">
        <v>116</v>
      </c>
      <c r="B9" t="s">
        <v>117</v>
      </c>
      <c r="C9" t="s">
        <v>118</v>
      </c>
      <c r="D9" t="s">
        <v>119</v>
      </c>
      <c r="E9">
        <v>164</v>
      </c>
      <c r="F9" s="103">
        <v>1E-3</v>
      </c>
      <c r="G9" s="74">
        <v>4627394</v>
      </c>
      <c r="H9" s="103">
        <v>2E-3</v>
      </c>
    </row>
    <row r="10" spans="1:8" x14ac:dyDescent="0.25">
      <c r="A10" t="s">
        <v>120</v>
      </c>
      <c r="B10" t="s">
        <v>121</v>
      </c>
      <c r="C10">
        <v>311</v>
      </c>
      <c r="D10" s="103">
        <v>2E-3</v>
      </c>
      <c r="E10" s="74">
        <v>8307901</v>
      </c>
      <c r="F10" s="103">
        <v>4.0000000000000001E-3</v>
      </c>
    </row>
    <row r="11" spans="1:8" x14ac:dyDescent="0.25">
      <c r="A11" t="s">
        <v>120</v>
      </c>
      <c r="B11" t="s">
        <v>122</v>
      </c>
      <c r="C11" s="74">
        <v>19019</v>
      </c>
      <c r="D11" s="102">
        <v>0.12</v>
      </c>
      <c r="E11" s="74">
        <v>425653300</v>
      </c>
      <c r="F11" s="102">
        <v>0.21</v>
      </c>
    </row>
    <row r="12" spans="1:8" x14ac:dyDescent="0.25">
      <c r="A12" t="s">
        <v>123</v>
      </c>
      <c r="B12" t="s">
        <v>124</v>
      </c>
      <c r="C12" s="74">
        <v>21131</v>
      </c>
      <c r="D12" s="102">
        <v>0.13</v>
      </c>
      <c r="E12" s="74">
        <v>448771667</v>
      </c>
      <c r="F12" s="102">
        <v>0.22</v>
      </c>
    </row>
    <row r="13" spans="1:8" x14ac:dyDescent="0.25">
      <c r="A13" t="s">
        <v>110</v>
      </c>
      <c r="B13" t="s">
        <v>125</v>
      </c>
      <c r="C13" s="74">
        <v>10163</v>
      </c>
      <c r="D13" s="102">
        <v>0.06</v>
      </c>
      <c r="E13" s="74">
        <v>60978000</v>
      </c>
      <c r="F13" s="102">
        <v>0.03</v>
      </c>
    </row>
    <row r="14" spans="1:8" x14ac:dyDescent="0.25">
      <c r="A14" t="s">
        <v>126</v>
      </c>
      <c r="B14" t="s">
        <v>127</v>
      </c>
      <c r="C14" t="s">
        <v>128</v>
      </c>
      <c r="D14" s="74">
        <v>16719</v>
      </c>
      <c r="E14" s="102">
        <v>0.11</v>
      </c>
      <c r="F14" s="74">
        <v>171659274</v>
      </c>
      <c r="G14" s="102">
        <v>0.09</v>
      </c>
    </row>
    <row r="17" spans="1:7" x14ac:dyDescent="0.25">
      <c r="A17" t="s">
        <v>129</v>
      </c>
      <c r="B17" t="s">
        <v>130</v>
      </c>
      <c r="C17" t="s">
        <v>50</v>
      </c>
      <c r="D17" t="s">
        <v>131</v>
      </c>
      <c r="E17" t="s">
        <v>50</v>
      </c>
    </row>
    <row r="18" spans="1:7" x14ac:dyDescent="0.25">
      <c r="A18" t="s">
        <v>132</v>
      </c>
      <c r="B18" t="s">
        <v>133</v>
      </c>
      <c r="C18" t="s">
        <v>134</v>
      </c>
      <c r="D18">
        <v>42</v>
      </c>
      <c r="E18" s="103">
        <v>2.9999999999999997E-4</v>
      </c>
      <c r="F18" s="104">
        <v>167356.85</v>
      </c>
      <c r="G18" s="102">
        <v>0</v>
      </c>
    </row>
    <row r="19" spans="1:7" x14ac:dyDescent="0.25">
      <c r="A19" t="s">
        <v>135</v>
      </c>
      <c r="B19" t="s">
        <v>136</v>
      </c>
      <c r="C19" t="s">
        <v>137</v>
      </c>
      <c r="D19">
        <v>1</v>
      </c>
      <c r="E19" s="103">
        <v>0</v>
      </c>
      <c r="F19" s="104">
        <v>5117.5</v>
      </c>
      <c r="G19" s="102">
        <v>0</v>
      </c>
    </row>
    <row r="20" spans="1:7" x14ac:dyDescent="0.25">
      <c r="A20" s="104">
        <v>5117.5</v>
      </c>
      <c r="B20" t="s">
        <v>98</v>
      </c>
      <c r="C20" s="104">
        <v>10000</v>
      </c>
      <c r="D20" s="74">
        <v>93522</v>
      </c>
      <c r="E20" s="103">
        <v>0.73980000000000001</v>
      </c>
      <c r="F20" s="104">
        <v>750253033.45000005</v>
      </c>
      <c r="G20" s="102">
        <v>0.5</v>
      </c>
    </row>
    <row r="21" spans="1:7" x14ac:dyDescent="0.25">
      <c r="A21" s="104">
        <v>10000</v>
      </c>
      <c r="B21" t="s">
        <v>98</v>
      </c>
      <c r="C21" s="104">
        <v>20000</v>
      </c>
      <c r="D21" s="74">
        <v>18138</v>
      </c>
      <c r="E21" s="103">
        <v>0.14349999999999999</v>
      </c>
      <c r="F21" s="104">
        <v>227429836.90000001</v>
      </c>
      <c r="G21" s="102">
        <v>0.15</v>
      </c>
    </row>
    <row r="22" spans="1:7" x14ac:dyDescent="0.25">
      <c r="A22" s="104">
        <v>20000</v>
      </c>
      <c r="B22" t="s">
        <v>98</v>
      </c>
      <c r="C22" s="104">
        <v>30000</v>
      </c>
      <c r="D22" s="74">
        <v>6578</v>
      </c>
      <c r="E22" s="103">
        <v>5.1999999999999998E-2</v>
      </c>
      <c r="F22" s="104">
        <v>161421192.27000001</v>
      </c>
      <c r="G22" s="102">
        <v>0.11</v>
      </c>
    </row>
    <row r="23" spans="1:7" x14ac:dyDescent="0.25">
      <c r="A23" s="104">
        <v>30000</v>
      </c>
      <c r="B23" t="s">
        <v>98</v>
      </c>
      <c r="C23" s="104">
        <v>40000</v>
      </c>
      <c r="D23" s="74">
        <v>3651</v>
      </c>
      <c r="E23" s="103">
        <v>2.8899999999999999E-2</v>
      </c>
      <c r="F23" s="104">
        <v>122505219.92</v>
      </c>
      <c r="G23" s="102">
        <v>0.08</v>
      </c>
    </row>
    <row r="24" spans="1:7" x14ac:dyDescent="0.25">
      <c r="A24" s="104">
        <v>40000</v>
      </c>
      <c r="B24" t="s">
        <v>98</v>
      </c>
      <c r="C24" s="104">
        <v>50000</v>
      </c>
      <c r="D24" s="74">
        <v>2228</v>
      </c>
      <c r="E24" s="103">
        <v>1.7600000000000001E-2</v>
      </c>
      <c r="F24" s="104">
        <v>96897867.079999998</v>
      </c>
      <c r="G24" s="102">
        <v>0.06</v>
      </c>
    </row>
    <row r="25" spans="1:7" x14ac:dyDescent="0.25">
      <c r="A25" s="104">
        <v>50000</v>
      </c>
      <c r="B25" t="s">
        <v>98</v>
      </c>
      <c r="C25" s="104">
        <v>60000</v>
      </c>
      <c r="D25" s="74">
        <v>1212</v>
      </c>
      <c r="E25" s="103">
        <v>9.5999999999999992E-3</v>
      </c>
      <c r="F25" s="104">
        <v>63870772.049999997</v>
      </c>
      <c r="G25" s="102">
        <v>0.04</v>
      </c>
    </row>
    <row r="26" spans="1:7" x14ac:dyDescent="0.25">
      <c r="A26" s="104">
        <v>60000</v>
      </c>
      <c r="B26" t="s">
        <v>98</v>
      </c>
      <c r="C26" s="104">
        <v>70000</v>
      </c>
      <c r="D26">
        <v>256</v>
      </c>
      <c r="E26" s="103">
        <v>2E-3</v>
      </c>
      <c r="F26" s="104">
        <v>15987935.460000001</v>
      </c>
      <c r="G26" s="102">
        <v>0.01</v>
      </c>
    </row>
    <row r="27" spans="1:7" x14ac:dyDescent="0.25">
      <c r="A27" s="104">
        <v>70000</v>
      </c>
      <c r="B27" t="s">
        <v>98</v>
      </c>
      <c r="C27" s="104">
        <v>80000</v>
      </c>
      <c r="D27">
        <v>185</v>
      </c>
      <c r="E27" s="103">
        <v>1.5E-3</v>
      </c>
      <c r="F27" s="104">
        <v>13603340.310000001</v>
      </c>
      <c r="G27" s="102">
        <v>0.01</v>
      </c>
    </row>
    <row r="28" spans="1:7" x14ac:dyDescent="0.25">
      <c r="A28" s="104">
        <v>80000</v>
      </c>
      <c r="B28" t="s">
        <v>98</v>
      </c>
      <c r="C28" s="104">
        <v>90000</v>
      </c>
      <c r="D28">
        <v>246</v>
      </c>
      <c r="E28" s="103">
        <v>1.9E-3</v>
      </c>
      <c r="F28" s="104">
        <v>20637258.829999998</v>
      </c>
      <c r="G28" s="102">
        <v>0.01</v>
      </c>
    </row>
    <row r="29" spans="1:7" x14ac:dyDescent="0.25">
      <c r="A29" s="104">
        <v>90000</v>
      </c>
      <c r="B29" t="s">
        <v>98</v>
      </c>
      <c r="C29" s="104">
        <v>100000</v>
      </c>
      <c r="D29">
        <v>300</v>
      </c>
      <c r="E29" s="103">
        <v>2.3999999999999998E-3</v>
      </c>
      <c r="F29" s="104">
        <v>28790914.350000001</v>
      </c>
      <c r="G29" s="102">
        <v>0.02</v>
      </c>
    </row>
    <row r="30" spans="1:7" x14ac:dyDescent="0.25">
      <c r="A30" t="s">
        <v>138</v>
      </c>
      <c r="B30">
        <v>50</v>
      </c>
      <c r="C30" s="103">
        <v>4.0000000000000002E-4</v>
      </c>
      <c r="D30" s="104">
        <v>7845693.5999999996</v>
      </c>
      <c r="E30" s="102">
        <v>0.01</v>
      </c>
    </row>
    <row r="32" spans="1:7" x14ac:dyDescent="0.25">
      <c r="A32" t="s">
        <v>129</v>
      </c>
      <c r="B32" t="s">
        <v>130</v>
      </c>
      <c r="C32" t="s">
        <v>50</v>
      </c>
      <c r="D32" t="s">
        <v>131</v>
      </c>
      <c r="E32" t="s">
        <v>50</v>
      </c>
    </row>
    <row r="33" spans="1:7" x14ac:dyDescent="0.25">
      <c r="A33" t="s">
        <v>139</v>
      </c>
      <c r="B33">
        <v>8</v>
      </c>
      <c r="C33" s="103">
        <v>1E-4</v>
      </c>
      <c r="D33" s="74">
        <v>120807</v>
      </c>
      <c r="E33" s="103">
        <v>1E-4</v>
      </c>
    </row>
    <row r="34" spans="1:7" x14ac:dyDescent="0.25">
      <c r="A34" t="s">
        <v>140</v>
      </c>
      <c r="B34">
        <v>105</v>
      </c>
      <c r="C34" s="103">
        <v>8.9999999999999998E-4</v>
      </c>
      <c r="D34" s="74">
        <v>1623898</v>
      </c>
      <c r="E34" s="103">
        <v>1.1000000000000001E-3</v>
      </c>
    </row>
    <row r="35" spans="1:7" x14ac:dyDescent="0.25">
      <c r="A35" t="s">
        <v>141</v>
      </c>
      <c r="B35">
        <v>662</v>
      </c>
      <c r="C35" s="103">
        <v>5.7999999999999996E-3</v>
      </c>
      <c r="D35" s="74">
        <v>8844351</v>
      </c>
      <c r="E35" s="103">
        <v>5.8999999999999999E-3</v>
      </c>
    </row>
    <row r="36" spans="1:7" x14ac:dyDescent="0.25">
      <c r="A36" t="s">
        <v>142</v>
      </c>
      <c r="B36" s="74">
        <v>3613</v>
      </c>
      <c r="C36" s="103">
        <v>3.1699999999999999E-2</v>
      </c>
      <c r="D36" s="74">
        <v>58835635</v>
      </c>
      <c r="E36" s="103">
        <v>3.9E-2</v>
      </c>
    </row>
    <row r="37" spans="1:7" x14ac:dyDescent="0.25">
      <c r="A37" t="s">
        <v>143</v>
      </c>
      <c r="B37" s="74">
        <v>37680</v>
      </c>
      <c r="C37" s="103">
        <v>0.3306</v>
      </c>
      <c r="D37" s="74">
        <v>525796423</v>
      </c>
      <c r="E37" s="103">
        <v>0.3483</v>
      </c>
    </row>
    <row r="38" spans="1:7" x14ac:dyDescent="0.25">
      <c r="A38" t="s">
        <v>144</v>
      </c>
      <c r="B38" s="74">
        <v>44491</v>
      </c>
      <c r="C38" s="103">
        <v>0.39040000000000002</v>
      </c>
      <c r="D38" s="74">
        <v>593494378</v>
      </c>
      <c r="E38" s="103">
        <v>0.39319999999999999</v>
      </c>
    </row>
    <row r="39" spans="1:7" x14ac:dyDescent="0.25">
      <c r="A39" t="s">
        <v>145</v>
      </c>
      <c r="B39" s="74">
        <v>22199</v>
      </c>
      <c r="C39" s="103">
        <v>0.1948</v>
      </c>
      <c r="D39" s="74">
        <v>263071212</v>
      </c>
      <c r="E39" s="103">
        <v>0.17430000000000001</v>
      </c>
    </row>
    <row r="40" spans="1:7" x14ac:dyDescent="0.25">
      <c r="A40" t="s">
        <v>146</v>
      </c>
      <c r="B40" s="74">
        <v>4787</v>
      </c>
      <c r="C40" s="103">
        <v>4.2000000000000003E-2</v>
      </c>
      <c r="D40" s="74">
        <v>53293459</v>
      </c>
      <c r="E40" s="103">
        <v>3.5299999999999998E-2</v>
      </c>
    </row>
    <row r="41" spans="1:7" x14ac:dyDescent="0.25">
      <c r="A41">
        <v>100</v>
      </c>
      <c r="B41">
        <v>273</v>
      </c>
      <c r="C41" s="103">
        <v>2.3999999999999998E-3</v>
      </c>
      <c r="D41" s="74">
        <v>3036509</v>
      </c>
      <c r="E41" s="103">
        <v>2E-3</v>
      </c>
    </row>
    <row r="42" spans="1:7" x14ac:dyDescent="0.25">
      <c r="A42">
        <v>0</v>
      </c>
      <c r="B42">
        <v>148</v>
      </c>
      <c r="C42" s="103">
        <v>1.2999999999999999E-3</v>
      </c>
      <c r="D42" s="74">
        <v>1202867</v>
      </c>
      <c r="E42" s="103">
        <v>8.0000000000000004E-4</v>
      </c>
    </row>
    <row r="43" spans="1:7" x14ac:dyDescent="0.25">
      <c r="A43" t="s">
        <v>147</v>
      </c>
      <c r="B43" t="s">
        <v>148</v>
      </c>
      <c r="C43" s="110">
        <v>1</v>
      </c>
      <c r="D43">
        <v>11</v>
      </c>
      <c r="E43" s="103">
        <v>1E-4</v>
      </c>
      <c r="F43" s="74">
        <v>96000</v>
      </c>
      <c r="G43" s="103">
        <v>1E-4</v>
      </c>
    </row>
    <row r="60" spans="1:4" ht="1.5" customHeight="1" thickBot="1" x14ac:dyDescent="0.3"/>
    <row r="61" spans="1:4" ht="31.5" customHeight="1" x14ac:dyDescent="0.25">
      <c r="A61" s="371" t="s">
        <v>149</v>
      </c>
      <c r="B61" s="372"/>
      <c r="C61" s="372"/>
      <c r="D61" s="373"/>
    </row>
    <row r="62" spans="1:4" x14ac:dyDescent="0.25">
      <c r="A62" s="115" t="s">
        <v>150</v>
      </c>
      <c r="B62" s="116" t="s">
        <v>50</v>
      </c>
      <c r="C62" s="117" t="s">
        <v>7</v>
      </c>
      <c r="D62" s="118" t="s">
        <v>50</v>
      </c>
    </row>
    <row r="63" spans="1:4" x14ac:dyDescent="0.25">
      <c r="A63" s="92">
        <v>31137</v>
      </c>
      <c r="B63" s="77">
        <f>A63/$F$18</f>
        <v>0.18605154195959114</v>
      </c>
      <c r="C63" s="51">
        <v>395798200.03000003</v>
      </c>
      <c r="D63" s="93">
        <f>C63/C72</f>
        <v>0.19391687100775967</v>
      </c>
    </row>
    <row r="64" spans="1:4" x14ac:dyDescent="0.25">
      <c r="A64" s="92">
        <v>59538</v>
      </c>
      <c r="B64" s="77">
        <f t="shared" ref="B64:B71" si="0">A64/$F$18</f>
        <v>0.35575478386453857</v>
      </c>
      <c r="C64" s="51">
        <v>514655292.12</v>
      </c>
      <c r="D64" s="93">
        <f>C64/C72</f>
        <v>0.25214956482351464</v>
      </c>
    </row>
    <row r="65" spans="1:4" x14ac:dyDescent="0.25">
      <c r="A65" s="92">
        <v>272</v>
      </c>
      <c r="B65" s="78">
        <f t="shared" si="0"/>
        <v>1.6252695960756909E-3</v>
      </c>
      <c r="C65" s="51">
        <v>4588034.25</v>
      </c>
      <c r="D65" s="94">
        <f>C65/C72</f>
        <v>2.2478557147783836E-3</v>
      </c>
    </row>
    <row r="66" spans="1:4" x14ac:dyDescent="0.25">
      <c r="A66" s="92">
        <v>165</v>
      </c>
      <c r="B66" s="78">
        <f t="shared" si="0"/>
        <v>9.8591721820768022E-4</v>
      </c>
      <c r="C66" s="51">
        <v>4769926.3500000006</v>
      </c>
      <c r="D66" s="94">
        <f>C66/C72</f>
        <v>2.3369717008802837E-3</v>
      </c>
    </row>
    <row r="67" spans="1:4" x14ac:dyDescent="0.25">
      <c r="A67" s="92">
        <v>291</v>
      </c>
      <c r="B67" s="78">
        <f t="shared" si="0"/>
        <v>1.7387994575662723E-3</v>
      </c>
      <c r="C67" s="51">
        <v>7859081.6799999997</v>
      </c>
      <c r="D67" s="94">
        <f>C67/C72</f>
        <v>3.8504685677309622E-3</v>
      </c>
    </row>
    <row r="68" spans="1:4" x14ac:dyDescent="0.25">
      <c r="A68" s="92">
        <v>18719</v>
      </c>
      <c r="B68" s="77">
        <f t="shared" si="0"/>
        <v>0.11185081459169433</v>
      </c>
      <c r="C68" s="51">
        <v>422264407.25999999</v>
      </c>
      <c r="D68" s="93">
        <f>C68/C72</f>
        <v>0.20688369120324193</v>
      </c>
    </row>
    <row r="69" spans="1:4" x14ac:dyDescent="0.25">
      <c r="A69" s="92">
        <v>21144</v>
      </c>
      <c r="B69" s="77">
        <f t="shared" si="0"/>
        <v>0.12634081007141326</v>
      </c>
      <c r="C69" s="51">
        <v>451598843.05000001</v>
      </c>
      <c r="D69" s="93">
        <f>C69/C72</f>
        <v>0.22125576768247726</v>
      </c>
    </row>
    <row r="70" spans="1:4" x14ac:dyDescent="0.25">
      <c r="A70" s="92">
        <v>9753</v>
      </c>
      <c r="B70" s="77">
        <f t="shared" si="0"/>
        <v>5.8276670479875788E-2</v>
      </c>
      <c r="C70" s="51">
        <v>58518000</v>
      </c>
      <c r="D70" s="93">
        <f>C70/C72</f>
        <v>2.8670235126819606E-2</v>
      </c>
    </row>
    <row r="71" spans="1:4" x14ac:dyDescent="0.25">
      <c r="A71" s="92">
        <v>17481</v>
      </c>
      <c r="B71" s="77">
        <f t="shared" si="0"/>
        <v>0.10445344782720277</v>
      </c>
      <c r="C71" s="51">
        <v>181019721.69</v>
      </c>
      <c r="D71" s="93">
        <f>C71/C72</f>
        <v>8.8688574172797213E-2</v>
      </c>
    </row>
    <row r="72" spans="1:4" ht="15.75" thickBot="1" x14ac:dyDescent="0.3">
      <c r="A72" s="95">
        <f t="shared" ref="A72:D72" si="1">SUM(A63:A71)</f>
        <v>158500</v>
      </c>
      <c r="B72" s="96">
        <f t="shared" si="1"/>
        <v>0.9470780550661656</v>
      </c>
      <c r="C72" s="97">
        <f t="shared" si="1"/>
        <v>2041071506.4300001</v>
      </c>
      <c r="D72" s="98">
        <f t="shared" si="1"/>
        <v>0.99999999999999989</v>
      </c>
    </row>
  </sheetData>
  <mergeCells count="1">
    <mergeCell ref="A61:D6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2:AA71"/>
  <sheetViews>
    <sheetView showGridLines="0" zoomScale="80" zoomScaleNormal="80" workbookViewId="0"/>
  </sheetViews>
  <sheetFormatPr defaultColWidth="11.42578125" defaultRowHeight="15" outlineLevelRow="1" x14ac:dyDescent="0.25"/>
  <cols>
    <col min="1" max="1" width="27.7109375" style="1" customWidth="1"/>
    <col min="2" max="2" width="13.42578125" style="1" customWidth="1"/>
    <col min="3" max="3" width="15.7109375" style="1" customWidth="1"/>
    <col min="4" max="4" width="17.7109375" style="1" bestFit="1" customWidth="1"/>
    <col min="5" max="5" width="11.42578125" style="1"/>
    <col min="6" max="6" width="13.42578125" style="1" customWidth="1"/>
    <col min="7" max="7" width="15.7109375" style="1" customWidth="1"/>
    <col min="8" max="8" width="18.42578125" style="1" bestFit="1" customWidth="1"/>
    <col min="9" max="9" width="11.42578125" style="1"/>
    <col min="10" max="11" width="11.42578125" style="1" bestFit="1" customWidth="1"/>
    <col min="12" max="12" width="18.5703125" style="1" customWidth="1"/>
    <col min="13" max="13" width="13" style="1" customWidth="1"/>
    <col min="14" max="14" width="16" style="1" customWidth="1"/>
    <col min="15" max="15" width="12.140625" style="1" customWidth="1"/>
    <col min="16" max="16" width="15.140625" style="1" customWidth="1"/>
    <col min="17" max="17" width="11.42578125" style="1" customWidth="1"/>
    <col min="18" max="19" width="15.7109375" style="1" customWidth="1"/>
    <col min="20" max="20" width="18.42578125" style="1" bestFit="1" customWidth="1"/>
    <col min="21" max="21" width="19.7109375" style="1" customWidth="1"/>
    <col min="22" max="22" width="11.42578125" style="1"/>
    <col min="23" max="23" width="13.7109375" style="1" bestFit="1" customWidth="1"/>
    <col min="24" max="16384" width="11.42578125" style="1"/>
  </cols>
  <sheetData>
    <row r="2" spans="1:27" x14ac:dyDescent="0.25">
      <c r="A2" s="343" t="s">
        <v>0</v>
      </c>
      <c r="B2" s="343"/>
      <c r="C2" s="343"/>
      <c r="D2" s="343"/>
      <c r="E2" s="343"/>
      <c r="F2" s="343"/>
      <c r="G2" s="343"/>
      <c r="H2" s="343"/>
      <c r="I2" s="343"/>
      <c r="J2" s="343"/>
      <c r="K2" s="343"/>
      <c r="L2" s="343"/>
      <c r="M2" s="343"/>
      <c r="N2" s="22"/>
      <c r="O2" s="22"/>
      <c r="P2" s="22"/>
      <c r="Q2" s="22"/>
      <c r="R2" s="22"/>
      <c r="S2" s="22"/>
      <c r="T2" s="22"/>
      <c r="U2" s="22"/>
      <c r="V2" s="22"/>
      <c r="W2" s="22"/>
      <c r="X2" s="22"/>
      <c r="Y2" s="22"/>
      <c r="Z2" s="22"/>
      <c r="AA2" s="22"/>
    </row>
    <row r="3" spans="1:27" x14ac:dyDescent="0.25">
      <c r="A3" s="343" t="s">
        <v>62</v>
      </c>
      <c r="B3" s="343"/>
      <c r="C3" s="343"/>
      <c r="D3" s="343"/>
      <c r="E3" s="343"/>
      <c r="F3" s="343"/>
      <c r="G3" s="343"/>
      <c r="H3" s="343"/>
      <c r="I3" s="343"/>
      <c r="J3" s="343"/>
      <c r="K3" s="343"/>
      <c r="L3" s="343"/>
      <c r="M3" s="343"/>
      <c r="N3" s="22"/>
      <c r="O3" s="22"/>
      <c r="P3" s="22"/>
      <c r="Q3" s="22"/>
      <c r="R3" s="22"/>
      <c r="S3" s="22"/>
      <c r="T3" s="22"/>
      <c r="U3" s="22"/>
      <c r="V3" s="22"/>
      <c r="W3" s="22"/>
      <c r="X3" s="22"/>
      <c r="Y3" s="22"/>
      <c r="Z3" s="22"/>
      <c r="AA3" s="22"/>
    </row>
    <row r="4" spans="1:27" x14ac:dyDescent="0.25">
      <c r="A4" s="343" t="s">
        <v>151</v>
      </c>
      <c r="B4" s="343"/>
      <c r="C4" s="343"/>
      <c r="D4" s="343"/>
      <c r="E4" s="343"/>
      <c r="F4" s="343"/>
      <c r="G4" s="343"/>
      <c r="H4" s="343"/>
      <c r="I4" s="343"/>
      <c r="J4" s="343"/>
      <c r="K4" s="343"/>
      <c r="L4" s="343"/>
      <c r="M4" s="343"/>
      <c r="N4" s="22"/>
      <c r="O4" s="22"/>
      <c r="P4" s="22"/>
      <c r="Q4" s="22"/>
      <c r="R4" s="22"/>
      <c r="S4" s="22"/>
      <c r="T4" s="22"/>
      <c r="U4" s="22"/>
      <c r="V4" s="22"/>
      <c r="W4" s="22"/>
      <c r="X4" s="22"/>
      <c r="Y4" s="22"/>
      <c r="Z4" s="22"/>
      <c r="AA4" s="22"/>
    </row>
    <row r="5" spans="1:27" x14ac:dyDescent="0.25">
      <c r="A5" s="343" t="s">
        <v>285</v>
      </c>
      <c r="B5" s="343"/>
      <c r="C5" s="343"/>
      <c r="D5" s="343"/>
      <c r="E5" s="343"/>
      <c r="F5" s="343"/>
      <c r="G5" s="343"/>
      <c r="H5" s="343"/>
      <c r="I5" s="343"/>
      <c r="J5" s="343"/>
      <c r="K5" s="343"/>
      <c r="L5" s="343"/>
      <c r="M5" s="343"/>
      <c r="N5" s="22"/>
      <c r="O5" s="22"/>
      <c r="P5" s="22"/>
      <c r="Q5" s="22"/>
      <c r="R5" s="22"/>
      <c r="S5" s="22"/>
      <c r="T5" s="22"/>
      <c r="U5" s="22"/>
      <c r="V5" s="22"/>
      <c r="W5" s="22"/>
      <c r="X5" s="22"/>
      <c r="Y5" s="22"/>
      <c r="Z5" s="22"/>
      <c r="AA5" s="22"/>
    </row>
    <row r="6" spans="1:27" x14ac:dyDescent="0.25">
      <c r="A6" s="343" t="s">
        <v>272</v>
      </c>
      <c r="B6" s="343"/>
      <c r="C6" s="343"/>
      <c r="D6" s="343"/>
      <c r="E6" s="343"/>
      <c r="F6" s="343"/>
      <c r="G6" s="343"/>
      <c r="H6" s="343"/>
      <c r="I6" s="343"/>
      <c r="J6" s="343"/>
      <c r="K6" s="343"/>
      <c r="L6" s="343"/>
      <c r="M6" s="343"/>
      <c r="N6" s="22"/>
      <c r="O6" s="22"/>
      <c r="P6" s="22"/>
      <c r="Q6" s="22"/>
      <c r="R6" s="22"/>
      <c r="S6" s="22"/>
      <c r="T6" s="22"/>
      <c r="U6" s="22"/>
      <c r="V6" s="22"/>
      <c r="W6" s="22"/>
      <c r="X6" s="22"/>
      <c r="Y6" s="22"/>
      <c r="Z6" s="22"/>
      <c r="AA6" s="22"/>
    </row>
    <row r="7" spans="1:27" x14ac:dyDescent="0.25">
      <c r="A7" s="380"/>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row>
    <row r="8" spans="1:27" ht="15.75" customHeight="1" thickBot="1" x14ac:dyDescent="0.3">
      <c r="A8" s="379" t="s">
        <v>152</v>
      </c>
      <c r="B8" s="379"/>
      <c r="C8" s="379"/>
      <c r="D8" s="379"/>
      <c r="E8" s="379"/>
      <c r="F8" s="379"/>
      <c r="G8" s="379"/>
      <c r="H8" s="379"/>
      <c r="I8" s="379"/>
      <c r="J8" s="379"/>
      <c r="K8" s="379"/>
      <c r="L8" s="379"/>
      <c r="M8" s="379"/>
      <c r="N8" s="128"/>
      <c r="O8" s="128"/>
      <c r="P8" s="128"/>
      <c r="Q8"/>
      <c r="R8"/>
      <c r="S8"/>
    </row>
    <row r="9" spans="1:27" ht="31.5" customHeight="1" x14ac:dyDescent="0.25">
      <c r="A9" s="158"/>
      <c r="B9" s="374" t="s">
        <v>281</v>
      </c>
      <c r="C9" s="377"/>
      <c r="D9" s="377"/>
      <c r="E9" s="378"/>
      <c r="F9" s="374" t="s">
        <v>282</v>
      </c>
      <c r="G9" s="377"/>
      <c r="H9" s="377"/>
      <c r="I9" s="378"/>
      <c r="J9" s="374" t="s">
        <v>79</v>
      </c>
      <c r="K9" s="377"/>
      <c r="L9" s="377"/>
      <c r="M9" s="378"/>
      <c r="N9" s="159"/>
      <c r="O9" s="159"/>
      <c r="P9" s="159"/>
      <c r="Q9"/>
      <c r="R9"/>
      <c r="S9"/>
    </row>
    <row r="10" spans="1:27" ht="45" x14ac:dyDescent="0.25">
      <c r="A10" s="107" t="s">
        <v>153</v>
      </c>
      <c r="B10" s="160" t="s">
        <v>150</v>
      </c>
      <c r="C10" s="116" t="s">
        <v>50</v>
      </c>
      <c r="D10" s="116" t="s">
        <v>7</v>
      </c>
      <c r="E10" s="118" t="s">
        <v>50</v>
      </c>
      <c r="F10" s="160" t="s">
        <v>150</v>
      </c>
      <c r="G10" s="116" t="s">
        <v>50</v>
      </c>
      <c r="H10" s="116" t="s">
        <v>7</v>
      </c>
      <c r="I10" s="118" t="s">
        <v>50</v>
      </c>
      <c r="J10" s="161" t="s">
        <v>154</v>
      </c>
      <c r="K10" s="119" t="s">
        <v>155</v>
      </c>
      <c r="L10" s="119" t="s">
        <v>156</v>
      </c>
      <c r="M10" s="120" t="s">
        <v>155</v>
      </c>
      <c r="N10"/>
      <c r="O10"/>
      <c r="P10"/>
      <c r="Q10"/>
      <c r="R10"/>
      <c r="S10"/>
    </row>
    <row r="11" spans="1:27" outlineLevel="1" x14ac:dyDescent="0.25">
      <c r="A11" s="99" t="s">
        <v>157</v>
      </c>
      <c r="B11" s="92">
        <v>32199</v>
      </c>
      <c r="C11" s="82">
        <v>0.16</v>
      </c>
      <c r="D11" s="167">
        <v>1506888435</v>
      </c>
      <c r="E11" s="82">
        <v>0.17</v>
      </c>
      <c r="F11" s="307">
        <v>33545</v>
      </c>
      <c r="G11" s="308">
        <v>0.14644762461909211</v>
      </c>
      <c r="H11" s="309">
        <v>1621822088.1399999</v>
      </c>
      <c r="I11" s="310">
        <v>0.15449817140673611</v>
      </c>
      <c r="J11" s="162">
        <f>+F11-B11</f>
        <v>1346</v>
      </c>
      <c r="K11" s="82">
        <f>+(F11-B11)/B11</f>
        <v>4.1802540451566818E-2</v>
      </c>
      <c r="L11" s="167">
        <f>+H11-D11</f>
        <v>114933653.13999987</v>
      </c>
      <c r="M11" s="108">
        <f>+(H11-D11)/D11</f>
        <v>7.6272171496226171E-2</v>
      </c>
      <c r="N11"/>
      <c r="O11"/>
      <c r="P11"/>
      <c r="Q11"/>
      <c r="R11"/>
      <c r="S11"/>
    </row>
    <row r="12" spans="1:27" outlineLevel="1" x14ac:dyDescent="0.25">
      <c r="A12" s="100" t="s">
        <v>112</v>
      </c>
      <c r="B12" s="92">
        <v>64416</v>
      </c>
      <c r="C12" s="82">
        <v>0.33</v>
      </c>
      <c r="D12" s="167">
        <v>1986643385</v>
      </c>
      <c r="E12" s="82">
        <v>0.23</v>
      </c>
      <c r="F12" s="307">
        <v>69432</v>
      </c>
      <c r="G12" s="308">
        <v>0.30311973386653163</v>
      </c>
      <c r="H12" s="309">
        <v>2127665759.1000001</v>
      </c>
      <c r="I12" s="310">
        <v>0.20329096040674013</v>
      </c>
      <c r="J12" s="162">
        <f t="shared" ref="J12:J20" si="0">+F12-B12</f>
        <v>5016</v>
      </c>
      <c r="K12" s="82">
        <f t="shared" ref="K12:K20" si="1">+(F12-B12)/B12</f>
        <v>7.7868852459016397E-2</v>
      </c>
      <c r="L12" s="167">
        <f t="shared" ref="L12:L20" si="2">+H12-D12</f>
        <v>141022374.10000014</v>
      </c>
      <c r="M12" s="108">
        <f t="shared" ref="M12:M20" si="3">+(H12-D12)/D12</f>
        <v>7.09852483665558E-2</v>
      </c>
      <c r="N12"/>
      <c r="O12"/>
      <c r="P12"/>
      <c r="Q12"/>
      <c r="R12"/>
      <c r="S12"/>
    </row>
    <row r="13" spans="1:27" outlineLevel="1" x14ac:dyDescent="0.25">
      <c r="A13" s="100" t="s">
        <v>158</v>
      </c>
      <c r="B13" s="92">
        <v>255</v>
      </c>
      <c r="C13" s="82">
        <v>1E-3</v>
      </c>
      <c r="D13" s="167">
        <v>22770450</v>
      </c>
      <c r="E13" s="82">
        <v>3.0000000000000001E-3</v>
      </c>
      <c r="F13" s="307">
        <v>253</v>
      </c>
      <c r="G13" s="308">
        <v>1.1045237450776658E-3</v>
      </c>
      <c r="H13" s="309">
        <v>22730663.25</v>
      </c>
      <c r="I13" s="310">
        <v>2.1523700829547509E-3</v>
      </c>
      <c r="J13" s="162">
        <f t="shared" si="0"/>
        <v>-2</v>
      </c>
      <c r="K13" s="82">
        <f t="shared" si="1"/>
        <v>-7.8431372549019607E-3</v>
      </c>
      <c r="L13" s="167">
        <f t="shared" si="2"/>
        <v>-39786.75</v>
      </c>
      <c r="M13" s="108">
        <f t="shared" si="3"/>
        <v>-1.7472974842394418E-3</v>
      </c>
      <c r="N13"/>
      <c r="O13"/>
      <c r="P13"/>
      <c r="Q13"/>
      <c r="R13"/>
      <c r="S13"/>
    </row>
    <row r="14" spans="1:27" outlineLevel="1" x14ac:dyDescent="0.25">
      <c r="A14" s="100" t="s">
        <v>159</v>
      </c>
      <c r="B14" s="92">
        <v>159</v>
      </c>
      <c r="C14" s="82">
        <v>1E-3</v>
      </c>
      <c r="D14" s="167">
        <v>23453003</v>
      </c>
      <c r="E14" s="82">
        <v>3.0000000000000001E-3</v>
      </c>
      <c r="F14" s="307">
        <v>169</v>
      </c>
      <c r="G14" s="308">
        <v>7.3780439888587171E-4</v>
      </c>
      <c r="H14" s="309">
        <v>25111201.280000001</v>
      </c>
      <c r="I14" s="310">
        <v>2.3872526196710305E-3</v>
      </c>
      <c r="J14" s="162">
        <f t="shared" si="0"/>
        <v>10</v>
      </c>
      <c r="K14" s="82">
        <f t="shared" si="1"/>
        <v>6.2893081761006289E-2</v>
      </c>
      <c r="L14" s="167">
        <f t="shared" si="2"/>
        <v>1658198.2800000012</v>
      </c>
      <c r="M14" s="108">
        <f t="shared" si="3"/>
        <v>7.0703025962176411E-2</v>
      </c>
      <c r="N14"/>
      <c r="O14"/>
      <c r="P14"/>
      <c r="Q14"/>
      <c r="R14"/>
      <c r="S14"/>
    </row>
    <row r="15" spans="1:27" outlineLevel="1" x14ac:dyDescent="0.25">
      <c r="A15" s="100" t="s">
        <v>160</v>
      </c>
      <c r="B15" s="92">
        <v>250</v>
      </c>
      <c r="C15" s="82">
        <v>1E-3</v>
      </c>
      <c r="D15" s="167">
        <v>22722178</v>
      </c>
      <c r="E15" s="82">
        <v>3.0000000000000001E-3</v>
      </c>
      <c r="F15" s="307">
        <v>229</v>
      </c>
      <c r="G15" s="308">
        <v>9.9974678902286758E-4</v>
      </c>
      <c r="H15" s="309">
        <v>21836750.169999998</v>
      </c>
      <c r="I15" s="310">
        <v>2.0561798553543967E-3</v>
      </c>
      <c r="J15" s="162">
        <f t="shared" si="0"/>
        <v>-21</v>
      </c>
      <c r="K15" s="82">
        <f t="shared" si="1"/>
        <v>-8.4000000000000005E-2</v>
      </c>
      <c r="L15" s="167">
        <f t="shared" si="2"/>
        <v>-885427.83000000194</v>
      </c>
      <c r="M15" s="108">
        <f t="shared" si="3"/>
        <v>-3.8967559799945317E-2</v>
      </c>
      <c r="N15"/>
      <c r="O15"/>
      <c r="P15"/>
      <c r="Q15"/>
      <c r="R15"/>
      <c r="S15"/>
    </row>
    <row r="16" spans="1:27" outlineLevel="1" x14ac:dyDescent="0.25">
      <c r="A16" s="100" t="s">
        <v>161</v>
      </c>
      <c r="B16" s="92">
        <v>27655</v>
      </c>
      <c r="C16" s="82">
        <v>0.14000000000000001</v>
      </c>
      <c r="D16" s="167">
        <v>2162742545</v>
      </c>
      <c r="E16" s="82">
        <v>0.25</v>
      </c>
      <c r="F16" s="307">
        <v>33524</v>
      </c>
      <c r="G16" s="308">
        <v>0.14635594478254416</v>
      </c>
      <c r="H16" s="309">
        <v>2873885821.79</v>
      </c>
      <c r="I16" s="310">
        <v>0.27959390349293534</v>
      </c>
      <c r="J16" s="162">
        <f t="shared" si="0"/>
        <v>5869</v>
      </c>
      <c r="K16" s="82">
        <f t="shared" si="1"/>
        <v>0.2122220213342976</v>
      </c>
      <c r="L16" s="167">
        <f>+H16-D16</f>
        <v>711143276.78999996</v>
      </c>
      <c r="M16" s="108">
        <f t="shared" si="3"/>
        <v>0.32881550253592479</v>
      </c>
      <c r="N16"/>
      <c r="O16"/>
      <c r="P16"/>
      <c r="Q16"/>
      <c r="R16"/>
      <c r="S16"/>
    </row>
    <row r="17" spans="1:27" outlineLevel="1" x14ac:dyDescent="0.25">
      <c r="A17" s="100" t="s">
        <v>162</v>
      </c>
      <c r="B17" s="92">
        <v>24120</v>
      </c>
      <c r="C17" s="82">
        <v>0.12</v>
      </c>
      <c r="D17" s="167">
        <v>1879578488</v>
      </c>
      <c r="E17" s="82">
        <v>0.21</v>
      </c>
      <c r="F17" s="307">
        <v>24989</v>
      </c>
      <c r="G17" s="308">
        <v>0.1090946397855565</v>
      </c>
      <c r="H17" s="309">
        <v>2163586360.77</v>
      </c>
      <c r="I17" s="310">
        <v>0.20497339231223852</v>
      </c>
      <c r="J17" s="162">
        <f t="shared" si="0"/>
        <v>869</v>
      </c>
      <c r="K17" s="82">
        <f t="shared" si="1"/>
        <v>3.6028192371475955E-2</v>
      </c>
      <c r="L17" s="167">
        <f t="shared" si="2"/>
        <v>284007872.76999998</v>
      </c>
      <c r="M17" s="108">
        <f t="shared" si="3"/>
        <v>0.15110189576185445</v>
      </c>
      <c r="N17"/>
      <c r="O17"/>
      <c r="P17"/>
      <c r="Q17"/>
      <c r="R17"/>
      <c r="S17"/>
    </row>
    <row r="18" spans="1:27" outlineLevel="1" x14ac:dyDescent="0.25">
      <c r="A18" s="100" t="s">
        <v>163</v>
      </c>
      <c r="B18" s="92">
        <v>28481</v>
      </c>
      <c r="C18" s="82">
        <v>0.14000000000000001</v>
      </c>
      <c r="D18" s="167">
        <v>476496000</v>
      </c>
      <c r="E18" s="82">
        <v>0.05</v>
      </c>
      <c r="F18" s="307">
        <v>47060</v>
      </c>
      <c r="G18" s="308">
        <v>0.20545014799745043</v>
      </c>
      <c r="H18" s="309">
        <v>816120000</v>
      </c>
      <c r="I18" s="310">
        <v>8.0210138605142131E-2</v>
      </c>
      <c r="J18" s="162">
        <f t="shared" si="0"/>
        <v>18579</v>
      </c>
      <c r="K18" s="82">
        <f t="shared" si="1"/>
        <v>0.65232962325761035</v>
      </c>
      <c r="L18" s="167">
        <f t="shared" si="2"/>
        <v>339624000</v>
      </c>
      <c r="M18" s="108">
        <f t="shared" si="3"/>
        <v>0.71275309761257177</v>
      </c>
      <c r="N18"/>
      <c r="O18"/>
      <c r="P18"/>
      <c r="Q18"/>
      <c r="R18"/>
      <c r="S18"/>
    </row>
    <row r="19" spans="1:27" outlineLevel="1" x14ac:dyDescent="0.25">
      <c r="A19" s="100" t="s">
        <v>164</v>
      </c>
      <c r="B19" s="92">
        <v>19021</v>
      </c>
      <c r="C19" s="82">
        <v>0.1</v>
      </c>
      <c r="D19" s="167">
        <v>703263893</v>
      </c>
      <c r="E19" s="82">
        <v>0.08</v>
      </c>
      <c r="F19" s="307">
        <v>19857</v>
      </c>
      <c r="G19" s="308">
        <v>8.6689834015838782E-2</v>
      </c>
      <c r="H19" s="309">
        <v>744344196.92999995</v>
      </c>
      <c r="I19" s="310">
        <v>7.0837631218227753E-2</v>
      </c>
      <c r="J19" s="162">
        <f t="shared" si="0"/>
        <v>836</v>
      </c>
      <c r="K19" s="82">
        <f t="shared" si="1"/>
        <v>4.3951422112402085E-2</v>
      </c>
      <c r="L19" s="167">
        <f t="shared" si="2"/>
        <v>41080303.929999948</v>
      </c>
      <c r="M19" s="108">
        <f t="shared" si="3"/>
        <v>5.8413782278453966E-2</v>
      </c>
      <c r="N19"/>
      <c r="O19"/>
      <c r="P19"/>
      <c r="Q19"/>
      <c r="R19"/>
      <c r="S19"/>
    </row>
    <row r="20" spans="1:27" ht="15.75" thickBot="1" x14ac:dyDescent="0.3">
      <c r="A20" s="101" t="s">
        <v>165</v>
      </c>
      <c r="B20" s="95">
        <f t="shared" ref="B20:I20" si="4">SUM(B11:B19)</f>
        <v>196556</v>
      </c>
      <c r="C20" s="253">
        <f t="shared" si="4"/>
        <v>0.99299999999999999</v>
      </c>
      <c r="D20" s="256">
        <f t="shared" si="4"/>
        <v>8784558377</v>
      </c>
      <c r="E20" s="254">
        <f t="shared" si="4"/>
        <v>0.999</v>
      </c>
      <c r="F20" s="95">
        <f t="shared" si="4"/>
        <v>229058</v>
      </c>
      <c r="G20" s="253">
        <f t="shared" si="4"/>
        <v>1.0000000000000002</v>
      </c>
      <c r="H20" s="255">
        <f>SUM(H11:H19)</f>
        <v>10417102841.43</v>
      </c>
      <c r="I20" s="254">
        <f t="shared" si="4"/>
        <v>1.0000000000000002</v>
      </c>
      <c r="J20" s="95">
        <f t="shared" si="0"/>
        <v>32502</v>
      </c>
      <c r="K20" s="253">
        <f t="shared" si="1"/>
        <v>0.1653574553816724</v>
      </c>
      <c r="L20" s="256">
        <f t="shared" si="2"/>
        <v>1632544464.4300003</v>
      </c>
      <c r="M20" s="254">
        <f t="shared" si="3"/>
        <v>0.18584251983621378</v>
      </c>
      <c r="N20" s="164"/>
      <c r="O20"/>
      <c r="P20"/>
      <c r="Q20"/>
      <c r="R20"/>
      <c r="S20"/>
    </row>
    <row r="21" spans="1:27" ht="14.25" customHeight="1" x14ac:dyDescent="0.25">
      <c r="A21" s="381" t="s">
        <v>166</v>
      </c>
      <c r="B21" s="381"/>
      <c r="C21" s="381"/>
      <c r="D21" s="381"/>
      <c r="E21" s="381"/>
      <c r="F21" s="381"/>
      <c r="G21" s="381"/>
      <c r="H21" s="381"/>
      <c r="I21" s="381"/>
      <c r="J21" s="165"/>
      <c r="K21" s="165"/>
      <c r="L21" s="165"/>
      <c r="M21" s="165"/>
      <c r="N21" s="165"/>
      <c r="O21" s="165"/>
      <c r="P21" s="165"/>
      <c r="Q21" s="165"/>
      <c r="R21" s="165"/>
      <c r="S21" s="165"/>
      <c r="T21" s="165"/>
      <c r="U21" s="165"/>
      <c r="V21"/>
      <c r="W21"/>
      <c r="X21"/>
      <c r="Y21"/>
      <c r="Z21"/>
      <c r="AA21"/>
    </row>
    <row r="22" spans="1:27" ht="15" customHeight="1" x14ac:dyDescent="0.25">
      <c r="J22"/>
      <c r="K22"/>
      <c r="L22"/>
      <c r="M22"/>
      <c r="N22"/>
      <c r="O22"/>
      <c r="P22"/>
      <c r="Q22"/>
      <c r="R22"/>
      <c r="S22"/>
      <c r="T22"/>
      <c r="U22"/>
      <c r="V22"/>
      <c r="W22"/>
      <c r="X22"/>
      <c r="Y22"/>
      <c r="Z22"/>
      <c r="AA22"/>
    </row>
    <row r="23" spans="1:27" x14ac:dyDescent="0.25">
      <c r="A23"/>
      <c r="B23" s="216"/>
      <c r="C23"/>
      <c r="D23"/>
      <c r="E23"/>
      <c r="F23"/>
      <c r="G23"/>
      <c r="H23"/>
      <c r="I23"/>
      <c r="J23"/>
      <c r="K23"/>
      <c r="L23"/>
      <c r="M23"/>
      <c r="N23"/>
      <c r="O23"/>
      <c r="P23"/>
      <c r="Q23"/>
      <c r="R23"/>
      <c r="S23"/>
      <c r="T23"/>
      <c r="U23"/>
      <c r="V23"/>
      <c r="W23"/>
      <c r="X23"/>
      <c r="Y23"/>
      <c r="Z23"/>
      <c r="AA23"/>
    </row>
    <row r="24" spans="1:27" x14ac:dyDescent="0.25">
      <c r="A24"/>
      <c r="B24" s="216"/>
      <c r="C24" s="74"/>
      <c r="D24"/>
      <c r="E24"/>
      <c r="F24" s="74"/>
      <c r="G24"/>
      <c r="H24"/>
      <c r="I24"/>
      <c r="J24"/>
      <c r="K24"/>
      <c r="L24"/>
      <c r="M24"/>
      <c r="N24"/>
      <c r="O24"/>
      <c r="P24"/>
      <c r="Q24"/>
      <c r="R24"/>
      <c r="S24"/>
      <c r="T24"/>
      <c r="U24"/>
      <c r="V24"/>
      <c r="W24"/>
      <c r="X24"/>
      <c r="Y24"/>
      <c r="Z24"/>
      <c r="AA24"/>
    </row>
    <row r="25" spans="1:27" x14ac:dyDescent="0.25">
      <c r="A25"/>
      <c r="B25" s="216"/>
      <c r="C25"/>
      <c r="D25"/>
      <c r="E25"/>
      <c r="F25"/>
      <c r="G25"/>
      <c r="H25" s="216"/>
      <c r="I25"/>
      <c r="J25"/>
      <c r="K25"/>
      <c r="L25"/>
      <c r="M25"/>
      <c r="N25"/>
      <c r="O25"/>
      <c r="P25"/>
      <c r="Q25"/>
      <c r="R25"/>
      <c r="S25"/>
      <c r="T25"/>
      <c r="U25"/>
      <c r="V25"/>
      <c r="W25"/>
      <c r="X25"/>
      <c r="Y25"/>
      <c r="Z25"/>
      <c r="AA25"/>
    </row>
    <row r="26" spans="1:27" x14ac:dyDescent="0.25">
      <c r="A26"/>
      <c r="B26" s="32"/>
      <c r="C26"/>
      <c r="D26" s="216"/>
      <c r="E26"/>
      <c r="F26" s="174"/>
      <c r="G26"/>
      <c r="H26" s="167"/>
      <c r="I26"/>
      <c r="J26"/>
      <c r="K26"/>
      <c r="L26"/>
      <c r="M26"/>
      <c r="N26"/>
      <c r="O26"/>
      <c r="P26"/>
      <c r="Q26"/>
      <c r="R26"/>
      <c r="S26"/>
      <c r="T26"/>
      <c r="U26"/>
      <c r="V26"/>
      <c r="W26"/>
      <c r="X26"/>
      <c r="Y26"/>
      <c r="Z26"/>
      <c r="AA26"/>
    </row>
    <row r="27" spans="1:27" x14ac:dyDescent="0.25">
      <c r="A27"/>
      <c r="B27"/>
      <c r="C27"/>
      <c r="D27"/>
      <c r="E27"/>
      <c r="F27" s="163"/>
      <c r="G27" s="174"/>
      <c r="H27"/>
      <c r="I27"/>
      <c r="J27"/>
      <c r="K27"/>
      <c r="L27"/>
      <c r="M27"/>
      <c r="N27"/>
      <c r="O27"/>
      <c r="P27"/>
      <c r="Q27"/>
      <c r="R27"/>
      <c r="S27"/>
      <c r="T27"/>
      <c r="U27"/>
      <c r="V27"/>
      <c r="W27"/>
      <c r="X27"/>
      <c r="Y27"/>
      <c r="Z27"/>
      <c r="AA27"/>
    </row>
    <row r="28" spans="1:27" x14ac:dyDescent="0.25">
      <c r="A28"/>
      <c r="B28" s="32"/>
      <c r="C28"/>
      <c r="D28" s="174"/>
      <c r="E28" s="125"/>
      <c r="F28" s="125"/>
      <c r="G28" s="174"/>
      <c r="H28" s="125"/>
      <c r="I28"/>
      <c r="J28"/>
      <c r="K28"/>
      <c r="L28"/>
      <c r="M28"/>
      <c r="N28"/>
      <c r="O28"/>
      <c r="P28"/>
      <c r="Q28"/>
      <c r="R28"/>
      <c r="S28"/>
      <c r="T28"/>
      <c r="U28"/>
      <c r="V28"/>
      <c r="W28"/>
      <c r="X28"/>
      <c r="Y28"/>
      <c r="Z28"/>
      <c r="AA28"/>
    </row>
    <row r="29" spans="1:27" x14ac:dyDescent="0.25">
      <c r="A29"/>
      <c r="B29"/>
      <c r="C29"/>
      <c r="D29"/>
      <c r="E29"/>
      <c r="F29"/>
      <c r="G29" s="174"/>
      <c r="H29" s="74"/>
      <c r="I29"/>
      <c r="J29"/>
      <c r="K29"/>
      <c r="L29"/>
      <c r="M29"/>
      <c r="N29"/>
      <c r="O29"/>
      <c r="P29"/>
      <c r="Q29"/>
      <c r="R29"/>
      <c r="S29"/>
      <c r="T29"/>
      <c r="U29"/>
      <c r="V29"/>
      <c r="W29"/>
      <c r="X29"/>
      <c r="Y29"/>
      <c r="Z29"/>
      <c r="AA29"/>
    </row>
    <row r="30" spans="1:27" x14ac:dyDescent="0.25">
      <c r="A30"/>
      <c r="B30"/>
      <c r="C30"/>
      <c r="D30"/>
      <c r="E30"/>
      <c r="F30"/>
      <c r="G30"/>
      <c r="H30"/>
      <c r="I30"/>
      <c r="J30"/>
      <c r="K30"/>
      <c r="L30"/>
      <c r="M30"/>
      <c r="N30"/>
      <c r="O30"/>
      <c r="P30"/>
      <c r="Q30"/>
      <c r="R30"/>
      <c r="S30"/>
      <c r="T30"/>
      <c r="U30"/>
      <c r="V30"/>
      <c r="W30"/>
      <c r="X30"/>
      <c r="Y30"/>
      <c r="Z30"/>
      <c r="AA30"/>
    </row>
    <row r="31" spans="1:27" ht="16.5" thickBot="1" x14ac:dyDescent="0.3">
      <c r="A31" s="379" t="s">
        <v>167</v>
      </c>
      <c r="B31" s="379"/>
      <c r="C31" s="379"/>
      <c r="D31" s="379"/>
      <c r="E31" s="379"/>
      <c r="F31" s="379"/>
      <c r="G31" s="379"/>
      <c r="H31" s="379"/>
      <c r="I31" s="379"/>
      <c r="J31" s="379"/>
      <c r="K31" s="379"/>
      <c r="L31" s="379"/>
      <c r="M31" s="379"/>
      <c r="N31"/>
      <c r="O31"/>
      <c r="P31"/>
      <c r="Q31"/>
      <c r="R31"/>
    </row>
    <row r="32" spans="1:27" ht="34.5" customHeight="1" x14ac:dyDescent="0.25">
      <c r="A32" s="158"/>
      <c r="B32" s="374" t="s">
        <v>284</v>
      </c>
      <c r="C32" s="377"/>
      <c r="D32" s="377"/>
      <c r="E32" s="378"/>
      <c r="F32" s="374" t="s">
        <v>283</v>
      </c>
      <c r="G32" s="377"/>
      <c r="H32" s="377"/>
      <c r="I32" s="378"/>
      <c r="J32" s="377" t="s">
        <v>79</v>
      </c>
      <c r="K32" s="375"/>
      <c r="L32" s="375"/>
      <c r="M32" s="376"/>
      <c r="N32"/>
      <c r="O32"/>
      <c r="P32"/>
      <c r="Q32"/>
      <c r="R32"/>
      <c r="S32"/>
    </row>
    <row r="33" spans="1:27" ht="45" x14ac:dyDescent="0.25">
      <c r="A33" s="105" t="s">
        <v>129</v>
      </c>
      <c r="B33" s="166" t="s">
        <v>150</v>
      </c>
      <c r="C33" s="54" t="s">
        <v>50</v>
      </c>
      <c r="D33" s="54" t="s">
        <v>7</v>
      </c>
      <c r="E33" s="91" t="s">
        <v>50</v>
      </c>
      <c r="F33" s="54" t="s">
        <v>150</v>
      </c>
      <c r="G33" s="54" t="s">
        <v>50</v>
      </c>
      <c r="H33" s="54" t="s">
        <v>7</v>
      </c>
      <c r="I33" s="91" t="s">
        <v>50</v>
      </c>
      <c r="J33" s="119" t="s">
        <v>154</v>
      </c>
      <c r="K33" s="119" t="s">
        <v>155</v>
      </c>
      <c r="L33" s="119" t="s">
        <v>156</v>
      </c>
      <c r="M33" s="120" t="s">
        <v>155</v>
      </c>
      <c r="N33"/>
      <c r="O33"/>
      <c r="P33"/>
      <c r="Q33"/>
      <c r="R33"/>
      <c r="S33"/>
    </row>
    <row r="34" spans="1:27" outlineLevel="1" x14ac:dyDescent="0.25">
      <c r="A34" s="106" t="s">
        <v>168</v>
      </c>
      <c r="B34" s="163">
        <v>35</v>
      </c>
      <c r="C34" s="82">
        <f>B34/$B$47</f>
        <v>2.0297385696722262E-4</v>
      </c>
      <c r="D34" s="163">
        <v>507379.04</v>
      </c>
      <c r="E34" s="121">
        <f>D34/D47</f>
        <v>7.3480161865553412E-5</v>
      </c>
      <c r="F34" s="163">
        <v>38</v>
      </c>
      <c r="G34" s="84">
        <f>F34/$F$47</f>
        <v>2.4202434255361159E-4</v>
      </c>
      <c r="H34" s="167">
        <v>564379.04</v>
      </c>
      <c r="I34" s="108">
        <f>H34/H47</f>
        <v>7.5883901315209999E-5</v>
      </c>
      <c r="J34" s="163">
        <f>+F34-B34</f>
        <v>3</v>
      </c>
      <c r="K34" s="82">
        <f>+(F34-B34)/B34</f>
        <v>8.5714285714285715E-2</v>
      </c>
      <c r="L34" s="167">
        <f>+H34-D34</f>
        <v>57000.000000000058</v>
      </c>
      <c r="M34" s="121">
        <f>+(H34-D34)/D34</f>
        <v>0.11234204708180311</v>
      </c>
      <c r="N34"/>
      <c r="O34"/>
      <c r="P34"/>
      <c r="Q34"/>
      <c r="R34"/>
      <c r="S34"/>
    </row>
    <row r="35" spans="1:27" outlineLevel="1" x14ac:dyDescent="0.25">
      <c r="A35" s="106" t="s">
        <v>169</v>
      </c>
      <c r="B35" s="163">
        <v>0</v>
      </c>
      <c r="C35" s="82">
        <f t="shared" ref="C35:C46" si="5">B35/$B$47</f>
        <v>0</v>
      </c>
      <c r="D35" s="163">
        <v>0</v>
      </c>
      <c r="E35" s="121">
        <f>D35/D47</f>
        <v>0</v>
      </c>
      <c r="F35" s="163">
        <v>0</v>
      </c>
      <c r="G35" s="84">
        <f>F35/$F$47</f>
        <v>0</v>
      </c>
      <c r="H35" s="167">
        <v>0</v>
      </c>
      <c r="I35" s="109">
        <f>H35/H47</f>
        <v>0</v>
      </c>
      <c r="J35" s="163">
        <f>+F35-B35</f>
        <v>0</v>
      </c>
      <c r="K35" s="82" t="e">
        <f>+(F35-B35)/B35</f>
        <v>#DIV/0!</v>
      </c>
      <c r="L35" s="167">
        <f>+H35-D35</f>
        <v>0</v>
      </c>
      <c r="M35" s="121" t="e">
        <f t="shared" ref="M35:M47" si="6">+(H35-D35)/D35</f>
        <v>#DIV/0!</v>
      </c>
      <c r="N35"/>
      <c r="O35"/>
      <c r="P35"/>
      <c r="Q35"/>
      <c r="R35"/>
      <c r="S35"/>
    </row>
    <row r="36" spans="1:27" outlineLevel="1" x14ac:dyDescent="0.25">
      <c r="A36" s="107" t="s">
        <v>170</v>
      </c>
      <c r="B36" s="163">
        <f>13+B18</f>
        <v>28494</v>
      </c>
      <c r="C36" s="82">
        <f t="shared" si="5"/>
        <v>0.16524391658354404</v>
      </c>
      <c r="D36" s="163">
        <f>300149.37+D18</f>
        <v>476796149.37</v>
      </c>
      <c r="E36" s="121">
        <f>D36/D47</f>
        <v>6.90510554645304E-2</v>
      </c>
      <c r="F36" s="163">
        <v>12</v>
      </c>
      <c r="G36" s="84">
        <f>F36/$F$47</f>
        <v>7.6428739753772081E-5</v>
      </c>
      <c r="H36" s="167">
        <v>276129.69</v>
      </c>
      <c r="I36" s="93">
        <f>H36/H47</f>
        <v>3.7127172805991391E-5</v>
      </c>
      <c r="J36" s="163">
        <f t="shared" ref="J36:J47" si="7">+F36-B36</f>
        <v>-28482</v>
      </c>
      <c r="K36" s="82">
        <f t="shared" ref="K36:K47" si="8">+(F36-B36)/B36</f>
        <v>-0.99957885870709628</v>
      </c>
      <c r="L36" s="167">
        <f t="shared" ref="L36:L47" si="9">+H36-D36</f>
        <v>-476520019.68000001</v>
      </c>
      <c r="M36" s="121">
        <f t="shared" si="6"/>
        <v>-0.99942086426166643</v>
      </c>
      <c r="N36"/>
      <c r="O36"/>
      <c r="P36"/>
      <c r="Q36"/>
      <c r="R36"/>
      <c r="S36"/>
    </row>
    <row r="37" spans="1:27" outlineLevel="1" x14ac:dyDescent="0.25">
      <c r="A37" s="107" t="s">
        <v>171</v>
      </c>
      <c r="B37" s="163">
        <v>121168</v>
      </c>
      <c r="C37" s="82">
        <f t="shared" si="5"/>
        <v>0.70268389431441225</v>
      </c>
      <c r="D37" s="163">
        <v>3757304665.5199995</v>
      </c>
      <c r="E37" s="121">
        <f>D37/D47</f>
        <v>0.54414418656436536</v>
      </c>
      <c r="F37" s="163">
        <v>128875</v>
      </c>
      <c r="G37" s="84">
        <f t="shared" ref="G37:G46" si="10">F37/$F$47</f>
        <v>0.82081281964728137</v>
      </c>
      <c r="H37" s="167">
        <v>3979738274.52</v>
      </c>
      <c r="I37" s="93">
        <f>H37/H47</f>
        <v>0.53509794850645009</v>
      </c>
      <c r="J37" s="163">
        <f t="shared" si="7"/>
        <v>7707</v>
      </c>
      <c r="K37" s="82">
        <f t="shared" si="8"/>
        <v>6.360590254852766E-2</v>
      </c>
      <c r="L37" s="167">
        <f t="shared" si="9"/>
        <v>222433609.00000048</v>
      </c>
      <c r="M37" s="121">
        <f t="shared" si="6"/>
        <v>5.9200312138972193E-2</v>
      </c>
      <c r="N37"/>
      <c r="O37"/>
      <c r="P37"/>
      <c r="Q37"/>
      <c r="R37"/>
      <c r="S37"/>
    </row>
    <row r="38" spans="1:27" ht="15" customHeight="1" outlineLevel="1" x14ac:dyDescent="0.25">
      <c r="A38" s="107" t="s">
        <v>172</v>
      </c>
      <c r="B38" s="163">
        <v>8817</v>
      </c>
      <c r="C38" s="82">
        <f t="shared" si="5"/>
        <v>5.1132014196571485E-2</v>
      </c>
      <c r="D38" s="163">
        <v>610457118.84000003</v>
      </c>
      <c r="E38" s="121">
        <f>D38/D47</f>
        <v>8.8408239931122456E-2</v>
      </c>
      <c r="F38" s="163">
        <v>9993</v>
      </c>
      <c r="G38" s="84">
        <f t="shared" si="10"/>
        <v>6.3646033029953697E-2</v>
      </c>
      <c r="H38" s="167">
        <v>681234746.97000003</v>
      </c>
      <c r="I38" s="93">
        <f>H38/H47</f>
        <v>9.1595801133159599E-2</v>
      </c>
      <c r="J38" s="163">
        <f t="shared" si="7"/>
        <v>1176</v>
      </c>
      <c r="K38" s="82">
        <f t="shared" si="8"/>
        <v>0.13337870023817625</v>
      </c>
      <c r="L38" s="167">
        <f t="shared" si="9"/>
        <v>70777628.129999995</v>
      </c>
      <c r="M38" s="121">
        <f t="shared" si="6"/>
        <v>0.1159420145095412</v>
      </c>
      <c r="N38"/>
      <c r="O38"/>
      <c r="P38"/>
      <c r="Q38"/>
      <c r="R38"/>
      <c r="S38"/>
    </row>
    <row r="39" spans="1:27" outlineLevel="1" x14ac:dyDescent="0.25">
      <c r="A39" s="107" t="s">
        <v>173</v>
      </c>
      <c r="B39" s="163">
        <v>5116</v>
      </c>
      <c r="C39" s="82">
        <f t="shared" si="5"/>
        <v>2.9668978635551742E-2</v>
      </c>
      <c r="D39" s="163">
        <v>505233848.44999999</v>
      </c>
      <c r="E39" s="121">
        <f>D39/D47</f>
        <v>7.3169488759453852E-2</v>
      </c>
      <c r="F39" s="163">
        <v>6054</v>
      </c>
      <c r="G39" s="84">
        <f t="shared" si="10"/>
        <v>3.855829920577801E-2</v>
      </c>
      <c r="H39" s="167">
        <v>584389407.32000005</v>
      </c>
      <c r="I39" s="93">
        <f>H39/H47</f>
        <v>7.857440651007333E-2</v>
      </c>
      <c r="J39" s="163">
        <f t="shared" si="7"/>
        <v>938</v>
      </c>
      <c r="K39" s="82">
        <f t="shared" si="8"/>
        <v>0.18334636434714621</v>
      </c>
      <c r="L39" s="167">
        <f t="shared" si="9"/>
        <v>79155558.870000064</v>
      </c>
      <c r="M39" s="121">
        <f t="shared" si="6"/>
        <v>0.15667113181913744</v>
      </c>
      <c r="N39"/>
      <c r="O39"/>
      <c r="P39"/>
      <c r="Q39"/>
      <c r="R39"/>
      <c r="S39"/>
    </row>
    <row r="40" spans="1:27" outlineLevel="1" x14ac:dyDescent="0.25">
      <c r="A40" s="107" t="s">
        <v>174</v>
      </c>
      <c r="B40" s="163">
        <v>2264</v>
      </c>
      <c r="C40" s="82">
        <f t="shared" si="5"/>
        <v>1.3129508919251201E-2</v>
      </c>
      <c r="D40" s="163">
        <v>287213827.44</v>
      </c>
      <c r="E40" s="121">
        <f>D40/D47</f>
        <v>4.1595172181957553E-2</v>
      </c>
      <c r="F40" s="163">
        <v>3201</v>
      </c>
      <c r="G40" s="84">
        <f t="shared" si="10"/>
        <v>2.0387366329318701E-2</v>
      </c>
      <c r="H40" s="167">
        <v>401228448</v>
      </c>
      <c r="I40" s="93">
        <f>H40/H47</f>
        <v>5.394739668731649E-2</v>
      </c>
      <c r="J40" s="163">
        <f t="shared" si="7"/>
        <v>937</v>
      </c>
      <c r="K40" s="82">
        <f t="shared" si="8"/>
        <v>0.41386925795053003</v>
      </c>
      <c r="L40" s="167">
        <f t="shared" si="9"/>
        <v>114014620.56</v>
      </c>
      <c r="M40" s="121">
        <f t="shared" si="6"/>
        <v>0.3969677281077913</v>
      </c>
      <c r="N40"/>
      <c r="O40"/>
      <c r="P40"/>
      <c r="Q40"/>
      <c r="R40"/>
      <c r="S40"/>
    </row>
    <row r="41" spans="1:27" outlineLevel="1" x14ac:dyDescent="0.25">
      <c r="A41" s="107" t="s">
        <v>175</v>
      </c>
      <c r="B41" s="163">
        <v>3515</v>
      </c>
      <c r="C41" s="82">
        <f t="shared" si="5"/>
        <v>2.0384374492565357E-2</v>
      </c>
      <c r="D41" s="163">
        <v>524500184.10000002</v>
      </c>
      <c r="E41" s="121">
        <f>D41/D47</f>
        <v>7.595969755900947E-2</v>
      </c>
      <c r="F41" s="163">
        <v>4374</v>
      </c>
      <c r="G41" s="84">
        <f t="shared" si="10"/>
        <v>2.7858275640249921E-2</v>
      </c>
      <c r="H41" s="167">
        <v>662349839.87</v>
      </c>
      <c r="I41" s="93">
        <f>H41/H47</f>
        <v>8.9056620325305161E-2</v>
      </c>
      <c r="J41" s="163">
        <f t="shared" si="7"/>
        <v>859</v>
      </c>
      <c r="K41" s="82">
        <f t="shared" si="8"/>
        <v>0.24438122332859175</v>
      </c>
      <c r="L41" s="167">
        <f t="shared" si="9"/>
        <v>137849655.76999998</v>
      </c>
      <c r="M41" s="121">
        <f t="shared" si="6"/>
        <v>0.26282098643404456</v>
      </c>
      <c r="N41"/>
      <c r="O41"/>
      <c r="P41"/>
      <c r="Q41"/>
      <c r="R41"/>
      <c r="S41"/>
    </row>
    <row r="42" spans="1:27" outlineLevel="1" x14ac:dyDescent="0.25">
      <c r="A42" s="107" t="s">
        <v>176</v>
      </c>
      <c r="B42" s="163">
        <v>974</v>
      </c>
      <c r="C42" s="82">
        <f t="shared" si="5"/>
        <v>5.6484724767449949E-3</v>
      </c>
      <c r="D42" s="163">
        <v>185433663.54000002</v>
      </c>
      <c r="E42" s="121">
        <f>D42/D47</f>
        <v>2.6855062070048799E-2</v>
      </c>
      <c r="F42" s="163">
        <v>1229</v>
      </c>
      <c r="G42" s="84">
        <f t="shared" si="10"/>
        <v>7.8275767631154902E-3</v>
      </c>
      <c r="H42" s="167">
        <v>230992855.56999999</v>
      </c>
      <c r="I42" s="93">
        <f>H42/H47</f>
        <v>3.105827434093306E-2</v>
      </c>
      <c r="J42" s="163">
        <f t="shared" si="7"/>
        <v>255</v>
      </c>
      <c r="K42" s="82">
        <f t="shared" si="8"/>
        <v>0.26180698151950721</v>
      </c>
      <c r="L42" s="167">
        <f t="shared" si="9"/>
        <v>45559192.029999971</v>
      </c>
      <c r="M42" s="121">
        <f t="shared" si="6"/>
        <v>0.24568997430270997</v>
      </c>
      <c r="N42"/>
      <c r="O42"/>
      <c r="P42"/>
      <c r="Q42"/>
      <c r="R42"/>
      <c r="S42"/>
    </row>
    <row r="43" spans="1:27" ht="15" customHeight="1" outlineLevel="1" x14ac:dyDescent="0.25">
      <c r="A43" s="107" t="s">
        <v>177</v>
      </c>
      <c r="B43" s="163">
        <v>575</v>
      </c>
      <c r="C43" s="82">
        <f t="shared" si="5"/>
        <v>3.3345705073186574E-3</v>
      </c>
      <c r="D43" s="163">
        <v>117944175.16</v>
      </c>
      <c r="E43" s="121">
        <f>D43/D47</f>
        <v>1.7081030942578915E-2</v>
      </c>
      <c r="F43" s="163">
        <v>932</v>
      </c>
      <c r="G43" s="84">
        <f t="shared" si="10"/>
        <v>5.9359654542096314E-3</v>
      </c>
      <c r="H43" s="167">
        <v>202396756.28999999</v>
      </c>
      <c r="I43" s="93">
        <f>H43/H47</f>
        <v>2.721336972547557E-2</v>
      </c>
      <c r="J43" s="163">
        <f t="shared" si="7"/>
        <v>357</v>
      </c>
      <c r="K43" s="82">
        <f t="shared" si="8"/>
        <v>0.62086956521739134</v>
      </c>
      <c r="L43" s="167">
        <f t="shared" si="9"/>
        <v>84452581.129999995</v>
      </c>
      <c r="M43" s="121">
        <f t="shared" si="6"/>
        <v>0.71603859211727772</v>
      </c>
      <c r="N43"/>
      <c r="O43"/>
      <c r="P43"/>
      <c r="Q43"/>
      <c r="R43"/>
      <c r="S43"/>
    </row>
    <row r="44" spans="1:27" outlineLevel="1" x14ac:dyDescent="0.25">
      <c r="A44" s="107" t="s">
        <v>178</v>
      </c>
      <c r="B44" s="163">
        <v>614</v>
      </c>
      <c r="C44" s="82">
        <f t="shared" si="5"/>
        <v>3.5607413765107055E-3</v>
      </c>
      <c r="D44" s="163">
        <v>142943487.50999999</v>
      </c>
      <c r="E44" s="121">
        <f>D44/D47</f>
        <v>2.0701506707611558E-2</v>
      </c>
      <c r="F44" s="163">
        <v>972</v>
      </c>
      <c r="G44" s="84">
        <f t="shared" si="10"/>
        <v>6.1907279200555379E-3</v>
      </c>
      <c r="H44" s="167">
        <v>235868211.49000001</v>
      </c>
      <c r="I44" s="93">
        <f>H44/H47</f>
        <v>3.1713793063793155E-2</v>
      </c>
      <c r="J44" s="163">
        <f t="shared" si="7"/>
        <v>358</v>
      </c>
      <c r="K44" s="82">
        <f t="shared" si="8"/>
        <v>0.58306188925081437</v>
      </c>
      <c r="L44" s="167">
        <f t="shared" si="9"/>
        <v>92924723.980000019</v>
      </c>
      <c r="M44" s="121">
        <f t="shared" si="6"/>
        <v>0.65008015124508012</v>
      </c>
      <c r="N44"/>
      <c r="O44"/>
      <c r="P44"/>
      <c r="Q44"/>
      <c r="R44"/>
      <c r="S44"/>
    </row>
    <row r="45" spans="1:27" outlineLevel="1" x14ac:dyDescent="0.25">
      <c r="A45" s="107" t="s">
        <v>179</v>
      </c>
      <c r="B45" s="163">
        <v>386</v>
      </c>
      <c r="C45" s="82">
        <f t="shared" si="5"/>
        <v>2.2385116796956551E-3</v>
      </c>
      <c r="D45" s="163">
        <v>105976702.34999999</v>
      </c>
      <c r="E45" s="121">
        <f>D45/D47</f>
        <v>1.5347865459037439E-2</v>
      </c>
      <c r="F45" s="163">
        <v>612</v>
      </c>
      <c r="G45" s="84">
        <f t="shared" si="10"/>
        <v>3.8978657274423758E-3</v>
      </c>
      <c r="H45" s="167">
        <v>166697985.65000001</v>
      </c>
      <c r="I45" s="93">
        <f>H45/H47</f>
        <v>2.2413471436694195E-2</v>
      </c>
      <c r="J45" s="163">
        <f t="shared" si="7"/>
        <v>226</v>
      </c>
      <c r="K45" s="82">
        <f t="shared" si="8"/>
        <v>0.58549222797927458</v>
      </c>
      <c r="L45" s="167">
        <f t="shared" si="9"/>
        <v>60721283.300000012</v>
      </c>
      <c r="M45" s="121">
        <f t="shared" si="6"/>
        <v>0.57296822748325515</v>
      </c>
      <c r="N45"/>
      <c r="O45"/>
      <c r="P45"/>
      <c r="Q45"/>
      <c r="R45"/>
      <c r="S45"/>
    </row>
    <row r="46" spans="1:27" outlineLevel="1" x14ac:dyDescent="0.25">
      <c r="A46" s="107" t="s">
        <v>138</v>
      </c>
      <c r="B46" s="163">
        <v>478</v>
      </c>
      <c r="C46" s="82">
        <f t="shared" si="5"/>
        <v>2.7720429608666403E-3</v>
      </c>
      <c r="D46" s="163">
        <v>190668688.74000001</v>
      </c>
      <c r="E46" s="121">
        <f>D46/D47</f>
        <v>2.7613214198418647E-2</v>
      </c>
      <c r="F46" s="163">
        <v>717</v>
      </c>
      <c r="G46" s="84">
        <f t="shared" si="10"/>
        <v>4.566617200287882E-3</v>
      </c>
      <c r="H46" s="167">
        <v>291664446.25</v>
      </c>
      <c r="I46" s="94">
        <f>H46/H47</f>
        <v>3.9215907196678258E-2</v>
      </c>
      <c r="J46" s="163">
        <f t="shared" si="7"/>
        <v>239</v>
      </c>
      <c r="K46" s="82">
        <f t="shared" si="8"/>
        <v>0.5</v>
      </c>
      <c r="L46" s="167">
        <f t="shared" si="9"/>
        <v>100995757.50999999</v>
      </c>
      <c r="M46" s="121">
        <f t="shared" si="6"/>
        <v>0.52969241136241307</v>
      </c>
      <c r="N46"/>
      <c r="O46"/>
      <c r="P46"/>
      <c r="Q46"/>
      <c r="R46"/>
      <c r="S46"/>
    </row>
    <row r="47" spans="1:27" ht="15.75" thickBot="1" x14ac:dyDescent="0.3">
      <c r="A47" s="101" t="s">
        <v>165</v>
      </c>
      <c r="B47" s="95">
        <f t="shared" ref="B47:I47" si="11">SUM(B34:B46)</f>
        <v>172436</v>
      </c>
      <c r="C47" s="96">
        <f t="shared" si="11"/>
        <v>1.0000000000000002</v>
      </c>
      <c r="D47" s="256">
        <f>SUM(D34:D46)</f>
        <v>6904979890.0599995</v>
      </c>
      <c r="E47" s="98">
        <f t="shared" si="11"/>
        <v>1</v>
      </c>
      <c r="F47" s="97">
        <f>SUM(F34:F46)</f>
        <v>157009</v>
      </c>
      <c r="G47" s="337">
        <f t="shared" si="11"/>
        <v>0.99999999999999989</v>
      </c>
      <c r="H47" s="256">
        <f>SUM(H34:H46)</f>
        <v>7437401480.6599989</v>
      </c>
      <c r="I47" s="98">
        <f t="shared" si="11"/>
        <v>1.0000000000000002</v>
      </c>
      <c r="J47" s="97">
        <f t="shared" si="7"/>
        <v>-15427</v>
      </c>
      <c r="K47" s="96">
        <f t="shared" si="8"/>
        <v>-8.9465076898095519E-2</v>
      </c>
      <c r="L47" s="256">
        <f t="shared" si="9"/>
        <v>532421590.59999943</v>
      </c>
      <c r="M47" s="98">
        <f t="shared" si="6"/>
        <v>7.7106899524275518E-2</v>
      </c>
      <c r="N47"/>
      <c r="O47" s="74"/>
      <c r="P47" s="74"/>
      <c r="Q47"/>
      <c r="R47"/>
      <c r="S47"/>
    </row>
    <row r="48" spans="1:27" ht="13.5" customHeight="1" x14ac:dyDescent="0.25">
      <c r="A48" s="168" t="s">
        <v>180</v>
      </c>
      <c r="B48" s="134"/>
      <c r="C48" s="134"/>
      <c r="D48" s="134"/>
      <c r="E48"/>
      <c r="F48" s="134"/>
      <c r="G48" s="134"/>
      <c r="H48" s="134"/>
      <c r="I48"/>
      <c r="J48"/>
      <c r="K48"/>
      <c r="L48"/>
      <c r="M48"/>
      <c r="N48"/>
      <c r="O48"/>
      <c r="P48"/>
      <c r="Q48"/>
      <c r="R48" s="134"/>
      <c r="S48" s="134"/>
      <c r="T48" s="134"/>
      <c r="U48"/>
      <c r="V48"/>
      <c r="W48"/>
      <c r="X48"/>
      <c r="Y48"/>
      <c r="Z48"/>
      <c r="AA48"/>
    </row>
    <row r="49" spans="1:27" ht="13.5" customHeight="1" x14ac:dyDescent="0.25">
      <c r="A49" s="168" t="s">
        <v>181</v>
      </c>
      <c r="B49" s="134"/>
      <c r="C49" s="134"/>
      <c r="D49" s="134"/>
      <c r="E49"/>
      <c r="F49"/>
      <c r="G49"/>
      <c r="H49"/>
      <c r="I49"/>
      <c r="J49"/>
      <c r="K49"/>
      <c r="L49"/>
      <c r="M49"/>
      <c r="N49"/>
      <c r="O49"/>
      <c r="P49"/>
      <c r="Q49"/>
      <c r="R49" s="134"/>
      <c r="S49" s="134"/>
      <c r="T49" s="134"/>
      <c r="U49"/>
      <c r="V49"/>
      <c r="W49"/>
      <c r="X49"/>
      <c r="Y49"/>
      <c r="Z49"/>
      <c r="AA49"/>
    </row>
    <row r="50" spans="1:27" ht="14.25" customHeight="1" x14ac:dyDescent="0.25">
      <c r="A50" s="138" t="s">
        <v>182</v>
      </c>
      <c r="B50"/>
      <c r="C50"/>
      <c r="D50"/>
      <c r="E50"/>
      <c r="F50"/>
      <c r="G50"/>
      <c r="H50"/>
      <c r="I50"/>
      <c r="J50"/>
      <c r="K50"/>
      <c r="L50" s="74"/>
      <c r="M50" s="74"/>
      <c r="N50" s="74"/>
      <c r="O50"/>
      <c r="P50"/>
      <c r="Q50"/>
      <c r="R50"/>
      <c r="S50"/>
      <c r="T50"/>
      <c r="U50"/>
      <c r="V50"/>
      <c r="W50"/>
      <c r="X50"/>
      <c r="Y50"/>
      <c r="Z50"/>
      <c r="AA50"/>
    </row>
    <row r="51" spans="1:27" x14ac:dyDescent="0.25">
      <c r="A51"/>
      <c r="B51"/>
      <c r="C51"/>
      <c r="D51"/>
      <c r="E51"/>
      <c r="F51"/>
      <c r="G51"/>
      <c r="H51"/>
      <c r="I51"/>
      <c r="J51"/>
      <c r="K51"/>
      <c r="L51"/>
      <c r="M51" s="167"/>
      <c r="N51" s="104"/>
      <c r="O51"/>
      <c r="P51"/>
      <c r="Q51"/>
      <c r="R51"/>
      <c r="S51"/>
      <c r="T51"/>
      <c r="U51"/>
      <c r="V51"/>
      <c r="W51"/>
      <c r="X51"/>
      <c r="Y51"/>
      <c r="Z51"/>
      <c r="AA51"/>
    </row>
    <row r="52" spans="1:27" x14ac:dyDescent="0.25">
      <c r="A52"/>
      <c r="B52"/>
      <c r="C52"/>
      <c r="D52"/>
      <c r="E52"/>
      <c r="F52"/>
      <c r="G52"/>
      <c r="H52"/>
      <c r="I52"/>
      <c r="J52"/>
      <c r="K52"/>
      <c r="L52"/>
      <c r="M52"/>
      <c r="N52"/>
      <c r="O52"/>
      <c r="P52"/>
      <c r="Q52"/>
      <c r="R52"/>
      <c r="S52"/>
      <c r="T52"/>
      <c r="U52"/>
      <c r="V52"/>
      <c r="W52"/>
      <c r="X52"/>
      <c r="Y52"/>
      <c r="Z52"/>
      <c r="AA52"/>
    </row>
    <row r="53" spans="1:27" ht="16.5" thickBot="1" x14ac:dyDescent="0.3">
      <c r="A53" s="379" t="s">
        <v>183</v>
      </c>
      <c r="B53" s="379"/>
      <c r="C53" s="379"/>
      <c r="D53" s="379"/>
      <c r="E53" s="379"/>
      <c r="F53" s="379"/>
      <c r="G53" s="379"/>
      <c r="H53" s="379"/>
      <c r="I53" s="379"/>
      <c r="J53" s="379"/>
      <c r="K53" s="379"/>
      <c r="L53" s="379"/>
      <c r="M53" s="379"/>
      <c r="N53"/>
      <c r="O53"/>
      <c r="P53"/>
      <c r="Q53"/>
      <c r="R53"/>
      <c r="S53"/>
    </row>
    <row r="54" spans="1:27" ht="33" customHeight="1" x14ac:dyDescent="0.25">
      <c r="A54" s="158"/>
      <c r="B54" s="374" t="s">
        <v>284</v>
      </c>
      <c r="C54" s="377"/>
      <c r="D54" s="377"/>
      <c r="E54" s="378"/>
      <c r="F54" s="374" t="s">
        <v>283</v>
      </c>
      <c r="G54" s="377"/>
      <c r="H54" s="377"/>
      <c r="I54" s="378"/>
      <c r="J54" s="374" t="s">
        <v>79</v>
      </c>
      <c r="K54" s="375"/>
      <c r="L54" s="375"/>
      <c r="M54" s="376"/>
      <c r="N54"/>
      <c r="O54"/>
      <c r="P54"/>
      <c r="Q54"/>
      <c r="R54"/>
      <c r="S54"/>
    </row>
    <row r="55" spans="1:27" ht="45" x14ac:dyDescent="0.25">
      <c r="A55" s="111" t="s">
        <v>129</v>
      </c>
      <c r="B55" s="166" t="s">
        <v>108</v>
      </c>
      <c r="C55" s="54" t="s">
        <v>50</v>
      </c>
      <c r="D55" s="54" t="s">
        <v>7</v>
      </c>
      <c r="E55" s="91" t="s">
        <v>50</v>
      </c>
      <c r="F55" s="54" t="s">
        <v>184</v>
      </c>
      <c r="G55" s="54" t="s">
        <v>50</v>
      </c>
      <c r="H55" s="54" t="s">
        <v>7</v>
      </c>
      <c r="I55" s="91" t="s">
        <v>50</v>
      </c>
      <c r="J55" s="161" t="s">
        <v>154</v>
      </c>
      <c r="K55" s="119" t="s">
        <v>155</v>
      </c>
      <c r="L55" s="119" t="s">
        <v>156</v>
      </c>
      <c r="M55" s="120" t="s">
        <v>155</v>
      </c>
      <c r="N55"/>
      <c r="O55"/>
      <c r="P55"/>
      <c r="Q55"/>
      <c r="R55"/>
      <c r="S55"/>
    </row>
    <row r="56" spans="1:27" ht="0.75" hidden="1" customHeight="1" outlineLevel="1" x14ac:dyDescent="0.25">
      <c r="A56" s="112" t="s">
        <v>185</v>
      </c>
      <c r="B56" s="162">
        <v>0</v>
      </c>
      <c r="C56" s="83">
        <f t="shared" ref="C56" si="12">B56/$F$68</f>
        <v>0</v>
      </c>
      <c r="D56" s="167">
        <v>0</v>
      </c>
      <c r="E56" s="113">
        <f>D56/D68</f>
        <v>0</v>
      </c>
      <c r="F56" s="163">
        <v>0</v>
      </c>
      <c r="G56" s="83">
        <f t="shared" ref="G56:G67" si="13">F56/$F$68</f>
        <v>0</v>
      </c>
      <c r="H56" s="167">
        <v>0</v>
      </c>
      <c r="I56" s="113">
        <f>H56/H68</f>
        <v>0</v>
      </c>
      <c r="J56" s="162">
        <f>+F56-B56</f>
        <v>0</v>
      </c>
      <c r="K56" s="83"/>
      <c r="L56" s="167">
        <f>+H56-D56</f>
        <v>0</v>
      </c>
      <c r="M56" s="113"/>
      <c r="N56"/>
      <c r="O56"/>
      <c r="P56"/>
      <c r="Q56"/>
      <c r="R56"/>
      <c r="S56"/>
    </row>
    <row r="57" spans="1:27" ht="18" customHeight="1" outlineLevel="1" collapsed="1" x14ac:dyDescent="0.25">
      <c r="A57" s="218" t="s">
        <v>186</v>
      </c>
      <c r="B57" s="163">
        <v>1</v>
      </c>
      <c r="C57" s="82">
        <f>B57/$B$68</f>
        <v>7.6062401594267934E-6</v>
      </c>
      <c r="D57" s="167">
        <v>30000</v>
      </c>
      <c r="E57" s="219">
        <v>0</v>
      </c>
      <c r="F57" s="163">
        <v>1</v>
      </c>
      <c r="G57" s="84">
        <f t="shared" si="13"/>
        <v>6.9290465631929047E-6</v>
      </c>
      <c r="H57" s="167">
        <v>30000</v>
      </c>
      <c r="I57" s="108">
        <f>H57/H68</f>
        <v>4.0337021295206682E-6</v>
      </c>
      <c r="J57" s="162">
        <f>+F57-B57</f>
        <v>0</v>
      </c>
      <c r="K57" s="220">
        <f>J57/J68</f>
        <v>0</v>
      </c>
      <c r="L57" s="167">
        <f>+H57-D57</f>
        <v>0</v>
      </c>
      <c r="M57" s="108">
        <f>L57/L68</f>
        <v>0</v>
      </c>
      <c r="N57"/>
      <c r="O57"/>
      <c r="P57"/>
      <c r="Q57"/>
      <c r="R57"/>
      <c r="S57"/>
    </row>
    <row r="58" spans="1:27" outlineLevel="1" x14ac:dyDescent="0.25">
      <c r="A58" s="106" t="s">
        <v>139</v>
      </c>
      <c r="B58" s="162">
        <v>7</v>
      </c>
      <c r="C58" s="82">
        <f>B58/$B$68</f>
        <v>5.3243681115987557E-5</v>
      </c>
      <c r="D58" s="167">
        <v>237922.05</v>
      </c>
      <c r="E58" s="121">
        <f>D58/D68</f>
        <v>3.7766229677430534E-5</v>
      </c>
      <c r="F58" s="162">
        <v>8</v>
      </c>
      <c r="G58" s="84">
        <f t="shared" si="13"/>
        <v>5.5432372505543237E-5</v>
      </c>
      <c r="H58" s="163">
        <v>520186.5</v>
      </c>
      <c r="I58" s="108">
        <f>H58/H68</f>
        <v>6.9942579759930102E-5</v>
      </c>
      <c r="J58" s="162">
        <f>+F58-B58</f>
        <v>1</v>
      </c>
      <c r="K58" s="84">
        <f>+(F58-B58)/B58</f>
        <v>0.14285714285714285</v>
      </c>
      <c r="L58" s="167">
        <f>+H58-D58</f>
        <v>282264.45</v>
      </c>
      <c r="M58" s="122">
        <f>+(H58-D58)/D58</f>
        <v>1.1863736463266017</v>
      </c>
      <c r="N58"/>
      <c r="O58"/>
      <c r="P58"/>
      <c r="Q58"/>
      <c r="R58"/>
      <c r="S58"/>
    </row>
    <row r="59" spans="1:27" outlineLevel="1" x14ac:dyDescent="0.25">
      <c r="A59" s="106" t="s">
        <v>140</v>
      </c>
      <c r="B59" s="162">
        <v>62</v>
      </c>
      <c r="C59" s="82">
        <f t="shared" ref="C59:C66" si="14">B59/$B$68</f>
        <v>4.7158688988446123E-4</v>
      </c>
      <c r="D59" s="167">
        <v>3172590.91</v>
      </c>
      <c r="E59" s="121">
        <f>D59/D68</f>
        <v>5.0359685863327237E-4</v>
      </c>
      <c r="F59" s="162">
        <v>65</v>
      </c>
      <c r="G59" s="84">
        <f t="shared" si="13"/>
        <v>4.5038802660753879E-4</v>
      </c>
      <c r="H59" s="163">
        <v>3630810.52</v>
      </c>
      <c r="I59" s="108">
        <f>H59/H68</f>
        <v>4.8818693754700156E-4</v>
      </c>
      <c r="J59" s="162">
        <f t="shared" ref="J59:J68" si="15">+F59-B59</f>
        <v>3</v>
      </c>
      <c r="K59" s="84">
        <f t="shared" ref="K59:K68" si="16">+(F59-B59)/B59</f>
        <v>4.8387096774193547E-2</v>
      </c>
      <c r="L59" s="167">
        <f t="shared" ref="L59:L68" si="17">+H59-D59</f>
        <v>458219.60999999987</v>
      </c>
      <c r="M59" s="122">
        <f t="shared" ref="M59:M68" si="18">+(H59-D59)/D59</f>
        <v>0.14443072649413846</v>
      </c>
      <c r="N59"/>
      <c r="O59"/>
      <c r="P59"/>
      <c r="Q59"/>
      <c r="R59"/>
      <c r="S59"/>
    </row>
    <row r="60" spans="1:27" outlineLevel="1" x14ac:dyDescent="0.25">
      <c r="A60" s="106" t="s">
        <v>141</v>
      </c>
      <c r="B60" s="162">
        <v>509</v>
      </c>
      <c r="C60" s="82">
        <f t="shared" si="14"/>
        <v>3.8715762411482379E-3</v>
      </c>
      <c r="D60" s="167">
        <v>25835315.109999999</v>
      </c>
      <c r="E60" s="121">
        <f>D60/D68</f>
        <v>4.1009332436108869E-3</v>
      </c>
      <c r="F60" s="162">
        <v>474</v>
      </c>
      <c r="G60" s="84">
        <f t="shared" si="13"/>
        <v>3.2843680709534369E-3</v>
      </c>
      <c r="H60" s="163">
        <v>28413182.25</v>
      </c>
      <c r="I60" s="108">
        <f>H60/H68</f>
        <v>3.8203437916094619E-3</v>
      </c>
      <c r="J60" s="162">
        <f t="shared" si="15"/>
        <v>-35</v>
      </c>
      <c r="K60" s="84">
        <f t="shared" si="16"/>
        <v>-6.8762278978389005E-2</v>
      </c>
      <c r="L60" s="167">
        <f t="shared" si="17"/>
        <v>2577867.1400000006</v>
      </c>
      <c r="M60" s="122">
        <f t="shared" si="18"/>
        <v>9.9780750845271993E-2</v>
      </c>
      <c r="N60"/>
      <c r="O60"/>
      <c r="P60"/>
      <c r="Q60"/>
      <c r="R60"/>
      <c r="S60"/>
    </row>
    <row r="61" spans="1:27" outlineLevel="1" x14ac:dyDescent="0.25">
      <c r="A61" s="106" t="s">
        <v>142</v>
      </c>
      <c r="B61" s="162">
        <v>2694</v>
      </c>
      <c r="C61" s="82">
        <f t="shared" si="14"/>
        <v>2.0491210989495783E-2</v>
      </c>
      <c r="D61" s="167">
        <v>143319757.97</v>
      </c>
      <c r="E61" s="121">
        <f>D61/D68</f>
        <v>2.2749664845308687E-2</v>
      </c>
      <c r="F61" s="162">
        <v>2697</v>
      </c>
      <c r="G61" s="84">
        <f t="shared" si="13"/>
        <v>1.8687638580931264E-2</v>
      </c>
      <c r="H61" s="163">
        <v>170148330.47999999</v>
      </c>
      <c r="I61" s="108">
        <f>H61/H68</f>
        <v>2.2877589433052081E-2</v>
      </c>
      <c r="J61" s="162">
        <f t="shared" si="15"/>
        <v>3</v>
      </c>
      <c r="K61" s="84">
        <f t="shared" si="16"/>
        <v>1.1135857461024498E-3</v>
      </c>
      <c r="L61" s="167">
        <f t="shared" si="17"/>
        <v>26828572.50999999</v>
      </c>
      <c r="M61" s="122">
        <f t="shared" si="18"/>
        <v>0.18719381674936825</v>
      </c>
      <c r="N61"/>
      <c r="O61"/>
      <c r="P61"/>
      <c r="Q61"/>
      <c r="R61"/>
      <c r="S61"/>
    </row>
    <row r="62" spans="1:27" outlineLevel="1" x14ac:dyDescent="0.25">
      <c r="A62" s="106" t="s">
        <v>143</v>
      </c>
      <c r="B62" s="162">
        <v>41174</v>
      </c>
      <c r="C62" s="82">
        <f t="shared" si="14"/>
        <v>0.31317933232423878</v>
      </c>
      <c r="D62" s="167">
        <v>2013185081.98</v>
      </c>
      <c r="E62" s="121">
        <f>D62/D68</f>
        <v>0.31956016766513867</v>
      </c>
      <c r="F62" s="162">
        <v>45761</v>
      </c>
      <c r="G62" s="84">
        <f t="shared" si="13"/>
        <v>0.31708009977827051</v>
      </c>
      <c r="H62" s="163">
        <v>2547616266.1300001</v>
      </c>
      <c r="I62" s="108">
        <f>H62/H68</f>
        <v>0.34254417192966918</v>
      </c>
      <c r="J62" s="162">
        <f t="shared" si="15"/>
        <v>4587</v>
      </c>
      <c r="K62" s="84">
        <f t="shared" si="16"/>
        <v>0.11140525574391606</v>
      </c>
      <c r="L62" s="167">
        <f t="shared" si="17"/>
        <v>534431184.1500001</v>
      </c>
      <c r="M62" s="122">
        <f t="shared" si="18"/>
        <v>0.26546549988557355</v>
      </c>
      <c r="N62"/>
      <c r="O62"/>
      <c r="P62"/>
      <c r="Q62"/>
      <c r="R62"/>
      <c r="S62"/>
    </row>
    <row r="63" spans="1:27" outlineLevel="1" x14ac:dyDescent="0.25">
      <c r="A63" s="106" t="s">
        <v>144</v>
      </c>
      <c r="B63" s="162">
        <v>53660</v>
      </c>
      <c r="C63" s="82">
        <f t="shared" si="14"/>
        <v>0.40815084695484177</v>
      </c>
      <c r="D63" s="167">
        <v>2640958905.3600001</v>
      </c>
      <c r="E63" s="121">
        <f>D63/D68</f>
        <v>0.41920898289368852</v>
      </c>
      <c r="F63" s="162">
        <v>59749</v>
      </c>
      <c r="G63" s="84">
        <f t="shared" si="13"/>
        <v>0.41400360310421286</v>
      </c>
      <c r="H63" s="163">
        <v>3103030552.71</v>
      </c>
      <c r="I63" s="108">
        <f>H63/H68</f>
        <v>0.41722336494780082</v>
      </c>
      <c r="J63" s="162">
        <f t="shared" si="15"/>
        <v>6089</v>
      </c>
      <c r="K63" s="84">
        <f t="shared" si="16"/>
        <v>0.11347372344390608</v>
      </c>
      <c r="L63" s="167">
        <f t="shared" si="17"/>
        <v>462071647.3499999</v>
      </c>
      <c r="M63" s="122">
        <f t="shared" si="18"/>
        <v>0.17496358857087668</v>
      </c>
      <c r="N63"/>
      <c r="O63"/>
      <c r="P63"/>
      <c r="Q63"/>
      <c r="R63"/>
      <c r="S63"/>
    </row>
    <row r="64" spans="1:27" outlineLevel="1" x14ac:dyDescent="0.25">
      <c r="A64" s="106" t="s">
        <v>145</v>
      </c>
      <c r="B64" s="162">
        <v>27122</v>
      </c>
      <c r="C64" s="82">
        <f t="shared" si="14"/>
        <v>0.20629644560397351</v>
      </c>
      <c r="D64" s="167">
        <v>1198699188</v>
      </c>
      <c r="E64" s="121">
        <f>D64/D68</f>
        <v>0.19027386847144889</v>
      </c>
      <c r="F64" s="162">
        <v>28692</v>
      </c>
      <c r="G64" s="84">
        <f t="shared" si="13"/>
        <v>0.19880820399113083</v>
      </c>
      <c r="H64" s="163">
        <v>1290590599.54</v>
      </c>
      <c r="I64" s="108">
        <f>H64/H68</f>
        <v>0.17352860165679515</v>
      </c>
      <c r="J64" s="162">
        <f t="shared" si="15"/>
        <v>1570</v>
      </c>
      <c r="K64" s="84">
        <f t="shared" si="16"/>
        <v>5.7886586534916303E-2</v>
      </c>
      <c r="L64" s="167">
        <f t="shared" si="17"/>
        <v>91891411.539999962</v>
      </c>
      <c r="M64" s="122">
        <f t="shared" si="18"/>
        <v>7.6659275704790045E-2</v>
      </c>
      <c r="N64"/>
      <c r="O64"/>
      <c r="P64"/>
      <c r="Q64"/>
      <c r="R64"/>
      <c r="S64"/>
    </row>
    <row r="65" spans="1:27" outlineLevel="1" x14ac:dyDescent="0.25">
      <c r="A65" s="106" t="s">
        <v>146</v>
      </c>
      <c r="B65" s="162">
        <v>5833</v>
      </c>
      <c r="C65" s="82">
        <f t="shared" si="14"/>
        <v>4.4367198849936486E-2</v>
      </c>
      <c r="D65" s="167">
        <v>256884613.80000001</v>
      </c>
      <c r="E65" s="121">
        <f>D65/D68</f>
        <v>4.0776226185714366E-2</v>
      </c>
      <c r="F65" s="162">
        <v>6422</v>
      </c>
      <c r="G65" s="84">
        <f t="shared" si="13"/>
        <v>4.449833702882483E-2</v>
      </c>
      <c r="H65" s="163">
        <v>274744168.07999998</v>
      </c>
      <c r="I65" s="108">
        <f>H65/H68</f>
        <v>3.6941204528589351E-2</v>
      </c>
      <c r="J65" s="162">
        <f t="shared" si="15"/>
        <v>589</v>
      </c>
      <c r="K65" s="84">
        <f t="shared" si="16"/>
        <v>0.10097719869706841</v>
      </c>
      <c r="L65" s="167">
        <f t="shared" si="17"/>
        <v>17859554.279999971</v>
      </c>
      <c r="M65" s="122">
        <f t="shared" si="18"/>
        <v>6.9523643381400407E-2</v>
      </c>
      <c r="N65"/>
      <c r="O65"/>
      <c r="P65"/>
      <c r="Q65"/>
      <c r="R65"/>
      <c r="S65"/>
    </row>
    <row r="66" spans="1:27" outlineLevel="1" x14ac:dyDescent="0.25">
      <c r="A66" s="107">
        <v>100</v>
      </c>
      <c r="B66" s="162">
        <v>344</v>
      </c>
      <c r="C66" s="82">
        <f t="shared" si="14"/>
        <v>2.6165466148428173E-3</v>
      </c>
      <c r="D66" s="167">
        <v>14262495.949999999</v>
      </c>
      <c r="E66" s="121">
        <f>D66/D68</f>
        <v>2.2639376964897658E-3</v>
      </c>
      <c r="F66" s="162">
        <v>390</v>
      </c>
      <c r="G66" s="84">
        <f t="shared" si="13"/>
        <v>2.7023281596452327E-3</v>
      </c>
      <c r="H66" s="163">
        <v>15101266.77</v>
      </c>
      <c r="I66" s="108">
        <f>H66/H68</f>
        <v>2.030467064286957E-3</v>
      </c>
      <c r="J66" s="162">
        <f t="shared" si="15"/>
        <v>46</v>
      </c>
      <c r="K66" s="84">
        <f t="shared" si="16"/>
        <v>0.13372093023255813</v>
      </c>
      <c r="L66" s="167">
        <f t="shared" si="17"/>
        <v>838770.8200000003</v>
      </c>
      <c r="M66" s="122">
        <f t="shared" si="18"/>
        <v>5.8809539574312751E-2</v>
      </c>
      <c r="N66"/>
      <c r="O66"/>
      <c r="P66"/>
      <c r="Q66"/>
      <c r="R66"/>
      <c r="S66"/>
    </row>
    <row r="67" spans="1:27" outlineLevel="1" x14ac:dyDescent="0.25">
      <c r="A67" s="107" t="s">
        <v>187</v>
      </c>
      <c r="B67" s="162">
        <v>65</v>
      </c>
      <c r="C67" s="82">
        <f>B67/$B$68</f>
        <v>4.9440561036274164E-4</v>
      </c>
      <c r="D67" s="167">
        <v>3276520.01</v>
      </c>
      <c r="E67" s="121">
        <f>D67/D68</f>
        <v>5.2009390151252057E-4</v>
      </c>
      <c r="F67" s="162">
        <v>61</v>
      </c>
      <c r="G67" s="84">
        <f t="shared" si="13"/>
        <v>4.2267184035476717E-4</v>
      </c>
      <c r="H67" s="163">
        <v>3511117.68</v>
      </c>
      <c r="I67" s="108">
        <f>H67/H68</f>
        <v>4.7209342876045567E-4</v>
      </c>
      <c r="J67" s="162">
        <f t="shared" si="15"/>
        <v>-4</v>
      </c>
      <c r="K67" s="84">
        <f t="shared" si="16"/>
        <v>-6.1538461538461542E-2</v>
      </c>
      <c r="L67" s="167">
        <f t="shared" si="17"/>
        <v>234597.67000000039</v>
      </c>
      <c r="M67" s="122">
        <f t="shared" si="18"/>
        <v>7.1599645136914761E-2</v>
      </c>
      <c r="N67"/>
      <c r="O67"/>
      <c r="P67"/>
      <c r="Q67"/>
      <c r="R67"/>
      <c r="S67"/>
    </row>
    <row r="68" spans="1:27" ht="15.75" thickBot="1" x14ac:dyDescent="0.3">
      <c r="A68" s="101" t="s">
        <v>165</v>
      </c>
      <c r="B68" s="95">
        <f t="shared" ref="B68:I68" si="19">SUM(B56:B67)</f>
        <v>131471</v>
      </c>
      <c r="C68" s="96">
        <f t="shared" si="19"/>
        <v>0.99999999999999989</v>
      </c>
      <c r="D68" s="256">
        <f>SUM(D56:D67)</f>
        <v>6299862391.1400003</v>
      </c>
      <c r="E68" s="98">
        <f t="shared" si="19"/>
        <v>0.99999523799122303</v>
      </c>
      <c r="F68" s="256">
        <f>SUM(F56:F67)</f>
        <v>144320</v>
      </c>
      <c r="G68" s="256">
        <f t="shared" si="19"/>
        <v>0.99999999999999989</v>
      </c>
      <c r="H68" s="256">
        <f>SUM(H57:H67)</f>
        <v>7437336480.6600008</v>
      </c>
      <c r="I68" s="256">
        <f t="shared" si="19"/>
        <v>1</v>
      </c>
      <c r="J68" s="97">
        <f t="shared" si="15"/>
        <v>12849</v>
      </c>
      <c r="K68" s="96">
        <f t="shared" si="16"/>
        <v>9.773257980847487E-2</v>
      </c>
      <c r="L68" s="256">
        <f t="shared" si="17"/>
        <v>1137474089.5200005</v>
      </c>
      <c r="M68" s="98">
        <f t="shared" si="18"/>
        <v>0.18055538659379625</v>
      </c>
      <c r="N68"/>
      <c r="O68"/>
      <c r="P68"/>
      <c r="Q68"/>
      <c r="R68"/>
      <c r="S68"/>
    </row>
    <row r="69" spans="1:27" x14ac:dyDescent="0.25">
      <c r="A69" s="15" t="s">
        <v>188</v>
      </c>
      <c r="B69" s="134"/>
      <c r="C69" s="134"/>
      <c r="D69" s="134"/>
      <c r="E69"/>
      <c r="F69" s="134"/>
      <c r="G69" s="134"/>
      <c r="H69" s="134"/>
      <c r="I69"/>
      <c r="J69"/>
      <c r="K69"/>
      <c r="L69"/>
      <c r="M69"/>
      <c r="N69"/>
      <c r="O69"/>
      <c r="P69"/>
      <c r="Q69"/>
      <c r="R69" s="134"/>
      <c r="S69" s="134"/>
      <c r="T69" s="134"/>
      <c r="U69"/>
      <c r="V69"/>
      <c r="W69"/>
      <c r="X69"/>
      <c r="Y69"/>
      <c r="Z69"/>
      <c r="AA69"/>
    </row>
    <row r="70" spans="1:27" x14ac:dyDescent="0.25">
      <c r="A70" s="169" t="s">
        <v>189</v>
      </c>
      <c r="B70"/>
      <c r="C70"/>
      <c r="D70"/>
      <c r="E70"/>
      <c r="J70"/>
      <c r="K70"/>
      <c r="L70"/>
      <c r="M70"/>
      <c r="N70"/>
      <c r="O70"/>
      <c r="P70"/>
      <c r="Q70"/>
      <c r="R70"/>
      <c r="S70"/>
      <c r="T70"/>
      <c r="U70"/>
      <c r="V70"/>
      <c r="W70"/>
      <c r="X70"/>
      <c r="Y70"/>
      <c r="Z70"/>
      <c r="AA70"/>
    </row>
    <row r="71" spans="1:27" x14ac:dyDescent="0.25">
      <c r="A71" s="138" t="s">
        <v>182</v>
      </c>
      <c r="B71" s="74"/>
      <c r="C71"/>
      <c r="D71" s="104"/>
      <c r="E71"/>
      <c r="F71" s="74"/>
      <c r="G71"/>
      <c r="H71" s="104"/>
      <c r="I71"/>
      <c r="J71"/>
      <c r="K71"/>
      <c r="L71"/>
      <c r="M71"/>
      <c r="N71"/>
      <c r="O71"/>
      <c r="P71"/>
      <c r="Q71"/>
      <c r="R71" s="74"/>
      <c r="S71"/>
      <c r="T71" s="104"/>
      <c r="U71"/>
      <c r="V71"/>
      <c r="W71"/>
      <c r="X71"/>
      <c r="Y71"/>
      <c r="Z71"/>
      <c r="AA71"/>
    </row>
  </sheetData>
  <mergeCells count="19">
    <mergeCell ref="A2:M2"/>
    <mergeCell ref="A3:M3"/>
    <mergeCell ref="J32:M32"/>
    <mergeCell ref="A7:AA7"/>
    <mergeCell ref="B9:E9"/>
    <mergeCell ref="F9:I9"/>
    <mergeCell ref="J9:M9"/>
    <mergeCell ref="A8:M8"/>
    <mergeCell ref="A21:I21"/>
    <mergeCell ref="A4:M4"/>
    <mergeCell ref="A5:M5"/>
    <mergeCell ref="A6:M6"/>
    <mergeCell ref="A31:M31"/>
    <mergeCell ref="J54:M54"/>
    <mergeCell ref="B54:E54"/>
    <mergeCell ref="F54:I54"/>
    <mergeCell ref="B32:E32"/>
    <mergeCell ref="F32:I32"/>
    <mergeCell ref="A53:M53"/>
  </mergeCells>
  <pageMargins left="0.7" right="0.7" top="0.75" bottom="0.75" header="0.3" footer="0.3"/>
  <pageSetup paperSize="9" scale="18" orientation="portrait" r:id="rId1"/>
  <rowBreaks count="1" manualBreakCount="1">
    <brk id="49" max="17" man="1"/>
  </rowBreaks>
  <ignoredErrors>
    <ignoredError sqref="K34 K11:K20 K58:K68 L11:L20 L34:L47 L57:L68 J57 K36:K47" formula="1"/>
    <ignoredError sqref="H68" formula="1"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2:S51"/>
  <sheetViews>
    <sheetView showGridLines="0" zoomScale="78" zoomScaleNormal="78" workbookViewId="0">
      <selection activeCell="K39" sqref="K39"/>
    </sheetView>
  </sheetViews>
  <sheetFormatPr defaultColWidth="11.42578125" defaultRowHeight="15" x14ac:dyDescent="0.25"/>
  <cols>
    <col min="1" max="1" width="11.42578125" style="1"/>
    <col min="2" max="2" width="13.85546875" style="1" bestFit="1" customWidth="1"/>
    <col min="3" max="3" width="22.85546875" style="1" bestFit="1" customWidth="1"/>
    <col min="4" max="4" width="12.28515625" style="1" bestFit="1" customWidth="1"/>
    <col min="5" max="5" width="19.7109375" style="1" bestFit="1" customWidth="1"/>
    <col min="6" max="6" width="12.28515625" style="1" bestFit="1" customWidth="1"/>
    <col min="7" max="7" width="19.85546875" style="1" bestFit="1" customWidth="1"/>
    <col min="8" max="8" width="8.7109375" style="1" customWidth="1"/>
    <col min="9" max="9" width="18.42578125" style="1" bestFit="1" customWidth="1"/>
    <col min="10" max="10" width="11.42578125" style="1"/>
    <col min="11" max="11" width="22.140625" style="1" bestFit="1" customWidth="1"/>
    <col min="12" max="12" width="12.5703125" style="1" customWidth="1"/>
    <col min="13" max="13" width="18.140625" style="1" bestFit="1" customWidth="1"/>
    <col min="14" max="14" width="13" style="1" bestFit="1" customWidth="1"/>
    <col min="15" max="15" width="24.5703125" style="1" bestFit="1" customWidth="1"/>
    <col min="16" max="16" width="7.7109375" style="1" customWidth="1"/>
    <col min="17" max="17" width="20.28515625" style="1" bestFit="1" customWidth="1"/>
    <col min="18" max="18" width="15.7109375" style="1" customWidth="1"/>
    <col min="19" max="19" width="20.42578125" style="1" customWidth="1"/>
    <col min="20" max="16384" width="11.42578125" style="1"/>
  </cols>
  <sheetData>
    <row r="2" spans="1:19" x14ac:dyDescent="0.25">
      <c r="A2" s="343" t="s">
        <v>0</v>
      </c>
      <c r="B2" s="343"/>
      <c r="C2" s="343"/>
      <c r="D2" s="343"/>
      <c r="E2" s="343"/>
      <c r="F2" s="343"/>
      <c r="G2" s="343"/>
      <c r="H2" s="343"/>
      <c r="I2" s="343"/>
      <c r="J2" s="343"/>
      <c r="K2" s="343"/>
      <c r="L2" s="343"/>
      <c r="M2" s="343"/>
      <c r="N2" s="343"/>
      <c r="O2" s="343"/>
      <c r="P2" s="343"/>
      <c r="Q2" s="343"/>
      <c r="R2" s="222"/>
    </row>
    <row r="3" spans="1:19" x14ac:dyDescent="0.25">
      <c r="A3" s="343" t="s">
        <v>62</v>
      </c>
      <c r="B3" s="343"/>
      <c r="C3" s="343"/>
      <c r="D3" s="343"/>
      <c r="E3" s="343"/>
      <c r="F3" s="343"/>
      <c r="G3" s="343"/>
      <c r="H3" s="343"/>
      <c r="I3" s="343"/>
      <c r="J3" s="343"/>
      <c r="K3" s="343"/>
      <c r="L3" s="343"/>
      <c r="M3" s="343"/>
      <c r="N3" s="343"/>
      <c r="O3" s="343"/>
      <c r="P3" s="343"/>
      <c r="Q3" s="343"/>
      <c r="R3" s="222"/>
    </row>
    <row r="4" spans="1:19" x14ac:dyDescent="0.25">
      <c r="A4" s="343" t="s">
        <v>190</v>
      </c>
      <c r="B4" s="343"/>
      <c r="C4" s="343"/>
      <c r="D4" s="343"/>
      <c r="E4" s="343"/>
      <c r="F4" s="343"/>
      <c r="G4" s="343"/>
      <c r="H4" s="343"/>
      <c r="I4" s="343"/>
      <c r="J4" s="343"/>
      <c r="K4" s="343"/>
      <c r="L4" s="343"/>
      <c r="M4" s="343"/>
      <c r="N4" s="343"/>
      <c r="O4" s="343"/>
      <c r="P4" s="343"/>
      <c r="Q4" s="343"/>
      <c r="R4" s="222"/>
    </row>
    <row r="5" spans="1:19" x14ac:dyDescent="0.25">
      <c r="A5" s="343" t="s">
        <v>273</v>
      </c>
      <c r="B5" s="343"/>
      <c r="C5" s="343"/>
      <c r="D5" s="343"/>
      <c r="E5" s="343"/>
      <c r="F5" s="343"/>
      <c r="G5" s="343"/>
      <c r="H5" s="343"/>
      <c r="I5" s="343"/>
      <c r="J5" s="343"/>
      <c r="K5" s="343"/>
      <c r="L5" s="343"/>
      <c r="M5" s="343"/>
      <c r="N5" s="343"/>
      <c r="O5" s="343"/>
      <c r="P5" s="343"/>
      <c r="Q5" s="343"/>
      <c r="R5" s="222"/>
    </row>
    <row r="6" spans="1:19" x14ac:dyDescent="0.25">
      <c r="A6" s="343" t="s">
        <v>272</v>
      </c>
      <c r="B6" s="343"/>
      <c r="C6" s="343"/>
      <c r="D6" s="343"/>
      <c r="E6" s="343"/>
      <c r="F6" s="343"/>
      <c r="G6" s="343"/>
      <c r="H6" s="343"/>
      <c r="I6" s="343"/>
      <c r="J6" s="343"/>
      <c r="K6" s="343"/>
      <c r="L6" s="343"/>
      <c r="M6" s="343"/>
      <c r="N6" s="343"/>
      <c r="O6" s="343"/>
      <c r="P6" s="343"/>
      <c r="Q6" s="343"/>
      <c r="R6" s="222"/>
    </row>
    <row r="7" spans="1:19" x14ac:dyDescent="0.25">
      <c r="A7" s="88"/>
      <c r="B7" s="383" t="s">
        <v>72</v>
      </c>
      <c r="C7" s="383"/>
      <c r="D7" s="383"/>
      <c r="E7" s="383"/>
      <c r="F7" s="384" t="s">
        <v>73</v>
      </c>
      <c r="G7" s="384"/>
      <c r="H7" s="384"/>
      <c r="I7" s="384"/>
      <c r="J7" s="382" t="s">
        <v>74</v>
      </c>
      <c r="K7" s="382"/>
      <c r="L7" s="382"/>
      <c r="M7" s="382"/>
      <c r="N7" s="386" t="s">
        <v>75</v>
      </c>
      <c r="O7" s="386"/>
      <c r="P7" s="386"/>
      <c r="Q7" s="386"/>
      <c r="R7" s="222"/>
    </row>
    <row r="8" spans="1:19" x14ac:dyDescent="0.25">
      <c r="A8" s="156"/>
      <c r="B8" s="385" t="s">
        <v>191</v>
      </c>
      <c r="C8" s="385"/>
      <c r="D8" s="385" t="s">
        <v>192</v>
      </c>
      <c r="E8" s="385"/>
      <c r="F8" s="385" t="s">
        <v>191</v>
      </c>
      <c r="G8" s="385"/>
      <c r="H8" s="385" t="s">
        <v>192</v>
      </c>
      <c r="I8" s="385"/>
      <c r="J8" s="385" t="s">
        <v>191</v>
      </c>
      <c r="K8" s="385"/>
      <c r="L8" s="385" t="s">
        <v>192</v>
      </c>
      <c r="M8" s="385"/>
      <c r="N8" s="385" t="s">
        <v>193</v>
      </c>
      <c r="O8" s="385"/>
      <c r="P8" s="385" t="s">
        <v>192</v>
      </c>
      <c r="Q8" s="385"/>
      <c r="R8" s="222"/>
    </row>
    <row r="9" spans="1:19" ht="35.25" customHeight="1" x14ac:dyDescent="0.25">
      <c r="A9" s="142" t="s">
        <v>3</v>
      </c>
      <c r="B9" s="129" t="s">
        <v>194</v>
      </c>
      <c r="C9" s="129" t="s">
        <v>7</v>
      </c>
      <c r="D9" s="129" t="s">
        <v>77</v>
      </c>
      <c r="E9" s="143" t="s">
        <v>7</v>
      </c>
      <c r="F9" s="129" t="s">
        <v>195</v>
      </c>
      <c r="G9" s="129" t="s">
        <v>7</v>
      </c>
      <c r="H9" s="129" t="s">
        <v>77</v>
      </c>
      <c r="I9" s="143" t="s">
        <v>7</v>
      </c>
      <c r="J9" s="129" t="s">
        <v>195</v>
      </c>
      <c r="K9" s="129" t="s">
        <v>7</v>
      </c>
      <c r="L9" s="129" t="s">
        <v>77</v>
      </c>
      <c r="M9" s="170" t="s">
        <v>7</v>
      </c>
      <c r="N9" s="129" t="s">
        <v>196</v>
      </c>
      <c r="O9" s="129" t="s">
        <v>7</v>
      </c>
      <c r="P9" s="129" t="s">
        <v>197</v>
      </c>
      <c r="Q9" s="143" t="s">
        <v>7</v>
      </c>
      <c r="R9" s="222"/>
    </row>
    <row r="10" spans="1:19" ht="12.75" hidden="1" customHeight="1" x14ac:dyDescent="0.25">
      <c r="A10" s="44" t="s">
        <v>10</v>
      </c>
      <c r="B10" s="194"/>
      <c r="C10" s="245"/>
      <c r="D10" s="194"/>
      <c r="E10" s="259"/>
      <c r="F10" s="194"/>
      <c r="G10" s="245"/>
      <c r="H10" s="194"/>
      <c r="I10" s="172"/>
      <c r="J10" s="194"/>
      <c r="K10" s="261"/>
      <c r="L10" s="155"/>
      <c r="M10" s="245"/>
      <c r="N10" s="170">
        <f>+B10+J10+F10</f>
        <v>0</v>
      </c>
      <c r="O10" s="57">
        <f>+C10+K10+G10</f>
        <v>0</v>
      </c>
      <c r="P10" s="195">
        <f>+D10+L10+H10</f>
        <v>0</v>
      </c>
      <c r="Q10" s="263">
        <f>+E10+M10+I10</f>
        <v>0</v>
      </c>
      <c r="R10" s="222"/>
    </row>
    <row r="11" spans="1:19" x14ac:dyDescent="0.25">
      <c r="A11" s="44" t="s">
        <v>277</v>
      </c>
      <c r="B11" s="333">
        <v>156466</v>
      </c>
      <c r="C11" s="302">
        <v>2509875562.52</v>
      </c>
      <c r="D11" s="333">
        <v>543</v>
      </c>
      <c r="E11" s="302">
        <v>6459426.0499999998</v>
      </c>
      <c r="F11" s="333">
        <v>46911</v>
      </c>
      <c r="G11" s="302">
        <v>281466000</v>
      </c>
      <c r="H11" s="333">
        <v>149</v>
      </c>
      <c r="I11" s="302">
        <v>894000</v>
      </c>
      <c r="J11" s="333">
        <v>24964</v>
      </c>
      <c r="K11" s="302">
        <v>721065561.03999996</v>
      </c>
      <c r="L11" s="333">
        <v>25</v>
      </c>
      <c r="M11" s="302">
        <v>492686.58</v>
      </c>
      <c r="N11" s="38">
        <f t="shared" ref="N11" si="0">+B11+J11+F11</f>
        <v>228341</v>
      </c>
      <c r="O11" s="57">
        <f t="shared" ref="O11" si="1">+C11+K11+G11</f>
        <v>3512407123.5599999</v>
      </c>
      <c r="P11" s="38">
        <f t="shared" ref="P11" si="2">+D11+L11+H11</f>
        <v>717</v>
      </c>
      <c r="Q11" s="57">
        <f t="shared" ref="Q11" si="3">+E11+M11+I11</f>
        <v>7846112.6299999999</v>
      </c>
      <c r="R11" s="222"/>
      <c r="S11" s="35"/>
    </row>
    <row r="12" spans="1:19" x14ac:dyDescent="0.25">
      <c r="A12" s="44" t="s">
        <v>270</v>
      </c>
      <c r="B12" s="333">
        <v>155112</v>
      </c>
      <c r="C12" s="302">
        <v>2478263145.8600001</v>
      </c>
      <c r="D12" s="333">
        <v>359</v>
      </c>
      <c r="E12" s="302">
        <v>5281626.07</v>
      </c>
      <c r="F12" s="333">
        <v>44988</v>
      </c>
      <c r="G12" s="302">
        <v>269928000</v>
      </c>
      <c r="H12" s="333">
        <v>278</v>
      </c>
      <c r="I12" s="302">
        <v>1668000</v>
      </c>
      <c r="J12" s="333">
        <v>24953</v>
      </c>
      <c r="K12" s="302">
        <v>720665246.08000004</v>
      </c>
      <c r="L12" s="333">
        <v>26</v>
      </c>
      <c r="M12" s="302">
        <v>393394.92</v>
      </c>
      <c r="N12" s="38">
        <f t="shared" ref="N12:P13" si="4">+B12+J12+F12</f>
        <v>225053</v>
      </c>
      <c r="O12" s="57">
        <f t="shared" si="4"/>
        <v>3468856391.9400001</v>
      </c>
      <c r="P12" s="38">
        <f t="shared" si="4"/>
        <v>663</v>
      </c>
      <c r="Q12" s="57">
        <f>+E12+M12+I12</f>
        <v>7343020.9900000002</v>
      </c>
      <c r="R12" s="222"/>
    </row>
    <row r="13" spans="1:19" x14ac:dyDescent="0.25">
      <c r="A13" s="44" t="s">
        <v>274</v>
      </c>
      <c r="B13" s="333">
        <v>153400</v>
      </c>
      <c r="C13" s="302">
        <v>2431850004.21</v>
      </c>
      <c r="D13" s="333">
        <v>371</v>
      </c>
      <c r="E13" s="302">
        <v>5666715.9500000002</v>
      </c>
      <c r="F13" s="333">
        <v>43335</v>
      </c>
      <c r="G13" s="302">
        <v>260010000</v>
      </c>
      <c r="H13" s="333">
        <v>359</v>
      </c>
      <c r="I13" s="302">
        <v>2154000</v>
      </c>
      <c r="J13" s="333">
        <v>24954</v>
      </c>
      <c r="K13" s="302">
        <v>720730873.87</v>
      </c>
      <c r="L13" s="333">
        <v>21</v>
      </c>
      <c r="M13" s="302">
        <v>238598.28</v>
      </c>
      <c r="N13" s="38">
        <f t="shared" si="4"/>
        <v>221689</v>
      </c>
      <c r="O13" s="57">
        <f t="shared" si="4"/>
        <v>3412590878.0799999</v>
      </c>
      <c r="P13" s="38">
        <f t="shared" si="4"/>
        <v>751</v>
      </c>
      <c r="Q13" s="57">
        <f>+E13+M13+I13</f>
        <v>8059314.2300000004</v>
      </c>
      <c r="R13" s="222"/>
    </row>
    <row r="14" spans="1:19" x14ac:dyDescent="0.25">
      <c r="A14" s="46" t="s">
        <v>287</v>
      </c>
      <c r="B14" s="55">
        <f>+B11</f>
        <v>156466</v>
      </c>
      <c r="C14" s="258">
        <f>SUM(C10:C13)</f>
        <v>7419988712.5900002</v>
      </c>
      <c r="D14" s="40">
        <f>D11</f>
        <v>543</v>
      </c>
      <c r="E14" s="258">
        <f>SUM(E10:E13)</f>
        <v>17407768.07</v>
      </c>
      <c r="F14" s="55">
        <f>+F11</f>
        <v>46911</v>
      </c>
      <c r="G14" s="260">
        <f>SUM(G10:G13)</f>
        <v>811404000</v>
      </c>
      <c r="H14" s="55">
        <f>H11</f>
        <v>149</v>
      </c>
      <c r="I14" s="258">
        <f>SUM(I10:I13)</f>
        <v>4716000</v>
      </c>
      <c r="J14" s="55">
        <f>+J11</f>
        <v>24964</v>
      </c>
      <c r="K14" s="262">
        <f>SUM(K10:K13)</f>
        <v>2162461680.9899998</v>
      </c>
      <c r="L14" s="55">
        <f>L11</f>
        <v>25</v>
      </c>
      <c r="M14" s="258">
        <f>SUM(M10:M13)</f>
        <v>1124679.78</v>
      </c>
      <c r="N14" s="55">
        <f>+N11</f>
        <v>228341</v>
      </c>
      <c r="O14" s="258">
        <f>SUM(O10:O13)</f>
        <v>10393854393.58</v>
      </c>
      <c r="P14" s="55">
        <f>P11</f>
        <v>717</v>
      </c>
      <c r="Q14" s="258">
        <f>SUM(Q10:Q13)</f>
        <v>23248447.850000001</v>
      </c>
      <c r="R14" s="293">
        <f>N11+P11</f>
        <v>229058</v>
      </c>
      <c r="S14" s="294">
        <f>O14+Q14</f>
        <v>10417102841.43</v>
      </c>
    </row>
    <row r="15" spans="1:19" hidden="1" x14ac:dyDescent="0.25">
      <c r="A15" s="44" t="s">
        <v>15</v>
      </c>
      <c r="B15" s="155"/>
      <c r="C15" s="171"/>
      <c r="D15" s="155"/>
      <c r="E15" s="172"/>
      <c r="F15" s="155"/>
      <c r="G15" s="171"/>
      <c r="H15" s="155">
        <f>SUM(H11:H13)</f>
        <v>786</v>
      </c>
      <c r="I15" s="172"/>
      <c r="J15" s="155"/>
      <c r="K15" s="171"/>
      <c r="L15" s="155"/>
      <c r="M15" s="172"/>
      <c r="N15" s="38">
        <f t="shared" ref="N15:P17" si="5">+B15+J15+F15</f>
        <v>0</v>
      </c>
      <c r="O15" s="57">
        <f t="shared" si="5"/>
        <v>0</v>
      </c>
      <c r="P15" s="38">
        <f t="shared" si="5"/>
        <v>786</v>
      </c>
      <c r="Q15" s="57">
        <f>+E15+M15+I15</f>
        <v>0</v>
      </c>
      <c r="R15" s="295"/>
      <c r="S15" s="296"/>
    </row>
    <row r="16" spans="1:19" hidden="1" x14ac:dyDescent="0.25">
      <c r="A16" s="44" t="s">
        <v>16</v>
      </c>
      <c r="B16" s="155"/>
      <c r="C16" s="171"/>
      <c r="D16" s="155"/>
      <c r="E16" s="172"/>
      <c r="F16" s="155"/>
      <c r="G16" s="171"/>
      <c r="H16" s="155"/>
      <c r="I16" s="172"/>
      <c r="J16" s="155"/>
      <c r="K16" s="171"/>
      <c r="L16" s="155"/>
      <c r="M16" s="172"/>
      <c r="N16" s="38">
        <f t="shared" si="5"/>
        <v>0</v>
      </c>
      <c r="O16" s="57">
        <f t="shared" si="5"/>
        <v>0</v>
      </c>
      <c r="P16" s="38">
        <f t="shared" si="5"/>
        <v>0</v>
      </c>
      <c r="Q16" s="57">
        <f>+E16+M16+I16</f>
        <v>0</v>
      </c>
      <c r="R16" s="295"/>
      <c r="S16" s="296"/>
    </row>
    <row r="17" spans="1:19" hidden="1" x14ac:dyDescent="0.25">
      <c r="A17" s="44" t="s">
        <v>17</v>
      </c>
      <c r="B17" s="155"/>
      <c r="C17" s="171"/>
      <c r="D17" s="155"/>
      <c r="E17" s="172"/>
      <c r="F17" s="155"/>
      <c r="G17" s="171"/>
      <c r="H17" s="155"/>
      <c r="I17" s="172"/>
      <c r="J17" s="155"/>
      <c r="K17" s="171"/>
      <c r="L17" s="155"/>
      <c r="M17" s="172"/>
      <c r="N17" s="38">
        <f t="shared" si="5"/>
        <v>0</v>
      </c>
      <c r="O17" s="57">
        <f t="shared" si="5"/>
        <v>0</v>
      </c>
      <c r="P17" s="38">
        <f t="shared" si="5"/>
        <v>0</v>
      </c>
      <c r="Q17" s="57">
        <f>+E17+M17+I17</f>
        <v>0</v>
      </c>
      <c r="R17" s="295"/>
      <c r="S17" s="296"/>
    </row>
    <row r="18" spans="1:19" hidden="1" x14ac:dyDescent="0.25">
      <c r="A18" s="46" t="s">
        <v>18</v>
      </c>
      <c r="B18" s="55">
        <f>+B17</f>
        <v>0</v>
      </c>
      <c r="C18" s="56">
        <f>SUM(C15:C17)</f>
        <v>0</v>
      </c>
      <c r="D18" s="55">
        <f>+D17</f>
        <v>0</v>
      </c>
      <c r="E18" s="56">
        <f>SUM(E15:E17)</f>
        <v>0</v>
      </c>
      <c r="F18" s="55">
        <f>+F17</f>
        <v>0</v>
      </c>
      <c r="G18" s="56">
        <f>SUM(G15:G17)</f>
        <v>0</v>
      </c>
      <c r="H18" s="55">
        <f>+H17</f>
        <v>0</v>
      </c>
      <c r="I18" s="56">
        <f>SUM(I15:I17)</f>
        <v>0</v>
      </c>
      <c r="J18" s="55">
        <f>+J17</f>
        <v>0</v>
      </c>
      <c r="K18" s="56">
        <f>SUM(K15:K17)</f>
        <v>0</v>
      </c>
      <c r="L18" s="55">
        <f>+L17</f>
        <v>0</v>
      </c>
      <c r="M18" s="56">
        <f>SUM(M15:M17)</f>
        <v>0</v>
      </c>
      <c r="N18" s="55">
        <f>+N17</f>
        <v>0</v>
      </c>
      <c r="O18" s="56">
        <f>SUM(O15:O17)</f>
        <v>0</v>
      </c>
      <c r="P18" s="55">
        <f>+P17</f>
        <v>0</v>
      </c>
      <c r="Q18" s="56">
        <f>SUM(Q15:Q17)</f>
        <v>0</v>
      </c>
      <c r="R18" s="295"/>
      <c r="S18" s="297"/>
    </row>
    <row r="19" spans="1:19" hidden="1" x14ac:dyDescent="0.25">
      <c r="A19" s="44" t="s">
        <v>34</v>
      </c>
      <c r="B19" s="155"/>
      <c r="C19" s="171"/>
      <c r="D19" s="155"/>
      <c r="E19" s="172"/>
      <c r="F19" s="155"/>
      <c r="G19" s="171"/>
      <c r="H19" s="155"/>
      <c r="I19" s="172"/>
      <c r="J19" s="155"/>
      <c r="K19" s="171"/>
      <c r="L19" s="155"/>
      <c r="M19" s="172"/>
      <c r="N19" s="38">
        <f t="shared" ref="N19:P21" si="6">+B19+J19+F19</f>
        <v>0</v>
      </c>
      <c r="O19" s="57">
        <f t="shared" si="6"/>
        <v>0</v>
      </c>
      <c r="P19" s="38">
        <f t="shared" si="6"/>
        <v>0</v>
      </c>
      <c r="Q19" s="57">
        <f>+E19+M19+I19</f>
        <v>0</v>
      </c>
      <c r="R19" s="295"/>
      <c r="S19" s="296"/>
    </row>
    <row r="20" spans="1:19" hidden="1" x14ac:dyDescent="0.25">
      <c r="A20" s="44" t="s">
        <v>20</v>
      </c>
      <c r="B20" s="155"/>
      <c r="C20" s="171"/>
      <c r="D20" s="155"/>
      <c r="E20" s="172"/>
      <c r="F20" s="155"/>
      <c r="G20" s="171"/>
      <c r="H20" s="155"/>
      <c r="I20" s="172"/>
      <c r="J20" s="155"/>
      <c r="K20" s="171"/>
      <c r="L20" s="155"/>
      <c r="M20" s="172"/>
      <c r="N20" s="38">
        <f t="shared" si="6"/>
        <v>0</v>
      </c>
      <c r="O20" s="57">
        <f t="shared" si="6"/>
        <v>0</v>
      </c>
      <c r="P20" s="38">
        <f t="shared" si="6"/>
        <v>0</v>
      </c>
      <c r="Q20" s="57">
        <f>+E20+M20+I20</f>
        <v>0</v>
      </c>
      <c r="R20" s="295"/>
      <c r="S20" s="296"/>
    </row>
    <row r="21" spans="1:19" hidden="1" x14ac:dyDescent="0.25">
      <c r="A21" s="44" t="s">
        <v>21</v>
      </c>
      <c r="B21" s="155"/>
      <c r="C21" s="171"/>
      <c r="D21" s="155"/>
      <c r="E21" s="172"/>
      <c r="F21" s="155"/>
      <c r="G21" s="171"/>
      <c r="H21" s="155"/>
      <c r="I21" s="172"/>
      <c r="J21" s="155"/>
      <c r="K21" s="171"/>
      <c r="L21" s="155"/>
      <c r="M21" s="172"/>
      <c r="N21" s="38">
        <f t="shared" si="6"/>
        <v>0</v>
      </c>
      <c r="O21" s="57">
        <f t="shared" si="6"/>
        <v>0</v>
      </c>
      <c r="P21" s="38">
        <f t="shared" si="6"/>
        <v>0</v>
      </c>
      <c r="Q21" s="57">
        <f>+E21+M21+I21</f>
        <v>0</v>
      </c>
      <c r="R21" s="295"/>
      <c r="S21" s="296"/>
    </row>
    <row r="22" spans="1:19" hidden="1" x14ac:dyDescent="0.25">
      <c r="A22" s="46" t="s">
        <v>22</v>
      </c>
      <c r="B22" s="55">
        <f>+B21</f>
        <v>0</v>
      </c>
      <c r="C22" s="56">
        <f>SUM(C19:C21)</f>
        <v>0</v>
      </c>
      <c r="D22" s="55">
        <f>+D21</f>
        <v>0</v>
      </c>
      <c r="E22" s="56">
        <f>SUM(E19:E21)</f>
        <v>0</v>
      </c>
      <c r="F22" s="55">
        <f>+F21</f>
        <v>0</v>
      </c>
      <c r="G22" s="56">
        <f>SUM(G19:G21)</f>
        <v>0</v>
      </c>
      <c r="H22" s="55">
        <f>+H21</f>
        <v>0</v>
      </c>
      <c r="I22" s="56">
        <f>SUM(I19:I21)</f>
        <v>0</v>
      </c>
      <c r="J22" s="55">
        <f>+J21</f>
        <v>0</v>
      </c>
      <c r="K22" s="56">
        <f>SUM(K19:K21)</f>
        <v>0</v>
      </c>
      <c r="L22" s="55">
        <f>+L21</f>
        <v>0</v>
      </c>
      <c r="M22" s="56">
        <f>SUM(M19:M21)</f>
        <v>0</v>
      </c>
      <c r="N22" s="55">
        <f>+N21</f>
        <v>0</v>
      </c>
      <c r="O22" s="56">
        <f>SUM(O19:O21)</f>
        <v>0</v>
      </c>
      <c r="P22" s="55">
        <f>+P21</f>
        <v>0</v>
      </c>
      <c r="Q22" s="56">
        <f>SUM(Q19:Q21)</f>
        <v>0</v>
      </c>
      <c r="R22" s="295"/>
      <c r="S22" s="297"/>
    </row>
    <row r="23" spans="1:19" hidden="1" x14ac:dyDescent="0.25">
      <c r="A23" s="44" t="s">
        <v>13</v>
      </c>
      <c r="B23" s="155"/>
      <c r="C23" s="171"/>
      <c r="D23" s="155"/>
      <c r="E23" s="172"/>
      <c r="F23" s="155"/>
      <c r="G23" s="171"/>
      <c r="H23" s="155"/>
      <c r="I23" s="172"/>
      <c r="J23" s="155"/>
      <c r="K23" s="171"/>
      <c r="L23" s="155"/>
      <c r="M23" s="172"/>
      <c r="N23" s="38">
        <f t="shared" ref="N23:P26" si="7">+B23+J23+F23</f>
        <v>0</v>
      </c>
      <c r="O23" s="57">
        <f t="shared" si="7"/>
        <v>0</v>
      </c>
      <c r="P23" s="38">
        <f t="shared" si="7"/>
        <v>0</v>
      </c>
      <c r="Q23" s="57">
        <f>+E23+M23+I23</f>
        <v>0</v>
      </c>
      <c r="R23" s="295"/>
      <c r="S23" s="296"/>
    </row>
    <row r="24" spans="1:19" hidden="1" x14ac:dyDescent="0.25">
      <c r="A24" s="44" t="s">
        <v>12</v>
      </c>
      <c r="B24" s="155"/>
      <c r="C24" s="171"/>
      <c r="D24" s="155"/>
      <c r="E24" s="172"/>
      <c r="F24" s="155"/>
      <c r="G24" s="171"/>
      <c r="H24" s="155"/>
      <c r="I24" s="172"/>
      <c r="J24" s="155"/>
      <c r="K24" s="171"/>
      <c r="L24" s="155"/>
      <c r="M24" s="172"/>
      <c r="N24" s="38">
        <f t="shared" si="7"/>
        <v>0</v>
      </c>
      <c r="O24" s="57">
        <f t="shared" si="7"/>
        <v>0</v>
      </c>
      <c r="P24" s="38">
        <f t="shared" si="7"/>
        <v>0</v>
      </c>
      <c r="Q24" s="57">
        <f>+E24+M24+I24</f>
        <v>0</v>
      </c>
      <c r="R24" s="295"/>
      <c r="S24" s="296"/>
    </row>
    <row r="25" spans="1:19" hidden="1" x14ac:dyDescent="0.25">
      <c r="A25" s="44" t="s">
        <v>11</v>
      </c>
      <c r="B25" s="155"/>
      <c r="C25" s="171"/>
      <c r="D25" s="155"/>
      <c r="E25" s="172"/>
      <c r="F25" s="155"/>
      <c r="G25" s="171"/>
      <c r="H25" s="155"/>
      <c r="I25" s="172"/>
      <c r="J25" s="155"/>
      <c r="K25" s="171"/>
      <c r="L25" s="155"/>
      <c r="M25" s="172"/>
      <c r="N25" s="38">
        <f t="shared" si="7"/>
        <v>0</v>
      </c>
      <c r="O25" s="57">
        <f t="shared" si="7"/>
        <v>0</v>
      </c>
      <c r="P25" s="38">
        <f t="shared" si="7"/>
        <v>0</v>
      </c>
      <c r="Q25" s="57">
        <f>+E25+M25+I25</f>
        <v>0</v>
      </c>
      <c r="R25" s="295"/>
      <c r="S25" s="296"/>
    </row>
    <row r="26" spans="1:19" hidden="1" x14ac:dyDescent="0.25">
      <c r="A26" s="44" t="s">
        <v>10</v>
      </c>
      <c r="B26" s="155"/>
      <c r="C26" s="171"/>
      <c r="D26" s="155"/>
      <c r="E26" s="172"/>
      <c r="F26" s="155"/>
      <c r="G26" s="171"/>
      <c r="H26" s="155"/>
      <c r="I26" s="172"/>
      <c r="J26" s="155"/>
      <c r="K26" s="171"/>
      <c r="L26" s="155"/>
      <c r="M26" s="172"/>
      <c r="N26" s="38">
        <f t="shared" si="7"/>
        <v>0</v>
      </c>
      <c r="O26" s="57">
        <f t="shared" si="7"/>
        <v>0</v>
      </c>
      <c r="P26" s="38">
        <f t="shared" si="7"/>
        <v>0</v>
      </c>
      <c r="Q26" s="57">
        <f>+E26+M26+I26</f>
        <v>0</v>
      </c>
      <c r="R26" s="295"/>
      <c r="S26" s="296"/>
    </row>
    <row r="27" spans="1:19" hidden="1" x14ac:dyDescent="0.25">
      <c r="A27" s="46" t="s">
        <v>14</v>
      </c>
      <c r="B27" s="55">
        <f>+B25</f>
        <v>0</v>
      </c>
      <c r="C27" s="55">
        <f>SUM(C23:C26)</f>
        <v>0</v>
      </c>
      <c r="D27" s="55">
        <f>+D25</f>
        <v>0</v>
      </c>
      <c r="E27" s="56">
        <f>SUM(E23:E26)</f>
        <v>0</v>
      </c>
      <c r="F27" s="55">
        <f>+F25</f>
        <v>0</v>
      </c>
      <c r="G27" s="56">
        <f>SUM(G23:G26)</f>
        <v>0</v>
      </c>
      <c r="H27" s="55">
        <f>+H25</f>
        <v>0</v>
      </c>
      <c r="I27" s="56">
        <f>SUM(I23:I26)</f>
        <v>0</v>
      </c>
      <c r="J27" s="55">
        <f>+J25</f>
        <v>0</v>
      </c>
      <c r="K27" s="56">
        <f>SUM(K23:K26)</f>
        <v>0</v>
      </c>
      <c r="L27" s="55">
        <f>+L25</f>
        <v>0</v>
      </c>
      <c r="M27" s="56">
        <f>SUM(M23:M26)</f>
        <v>0</v>
      </c>
      <c r="N27" s="55">
        <f>+N25</f>
        <v>0</v>
      </c>
      <c r="O27" s="56">
        <f>SUM(O23:O26)</f>
        <v>0</v>
      </c>
      <c r="P27" s="55">
        <f>+P25</f>
        <v>0</v>
      </c>
      <c r="Q27" s="56">
        <f>SUM(Q23:Q26)</f>
        <v>0</v>
      </c>
      <c r="R27" s="295"/>
      <c r="S27" s="297"/>
    </row>
    <row r="28" spans="1:19" hidden="1" x14ac:dyDescent="0.25">
      <c r="A28" s="49" t="s">
        <v>23</v>
      </c>
      <c r="B28" s="58">
        <f>+B27</f>
        <v>0</v>
      </c>
      <c r="C28" s="59">
        <f>+C14+C18+C22+C27</f>
        <v>7419988712.5900002</v>
      </c>
      <c r="D28" s="58">
        <f>+D27</f>
        <v>0</v>
      </c>
      <c r="E28" s="59">
        <f>+E14+E18+E22+E27</f>
        <v>17407768.07</v>
      </c>
      <c r="F28" s="58">
        <f>+F27</f>
        <v>0</v>
      </c>
      <c r="G28" s="59">
        <f>+G14+G18+G22+G27</f>
        <v>811404000</v>
      </c>
      <c r="H28" s="58">
        <f>+H27</f>
        <v>0</v>
      </c>
      <c r="I28" s="59">
        <f>+I14+I18+I22+I27</f>
        <v>4716000</v>
      </c>
      <c r="J28" s="58">
        <f>+J27</f>
        <v>0</v>
      </c>
      <c r="K28" s="59">
        <f>+K14+K18+K22+K27</f>
        <v>2162461680.9899998</v>
      </c>
      <c r="L28" s="58">
        <f>+L27</f>
        <v>0</v>
      </c>
      <c r="M28" s="59">
        <f>+M14+M18+M22+M27</f>
        <v>1124679.78</v>
      </c>
      <c r="N28" s="58">
        <f>+N27</f>
        <v>0</v>
      </c>
      <c r="O28" s="59">
        <f>+O14+O18+O22+O27</f>
        <v>10393854393.58</v>
      </c>
      <c r="P28" s="58">
        <f>+P27</f>
        <v>0</v>
      </c>
      <c r="Q28" s="59">
        <f>+Q14+Q18+Q22+Q27</f>
        <v>23248447.850000001</v>
      </c>
      <c r="R28" s="295"/>
      <c r="S28" s="297"/>
    </row>
    <row r="29" spans="1:19" x14ac:dyDescent="0.25">
      <c r="A29" s="146" t="s">
        <v>50</v>
      </c>
      <c r="B29" s="24"/>
      <c r="C29" s="24"/>
      <c r="D29" s="25"/>
      <c r="E29" s="146"/>
      <c r="F29" s="146"/>
      <c r="G29" s="146"/>
      <c r="H29" s="146"/>
      <c r="I29" s="146"/>
      <c r="J29" s="146"/>
      <c r="K29" s="146"/>
      <c r="L29" s="146"/>
      <c r="M29" s="146"/>
      <c r="N29" s="146"/>
      <c r="O29" s="173">
        <f>O14/S14</f>
        <v>0.99776824245628648</v>
      </c>
      <c r="P29" s="173"/>
      <c r="Q29" s="173">
        <f>Q14/S14</f>
        <v>2.2317575437134293E-3</v>
      </c>
      <c r="R29" s="295"/>
      <c r="S29" s="297">
        <f>S14-Nómina!M12</f>
        <v>0</v>
      </c>
    </row>
    <row r="30" spans="1:19" x14ac:dyDescent="0.25">
      <c r="A30" s="205" t="s">
        <v>198</v>
      </c>
      <c r="B30"/>
      <c r="C30" s="174"/>
      <c r="D30"/>
      <c r="E30"/>
      <c r="F30"/>
      <c r="G30" s="174"/>
      <c r="H30"/>
      <c r="I30"/>
      <c r="J30" s="174"/>
      <c r="K30" s="174"/>
      <c r="L30"/>
      <c r="M30"/>
      <c r="N30"/>
      <c r="O30" s="174"/>
      <c r="P30"/>
      <c r="Q30"/>
      <c r="R30" s="222"/>
      <c r="S30" s="35"/>
    </row>
    <row r="31" spans="1:19" x14ac:dyDescent="0.25">
      <c r="B31" s="35"/>
      <c r="C31" s="35"/>
      <c r="O31" s="35"/>
      <c r="R31" s="222"/>
    </row>
    <row r="32" spans="1:19" x14ac:dyDescent="0.25">
      <c r="R32" s="222"/>
    </row>
    <row r="33" spans="13:18" x14ac:dyDescent="0.25">
      <c r="R33" s="222"/>
    </row>
    <row r="35" spans="13:18" x14ac:dyDescent="0.25">
      <c r="O35" s="35"/>
    </row>
    <row r="37" spans="13:18" x14ac:dyDescent="0.25">
      <c r="N37" s="35"/>
    </row>
    <row r="39" spans="13:18" x14ac:dyDescent="0.25">
      <c r="M39" s="35"/>
    </row>
    <row r="44" spans="13:18" x14ac:dyDescent="0.25">
      <c r="N44" s="18"/>
    </row>
    <row r="49" spans="1:18" x14ac:dyDescent="0.25">
      <c r="A49" s="44"/>
      <c r="B49" s="155"/>
      <c r="C49" s="171"/>
      <c r="D49" s="155"/>
      <c r="E49" s="172"/>
      <c r="F49" s="155"/>
      <c r="G49" s="171"/>
      <c r="H49" s="155"/>
      <c r="I49" s="172"/>
      <c r="J49" s="155"/>
      <c r="K49" s="171"/>
      <c r="L49" s="155"/>
      <c r="M49" s="172"/>
      <c r="N49" s="38"/>
      <c r="O49" s="38"/>
      <c r="P49" s="38"/>
      <c r="Q49" s="57"/>
      <c r="R49" s="57"/>
    </row>
    <row r="51" spans="1:18" x14ac:dyDescent="0.25">
      <c r="A51" s="44"/>
      <c r="B51" s="155"/>
      <c r="C51" s="171"/>
      <c r="D51" s="155"/>
      <c r="E51" s="172"/>
      <c r="F51" s="155"/>
      <c r="G51" s="171"/>
      <c r="H51" s="155"/>
      <c r="I51" s="172"/>
      <c r="J51" s="155"/>
      <c r="K51" s="171"/>
      <c r="L51" s="155"/>
      <c r="M51" s="172"/>
      <c r="N51" s="38"/>
      <c r="O51" s="38"/>
      <c r="P51" s="38"/>
      <c r="Q51" s="57"/>
      <c r="R51" s="57"/>
    </row>
  </sheetData>
  <mergeCells count="17">
    <mergeCell ref="H8:I8"/>
    <mergeCell ref="J7:M7"/>
    <mergeCell ref="B7:E7"/>
    <mergeCell ref="F7:I7"/>
    <mergeCell ref="L8:M8"/>
    <mergeCell ref="A2:Q2"/>
    <mergeCell ref="A3:Q3"/>
    <mergeCell ref="A4:Q4"/>
    <mergeCell ref="A6:Q6"/>
    <mergeCell ref="B8:C8"/>
    <mergeCell ref="D8:E8"/>
    <mergeCell ref="J8:K8"/>
    <mergeCell ref="N7:Q7"/>
    <mergeCell ref="N8:O8"/>
    <mergeCell ref="P8:Q8"/>
    <mergeCell ref="A5:Q5"/>
    <mergeCell ref="F8:G8"/>
  </mergeCells>
  <pageMargins left="0.7" right="0.7" top="0.75" bottom="0.75" header="0.3" footer="0.3"/>
  <pageSetup paperSize="9" scale="42" orientation="portrait" r:id="rId1"/>
  <colBreaks count="1" manualBreakCount="1">
    <brk id="18" max="1048575" man="1"/>
  </colBreaks>
  <ignoredErrors>
    <ignoredError sqref="C27 E27 F14 N14:Q14 J14 D14" formula="1"/>
    <ignoredError sqref="Q29 O29 R14:S1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2:T40"/>
  <sheetViews>
    <sheetView showGridLines="0" zoomScaleNormal="100" workbookViewId="0">
      <selection activeCell="Q46" sqref="Q46"/>
    </sheetView>
  </sheetViews>
  <sheetFormatPr defaultColWidth="11.42578125" defaultRowHeight="15" x14ac:dyDescent="0.25"/>
  <cols>
    <col min="1" max="1" width="11.42578125" style="1"/>
    <col min="2" max="2" width="11" style="1" customWidth="1"/>
    <col min="3" max="3" width="9" style="1" bestFit="1" customWidth="1"/>
    <col min="4" max="4" width="14.42578125" style="1" customWidth="1"/>
    <col min="5" max="5" width="25.28515625" style="1" hidden="1" customWidth="1"/>
    <col min="6" max="6" width="25.5703125" style="1" hidden="1" customWidth="1"/>
    <col min="7" max="7" width="39.5703125" style="1" hidden="1" customWidth="1"/>
    <col min="8" max="8" width="11.42578125" style="1" customWidth="1"/>
    <col min="9" max="9" width="14" style="1" bestFit="1" customWidth="1"/>
    <col min="10" max="10" width="13.7109375" style="1" customWidth="1"/>
    <col min="11" max="12" width="10.7109375" style="1" customWidth="1"/>
    <col min="13" max="13" width="14.42578125" style="1" customWidth="1"/>
    <col min="14" max="14" width="11.42578125" style="1" customWidth="1"/>
    <col min="15" max="15" width="20.42578125" style="1" customWidth="1"/>
    <col min="16" max="16" width="35.140625" style="1" customWidth="1"/>
    <col min="17" max="17" width="11.7109375" style="1" bestFit="1" customWidth="1"/>
    <col min="18" max="18" width="18.42578125" style="1" customWidth="1"/>
    <col min="19" max="19" width="16" style="1" bestFit="1" customWidth="1"/>
    <col min="20" max="20" width="11.7109375" style="1" bestFit="1" customWidth="1"/>
    <col min="21" max="16384" width="11.42578125" style="1"/>
  </cols>
  <sheetData>
    <row r="2" spans="1:18" x14ac:dyDescent="0.25">
      <c r="A2" s="343" t="s">
        <v>0</v>
      </c>
      <c r="B2" s="343"/>
      <c r="C2" s="343"/>
      <c r="D2" s="343"/>
      <c r="E2" s="343"/>
      <c r="F2" s="343"/>
      <c r="G2" s="343"/>
      <c r="H2" s="343"/>
      <c r="I2" s="343"/>
      <c r="J2" s="343"/>
      <c r="K2" s="343"/>
      <c r="L2" s="343"/>
      <c r="M2" s="343"/>
    </row>
    <row r="3" spans="1:18" x14ac:dyDescent="0.25">
      <c r="A3" s="343" t="s">
        <v>62</v>
      </c>
      <c r="B3" s="343"/>
      <c r="C3" s="343"/>
      <c r="D3" s="343"/>
      <c r="E3" s="343"/>
      <c r="F3" s="343"/>
      <c r="G3" s="343"/>
      <c r="H3" s="343"/>
      <c r="I3" s="343"/>
      <c r="J3" s="343"/>
      <c r="K3" s="343"/>
      <c r="L3" s="343"/>
      <c r="M3" s="343"/>
    </row>
    <row r="4" spans="1:18" x14ac:dyDescent="0.25">
      <c r="A4" s="343" t="s">
        <v>199</v>
      </c>
      <c r="B4" s="343"/>
      <c r="C4" s="343"/>
      <c r="D4" s="343"/>
      <c r="E4" s="343"/>
      <c r="F4" s="343"/>
      <c r="G4" s="343"/>
      <c r="H4" s="343"/>
      <c r="I4" s="343"/>
      <c r="J4" s="343"/>
      <c r="K4" s="343"/>
      <c r="L4" s="343"/>
      <c r="M4" s="343"/>
    </row>
    <row r="5" spans="1:18" x14ac:dyDescent="0.25">
      <c r="A5" s="343" t="s">
        <v>215</v>
      </c>
      <c r="B5" s="343"/>
      <c r="C5" s="343"/>
      <c r="D5" s="343"/>
      <c r="E5" s="343"/>
      <c r="F5" s="343"/>
      <c r="G5" s="343"/>
      <c r="H5" s="343"/>
      <c r="I5" s="343"/>
      <c r="J5" s="343"/>
      <c r="K5" s="343"/>
      <c r="L5" s="343"/>
      <c r="M5" s="343"/>
    </row>
    <row r="6" spans="1:18" x14ac:dyDescent="0.25">
      <c r="A6" s="343" t="s">
        <v>272</v>
      </c>
      <c r="B6" s="343"/>
      <c r="C6" s="343"/>
      <c r="D6" s="343"/>
      <c r="E6" s="343"/>
      <c r="F6" s="343"/>
      <c r="G6" s="343"/>
      <c r="H6" s="343"/>
      <c r="I6" s="343"/>
      <c r="J6" s="343"/>
      <c r="K6" s="343"/>
      <c r="L6" s="343"/>
      <c r="M6" s="343"/>
    </row>
    <row r="7" spans="1:18" x14ac:dyDescent="0.25">
      <c r="A7" s="88"/>
      <c r="B7" s="383" t="s">
        <v>72</v>
      </c>
      <c r="C7" s="383"/>
      <c r="D7" s="383"/>
      <c r="E7" s="384" t="s">
        <v>73</v>
      </c>
      <c r="F7" s="384"/>
      <c r="G7" s="384"/>
      <c r="H7" s="382" t="s">
        <v>74</v>
      </c>
      <c r="I7" s="382"/>
      <c r="J7" s="382"/>
      <c r="K7" s="386" t="s">
        <v>75</v>
      </c>
      <c r="L7" s="386"/>
      <c r="M7" s="386"/>
      <c r="N7"/>
      <c r="O7"/>
      <c r="P7"/>
      <c r="Q7"/>
      <c r="R7"/>
    </row>
    <row r="8" spans="1:18" ht="39.75" customHeight="1" x14ac:dyDescent="0.25">
      <c r="A8" s="89" t="s">
        <v>3</v>
      </c>
      <c r="B8" s="45" t="s">
        <v>200</v>
      </c>
      <c r="C8" s="45" t="s">
        <v>201</v>
      </c>
      <c r="D8" s="45" t="s">
        <v>7</v>
      </c>
      <c r="E8" s="45" t="s">
        <v>200</v>
      </c>
      <c r="F8" s="45" t="s">
        <v>201</v>
      </c>
      <c r="G8" s="45" t="s">
        <v>7</v>
      </c>
      <c r="H8" s="45" t="s">
        <v>200</v>
      </c>
      <c r="I8" s="45" t="s">
        <v>201</v>
      </c>
      <c r="J8" s="45" t="s">
        <v>7</v>
      </c>
      <c r="K8" s="45" t="s">
        <v>76</v>
      </c>
      <c r="L8" s="45" t="s">
        <v>77</v>
      </c>
      <c r="M8" s="45" t="s">
        <v>7</v>
      </c>
      <c r="N8"/>
      <c r="O8"/>
      <c r="P8"/>
      <c r="Q8"/>
      <c r="R8"/>
    </row>
    <row r="9" spans="1:18" ht="0.75" customHeight="1" x14ac:dyDescent="0.25">
      <c r="A9" s="264" t="s">
        <v>202</v>
      </c>
      <c r="B9" s="194">
        <v>0</v>
      </c>
      <c r="C9" s="194">
        <v>0</v>
      </c>
      <c r="D9" s="125">
        <v>0</v>
      </c>
      <c r="E9" s="197"/>
      <c r="F9" s="197"/>
      <c r="G9" s="197"/>
      <c r="H9" s="196">
        <v>0</v>
      </c>
      <c r="I9" s="196">
        <v>0</v>
      </c>
      <c r="J9" s="60">
        <v>0</v>
      </c>
      <c r="K9" s="38">
        <f t="shared" ref="K9" si="0">+B9+H9+E9</f>
        <v>0</v>
      </c>
      <c r="L9" s="38">
        <f t="shared" ref="L9" si="1">+C9+I9+F9</f>
        <v>0</v>
      </c>
      <c r="M9" s="38">
        <f t="shared" ref="M9" si="2">+D9+J9+G9</f>
        <v>0</v>
      </c>
      <c r="N9"/>
      <c r="O9"/>
      <c r="P9"/>
      <c r="Q9"/>
      <c r="R9"/>
    </row>
    <row r="10" spans="1:18" x14ac:dyDescent="0.25">
      <c r="A10" s="142" t="s">
        <v>277</v>
      </c>
      <c r="B10" s="154">
        <v>0</v>
      </c>
      <c r="C10" s="154">
        <v>0</v>
      </c>
      <c r="D10" s="175">
        <v>0</v>
      </c>
      <c r="E10" s="125"/>
      <c r="F10" s="125"/>
      <c r="G10" s="175"/>
      <c r="H10" s="125">
        <v>0</v>
      </c>
      <c r="I10" s="125">
        <v>0</v>
      </c>
      <c r="J10" s="175">
        <v>0</v>
      </c>
      <c r="K10" s="38">
        <f t="shared" ref="K10" si="3">+B10+H10+E10</f>
        <v>0</v>
      </c>
      <c r="L10" s="38">
        <f t="shared" ref="L10" si="4">+C10+I10+F10</f>
        <v>0</v>
      </c>
      <c r="M10" s="57">
        <f t="shared" ref="M10" si="5">+D10+J10+G10</f>
        <v>0</v>
      </c>
      <c r="N10"/>
      <c r="O10"/>
      <c r="P10"/>
      <c r="Q10"/>
      <c r="R10"/>
    </row>
    <row r="11" spans="1:18" x14ac:dyDescent="0.25">
      <c r="A11" s="142" t="s">
        <v>279</v>
      </c>
      <c r="B11" s="303">
        <v>236</v>
      </c>
      <c r="C11" s="303">
        <v>258</v>
      </c>
      <c r="D11" s="304">
        <v>14027321.84</v>
      </c>
      <c r="E11" s="303"/>
      <c r="F11" s="303"/>
      <c r="G11" s="304"/>
      <c r="H11" s="334">
        <v>67</v>
      </c>
      <c r="I11" s="334">
        <v>71</v>
      </c>
      <c r="J11" s="304">
        <v>9185960.9000000004</v>
      </c>
      <c r="K11" s="38">
        <f t="shared" ref="K11:M12" si="6">+B11+H11+E11</f>
        <v>303</v>
      </c>
      <c r="L11" s="38">
        <f>+C11+I11+F11</f>
        <v>329</v>
      </c>
      <c r="M11" s="57">
        <f t="shared" si="6"/>
        <v>23213282.740000002</v>
      </c>
      <c r="N11"/>
      <c r="O11"/>
      <c r="P11"/>
      <c r="Q11"/>
      <c r="R11"/>
    </row>
    <row r="12" spans="1:18" x14ac:dyDescent="0.25">
      <c r="A12" s="142" t="s">
        <v>274</v>
      </c>
      <c r="B12" s="303">
        <v>1</v>
      </c>
      <c r="C12" s="303">
        <v>1</v>
      </c>
      <c r="D12" s="304">
        <v>507816</v>
      </c>
      <c r="E12" s="125"/>
      <c r="F12" s="125"/>
      <c r="G12" s="175"/>
      <c r="H12" s="125">
        <v>0</v>
      </c>
      <c r="I12" s="125">
        <v>0</v>
      </c>
      <c r="J12" s="175">
        <v>0</v>
      </c>
      <c r="K12" s="38">
        <f t="shared" si="6"/>
        <v>1</v>
      </c>
      <c r="L12" s="38">
        <f t="shared" si="6"/>
        <v>1</v>
      </c>
      <c r="M12" s="57">
        <f t="shared" si="6"/>
        <v>507816</v>
      </c>
      <c r="N12"/>
      <c r="O12"/>
      <c r="P12"/>
      <c r="Q12"/>
      <c r="R12"/>
    </row>
    <row r="13" spans="1:18" x14ac:dyDescent="0.25">
      <c r="A13" s="46" t="s">
        <v>286</v>
      </c>
      <c r="B13" s="40">
        <f t="shared" ref="B13:M13" si="7">SUM(B10:B12)</f>
        <v>237</v>
      </c>
      <c r="C13" s="40">
        <f t="shared" si="7"/>
        <v>259</v>
      </c>
      <c r="D13" s="265">
        <f t="shared" si="7"/>
        <v>14535137.84</v>
      </c>
      <c r="E13" s="40">
        <f t="shared" si="7"/>
        <v>0</v>
      </c>
      <c r="F13" s="40">
        <f t="shared" si="7"/>
        <v>0</v>
      </c>
      <c r="G13" s="40">
        <f t="shared" si="7"/>
        <v>0</v>
      </c>
      <c r="H13" s="198">
        <f t="shared" si="7"/>
        <v>67</v>
      </c>
      <c r="I13" s="198">
        <f t="shared" si="7"/>
        <v>71</v>
      </c>
      <c r="J13" s="265">
        <f t="shared" si="7"/>
        <v>9185960.9000000004</v>
      </c>
      <c r="K13" s="40">
        <f t="shared" si="7"/>
        <v>304</v>
      </c>
      <c r="L13" s="40">
        <f>SUM(L10:L12)</f>
        <v>330</v>
      </c>
      <c r="M13" s="265">
        <f t="shared" si="7"/>
        <v>23721098.740000002</v>
      </c>
      <c r="N13"/>
      <c r="O13"/>
      <c r="P13"/>
      <c r="Q13"/>
      <c r="R13"/>
    </row>
    <row r="14" spans="1:18" hidden="1" x14ac:dyDescent="0.25">
      <c r="A14" s="44" t="s">
        <v>15</v>
      </c>
      <c r="B14" s="125"/>
      <c r="C14" s="125"/>
      <c r="D14" s="175"/>
      <c r="E14" s="125"/>
      <c r="F14" s="125"/>
      <c r="G14" s="175"/>
      <c r="H14" s="125"/>
      <c r="I14" s="125"/>
      <c r="J14" s="175"/>
      <c r="K14" s="37">
        <f t="shared" ref="K14:M16" si="8">+B14+H14+E14</f>
        <v>0</v>
      </c>
      <c r="L14" s="37">
        <f t="shared" si="8"/>
        <v>0</v>
      </c>
      <c r="M14" s="65">
        <f t="shared" si="8"/>
        <v>0</v>
      </c>
      <c r="N14"/>
      <c r="O14"/>
      <c r="P14"/>
      <c r="Q14"/>
      <c r="R14"/>
    </row>
    <row r="15" spans="1:18" hidden="1" x14ac:dyDescent="0.25">
      <c r="A15" s="44" t="s">
        <v>16</v>
      </c>
      <c r="B15" s="125"/>
      <c r="C15" s="125"/>
      <c r="D15" s="175"/>
      <c r="E15" s="125"/>
      <c r="F15" s="125"/>
      <c r="G15" s="175"/>
      <c r="H15" s="125"/>
      <c r="I15" s="125"/>
      <c r="J15" s="175"/>
      <c r="K15" s="37">
        <f t="shared" si="8"/>
        <v>0</v>
      </c>
      <c r="L15" s="37">
        <f t="shared" si="8"/>
        <v>0</v>
      </c>
      <c r="M15" s="65">
        <f t="shared" si="8"/>
        <v>0</v>
      </c>
      <c r="N15"/>
      <c r="O15"/>
      <c r="P15"/>
      <c r="Q15"/>
      <c r="R15"/>
    </row>
    <row r="16" spans="1:18" hidden="1" x14ac:dyDescent="0.25">
      <c r="A16" s="44" t="s">
        <v>17</v>
      </c>
      <c r="B16" s="125"/>
      <c r="C16" s="125"/>
      <c r="D16" s="175"/>
      <c r="E16" s="125"/>
      <c r="F16" s="125"/>
      <c r="G16" s="175"/>
      <c r="H16" s="125"/>
      <c r="I16" s="125"/>
      <c r="J16" s="175"/>
      <c r="K16" s="37">
        <f t="shared" si="8"/>
        <v>0</v>
      </c>
      <c r="L16" s="37">
        <f t="shared" si="8"/>
        <v>0</v>
      </c>
      <c r="M16" s="65">
        <f t="shared" si="8"/>
        <v>0</v>
      </c>
      <c r="N16"/>
      <c r="O16"/>
      <c r="P16"/>
      <c r="Q16"/>
      <c r="R16"/>
    </row>
    <row r="17" spans="1:18" hidden="1" x14ac:dyDescent="0.25">
      <c r="A17" s="27" t="s">
        <v>18</v>
      </c>
      <c r="B17" s="39">
        <f t="shared" ref="B17:M17" si="9">SUM(B14:B16)</f>
        <v>0</v>
      </c>
      <c r="C17" s="39">
        <f t="shared" si="9"/>
        <v>0</v>
      </c>
      <c r="D17" s="39">
        <f t="shared" si="9"/>
        <v>0</v>
      </c>
      <c r="E17" s="39">
        <f t="shared" ref="E17:J17" si="10">SUM(E14:E16)</f>
        <v>0</v>
      </c>
      <c r="F17" s="39">
        <f t="shared" si="10"/>
        <v>0</v>
      </c>
      <c r="G17" s="39">
        <f t="shared" si="10"/>
        <v>0</v>
      </c>
      <c r="H17" s="39">
        <f t="shared" si="10"/>
        <v>0</v>
      </c>
      <c r="I17" s="39">
        <f t="shared" si="10"/>
        <v>0</v>
      </c>
      <c r="J17" s="39">
        <f t="shared" si="10"/>
        <v>0</v>
      </c>
      <c r="K17" s="39">
        <f t="shared" si="9"/>
        <v>0</v>
      </c>
      <c r="L17" s="39">
        <f t="shared" si="9"/>
        <v>0</v>
      </c>
      <c r="M17" s="39">
        <f t="shared" si="9"/>
        <v>0</v>
      </c>
      <c r="N17"/>
      <c r="O17"/>
      <c r="P17"/>
      <c r="Q17"/>
      <c r="R17"/>
    </row>
    <row r="18" spans="1:18" hidden="1" x14ac:dyDescent="0.25">
      <c r="A18" s="44" t="s">
        <v>34</v>
      </c>
      <c r="B18" s="125"/>
      <c r="C18" s="125"/>
      <c r="D18" s="175"/>
      <c r="E18" s="125"/>
      <c r="F18" s="125"/>
      <c r="G18" s="175"/>
      <c r="H18" s="125"/>
      <c r="I18" s="125"/>
      <c r="J18" s="175"/>
      <c r="K18" s="37">
        <f t="shared" ref="K18:M20" si="11">+B18+H18+E18</f>
        <v>0</v>
      </c>
      <c r="L18" s="37">
        <f t="shared" si="11"/>
        <v>0</v>
      </c>
      <c r="M18" s="65">
        <f t="shared" si="11"/>
        <v>0</v>
      </c>
      <c r="N18"/>
      <c r="O18"/>
      <c r="P18"/>
      <c r="Q18"/>
      <c r="R18"/>
    </row>
    <row r="19" spans="1:18" hidden="1" x14ac:dyDescent="0.25">
      <c r="A19" s="44" t="s">
        <v>20</v>
      </c>
      <c r="B19" s="125"/>
      <c r="C19" s="125"/>
      <c r="D19" s="175"/>
      <c r="E19" s="125"/>
      <c r="F19" s="125"/>
      <c r="G19" s="175"/>
      <c r="H19" s="125"/>
      <c r="I19" s="125"/>
      <c r="J19" s="175"/>
      <c r="K19" s="37">
        <f t="shared" si="11"/>
        <v>0</v>
      </c>
      <c r="L19" s="37">
        <f t="shared" si="11"/>
        <v>0</v>
      </c>
      <c r="M19" s="65">
        <f t="shared" si="11"/>
        <v>0</v>
      </c>
      <c r="N19"/>
      <c r="O19"/>
      <c r="P19"/>
      <c r="Q19"/>
      <c r="R19"/>
    </row>
    <row r="20" spans="1:18" hidden="1" x14ac:dyDescent="0.25">
      <c r="A20" s="44" t="s">
        <v>21</v>
      </c>
      <c r="B20" s="125"/>
      <c r="C20" s="125"/>
      <c r="D20" s="175"/>
      <c r="E20" s="125"/>
      <c r="F20" s="125"/>
      <c r="G20" s="175"/>
      <c r="H20" s="125"/>
      <c r="I20" s="125"/>
      <c r="J20" s="175"/>
      <c r="K20" s="37">
        <f t="shared" si="11"/>
        <v>0</v>
      </c>
      <c r="L20" s="37">
        <f t="shared" si="11"/>
        <v>0</v>
      </c>
      <c r="M20" s="65">
        <f t="shared" si="11"/>
        <v>0</v>
      </c>
      <c r="N20"/>
      <c r="O20"/>
      <c r="P20"/>
      <c r="Q20"/>
      <c r="R20"/>
    </row>
    <row r="21" spans="1:18" hidden="1" x14ac:dyDescent="0.25">
      <c r="A21" s="27" t="s">
        <v>22</v>
      </c>
      <c r="B21" s="39">
        <f t="shared" ref="B21:D21" si="12">SUM(B18:B20)</f>
        <v>0</v>
      </c>
      <c r="C21" s="39">
        <f t="shared" si="12"/>
        <v>0</v>
      </c>
      <c r="D21" s="39">
        <f t="shared" si="12"/>
        <v>0</v>
      </c>
      <c r="E21" s="39">
        <f t="shared" ref="E21:M21" si="13">SUM(E18:E20)</f>
        <v>0</v>
      </c>
      <c r="F21" s="39">
        <f t="shared" si="13"/>
        <v>0</v>
      </c>
      <c r="G21" s="39">
        <f t="shared" si="13"/>
        <v>0</v>
      </c>
      <c r="H21" s="39">
        <f>SUM(H18:H20)</f>
        <v>0</v>
      </c>
      <c r="I21" s="39">
        <f>SUM(I18:I20)</f>
        <v>0</v>
      </c>
      <c r="J21" s="39">
        <f>SUM(J18:J20)</f>
        <v>0</v>
      </c>
      <c r="K21" s="39">
        <f t="shared" si="13"/>
        <v>0</v>
      </c>
      <c r="L21" s="39">
        <f t="shared" si="13"/>
        <v>0</v>
      </c>
      <c r="M21" s="39">
        <f t="shared" si="13"/>
        <v>0</v>
      </c>
      <c r="N21"/>
      <c r="O21"/>
      <c r="P21"/>
      <c r="Q21"/>
      <c r="R21"/>
    </row>
    <row r="22" spans="1:18" hidden="1" x14ac:dyDescent="0.25">
      <c r="A22" s="44" t="s">
        <v>13</v>
      </c>
      <c r="B22" s="125"/>
      <c r="C22" s="125"/>
      <c r="D22" s="175"/>
      <c r="E22" s="125"/>
      <c r="F22" s="125"/>
      <c r="G22" s="175"/>
      <c r="H22" s="125"/>
      <c r="I22" s="125"/>
      <c r="J22" s="175"/>
      <c r="K22" s="37">
        <f t="shared" ref="K22:M24" si="14">+B22+H22+E22</f>
        <v>0</v>
      </c>
      <c r="L22" s="37">
        <f t="shared" si="14"/>
        <v>0</v>
      </c>
      <c r="M22" s="65">
        <f t="shared" si="14"/>
        <v>0</v>
      </c>
      <c r="N22"/>
      <c r="O22"/>
      <c r="P22"/>
      <c r="Q22"/>
      <c r="R22"/>
    </row>
    <row r="23" spans="1:18" hidden="1" x14ac:dyDescent="0.25">
      <c r="A23" s="44" t="s">
        <v>12</v>
      </c>
      <c r="B23" s="125"/>
      <c r="C23" s="125"/>
      <c r="D23" s="175"/>
      <c r="E23" s="125"/>
      <c r="F23" s="125"/>
      <c r="G23" s="175"/>
      <c r="H23" s="125"/>
      <c r="I23" s="125"/>
      <c r="J23" s="175"/>
      <c r="K23" s="37">
        <f t="shared" si="14"/>
        <v>0</v>
      </c>
      <c r="L23" s="37">
        <f t="shared" si="14"/>
        <v>0</v>
      </c>
      <c r="M23" s="65">
        <f t="shared" si="14"/>
        <v>0</v>
      </c>
      <c r="N23"/>
      <c r="O23"/>
      <c r="P23"/>
      <c r="Q23"/>
      <c r="R23"/>
    </row>
    <row r="24" spans="1:18" hidden="1" x14ac:dyDescent="0.25">
      <c r="A24" s="44" t="s">
        <v>203</v>
      </c>
      <c r="B24" s="125"/>
      <c r="C24" s="125"/>
      <c r="D24" s="175"/>
      <c r="E24" s="125"/>
      <c r="F24" s="125"/>
      <c r="G24" s="175"/>
      <c r="H24" s="125"/>
      <c r="I24" s="125"/>
      <c r="J24" s="175"/>
      <c r="K24" s="37">
        <f t="shared" si="14"/>
        <v>0</v>
      </c>
      <c r="L24" s="37">
        <f t="shared" si="14"/>
        <v>0</v>
      </c>
      <c r="M24" s="65">
        <f t="shared" si="14"/>
        <v>0</v>
      </c>
      <c r="N24"/>
      <c r="O24"/>
      <c r="P24"/>
      <c r="Q24"/>
      <c r="R24"/>
    </row>
    <row r="25" spans="1:18" hidden="1" x14ac:dyDescent="0.25">
      <c r="A25" s="27" t="s">
        <v>14</v>
      </c>
      <c r="B25" s="39">
        <f t="shared" ref="B25:M25" si="15">SUM(B22:B24)</f>
        <v>0</v>
      </c>
      <c r="C25" s="39">
        <f t="shared" si="15"/>
        <v>0</v>
      </c>
      <c r="D25" s="39">
        <f t="shared" si="15"/>
        <v>0</v>
      </c>
      <c r="E25" s="39">
        <f t="shared" ref="E25:J25" si="16">SUM(E22:E24)</f>
        <v>0</v>
      </c>
      <c r="F25" s="39">
        <f t="shared" si="16"/>
        <v>0</v>
      </c>
      <c r="G25" s="39">
        <f t="shared" si="16"/>
        <v>0</v>
      </c>
      <c r="H25" s="39">
        <f t="shared" si="16"/>
        <v>0</v>
      </c>
      <c r="I25" s="39">
        <f t="shared" si="16"/>
        <v>0</v>
      </c>
      <c r="J25" s="39">
        <f t="shared" si="16"/>
        <v>0</v>
      </c>
      <c r="K25" s="39">
        <f t="shared" si="15"/>
        <v>0</v>
      </c>
      <c r="L25" s="39">
        <f t="shared" si="15"/>
        <v>0</v>
      </c>
      <c r="M25" s="39">
        <f t="shared" si="15"/>
        <v>0</v>
      </c>
      <c r="N25"/>
      <c r="O25"/>
      <c r="P25"/>
      <c r="Q25"/>
      <c r="R25"/>
    </row>
    <row r="26" spans="1:18" hidden="1" x14ac:dyDescent="0.25">
      <c r="A26" s="71" t="s">
        <v>23</v>
      </c>
      <c r="B26" s="41">
        <f t="shared" ref="B26:K26" si="17">+B13+B17+B21+B25</f>
        <v>237</v>
      </c>
      <c r="C26" s="41">
        <f t="shared" si="17"/>
        <v>259</v>
      </c>
      <c r="D26" s="41">
        <f t="shared" si="17"/>
        <v>14535137.84</v>
      </c>
      <c r="E26" s="41">
        <f t="shared" si="17"/>
        <v>0</v>
      </c>
      <c r="F26" s="41">
        <f t="shared" si="17"/>
        <v>0</v>
      </c>
      <c r="G26" s="41">
        <f t="shared" si="17"/>
        <v>0</v>
      </c>
      <c r="H26" s="41">
        <f t="shared" si="17"/>
        <v>67</v>
      </c>
      <c r="I26" s="41">
        <f t="shared" si="17"/>
        <v>71</v>
      </c>
      <c r="J26" s="41">
        <f t="shared" si="17"/>
        <v>9185960.9000000004</v>
      </c>
      <c r="K26" s="41">
        <f t="shared" si="17"/>
        <v>304</v>
      </c>
      <c r="L26" s="41">
        <f t="shared" ref="L26:M26" si="18">+L13+L17+L21+L25</f>
        <v>330</v>
      </c>
      <c r="M26" s="41">
        <f t="shared" si="18"/>
        <v>23721098.740000002</v>
      </c>
      <c r="N26"/>
      <c r="O26"/>
      <c r="P26"/>
      <c r="Q26"/>
      <c r="R26"/>
    </row>
    <row r="27" spans="1:18" hidden="1" x14ac:dyDescent="0.25">
      <c r="A27" s="178" t="s">
        <v>204</v>
      </c>
      <c r="B27"/>
      <c r="C27"/>
      <c r="D27"/>
      <c r="E27"/>
      <c r="F27"/>
      <c r="G27"/>
      <c r="H27"/>
      <c r="I27"/>
      <c r="J27"/>
      <c r="K27"/>
      <c r="L27"/>
      <c r="M27"/>
      <c r="N27"/>
      <c r="O27"/>
      <c r="P27"/>
      <c r="Q27"/>
      <c r="R27"/>
    </row>
    <row r="28" spans="1:18" x14ac:dyDescent="0.25">
      <c r="A28" s="205" t="s">
        <v>205</v>
      </c>
      <c r="B28"/>
      <c r="C28"/>
      <c r="D28"/>
      <c r="E28"/>
      <c r="F28"/>
      <c r="G28"/>
      <c r="H28"/>
      <c r="I28"/>
      <c r="J28"/>
      <c r="K28"/>
      <c r="L28"/>
      <c r="M28"/>
      <c r="N28"/>
      <c r="O28"/>
      <c r="P28"/>
      <c r="Q28"/>
      <c r="R28"/>
    </row>
    <row r="29" spans="1:18" x14ac:dyDescent="0.25">
      <c r="A29"/>
      <c r="B29"/>
      <c r="C29"/>
      <c r="D29"/>
      <c r="E29"/>
      <c r="F29"/>
      <c r="G29"/>
      <c r="H29"/>
      <c r="I29"/>
      <c r="J29"/>
      <c r="K29"/>
      <c r="L29"/>
      <c r="M29"/>
      <c r="N29"/>
      <c r="O29"/>
      <c r="P29"/>
      <c r="Q29"/>
      <c r="R29"/>
    </row>
    <row r="30" spans="1:18" x14ac:dyDescent="0.25">
      <c r="A30"/>
      <c r="B30"/>
      <c r="C30"/>
      <c r="D30"/>
      <c r="E30"/>
      <c r="F30"/>
      <c r="G30"/>
      <c r="H30"/>
      <c r="I30"/>
      <c r="J30"/>
      <c r="K30"/>
      <c r="L30"/>
      <c r="M30"/>
      <c r="N30" s="174"/>
      <c r="O30"/>
      <c r="P30"/>
      <c r="Q30"/>
      <c r="R30"/>
    </row>
    <row r="31" spans="1:18" x14ac:dyDescent="0.25">
      <c r="A31"/>
      <c r="B31"/>
      <c r="C31"/>
      <c r="D31"/>
      <c r="E31"/>
      <c r="F31"/>
      <c r="G31"/>
      <c r="H31"/>
      <c r="I31"/>
      <c r="J31"/>
      <c r="K31"/>
      <c r="L31"/>
      <c r="M31"/>
      <c r="N31" s="174"/>
      <c r="O31"/>
      <c r="P31"/>
      <c r="Q31"/>
      <c r="R31"/>
    </row>
    <row r="32" spans="1:18" x14ac:dyDescent="0.25">
      <c r="A32" s="44"/>
      <c r="B32" s="155"/>
      <c r="C32" s="155"/>
      <c r="D32" s="125"/>
      <c r="E32" s="125"/>
      <c r="F32" s="125"/>
      <c r="G32" s="175"/>
      <c r="H32" s="176"/>
      <c r="I32" s="177"/>
      <c r="J32" s="125"/>
      <c r="K32" s="38"/>
      <c r="L32" s="38"/>
      <c r="M32" s="38"/>
    </row>
    <row r="33" spans="1:20" x14ac:dyDescent="0.25">
      <c r="N33" s="36"/>
      <c r="Q33" s="51"/>
      <c r="R33" s="63"/>
      <c r="S33" s="52"/>
      <c r="T33" s="64"/>
    </row>
    <row r="34" spans="1:20" x14ac:dyDescent="0.25">
      <c r="A34" s="44"/>
      <c r="B34" s="155"/>
      <c r="C34" s="155"/>
      <c r="D34" s="125"/>
      <c r="E34" s="125"/>
      <c r="F34" s="125"/>
      <c r="G34" s="175"/>
      <c r="H34" s="176"/>
      <c r="I34" s="177"/>
      <c r="J34" s="125"/>
      <c r="K34" s="38"/>
      <c r="L34" s="38"/>
      <c r="M34" s="38"/>
      <c r="Q34" s="51"/>
      <c r="R34" s="63"/>
      <c r="S34" s="52"/>
      <c r="T34" s="64"/>
    </row>
    <row r="35" spans="1:20" x14ac:dyDescent="0.25">
      <c r="Q35" s="51"/>
      <c r="R35" s="63"/>
      <c r="S35" s="52"/>
      <c r="T35" s="64"/>
    </row>
    <row r="36" spans="1:20" x14ac:dyDescent="0.25">
      <c r="Q36" s="51"/>
      <c r="R36" s="63"/>
      <c r="S36" s="52"/>
      <c r="T36" s="64"/>
    </row>
    <row r="37" spans="1:20" x14ac:dyDescent="0.25">
      <c r="Q37" s="51"/>
      <c r="R37" s="63"/>
      <c r="S37" s="52"/>
      <c r="T37" s="64"/>
    </row>
    <row r="38" spans="1:20" x14ac:dyDescent="0.25">
      <c r="Q38" s="51"/>
      <c r="R38" s="63"/>
      <c r="S38" s="52"/>
      <c r="T38" s="64"/>
    </row>
    <row r="39" spans="1:20" x14ac:dyDescent="0.25">
      <c r="Q39" s="51"/>
      <c r="R39" s="63"/>
      <c r="S39" s="52"/>
      <c r="T39" s="64"/>
    </row>
    <row r="40" spans="1:20" x14ac:dyDescent="0.25">
      <c r="Q40" s="51"/>
      <c r="R40" s="63"/>
      <c r="S40" s="52"/>
      <c r="T40" s="64"/>
    </row>
  </sheetData>
  <mergeCells count="9">
    <mergeCell ref="A2:M2"/>
    <mergeCell ref="A3:M3"/>
    <mergeCell ref="A4:M4"/>
    <mergeCell ref="A6:M6"/>
    <mergeCell ref="B7:D7"/>
    <mergeCell ref="H7:J7"/>
    <mergeCell ref="K7:M7"/>
    <mergeCell ref="A5:M5"/>
    <mergeCell ref="E7:G7"/>
  </mergeCells>
  <pageMargins left="0.7" right="0.7" top="0.75" bottom="0.75" header="0.3" footer="0.3"/>
  <pageSetup paperSize="9" scale="72" orientation="portrait" r:id="rId1"/>
  <rowBreaks count="1" manualBreakCount="1">
    <brk id="46" max="9" man="1"/>
  </rowBreaks>
  <ignoredErrors>
    <ignoredError sqref="B13:D13 H13:J13" formulaRange="1"/>
    <ignoredError sqref="K13 M13"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P39"/>
  <sheetViews>
    <sheetView showGridLines="0" workbookViewId="0">
      <selection activeCell="F8" sqref="F8:G10"/>
    </sheetView>
  </sheetViews>
  <sheetFormatPr defaultColWidth="11.42578125" defaultRowHeight="15" x14ac:dyDescent="0.25"/>
  <cols>
    <col min="1" max="1" width="11.42578125" style="1"/>
    <col min="2" max="2" width="11" style="1" customWidth="1"/>
    <col min="3" max="3" width="14.140625" style="1" customWidth="1"/>
    <col min="4" max="4" width="12.42578125" style="1" customWidth="1"/>
    <col min="5" max="5" width="17.7109375" style="1" bestFit="1" customWidth="1"/>
    <col min="6" max="6" width="12.42578125" style="1" customWidth="1"/>
    <col min="7" max="7" width="16.140625" style="1" bestFit="1" customWidth="1"/>
    <col min="8" max="8" width="10.7109375" style="1" customWidth="1"/>
    <col min="9" max="9" width="15.28515625" style="1" bestFit="1" customWidth="1"/>
    <col min="10" max="10" width="11.42578125" style="1" customWidth="1"/>
    <col min="11" max="12" width="11.42578125" style="1"/>
    <col min="13" max="14" width="11.7109375" style="1" bestFit="1" customWidth="1"/>
    <col min="15" max="15" width="16" style="1" bestFit="1" customWidth="1"/>
    <col min="16" max="16" width="11.7109375" style="1" bestFit="1" customWidth="1"/>
    <col min="17" max="16384" width="11.42578125" style="1"/>
  </cols>
  <sheetData>
    <row r="1" spans="1:9" x14ac:dyDescent="0.25">
      <c r="A1" s="343" t="s">
        <v>206</v>
      </c>
      <c r="B1" s="343"/>
      <c r="C1" s="343"/>
      <c r="D1" s="343"/>
      <c r="E1" s="343"/>
      <c r="F1" s="343"/>
      <c r="G1" s="343"/>
      <c r="H1" s="343"/>
      <c r="I1" s="343"/>
    </row>
    <row r="2" spans="1:9" x14ac:dyDescent="0.25">
      <c r="A2" s="343" t="s">
        <v>62</v>
      </c>
      <c r="B2" s="343"/>
      <c r="C2" s="343"/>
      <c r="D2" s="343"/>
      <c r="E2" s="343"/>
      <c r="F2" s="343"/>
      <c r="G2" s="343"/>
      <c r="H2" s="343"/>
      <c r="I2" s="343"/>
    </row>
    <row r="3" spans="1:9" x14ac:dyDescent="0.25">
      <c r="A3" s="343" t="s">
        <v>207</v>
      </c>
      <c r="B3" s="343"/>
      <c r="C3" s="343"/>
      <c r="D3" s="343"/>
      <c r="E3" s="343"/>
      <c r="F3" s="343"/>
      <c r="G3" s="343"/>
      <c r="H3" s="343"/>
      <c r="I3" s="343"/>
    </row>
    <row r="4" spans="1:9" x14ac:dyDescent="0.25">
      <c r="A4" s="343" t="s">
        <v>208</v>
      </c>
      <c r="B4" s="343"/>
      <c r="C4" s="343"/>
      <c r="D4" s="343"/>
      <c r="E4" s="343"/>
      <c r="F4" s="343"/>
      <c r="G4" s="343"/>
      <c r="H4" s="343"/>
      <c r="I4" s="343"/>
    </row>
    <row r="5" spans="1:9" x14ac:dyDescent="0.25">
      <c r="A5" s="343" t="s">
        <v>209</v>
      </c>
      <c r="B5" s="343"/>
      <c r="C5" s="343"/>
      <c r="D5" s="343"/>
      <c r="E5" s="343"/>
      <c r="F5" s="343"/>
      <c r="G5" s="343"/>
      <c r="H5" s="343"/>
      <c r="I5" s="343"/>
    </row>
    <row r="6" spans="1:9" x14ac:dyDescent="0.25">
      <c r="A6" s="88"/>
      <c r="B6" s="383" t="s">
        <v>210</v>
      </c>
      <c r="C6" s="383"/>
      <c r="D6" s="382" t="s">
        <v>74</v>
      </c>
      <c r="E6" s="382"/>
      <c r="F6" s="384" t="s">
        <v>73</v>
      </c>
      <c r="G6" s="384"/>
      <c r="H6" s="386" t="s">
        <v>75</v>
      </c>
      <c r="I6" s="386"/>
    </row>
    <row r="7" spans="1:9" ht="34.5" customHeight="1" x14ac:dyDescent="0.25">
      <c r="A7" s="89" t="s">
        <v>3</v>
      </c>
      <c r="B7" s="45" t="s">
        <v>211</v>
      </c>
      <c r="C7" s="45" t="s">
        <v>7</v>
      </c>
      <c r="D7" s="45" t="s">
        <v>211</v>
      </c>
      <c r="E7" s="45" t="s">
        <v>7</v>
      </c>
      <c r="F7" s="45" t="s">
        <v>211</v>
      </c>
      <c r="G7" s="45" t="s">
        <v>7</v>
      </c>
      <c r="H7" s="45" t="s">
        <v>211</v>
      </c>
      <c r="I7" s="45" t="s">
        <v>7</v>
      </c>
    </row>
    <row r="8" spans="1:9" x14ac:dyDescent="0.25">
      <c r="A8" s="44" t="s">
        <v>15</v>
      </c>
      <c r="B8" s="32">
        <v>0</v>
      </c>
      <c r="C8" s="60">
        <v>0</v>
      </c>
      <c r="D8" s="32">
        <v>0</v>
      </c>
      <c r="E8" s="60">
        <v>0</v>
      </c>
      <c r="F8" s="32">
        <v>0</v>
      </c>
      <c r="G8" s="60">
        <v>0</v>
      </c>
      <c r="H8" s="37">
        <f t="shared" ref="H8:I10" si="0">+B8+D8+F8</f>
        <v>0</v>
      </c>
      <c r="I8" s="65">
        <f t="shared" si="0"/>
        <v>0</v>
      </c>
    </row>
    <row r="9" spans="1:9" x14ac:dyDescent="0.25">
      <c r="A9" s="44" t="s">
        <v>16</v>
      </c>
      <c r="B9" s="32">
        <f>4+28+31</f>
        <v>63</v>
      </c>
      <c r="C9" s="60">
        <f>30992+216880.44+240467.76</f>
        <v>488340.2</v>
      </c>
      <c r="D9" s="32">
        <v>3</v>
      </c>
      <c r="E9" s="60">
        <v>224872.69</v>
      </c>
      <c r="F9" s="32">
        <f>2+12</f>
        <v>14</v>
      </c>
      <c r="G9" s="60">
        <f>12000+72000</f>
        <v>84000</v>
      </c>
      <c r="H9" s="37">
        <f t="shared" si="0"/>
        <v>80</v>
      </c>
      <c r="I9" s="65">
        <f t="shared" si="0"/>
        <v>797212.89</v>
      </c>
    </row>
    <row r="10" spans="1:9" x14ac:dyDescent="0.25">
      <c r="A10" s="44" t="s">
        <v>17</v>
      </c>
      <c r="B10" s="32">
        <v>1413</v>
      </c>
      <c r="C10" s="60">
        <v>11172621.32</v>
      </c>
      <c r="D10" s="32">
        <v>34</v>
      </c>
      <c r="E10" s="60">
        <v>278309.3</v>
      </c>
      <c r="F10" s="32">
        <v>1549</v>
      </c>
      <c r="G10" s="60">
        <v>9294000</v>
      </c>
      <c r="H10" s="37">
        <f t="shared" si="0"/>
        <v>2996</v>
      </c>
      <c r="I10" s="37">
        <f t="shared" si="0"/>
        <v>20744930.620000001</v>
      </c>
    </row>
    <row r="11" spans="1:9" x14ac:dyDescent="0.25">
      <c r="A11" s="27" t="s">
        <v>18</v>
      </c>
      <c r="B11" s="39">
        <f t="shared" ref="B11:I11" si="1">SUM(B8:B10)</f>
        <v>1476</v>
      </c>
      <c r="C11" s="39">
        <f t="shared" si="1"/>
        <v>11660961.52</v>
      </c>
      <c r="D11" s="39">
        <f t="shared" si="1"/>
        <v>37</v>
      </c>
      <c r="E11" s="39">
        <f t="shared" si="1"/>
        <v>503181.99</v>
      </c>
      <c r="F11" s="39">
        <f>SUM(F8:F10)</f>
        <v>1563</v>
      </c>
      <c r="G11" s="39">
        <f t="shared" ref="G11" si="2">SUM(G8:G10)</f>
        <v>9378000</v>
      </c>
      <c r="H11" s="39">
        <f>SUM(H8:H10)</f>
        <v>3076</v>
      </c>
      <c r="I11" s="39">
        <f t="shared" si="1"/>
        <v>21542143.510000002</v>
      </c>
    </row>
    <row r="12" spans="1:9" hidden="1" x14ac:dyDescent="0.25">
      <c r="A12" s="44" t="s">
        <v>15</v>
      </c>
      <c r="B12" s="32"/>
      <c r="C12" s="60"/>
      <c r="D12" s="32"/>
      <c r="E12" s="60"/>
      <c r="F12" s="32"/>
      <c r="G12" s="60"/>
      <c r="H12" s="37">
        <f t="shared" ref="H12:I14" si="3">+B12+D12+F12</f>
        <v>0</v>
      </c>
      <c r="I12" s="65">
        <f t="shared" si="3"/>
        <v>0</v>
      </c>
    </row>
    <row r="13" spans="1:9" hidden="1" x14ac:dyDescent="0.25">
      <c r="A13" s="44" t="s">
        <v>16</v>
      </c>
      <c r="B13" s="32"/>
      <c r="C13" s="60"/>
      <c r="D13" s="32"/>
      <c r="E13" s="60"/>
      <c r="F13" s="32"/>
      <c r="G13" s="60"/>
      <c r="H13" s="37">
        <f t="shared" si="3"/>
        <v>0</v>
      </c>
      <c r="I13" s="65">
        <f t="shared" si="3"/>
        <v>0</v>
      </c>
    </row>
    <row r="14" spans="1:9" hidden="1" x14ac:dyDescent="0.25">
      <c r="A14" s="44" t="s">
        <v>17</v>
      </c>
      <c r="B14" s="32"/>
      <c r="C14" s="60"/>
      <c r="D14" s="32"/>
      <c r="E14" s="60"/>
      <c r="F14" s="32"/>
      <c r="G14" s="60"/>
      <c r="H14" s="37">
        <f t="shared" si="3"/>
        <v>0</v>
      </c>
      <c r="I14" s="65">
        <f t="shared" si="3"/>
        <v>0</v>
      </c>
    </row>
    <row r="15" spans="1:9" hidden="1" x14ac:dyDescent="0.25">
      <c r="A15" s="27" t="s">
        <v>18</v>
      </c>
      <c r="B15" s="39">
        <f t="shared" ref="B15:I15" si="4">SUM(B12:B14)</f>
        <v>0</v>
      </c>
      <c r="C15" s="39">
        <f t="shared" si="4"/>
        <v>0</v>
      </c>
      <c r="D15" s="39">
        <f t="shared" si="4"/>
        <v>0</v>
      </c>
      <c r="E15" s="39">
        <f t="shared" si="4"/>
        <v>0</v>
      </c>
      <c r="F15" s="39">
        <f t="shared" ref="F15:G15" si="5">SUM(F12:F14)</f>
        <v>0</v>
      </c>
      <c r="G15" s="39">
        <f t="shared" si="5"/>
        <v>0</v>
      </c>
      <c r="H15" s="39">
        <f t="shared" si="4"/>
        <v>0</v>
      </c>
      <c r="I15" s="39">
        <f t="shared" si="4"/>
        <v>0</v>
      </c>
    </row>
    <row r="16" spans="1:9" hidden="1" x14ac:dyDescent="0.25">
      <c r="A16" s="44" t="s">
        <v>34</v>
      </c>
      <c r="B16" s="32"/>
      <c r="C16" s="60"/>
      <c r="D16" s="32"/>
      <c r="E16" s="60"/>
      <c r="F16" s="32"/>
      <c r="G16" s="60"/>
      <c r="H16" s="37">
        <f t="shared" ref="H16:I18" si="6">+B16+D16+F16</f>
        <v>0</v>
      </c>
      <c r="I16" s="65">
        <f t="shared" si="6"/>
        <v>0</v>
      </c>
    </row>
    <row r="17" spans="1:16" hidden="1" x14ac:dyDescent="0.25">
      <c r="A17" s="44" t="s">
        <v>20</v>
      </c>
      <c r="B17" s="32"/>
      <c r="C17" s="60"/>
      <c r="D17" s="32"/>
      <c r="E17" s="60"/>
      <c r="F17" s="32"/>
      <c r="G17" s="60"/>
      <c r="H17" s="37">
        <f t="shared" si="6"/>
        <v>0</v>
      </c>
      <c r="I17" s="65">
        <f t="shared" si="6"/>
        <v>0</v>
      </c>
    </row>
    <row r="18" spans="1:16" hidden="1" x14ac:dyDescent="0.25">
      <c r="A18" s="44" t="s">
        <v>21</v>
      </c>
      <c r="B18" s="32"/>
      <c r="C18" s="60"/>
      <c r="D18" s="32"/>
      <c r="E18" s="60"/>
      <c r="F18" s="32"/>
      <c r="G18" s="60"/>
      <c r="H18" s="37">
        <f t="shared" si="6"/>
        <v>0</v>
      </c>
      <c r="I18" s="65">
        <f t="shared" si="6"/>
        <v>0</v>
      </c>
    </row>
    <row r="19" spans="1:16" hidden="1" x14ac:dyDescent="0.25">
      <c r="A19" s="27" t="s">
        <v>22</v>
      </c>
      <c r="B19" s="39">
        <f t="shared" ref="B19:E19" si="7">SUM(B16:B18)</f>
        <v>0</v>
      </c>
      <c r="C19" s="39">
        <f t="shared" si="7"/>
        <v>0</v>
      </c>
      <c r="D19" s="39">
        <f t="shared" si="7"/>
        <v>0</v>
      </c>
      <c r="E19" s="39">
        <f t="shared" si="7"/>
        <v>0</v>
      </c>
      <c r="F19" s="39">
        <f t="shared" ref="F19:G19" si="8">SUM(F16:F18)</f>
        <v>0</v>
      </c>
      <c r="G19" s="39">
        <f t="shared" si="8"/>
        <v>0</v>
      </c>
      <c r="H19" s="39">
        <f>SUM(H16:H18)</f>
        <v>0</v>
      </c>
      <c r="I19" s="39">
        <f>SUM(I16:I18)</f>
        <v>0</v>
      </c>
    </row>
    <row r="20" spans="1:16" hidden="1" x14ac:dyDescent="0.25">
      <c r="A20" s="31" t="s">
        <v>13</v>
      </c>
      <c r="B20" s="32"/>
      <c r="C20" s="60"/>
      <c r="D20" s="32"/>
      <c r="E20" s="60"/>
      <c r="F20" s="32"/>
      <c r="G20" s="60"/>
      <c r="H20" s="37">
        <f t="shared" ref="H20:I22" si="9">+B20+D20+F20</f>
        <v>0</v>
      </c>
      <c r="I20" s="65">
        <f t="shared" si="9"/>
        <v>0</v>
      </c>
    </row>
    <row r="21" spans="1:16" hidden="1" x14ac:dyDescent="0.25">
      <c r="A21" s="31" t="s">
        <v>12</v>
      </c>
      <c r="B21" s="32"/>
      <c r="C21" s="60"/>
      <c r="D21" s="32"/>
      <c r="E21" s="60"/>
      <c r="F21" s="32"/>
      <c r="G21" s="60"/>
      <c r="H21" s="37">
        <f t="shared" si="9"/>
        <v>0</v>
      </c>
      <c r="I21" s="65">
        <f t="shared" si="9"/>
        <v>0</v>
      </c>
    </row>
    <row r="22" spans="1:16" hidden="1" x14ac:dyDescent="0.25">
      <c r="A22" s="31" t="s">
        <v>11</v>
      </c>
      <c r="B22" s="32"/>
      <c r="C22" s="60"/>
      <c r="D22" s="32"/>
      <c r="E22" s="60"/>
      <c r="F22" s="32"/>
      <c r="G22" s="60"/>
      <c r="H22" s="37">
        <f t="shared" si="9"/>
        <v>0</v>
      </c>
      <c r="I22" s="65">
        <f t="shared" si="9"/>
        <v>0</v>
      </c>
    </row>
    <row r="23" spans="1:16" hidden="1" x14ac:dyDescent="0.25">
      <c r="A23" s="12" t="s">
        <v>14</v>
      </c>
      <c r="B23" s="39">
        <f t="shared" ref="B23:I23" si="10">SUM(B20:B22)</f>
        <v>0</v>
      </c>
      <c r="C23" s="39">
        <f t="shared" si="10"/>
        <v>0</v>
      </c>
      <c r="D23" s="39">
        <f t="shared" si="10"/>
        <v>0</v>
      </c>
      <c r="E23" s="39">
        <f t="shared" si="10"/>
        <v>0</v>
      </c>
      <c r="F23" s="39">
        <f t="shared" ref="F23:G23" si="11">SUM(F20:F22)</f>
        <v>0</v>
      </c>
      <c r="G23" s="39">
        <f t="shared" si="11"/>
        <v>0</v>
      </c>
      <c r="H23" s="39">
        <f t="shared" si="10"/>
        <v>0</v>
      </c>
      <c r="I23" s="39">
        <f t="shared" si="10"/>
        <v>0</v>
      </c>
    </row>
    <row r="24" spans="1:16" hidden="1" x14ac:dyDescent="0.25">
      <c r="A24" s="61" t="s">
        <v>23</v>
      </c>
      <c r="B24" s="41">
        <f>+B11+B15+B19+B23</f>
        <v>1476</v>
      </c>
      <c r="C24" s="41">
        <f>+C11+C15+C19+C23</f>
        <v>11660961.52</v>
      </c>
      <c r="D24" s="41">
        <f t="shared" ref="D24:I24" si="12">+D11+D15+D19+D23</f>
        <v>37</v>
      </c>
      <c r="E24" s="41">
        <f t="shared" si="12"/>
        <v>503181.99</v>
      </c>
      <c r="F24" s="41">
        <f t="shared" si="12"/>
        <v>1563</v>
      </c>
      <c r="G24" s="41">
        <f t="shared" si="12"/>
        <v>9378000</v>
      </c>
      <c r="H24" s="41">
        <f>+H11+H15+H19+H23</f>
        <v>3076</v>
      </c>
      <c r="I24" s="41">
        <f t="shared" si="12"/>
        <v>21542143.510000002</v>
      </c>
    </row>
    <row r="25" spans="1:16" hidden="1" x14ac:dyDescent="0.25">
      <c r="A25" s="62" t="s">
        <v>212</v>
      </c>
    </row>
    <row r="26" spans="1:16" x14ac:dyDescent="0.25">
      <c r="A26" s="15" t="s">
        <v>213</v>
      </c>
      <c r="E26" s="36"/>
      <c r="G26" s="36"/>
    </row>
    <row r="32" spans="1:16" x14ac:dyDescent="0.25">
      <c r="M32" s="51">
        <v>32154</v>
      </c>
      <c r="N32" s="63" t="e">
        <f t="shared" ref="N32:N39" si="13">M32/$B$29*100</f>
        <v>#DIV/0!</v>
      </c>
      <c r="O32" s="52">
        <v>386810064.19999999</v>
      </c>
      <c r="P32" s="64" t="e">
        <f>O32/O40*100</f>
        <v>#DIV/0!</v>
      </c>
    </row>
    <row r="33" spans="13:16" x14ac:dyDescent="0.25">
      <c r="M33" s="51">
        <v>56199</v>
      </c>
      <c r="N33" s="63" t="e">
        <f t="shared" si="13"/>
        <v>#DIV/0!</v>
      </c>
      <c r="O33" s="52">
        <v>471111842.94</v>
      </c>
      <c r="P33" s="64" t="e">
        <f>O33/O40*100</f>
        <v>#DIV/0!</v>
      </c>
    </row>
    <row r="34" spans="13:16" x14ac:dyDescent="0.25">
      <c r="M34" s="51">
        <v>297</v>
      </c>
      <c r="N34" s="63" t="e">
        <f t="shared" si="13"/>
        <v>#DIV/0!</v>
      </c>
      <c r="O34" s="52">
        <v>5010228</v>
      </c>
      <c r="P34" s="64" t="e">
        <f>O34/O40*100</f>
        <v>#DIV/0!</v>
      </c>
    </row>
    <row r="35" spans="13:16" x14ac:dyDescent="0.25">
      <c r="M35" s="51">
        <v>163</v>
      </c>
      <c r="N35" s="63" t="e">
        <f t="shared" si="13"/>
        <v>#DIV/0!</v>
      </c>
      <c r="O35" s="52">
        <v>4392328.91</v>
      </c>
      <c r="P35" s="64" t="e">
        <f>O35/O40*100</f>
        <v>#DIV/0!</v>
      </c>
    </row>
    <row r="36" spans="13:16" x14ac:dyDescent="0.25">
      <c r="M36" s="51">
        <v>366</v>
      </c>
      <c r="N36" s="63" t="e">
        <f t="shared" si="13"/>
        <v>#DIV/0!</v>
      </c>
      <c r="O36" s="52">
        <v>9034522.6500000004</v>
      </c>
      <c r="P36" s="64" t="e">
        <f>O36/O40*100</f>
        <v>#DIV/0!</v>
      </c>
    </row>
    <row r="37" spans="13:16" x14ac:dyDescent="0.25">
      <c r="M37" s="51">
        <v>17249</v>
      </c>
      <c r="N37" s="63" t="e">
        <f t="shared" si="13"/>
        <v>#DIV/0!</v>
      </c>
      <c r="O37" s="52">
        <v>405400068.69</v>
      </c>
      <c r="P37" s="64" t="e">
        <f>O37/O40*100</f>
        <v>#DIV/0!</v>
      </c>
    </row>
    <row r="38" spans="13:16" x14ac:dyDescent="0.25">
      <c r="M38" s="51">
        <v>18745</v>
      </c>
      <c r="N38" s="63" t="e">
        <f t="shared" si="13"/>
        <v>#DIV/0!</v>
      </c>
      <c r="O38" s="52">
        <v>369724631.60000002</v>
      </c>
      <c r="P38" s="64" t="e">
        <f>O38/O40*100</f>
        <v>#DIV/0!</v>
      </c>
    </row>
    <row r="39" spans="13:16" x14ac:dyDescent="0.25">
      <c r="M39" s="51">
        <v>15130</v>
      </c>
      <c r="N39" s="63" t="e">
        <f t="shared" si="13"/>
        <v>#DIV/0!</v>
      </c>
      <c r="O39" s="52">
        <v>151015428.50999999</v>
      </c>
      <c r="P39" s="64" t="e">
        <f>O39/O40*100</f>
        <v>#DIV/0!</v>
      </c>
    </row>
  </sheetData>
  <mergeCells count="9">
    <mergeCell ref="B6:C6"/>
    <mergeCell ref="D6:E6"/>
    <mergeCell ref="F6:G6"/>
    <mergeCell ref="H6:I6"/>
    <mergeCell ref="A1:I1"/>
    <mergeCell ref="A2:I2"/>
    <mergeCell ref="A3:I3"/>
    <mergeCell ref="A4:I4"/>
    <mergeCell ref="A5:I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P39"/>
  <sheetViews>
    <sheetView showGridLines="0" workbookViewId="0">
      <selection activeCell="B27" sqref="B27"/>
    </sheetView>
  </sheetViews>
  <sheetFormatPr defaultColWidth="11.42578125" defaultRowHeight="15" x14ac:dyDescent="0.25"/>
  <cols>
    <col min="1" max="1" width="11.42578125" style="1"/>
    <col min="2" max="2" width="11" style="1" customWidth="1"/>
    <col min="3" max="3" width="14.140625" style="1" customWidth="1"/>
    <col min="4" max="4" width="12.42578125" style="1" customWidth="1"/>
    <col min="5" max="5" width="17.7109375" style="1" bestFit="1" customWidth="1"/>
    <col min="6" max="6" width="12.42578125" style="1" customWidth="1"/>
    <col min="7" max="7" width="16.140625" style="1" bestFit="1" customWidth="1"/>
    <col min="8" max="8" width="10.7109375" style="1" customWidth="1"/>
    <col min="9" max="9" width="15.28515625" style="1" bestFit="1" customWidth="1"/>
    <col min="10" max="10" width="11.42578125" style="1" customWidth="1"/>
    <col min="11" max="12" width="11.42578125" style="1"/>
    <col min="13" max="14" width="11.7109375" style="1" bestFit="1" customWidth="1"/>
    <col min="15" max="15" width="16" style="1" bestFit="1" customWidth="1"/>
    <col min="16" max="16" width="11.7109375" style="1" bestFit="1" customWidth="1"/>
    <col min="17" max="16384" width="11.42578125" style="1"/>
  </cols>
  <sheetData>
    <row r="1" spans="1:9" x14ac:dyDescent="0.25">
      <c r="A1" s="343" t="s">
        <v>206</v>
      </c>
      <c r="B1" s="343"/>
      <c r="C1" s="343"/>
      <c r="D1" s="343"/>
      <c r="E1" s="343"/>
      <c r="F1" s="343"/>
      <c r="G1" s="343"/>
      <c r="H1" s="343"/>
      <c r="I1" s="343"/>
    </row>
    <row r="2" spans="1:9" x14ac:dyDescent="0.25">
      <c r="A2" s="343" t="s">
        <v>62</v>
      </c>
      <c r="B2" s="343"/>
      <c r="C2" s="343"/>
      <c r="D2" s="343"/>
      <c r="E2" s="343"/>
      <c r="F2" s="343"/>
      <c r="G2" s="343"/>
      <c r="H2" s="343"/>
      <c r="I2" s="343"/>
    </row>
    <row r="3" spans="1:9" x14ac:dyDescent="0.25">
      <c r="A3" s="343" t="s">
        <v>214</v>
      </c>
      <c r="B3" s="343"/>
      <c r="C3" s="343"/>
      <c r="D3" s="343"/>
      <c r="E3" s="343"/>
      <c r="F3" s="343"/>
      <c r="G3" s="343"/>
      <c r="H3" s="343"/>
      <c r="I3" s="343"/>
    </row>
    <row r="4" spans="1:9" x14ac:dyDescent="0.25">
      <c r="A4" s="343" t="s">
        <v>215</v>
      </c>
      <c r="B4" s="343"/>
      <c r="C4" s="343"/>
      <c r="D4" s="343"/>
      <c r="E4" s="343"/>
      <c r="F4" s="343"/>
      <c r="G4" s="343"/>
      <c r="H4" s="343"/>
      <c r="I4" s="343"/>
    </row>
    <row r="5" spans="1:9" x14ac:dyDescent="0.25">
      <c r="A5" s="343" t="s">
        <v>209</v>
      </c>
      <c r="B5" s="343"/>
      <c r="C5" s="343"/>
      <c r="D5" s="343"/>
      <c r="E5" s="343"/>
      <c r="F5" s="343"/>
      <c r="G5" s="343"/>
      <c r="H5" s="343"/>
      <c r="I5" s="343"/>
    </row>
    <row r="6" spans="1:9" x14ac:dyDescent="0.25">
      <c r="A6" s="88"/>
      <c r="B6" s="383" t="s">
        <v>210</v>
      </c>
      <c r="C6" s="383"/>
      <c r="D6" s="382" t="s">
        <v>74</v>
      </c>
      <c r="E6" s="382"/>
      <c r="F6" s="384" t="s">
        <v>73</v>
      </c>
      <c r="G6" s="384"/>
      <c r="H6" s="386" t="s">
        <v>75</v>
      </c>
      <c r="I6" s="386"/>
    </row>
    <row r="7" spans="1:9" ht="34.5" customHeight="1" x14ac:dyDescent="0.25">
      <c r="A7" s="89" t="s">
        <v>3</v>
      </c>
      <c r="B7" s="45" t="s">
        <v>216</v>
      </c>
      <c r="C7" s="45" t="s">
        <v>7</v>
      </c>
      <c r="D7" s="45" t="s">
        <v>216</v>
      </c>
      <c r="E7" s="45" t="s">
        <v>7</v>
      </c>
      <c r="F7" s="45" t="s">
        <v>216</v>
      </c>
      <c r="G7" s="45" t="s">
        <v>7</v>
      </c>
      <c r="H7" s="45" t="s">
        <v>216</v>
      </c>
      <c r="I7" s="45" t="s">
        <v>7</v>
      </c>
    </row>
    <row r="8" spans="1:9" x14ac:dyDescent="0.25">
      <c r="A8" s="44" t="s">
        <v>15</v>
      </c>
      <c r="B8" s="32">
        <v>0</v>
      </c>
      <c r="C8" s="60">
        <v>0</v>
      </c>
      <c r="D8" s="32">
        <v>0</v>
      </c>
      <c r="E8" s="60">
        <v>0</v>
      </c>
      <c r="F8" s="32">
        <v>0</v>
      </c>
      <c r="G8" s="60">
        <v>0</v>
      </c>
      <c r="H8" s="37">
        <f t="shared" ref="H8:I10" si="0">+B8+D8+F8</f>
        <v>0</v>
      </c>
      <c r="I8" s="65">
        <f t="shared" si="0"/>
        <v>0</v>
      </c>
    </row>
    <row r="9" spans="1:9" x14ac:dyDescent="0.25">
      <c r="A9" s="44" t="s">
        <v>16</v>
      </c>
      <c r="B9" s="32">
        <v>36</v>
      </c>
      <c r="C9" s="60">
        <v>386001.61</v>
      </c>
      <c r="D9" s="32">
        <v>2</v>
      </c>
      <c r="E9" s="60">
        <v>16030.61</v>
      </c>
      <c r="F9" s="32">
        <v>2</v>
      </c>
      <c r="G9" s="60">
        <v>12000</v>
      </c>
      <c r="H9" s="37">
        <f t="shared" si="0"/>
        <v>40</v>
      </c>
      <c r="I9" s="65">
        <f t="shared" si="0"/>
        <v>414032.22</v>
      </c>
    </row>
    <row r="10" spans="1:9" x14ac:dyDescent="0.25">
      <c r="A10" s="44" t="s">
        <v>17</v>
      </c>
      <c r="B10" s="32">
        <v>131</v>
      </c>
      <c r="C10" s="60">
        <v>1444844.33</v>
      </c>
      <c r="D10" s="32">
        <v>5</v>
      </c>
      <c r="E10" s="60">
        <v>110598.45</v>
      </c>
      <c r="F10" s="32">
        <v>6</v>
      </c>
      <c r="G10" s="60">
        <v>36000</v>
      </c>
      <c r="H10" s="37">
        <f t="shared" si="0"/>
        <v>142</v>
      </c>
      <c r="I10" s="37">
        <f t="shared" si="0"/>
        <v>1591442.78</v>
      </c>
    </row>
    <row r="11" spans="1:9" x14ac:dyDescent="0.25">
      <c r="A11" s="27" t="s">
        <v>18</v>
      </c>
      <c r="B11" s="39">
        <f t="shared" ref="B11:I11" si="1">SUM(B8:B10)</f>
        <v>167</v>
      </c>
      <c r="C11" s="39">
        <f t="shared" si="1"/>
        <v>1830845.94</v>
      </c>
      <c r="D11" s="39">
        <f t="shared" si="1"/>
        <v>7</v>
      </c>
      <c r="E11" s="39">
        <f t="shared" si="1"/>
        <v>126629.06</v>
      </c>
      <c r="F11" s="39">
        <f>SUM(F8:F10)</f>
        <v>8</v>
      </c>
      <c r="G11" s="39">
        <f t="shared" ref="G11" si="2">SUM(G8:G10)</f>
        <v>48000</v>
      </c>
      <c r="H11" s="39">
        <f t="shared" si="1"/>
        <v>182</v>
      </c>
      <c r="I11" s="39">
        <f t="shared" si="1"/>
        <v>2005475</v>
      </c>
    </row>
    <row r="12" spans="1:9" hidden="1" x14ac:dyDescent="0.25">
      <c r="A12" s="44" t="s">
        <v>15</v>
      </c>
      <c r="B12" s="32">
        <v>52</v>
      </c>
      <c r="C12" s="60">
        <v>621254.41</v>
      </c>
      <c r="D12" s="32">
        <v>2</v>
      </c>
      <c r="E12" s="60">
        <v>15128.119999999999</v>
      </c>
      <c r="F12" s="32"/>
      <c r="G12" s="60"/>
      <c r="H12" s="37">
        <f t="shared" ref="H12:I14" si="3">+B12+D12+F12</f>
        <v>54</v>
      </c>
      <c r="I12" s="65">
        <f t="shared" si="3"/>
        <v>636382.53</v>
      </c>
    </row>
    <row r="13" spans="1:9" hidden="1" x14ac:dyDescent="0.25">
      <c r="A13" s="44" t="s">
        <v>16</v>
      </c>
      <c r="B13" s="32"/>
      <c r="C13" s="60"/>
      <c r="D13" s="32"/>
      <c r="E13" s="60"/>
      <c r="F13" s="32"/>
      <c r="G13" s="60"/>
      <c r="H13" s="37">
        <f t="shared" si="3"/>
        <v>0</v>
      </c>
      <c r="I13" s="65">
        <f t="shared" si="3"/>
        <v>0</v>
      </c>
    </row>
    <row r="14" spans="1:9" hidden="1" x14ac:dyDescent="0.25">
      <c r="A14" s="44" t="s">
        <v>17</v>
      </c>
      <c r="B14" s="32"/>
      <c r="C14" s="60"/>
      <c r="D14" s="32"/>
      <c r="E14" s="60"/>
      <c r="F14" s="32"/>
      <c r="G14" s="60"/>
      <c r="H14" s="37">
        <f t="shared" si="3"/>
        <v>0</v>
      </c>
      <c r="I14" s="65">
        <f t="shared" si="3"/>
        <v>0</v>
      </c>
    </row>
    <row r="15" spans="1:9" hidden="1" x14ac:dyDescent="0.25">
      <c r="A15" s="27" t="s">
        <v>18</v>
      </c>
      <c r="B15" s="39">
        <f t="shared" ref="B15:I15" si="4">SUM(B12:B14)</f>
        <v>52</v>
      </c>
      <c r="C15" s="39">
        <f t="shared" si="4"/>
        <v>621254.41</v>
      </c>
      <c r="D15" s="39">
        <f t="shared" si="4"/>
        <v>2</v>
      </c>
      <c r="E15" s="39">
        <f t="shared" si="4"/>
        <v>15128.119999999999</v>
      </c>
      <c r="F15" s="39">
        <f t="shared" ref="F15:G15" si="5">SUM(F12:F14)</f>
        <v>0</v>
      </c>
      <c r="G15" s="39">
        <f t="shared" si="5"/>
        <v>0</v>
      </c>
      <c r="H15" s="39">
        <f t="shared" si="4"/>
        <v>54</v>
      </c>
      <c r="I15" s="39">
        <f t="shared" si="4"/>
        <v>636382.53</v>
      </c>
    </row>
    <row r="16" spans="1:9" hidden="1" x14ac:dyDescent="0.25">
      <c r="A16" s="44" t="s">
        <v>34</v>
      </c>
      <c r="B16" s="32"/>
      <c r="C16" s="60"/>
      <c r="D16" s="32"/>
      <c r="E16" s="60"/>
      <c r="F16" s="32"/>
      <c r="G16" s="60"/>
      <c r="H16" s="37">
        <f t="shared" ref="H16:I18" si="6">+B16+D16+F16</f>
        <v>0</v>
      </c>
      <c r="I16" s="65">
        <f t="shared" si="6"/>
        <v>0</v>
      </c>
    </row>
    <row r="17" spans="1:16" hidden="1" x14ac:dyDescent="0.25">
      <c r="A17" s="44" t="s">
        <v>20</v>
      </c>
      <c r="B17" s="32"/>
      <c r="C17" s="60"/>
      <c r="D17" s="32"/>
      <c r="E17" s="60"/>
      <c r="F17" s="32"/>
      <c r="G17" s="60"/>
      <c r="H17" s="37">
        <f t="shared" si="6"/>
        <v>0</v>
      </c>
      <c r="I17" s="65">
        <f t="shared" si="6"/>
        <v>0</v>
      </c>
    </row>
    <row r="18" spans="1:16" hidden="1" x14ac:dyDescent="0.25">
      <c r="A18" s="44" t="s">
        <v>21</v>
      </c>
      <c r="B18" s="32"/>
      <c r="C18" s="60"/>
      <c r="D18" s="32"/>
      <c r="E18" s="60"/>
      <c r="F18" s="32"/>
      <c r="G18" s="60"/>
      <c r="H18" s="37">
        <f t="shared" si="6"/>
        <v>0</v>
      </c>
      <c r="I18" s="65">
        <f t="shared" si="6"/>
        <v>0</v>
      </c>
    </row>
    <row r="19" spans="1:16" hidden="1" x14ac:dyDescent="0.25">
      <c r="A19" s="27" t="s">
        <v>22</v>
      </c>
      <c r="B19" s="39">
        <f t="shared" ref="B19:E19" si="7">SUM(B16:B18)</f>
        <v>0</v>
      </c>
      <c r="C19" s="39">
        <f t="shared" si="7"/>
        <v>0</v>
      </c>
      <c r="D19" s="39">
        <f t="shared" si="7"/>
        <v>0</v>
      </c>
      <c r="E19" s="39">
        <f t="shared" si="7"/>
        <v>0</v>
      </c>
      <c r="F19" s="39">
        <f t="shared" ref="F19:G19" si="8">SUM(F16:F18)</f>
        <v>0</v>
      </c>
      <c r="G19" s="39">
        <f t="shared" si="8"/>
        <v>0</v>
      </c>
      <c r="H19" s="39">
        <f>SUM(H16:H18)</f>
        <v>0</v>
      </c>
      <c r="I19" s="39">
        <f>SUM(I16:I18)</f>
        <v>0</v>
      </c>
    </row>
    <row r="20" spans="1:16" hidden="1" x14ac:dyDescent="0.25">
      <c r="A20" s="31" t="s">
        <v>13</v>
      </c>
      <c r="B20" s="32"/>
      <c r="C20" s="60"/>
      <c r="D20" s="32"/>
      <c r="E20" s="60"/>
      <c r="F20" s="32"/>
      <c r="G20" s="60"/>
      <c r="H20" s="37">
        <f t="shared" ref="H20:I22" si="9">+B20+D20+F20</f>
        <v>0</v>
      </c>
      <c r="I20" s="65">
        <f t="shared" si="9"/>
        <v>0</v>
      </c>
    </row>
    <row r="21" spans="1:16" hidden="1" x14ac:dyDescent="0.25">
      <c r="A21" s="31" t="s">
        <v>12</v>
      </c>
      <c r="B21" s="32"/>
      <c r="C21" s="60"/>
      <c r="D21" s="32"/>
      <c r="E21" s="60"/>
      <c r="F21" s="32"/>
      <c r="G21" s="60"/>
      <c r="H21" s="37">
        <f t="shared" si="9"/>
        <v>0</v>
      </c>
      <c r="I21" s="65">
        <f t="shared" si="9"/>
        <v>0</v>
      </c>
    </row>
    <row r="22" spans="1:16" hidden="1" x14ac:dyDescent="0.25">
      <c r="A22" s="31" t="s">
        <v>11</v>
      </c>
      <c r="B22" s="32"/>
      <c r="C22" s="60"/>
      <c r="D22" s="32"/>
      <c r="E22" s="60"/>
      <c r="F22" s="32"/>
      <c r="G22" s="60"/>
      <c r="H22" s="37">
        <f t="shared" si="9"/>
        <v>0</v>
      </c>
      <c r="I22" s="65">
        <f t="shared" si="9"/>
        <v>0</v>
      </c>
    </row>
    <row r="23" spans="1:16" hidden="1" x14ac:dyDescent="0.25">
      <c r="A23" s="12" t="s">
        <v>14</v>
      </c>
      <c r="B23" s="39">
        <f t="shared" ref="B23:I23" si="10">SUM(B20:B22)</f>
        <v>0</v>
      </c>
      <c r="C23" s="39">
        <f t="shared" si="10"/>
        <v>0</v>
      </c>
      <c r="D23" s="39">
        <f t="shared" si="10"/>
        <v>0</v>
      </c>
      <c r="E23" s="39">
        <f t="shared" si="10"/>
        <v>0</v>
      </c>
      <c r="F23" s="39">
        <f t="shared" ref="F23:G23" si="11">SUM(F20:F22)</f>
        <v>0</v>
      </c>
      <c r="G23" s="39">
        <f t="shared" si="11"/>
        <v>0</v>
      </c>
      <c r="H23" s="39">
        <f t="shared" si="10"/>
        <v>0</v>
      </c>
      <c r="I23" s="39">
        <f t="shared" si="10"/>
        <v>0</v>
      </c>
    </row>
    <row r="24" spans="1:16" hidden="1" x14ac:dyDescent="0.25">
      <c r="A24" s="61" t="s">
        <v>23</v>
      </c>
      <c r="B24" s="41">
        <f>+B11+B15+B19+B23</f>
        <v>219</v>
      </c>
      <c r="C24" s="41">
        <f>+C11+C15+C19+C23</f>
        <v>2452100.35</v>
      </c>
      <c r="D24" s="41">
        <f t="shared" ref="D24:I24" si="12">+D11+D15+D19+D23</f>
        <v>9</v>
      </c>
      <c r="E24" s="41">
        <f t="shared" si="12"/>
        <v>141757.18</v>
      </c>
      <c r="F24" s="41">
        <f t="shared" si="12"/>
        <v>8</v>
      </c>
      <c r="G24" s="41">
        <f t="shared" si="12"/>
        <v>48000</v>
      </c>
      <c r="H24" s="41">
        <f>+H11+H15+H19+H23</f>
        <v>236</v>
      </c>
      <c r="I24" s="41">
        <f t="shared" si="12"/>
        <v>2641857.5300000003</v>
      </c>
    </row>
    <row r="25" spans="1:16" x14ac:dyDescent="0.25">
      <c r="A25" s="15" t="s">
        <v>213</v>
      </c>
    </row>
    <row r="26" spans="1:16" x14ac:dyDescent="0.25">
      <c r="E26" s="36"/>
      <c r="G26" s="36"/>
    </row>
    <row r="32" spans="1:16" x14ac:dyDescent="0.25">
      <c r="M32" s="51">
        <v>32154</v>
      </c>
      <c r="N32" s="63" t="e">
        <f t="shared" ref="N32:N39" si="13">M32/$B$29*100</f>
        <v>#DIV/0!</v>
      </c>
      <c r="O32" s="52">
        <v>386810064.19999999</v>
      </c>
      <c r="P32" s="64" t="e">
        <f>O32/O40*100</f>
        <v>#DIV/0!</v>
      </c>
    </row>
    <row r="33" spans="13:16" x14ac:dyDescent="0.25">
      <c r="M33" s="51">
        <v>56199</v>
      </c>
      <c r="N33" s="63" t="e">
        <f t="shared" si="13"/>
        <v>#DIV/0!</v>
      </c>
      <c r="O33" s="52">
        <v>471111842.94</v>
      </c>
      <c r="P33" s="64" t="e">
        <f>O33/O40*100</f>
        <v>#DIV/0!</v>
      </c>
    </row>
    <row r="34" spans="13:16" x14ac:dyDescent="0.25">
      <c r="M34" s="51">
        <v>297</v>
      </c>
      <c r="N34" s="63" t="e">
        <f t="shared" si="13"/>
        <v>#DIV/0!</v>
      </c>
      <c r="O34" s="52">
        <v>5010228</v>
      </c>
      <c r="P34" s="64" t="e">
        <f>O34/O40*100</f>
        <v>#DIV/0!</v>
      </c>
    </row>
    <row r="35" spans="13:16" x14ac:dyDescent="0.25">
      <c r="M35" s="51">
        <v>163</v>
      </c>
      <c r="N35" s="63" t="e">
        <f t="shared" si="13"/>
        <v>#DIV/0!</v>
      </c>
      <c r="O35" s="52">
        <v>4392328.91</v>
      </c>
      <c r="P35" s="64" t="e">
        <f>O35/O40*100</f>
        <v>#DIV/0!</v>
      </c>
    </row>
    <row r="36" spans="13:16" x14ac:dyDescent="0.25">
      <c r="M36" s="51">
        <v>366</v>
      </c>
      <c r="N36" s="63" t="e">
        <f t="shared" si="13"/>
        <v>#DIV/0!</v>
      </c>
      <c r="O36" s="52">
        <v>9034522.6500000004</v>
      </c>
      <c r="P36" s="64" t="e">
        <f>O36/O40*100</f>
        <v>#DIV/0!</v>
      </c>
    </row>
    <row r="37" spans="13:16" x14ac:dyDescent="0.25">
      <c r="M37" s="51">
        <v>17249</v>
      </c>
      <c r="N37" s="63" t="e">
        <f t="shared" si="13"/>
        <v>#DIV/0!</v>
      </c>
      <c r="O37" s="52">
        <v>405400068.69</v>
      </c>
      <c r="P37" s="64" t="e">
        <f>O37/O40*100</f>
        <v>#DIV/0!</v>
      </c>
    </row>
    <row r="38" spans="13:16" x14ac:dyDescent="0.25">
      <c r="M38" s="51">
        <v>18745</v>
      </c>
      <c r="N38" s="63" t="e">
        <f t="shared" si="13"/>
        <v>#DIV/0!</v>
      </c>
      <c r="O38" s="52">
        <v>369724631.60000002</v>
      </c>
      <c r="P38" s="64" t="e">
        <f>O38/O40*100</f>
        <v>#DIV/0!</v>
      </c>
    </row>
    <row r="39" spans="13:16" x14ac:dyDescent="0.25">
      <c r="M39" s="51">
        <v>15130</v>
      </c>
      <c r="N39" s="63" t="e">
        <f t="shared" si="13"/>
        <v>#DIV/0!</v>
      </c>
      <c r="O39" s="52">
        <v>151015428.50999999</v>
      </c>
      <c r="P39" s="64" t="e">
        <f>O39/O40*100</f>
        <v>#DIV/0!</v>
      </c>
    </row>
  </sheetData>
  <mergeCells count="9">
    <mergeCell ref="B6:C6"/>
    <mergeCell ref="D6:E6"/>
    <mergeCell ref="F6:G6"/>
    <mergeCell ref="H6:I6"/>
    <mergeCell ref="A1:I1"/>
    <mergeCell ref="A2:I2"/>
    <mergeCell ref="A3:I3"/>
    <mergeCell ref="A4:I4"/>
    <mergeCell ref="A5:I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FC94A-CB5A-45F2-B896-85DE3097DD67}">
  <sheetPr>
    <tabColor theme="8"/>
  </sheetPr>
  <dimension ref="A2:T37"/>
  <sheetViews>
    <sheetView showGridLines="0" workbookViewId="0">
      <selection activeCell="G24" sqref="G24"/>
    </sheetView>
  </sheetViews>
  <sheetFormatPr defaultColWidth="9.140625" defaultRowHeight="15" x14ac:dyDescent="0.25"/>
  <cols>
    <col min="1" max="1" width="15.85546875" customWidth="1"/>
    <col min="2" max="2" width="13.140625" customWidth="1"/>
    <col min="4" max="4" width="23.85546875" customWidth="1"/>
    <col min="5" max="5" width="12.85546875" customWidth="1"/>
    <col min="7" max="7" width="14.7109375" customWidth="1"/>
    <col min="8" max="8" width="12" customWidth="1"/>
    <col min="9" max="9" width="10.42578125" customWidth="1"/>
    <col min="10" max="10" width="15.28515625" customWidth="1"/>
  </cols>
  <sheetData>
    <row r="2" spans="1:10" x14ac:dyDescent="0.25">
      <c r="A2" s="343" t="s">
        <v>0</v>
      </c>
      <c r="B2" s="343"/>
      <c r="C2" s="343"/>
      <c r="D2" s="343"/>
      <c r="E2" s="343"/>
      <c r="F2" s="343"/>
      <c r="G2" s="343"/>
      <c r="H2" s="343"/>
      <c r="I2" s="343"/>
      <c r="J2" s="343"/>
    </row>
    <row r="3" spans="1:10" x14ac:dyDescent="0.25">
      <c r="A3" s="343" t="s">
        <v>62</v>
      </c>
      <c r="B3" s="343"/>
      <c r="C3" s="343"/>
      <c r="D3" s="343"/>
      <c r="E3" s="343"/>
      <c r="F3" s="343"/>
      <c r="G3" s="343"/>
      <c r="H3" s="343"/>
      <c r="I3" s="343"/>
      <c r="J3" s="343"/>
    </row>
    <row r="4" spans="1:10" x14ac:dyDescent="0.25">
      <c r="A4" s="343" t="s">
        <v>217</v>
      </c>
      <c r="B4" s="343"/>
      <c r="C4" s="343"/>
      <c r="D4" s="343"/>
      <c r="E4" s="343"/>
      <c r="F4" s="343"/>
      <c r="G4" s="343"/>
      <c r="H4" s="343"/>
      <c r="I4" s="343"/>
      <c r="J4" s="343"/>
    </row>
    <row r="5" spans="1:10" x14ac:dyDescent="0.25">
      <c r="A5" s="343" t="s">
        <v>280</v>
      </c>
      <c r="B5" s="343"/>
      <c r="C5" s="343"/>
      <c r="D5" s="343"/>
      <c r="E5" s="343"/>
      <c r="F5" s="343"/>
      <c r="G5" s="343"/>
      <c r="H5" s="343"/>
      <c r="I5" s="343"/>
      <c r="J5" s="343"/>
    </row>
    <row r="6" spans="1:10" x14ac:dyDescent="0.25">
      <c r="A6" s="343" t="s">
        <v>272</v>
      </c>
      <c r="B6" s="343"/>
      <c r="C6" s="343"/>
      <c r="D6" s="343"/>
      <c r="E6" s="343"/>
      <c r="F6" s="343"/>
      <c r="G6" s="343"/>
      <c r="H6" s="343"/>
      <c r="I6" s="343"/>
      <c r="J6" s="343"/>
    </row>
    <row r="7" spans="1:10" x14ac:dyDescent="0.25">
      <c r="A7" s="142"/>
      <c r="B7" s="387" t="s">
        <v>72</v>
      </c>
      <c r="C7" s="387"/>
      <c r="D7" s="387"/>
      <c r="E7" s="388" t="s">
        <v>74</v>
      </c>
      <c r="F7" s="388"/>
      <c r="G7" s="388"/>
      <c r="H7" s="389" t="s">
        <v>75</v>
      </c>
      <c r="I7" s="389"/>
      <c r="J7" s="389"/>
    </row>
    <row r="8" spans="1:10" ht="25.5" x14ac:dyDescent="0.25">
      <c r="A8" s="89" t="s">
        <v>3</v>
      </c>
      <c r="B8" s="45" t="s">
        <v>200</v>
      </c>
      <c r="C8" s="45" t="s">
        <v>201</v>
      </c>
      <c r="D8" s="45" t="s">
        <v>7</v>
      </c>
      <c r="E8" s="45" t="s">
        <v>200</v>
      </c>
      <c r="F8" s="45" t="s">
        <v>201</v>
      </c>
      <c r="G8" s="45" t="s">
        <v>7</v>
      </c>
      <c r="H8" s="45" t="s">
        <v>76</v>
      </c>
      <c r="I8" s="45" t="s">
        <v>77</v>
      </c>
      <c r="J8" s="45" t="s">
        <v>7</v>
      </c>
    </row>
    <row r="9" spans="1:10" hidden="1" x14ac:dyDescent="0.25">
      <c r="A9" s="31" t="s">
        <v>10</v>
      </c>
      <c r="B9" s="257">
        <v>0</v>
      </c>
      <c r="C9" s="257">
        <v>0</v>
      </c>
      <c r="D9" s="282">
        <v>0</v>
      </c>
      <c r="E9" s="257">
        <v>0</v>
      </c>
      <c r="F9" s="257">
        <v>0</v>
      </c>
      <c r="G9" s="257"/>
      <c r="H9" s="283">
        <f>SUM(B9,E9)</f>
        <v>0</v>
      </c>
      <c r="I9" s="283">
        <f>SUM(C9,F9)</f>
        <v>0</v>
      </c>
      <c r="J9" s="283">
        <f>SUM(D9,G9)</f>
        <v>0</v>
      </c>
    </row>
    <row r="10" spans="1:10" x14ac:dyDescent="0.25">
      <c r="A10" s="31" t="s">
        <v>277</v>
      </c>
      <c r="B10" s="284">
        <v>0</v>
      </c>
      <c r="C10" s="284">
        <v>0</v>
      </c>
      <c r="D10" s="338">
        <v>0</v>
      </c>
      <c r="E10" s="284">
        <v>0</v>
      </c>
      <c r="F10" s="284">
        <v>0</v>
      </c>
      <c r="G10" s="339">
        <v>0</v>
      </c>
      <c r="H10" s="284">
        <f t="shared" ref="H10:J12" si="0">SUM(B10,E10)</f>
        <v>0</v>
      </c>
      <c r="I10" s="284">
        <f t="shared" si="0"/>
        <v>0</v>
      </c>
      <c r="J10" s="284">
        <f t="shared" si="0"/>
        <v>0</v>
      </c>
    </row>
    <row r="11" spans="1:10" x14ac:dyDescent="0.25">
      <c r="A11" s="31" t="s">
        <v>270</v>
      </c>
      <c r="B11" s="303">
        <v>8</v>
      </c>
      <c r="C11" s="303">
        <v>8</v>
      </c>
      <c r="D11" s="304">
        <v>1293548.6000000001</v>
      </c>
      <c r="E11" s="303">
        <v>1</v>
      </c>
      <c r="F11" s="303">
        <v>1</v>
      </c>
      <c r="G11" s="304">
        <v>14334.84</v>
      </c>
      <c r="H11" s="283">
        <f t="shared" si="0"/>
        <v>9</v>
      </c>
      <c r="I11" s="283">
        <f t="shared" si="0"/>
        <v>9</v>
      </c>
      <c r="J11" s="283">
        <f t="shared" si="0"/>
        <v>1307883.4400000002</v>
      </c>
    </row>
    <row r="12" spans="1:10" x14ac:dyDescent="0.25">
      <c r="A12" s="31" t="s">
        <v>274</v>
      </c>
      <c r="B12" s="303">
        <v>13</v>
      </c>
      <c r="C12" s="303">
        <v>13</v>
      </c>
      <c r="D12" s="304">
        <v>4293111.16</v>
      </c>
      <c r="E12" s="303">
        <v>5</v>
      </c>
      <c r="F12" s="303">
        <v>5</v>
      </c>
      <c r="G12" s="304">
        <v>131669</v>
      </c>
      <c r="H12" s="284">
        <f t="shared" si="0"/>
        <v>18</v>
      </c>
      <c r="I12" s="284">
        <f t="shared" si="0"/>
        <v>18</v>
      </c>
      <c r="J12" s="283">
        <f t="shared" si="0"/>
        <v>4424780.16</v>
      </c>
    </row>
    <row r="13" spans="1:10" x14ac:dyDescent="0.25">
      <c r="A13" s="61" t="s">
        <v>286</v>
      </c>
      <c r="B13" s="285">
        <f>SUM(B9:B12)</f>
        <v>21</v>
      </c>
      <c r="C13" s="285">
        <f t="shared" ref="C13:D13" si="1">SUM(C9:C12)</f>
        <v>21</v>
      </c>
      <c r="D13" s="286">
        <f t="shared" si="1"/>
        <v>5586659.7599999998</v>
      </c>
      <c r="E13" s="285">
        <f t="shared" ref="E13:J13" si="2">SUM(E9:E12)</f>
        <v>6</v>
      </c>
      <c r="F13" s="285">
        <f t="shared" si="2"/>
        <v>6</v>
      </c>
      <c r="G13" s="287">
        <f t="shared" si="2"/>
        <v>146003.84</v>
      </c>
      <c r="H13" s="285">
        <f t="shared" si="2"/>
        <v>27</v>
      </c>
      <c r="I13" s="285">
        <f t="shared" si="2"/>
        <v>27</v>
      </c>
      <c r="J13" s="287">
        <f t="shared" si="2"/>
        <v>5732663.6000000006</v>
      </c>
    </row>
    <row r="14" spans="1:10" x14ac:dyDescent="0.25">
      <c r="A14" s="205" t="s">
        <v>205</v>
      </c>
    </row>
    <row r="37" spans="20:20" x14ac:dyDescent="0.25">
      <c r="T37" s="1"/>
    </row>
  </sheetData>
  <mergeCells count="8">
    <mergeCell ref="B7:D7"/>
    <mergeCell ref="E7:G7"/>
    <mergeCell ref="H7:J7"/>
    <mergeCell ref="A2:J2"/>
    <mergeCell ref="A3:J3"/>
    <mergeCell ref="A4:J4"/>
    <mergeCell ref="A5:J5"/>
    <mergeCell ref="A6:J6"/>
  </mergeCells>
  <pageMargins left="0.7" right="0.7" top="0.75" bottom="0.75" header="0.3" footer="0.3"/>
  <ignoredErrors>
    <ignoredError sqref="B13:C13 I13:J13 G13:H13 D13:F13" unlockedFormula="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2:J62"/>
  <sheetViews>
    <sheetView showGridLines="0" zoomScale="115" zoomScaleNormal="115" workbookViewId="0">
      <selection activeCell="J41" sqref="J41"/>
    </sheetView>
  </sheetViews>
  <sheetFormatPr defaultColWidth="9.140625" defaultRowHeight="15" x14ac:dyDescent="0.25"/>
  <cols>
    <col min="1" max="7" width="13.140625" style="1" customWidth="1"/>
    <col min="8" max="16384" width="9.140625" style="1"/>
  </cols>
  <sheetData>
    <row r="2" spans="1:10" x14ac:dyDescent="0.25">
      <c r="A2" s="343" t="s">
        <v>0</v>
      </c>
      <c r="B2" s="343"/>
      <c r="C2" s="343"/>
      <c r="D2" s="343"/>
      <c r="E2" s="343"/>
      <c r="F2" s="343"/>
      <c r="G2" s="343"/>
      <c r="H2" s="22"/>
      <c r="I2" s="22"/>
      <c r="J2" s="22"/>
    </row>
    <row r="3" spans="1:10" x14ac:dyDescent="0.25">
      <c r="A3" s="343" t="s">
        <v>62</v>
      </c>
      <c r="B3" s="343"/>
      <c r="C3" s="343"/>
      <c r="D3" s="343"/>
      <c r="E3" s="343"/>
      <c r="F3" s="343"/>
      <c r="G3" s="343"/>
      <c r="H3" s="22"/>
      <c r="I3" s="22"/>
      <c r="J3" s="22"/>
    </row>
    <row r="4" spans="1:10" x14ac:dyDescent="0.25">
      <c r="A4" s="343" t="s">
        <v>218</v>
      </c>
      <c r="B4" s="343"/>
      <c r="C4" s="343"/>
      <c r="D4" s="343"/>
      <c r="E4" s="343"/>
      <c r="F4" s="343"/>
      <c r="G4" s="343"/>
      <c r="H4" s="22"/>
      <c r="I4" s="22"/>
      <c r="J4" s="22"/>
    </row>
    <row r="5" spans="1:10" x14ac:dyDescent="0.25">
      <c r="A5" s="343" t="s">
        <v>273</v>
      </c>
      <c r="B5" s="343"/>
      <c r="C5" s="343"/>
      <c r="D5" s="343"/>
      <c r="E5" s="343"/>
      <c r="F5" s="343"/>
      <c r="G5" s="343"/>
      <c r="H5" s="22"/>
      <c r="I5" s="22"/>
      <c r="J5" s="22"/>
    </row>
    <row r="6" spans="1:10" x14ac:dyDescent="0.25">
      <c r="A6" s="343" t="s">
        <v>272</v>
      </c>
      <c r="B6" s="343"/>
      <c r="C6" s="343"/>
      <c r="D6" s="343"/>
      <c r="E6" s="343"/>
      <c r="F6" s="343"/>
      <c r="G6" s="343"/>
      <c r="H6" s="22"/>
      <c r="I6" s="22"/>
      <c r="J6" s="22"/>
    </row>
    <row r="7" spans="1:10" ht="51" x14ac:dyDescent="0.25">
      <c r="A7" s="89" t="s">
        <v>3</v>
      </c>
      <c r="B7" s="45" t="s">
        <v>219</v>
      </c>
      <c r="C7" s="45" t="s">
        <v>220</v>
      </c>
      <c r="D7" s="45" t="s">
        <v>221</v>
      </c>
      <c r="E7" s="45" t="s">
        <v>222</v>
      </c>
      <c r="F7" s="45" t="s">
        <v>223</v>
      </c>
      <c r="G7" s="179" t="s">
        <v>224</v>
      </c>
      <c r="H7"/>
    </row>
    <row r="8" spans="1:10" x14ac:dyDescent="0.25">
      <c r="A8" s="70" t="s">
        <v>277</v>
      </c>
      <c r="B8" s="305">
        <v>150</v>
      </c>
      <c r="C8" s="306">
        <v>6935630.5699999994</v>
      </c>
      <c r="D8" s="306">
        <v>3487973.2600000002</v>
      </c>
      <c r="E8" s="335">
        <v>0</v>
      </c>
      <c r="F8" s="269">
        <f>E8+D8</f>
        <v>3487973.2600000002</v>
      </c>
      <c r="G8" s="271">
        <f t="shared" ref="G8" si="0">F8/C8</f>
        <v>0.50290643724410489</v>
      </c>
      <c r="H8"/>
    </row>
    <row r="9" spans="1:10" x14ac:dyDescent="0.25">
      <c r="A9" s="70" t="s">
        <v>270</v>
      </c>
      <c r="B9" s="305">
        <v>136</v>
      </c>
      <c r="C9" s="306">
        <v>6727719.4799999995</v>
      </c>
      <c r="D9" s="306">
        <v>3253483.3000000007</v>
      </c>
      <c r="E9" s="335">
        <v>0</v>
      </c>
      <c r="F9" s="269">
        <f>E9+D9</f>
        <v>3253483.3000000007</v>
      </c>
      <c r="G9" s="271">
        <f>F9/C9</f>
        <v>0.48359378087506122</v>
      </c>
      <c r="H9"/>
    </row>
    <row r="10" spans="1:10" x14ac:dyDescent="0.25">
      <c r="A10" s="70" t="s">
        <v>274</v>
      </c>
      <c r="B10" s="305">
        <v>174</v>
      </c>
      <c r="C10" s="306">
        <v>9251611.5299999993</v>
      </c>
      <c r="D10" s="306">
        <v>438383.22000000009</v>
      </c>
      <c r="E10" s="196">
        <v>0</v>
      </c>
      <c r="F10" s="269">
        <f>E10+D10</f>
        <v>438383.22000000009</v>
      </c>
      <c r="G10" s="271">
        <f>F10/C10</f>
        <v>4.7384525234167515E-2</v>
      </c>
      <c r="H10"/>
    </row>
    <row r="11" spans="1:10" x14ac:dyDescent="0.25">
      <c r="A11" s="27" t="s">
        <v>286</v>
      </c>
      <c r="B11" s="8">
        <f>SUM(B8:B10)</f>
        <v>460</v>
      </c>
      <c r="C11" s="267">
        <f>SUM(C8:C10)</f>
        <v>22914961.579999998</v>
      </c>
      <c r="D11" s="268">
        <f>SUM(D8:D10)</f>
        <v>7179839.7800000003</v>
      </c>
      <c r="E11" s="336">
        <f>SUM(E8:E10)</f>
        <v>0</v>
      </c>
      <c r="F11" s="270">
        <f>SUM(F8:F10)</f>
        <v>7179839.7800000003</v>
      </c>
      <c r="G11" s="90">
        <f t="shared" ref="G11:G24" si="1">F11/C11</f>
        <v>0.3133254120865081</v>
      </c>
      <c r="H11"/>
    </row>
    <row r="12" spans="1:10" hidden="1" x14ac:dyDescent="0.25">
      <c r="A12" s="70" t="s">
        <v>15</v>
      </c>
      <c r="B12" s="180"/>
      <c r="C12" s="182"/>
      <c r="D12" s="182"/>
      <c r="E12" s="182"/>
      <c r="F12" s="66">
        <f>E12+D12</f>
        <v>0</v>
      </c>
      <c r="G12" s="67" t="e">
        <f t="shared" si="1"/>
        <v>#DIV/0!</v>
      </c>
      <c r="H12"/>
    </row>
    <row r="13" spans="1:10" hidden="1" x14ac:dyDescent="0.25">
      <c r="A13" s="70" t="s">
        <v>16</v>
      </c>
      <c r="B13" s="180"/>
      <c r="C13" s="182"/>
      <c r="D13" s="182"/>
      <c r="E13" s="182"/>
      <c r="F13" s="66">
        <f>E13+D13</f>
        <v>0</v>
      </c>
      <c r="G13" s="67" t="e">
        <f t="shared" si="1"/>
        <v>#DIV/0!</v>
      </c>
      <c r="H13"/>
    </row>
    <row r="14" spans="1:10" hidden="1" x14ac:dyDescent="0.25">
      <c r="A14" s="70" t="s">
        <v>17</v>
      </c>
      <c r="B14" s="180"/>
      <c r="C14" s="182"/>
      <c r="D14" s="154"/>
      <c r="E14" s="154"/>
      <c r="F14" s="68">
        <f>E14+D14</f>
        <v>0</v>
      </c>
      <c r="G14" s="67" t="e">
        <f t="shared" si="1"/>
        <v>#DIV/0!</v>
      </c>
      <c r="H14"/>
    </row>
    <row r="15" spans="1:10" hidden="1" x14ac:dyDescent="0.25">
      <c r="A15" s="27" t="s">
        <v>18</v>
      </c>
      <c r="B15" s="8">
        <f>SUM(B12:B14)</f>
        <v>0</v>
      </c>
      <c r="C15" s="69">
        <f>SUM(C12:C14)</f>
        <v>0</v>
      </c>
      <c r="D15" s="69">
        <f>SUM(D12:D14)</f>
        <v>0</v>
      </c>
      <c r="E15" s="69">
        <f>SUM(E12:E14)</f>
        <v>0</v>
      </c>
      <c r="F15" s="69">
        <f>SUM(F12:F14)</f>
        <v>0</v>
      </c>
      <c r="G15" s="16" t="e">
        <f t="shared" si="1"/>
        <v>#DIV/0!</v>
      </c>
      <c r="H15"/>
    </row>
    <row r="16" spans="1:10" hidden="1" x14ac:dyDescent="0.25">
      <c r="A16" s="70" t="s">
        <v>34</v>
      </c>
      <c r="B16" s="180"/>
      <c r="C16" s="182"/>
      <c r="D16" s="182"/>
      <c r="E16" s="182"/>
      <c r="F16" s="66">
        <f>E16+D16</f>
        <v>0</v>
      </c>
      <c r="G16" s="67" t="e">
        <f t="shared" si="1"/>
        <v>#DIV/0!</v>
      </c>
      <c r="H16"/>
    </row>
    <row r="17" spans="1:8" hidden="1" x14ac:dyDescent="0.25">
      <c r="A17" s="70" t="s">
        <v>20</v>
      </c>
      <c r="B17" s="180"/>
      <c r="C17" s="182"/>
      <c r="D17" s="182"/>
      <c r="E17" s="182"/>
      <c r="F17" s="66">
        <f>E17+D17</f>
        <v>0</v>
      </c>
      <c r="G17" s="67" t="e">
        <f t="shared" si="1"/>
        <v>#DIV/0!</v>
      </c>
      <c r="H17"/>
    </row>
    <row r="18" spans="1:8" hidden="1" x14ac:dyDescent="0.25">
      <c r="A18" s="70" t="s">
        <v>21</v>
      </c>
      <c r="B18" s="180"/>
      <c r="C18" s="182"/>
      <c r="D18" s="154"/>
      <c r="E18" s="154"/>
      <c r="F18" s="68">
        <f>E18+D18</f>
        <v>0</v>
      </c>
      <c r="G18" s="67" t="e">
        <f t="shared" si="1"/>
        <v>#DIV/0!</v>
      </c>
      <c r="H18"/>
    </row>
    <row r="19" spans="1:8" hidden="1" x14ac:dyDescent="0.25">
      <c r="A19" s="27" t="s">
        <v>22</v>
      </c>
      <c r="B19" s="8">
        <f>SUM(B16:B18)</f>
        <v>0</v>
      </c>
      <c r="C19" s="69">
        <f>SUM(C16:C18)</f>
        <v>0</v>
      </c>
      <c r="D19" s="69">
        <f>SUM(D16:D18)</f>
        <v>0</v>
      </c>
      <c r="E19" s="69">
        <f>SUM(E16:E18)</f>
        <v>0</v>
      </c>
      <c r="F19" s="69">
        <f>SUM(F16:F18)</f>
        <v>0</v>
      </c>
      <c r="G19" s="16" t="e">
        <f t="shared" si="1"/>
        <v>#DIV/0!</v>
      </c>
      <c r="H19"/>
    </row>
    <row r="20" spans="1:8" hidden="1" x14ac:dyDescent="0.25">
      <c r="A20" s="70" t="s">
        <v>13</v>
      </c>
      <c r="B20" s="180"/>
      <c r="C20" s="182"/>
      <c r="D20" s="182"/>
      <c r="E20" s="182"/>
      <c r="F20" s="66">
        <f>E20+D20</f>
        <v>0</v>
      </c>
      <c r="G20" s="67" t="e">
        <f t="shared" si="1"/>
        <v>#DIV/0!</v>
      </c>
      <c r="H20"/>
    </row>
    <row r="21" spans="1:8" hidden="1" x14ac:dyDescent="0.25">
      <c r="A21" s="70" t="s">
        <v>12</v>
      </c>
      <c r="B21" s="180"/>
      <c r="C21" s="182"/>
      <c r="D21" s="182"/>
      <c r="E21" s="182"/>
      <c r="F21" s="66">
        <f>E21+D21</f>
        <v>0</v>
      </c>
      <c r="G21" s="67" t="e">
        <f t="shared" si="1"/>
        <v>#DIV/0!</v>
      </c>
      <c r="H21"/>
    </row>
    <row r="22" spans="1:8" hidden="1" x14ac:dyDescent="0.25">
      <c r="A22" s="70" t="s">
        <v>11</v>
      </c>
      <c r="B22" s="180"/>
      <c r="C22" s="182"/>
      <c r="D22" s="154"/>
      <c r="E22" s="154"/>
      <c r="F22" s="68">
        <f>E22+D22</f>
        <v>0</v>
      </c>
      <c r="G22" s="67" t="e">
        <f t="shared" si="1"/>
        <v>#DIV/0!</v>
      </c>
      <c r="H22"/>
    </row>
    <row r="23" spans="1:8" hidden="1" x14ac:dyDescent="0.25">
      <c r="A23" s="27" t="s">
        <v>14</v>
      </c>
      <c r="B23" s="8">
        <f>SUM(B20:B22)</f>
        <v>0</v>
      </c>
      <c r="C23" s="69">
        <f>SUM(C20:C22)</f>
        <v>0</v>
      </c>
      <c r="D23" s="69">
        <f>SUM(D20:D22)</f>
        <v>0</v>
      </c>
      <c r="E23" s="69">
        <f>SUM(E20:E22)</f>
        <v>0</v>
      </c>
      <c r="F23" s="69">
        <f>SUM(F20:F22)</f>
        <v>0</v>
      </c>
      <c r="G23" s="16" t="e">
        <f t="shared" si="1"/>
        <v>#DIV/0!</v>
      </c>
      <c r="H23"/>
    </row>
    <row r="24" spans="1:8" hidden="1" x14ac:dyDescent="0.25">
      <c r="A24" s="71" t="s">
        <v>23</v>
      </c>
      <c r="B24" s="10">
        <f>+B11+B15+B19+B23</f>
        <v>460</v>
      </c>
      <c r="C24" s="10">
        <f>+C11+C15+C19+C23</f>
        <v>22914961.579999998</v>
      </c>
      <c r="D24" s="10">
        <f>+D11+D15+D19+D23</f>
        <v>7179839.7800000003</v>
      </c>
      <c r="E24" s="10">
        <f>+E11+E15+E19+E23</f>
        <v>0</v>
      </c>
      <c r="F24" s="10">
        <f>+F11+F15+F19+F23</f>
        <v>7179839.7800000003</v>
      </c>
      <c r="G24" s="10">
        <f t="shared" si="1"/>
        <v>0.3133254120865081</v>
      </c>
      <c r="H24"/>
    </row>
    <row r="25" spans="1:8" hidden="1" x14ac:dyDescent="0.25">
      <c r="A25"/>
      <c r="B25"/>
      <c r="C25"/>
      <c r="D25"/>
      <c r="E25"/>
      <c r="F25"/>
      <c r="G25"/>
      <c r="H25"/>
    </row>
    <row r="26" spans="1:8" hidden="1" x14ac:dyDescent="0.25">
      <c r="A26"/>
      <c r="B26"/>
      <c r="C26"/>
      <c r="D26"/>
      <c r="E26"/>
      <c r="F26"/>
      <c r="G26"/>
      <c r="H26"/>
    </row>
    <row r="27" spans="1:8" hidden="1" x14ac:dyDescent="0.25">
      <c r="A27"/>
      <c r="B27"/>
      <c r="C27"/>
      <c r="D27"/>
      <c r="E27"/>
      <c r="F27"/>
      <c r="G27"/>
      <c r="H27"/>
    </row>
    <row r="28" spans="1:8" hidden="1" x14ac:dyDescent="0.25">
      <c r="A28"/>
      <c r="B28"/>
      <c r="C28"/>
      <c r="D28"/>
      <c r="E28"/>
      <c r="F28"/>
      <c r="G28"/>
      <c r="H28"/>
    </row>
    <row r="29" spans="1:8" hidden="1" x14ac:dyDescent="0.25">
      <c r="A29"/>
      <c r="B29"/>
      <c r="C29"/>
      <c r="D29"/>
      <c r="E29"/>
      <c r="F29"/>
      <c r="G29"/>
      <c r="H29"/>
    </row>
    <row r="30" spans="1:8" hidden="1" x14ac:dyDescent="0.25">
      <c r="A30"/>
      <c r="B30"/>
      <c r="C30"/>
      <c r="D30"/>
      <c r="E30"/>
      <c r="F30"/>
      <c r="G30"/>
      <c r="H30"/>
    </row>
    <row r="31" spans="1:8" hidden="1" x14ac:dyDescent="0.25">
      <c r="A31"/>
      <c r="B31"/>
      <c r="C31"/>
      <c r="D31"/>
      <c r="E31"/>
      <c r="F31"/>
      <c r="G31"/>
      <c r="H31"/>
    </row>
    <row r="32" spans="1:8" hidden="1" x14ac:dyDescent="0.25">
      <c r="A32"/>
      <c r="B32"/>
      <c r="C32"/>
      <c r="D32"/>
      <c r="E32"/>
      <c r="F32"/>
      <c r="G32"/>
      <c r="H32"/>
    </row>
    <row r="33" spans="1:8" hidden="1" x14ac:dyDescent="0.25">
      <c r="A33"/>
      <c r="B33"/>
      <c r="C33"/>
      <c r="D33"/>
      <c r="E33"/>
      <c r="F33"/>
      <c r="G33"/>
      <c r="H33"/>
    </row>
    <row r="34" spans="1:8" hidden="1" x14ac:dyDescent="0.25">
      <c r="A34"/>
      <c r="B34"/>
      <c r="C34"/>
      <c r="D34"/>
      <c r="E34"/>
      <c r="F34"/>
      <c r="G34"/>
      <c r="H34"/>
    </row>
    <row r="35" spans="1:8" x14ac:dyDescent="0.25">
      <c r="A35" s="205" t="s">
        <v>205</v>
      </c>
      <c r="B35"/>
      <c r="C35"/>
      <c r="D35"/>
      <c r="E35"/>
      <c r="F35"/>
      <c r="G35"/>
      <c r="H35"/>
    </row>
    <row r="36" spans="1:8" x14ac:dyDescent="0.25">
      <c r="A36" s="137"/>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row r="50" spans="1:8" x14ac:dyDescent="0.25">
      <c r="A50"/>
      <c r="B50"/>
      <c r="C50"/>
      <c r="D50"/>
      <c r="E50"/>
      <c r="F50"/>
      <c r="G50"/>
      <c r="H50"/>
    </row>
    <row r="51" spans="1:8" x14ac:dyDescent="0.25">
      <c r="A51"/>
      <c r="B51"/>
      <c r="C51"/>
      <c r="D51"/>
      <c r="E51"/>
      <c r="F51"/>
      <c r="G51"/>
      <c r="H51"/>
    </row>
    <row r="52" spans="1:8" x14ac:dyDescent="0.25">
      <c r="A52"/>
      <c r="B52"/>
      <c r="C52"/>
      <c r="D52"/>
      <c r="E52"/>
      <c r="F52"/>
      <c r="G52"/>
      <c r="H52"/>
    </row>
    <row r="53" spans="1:8" x14ac:dyDescent="0.25">
      <c r="A53"/>
      <c r="B53"/>
      <c r="C53"/>
      <c r="D53"/>
      <c r="E53"/>
      <c r="F53"/>
      <c r="G53"/>
      <c r="H53"/>
    </row>
    <row r="54" spans="1:8" x14ac:dyDescent="0.25">
      <c r="A54"/>
      <c r="B54"/>
      <c r="C54"/>
      <c r="D54"/>
      <c r="E54"/>
      <c r="F54"/>
      <c r="G54"/>
      <c r="H54"/>
    </row>
    <row r="55" spans="1:8" x14ac:dyDescent="0.25">
      <c r="A55"/>
      <c r="B55"/>
      <c r="C55"/>
      <c r="D55"/>
      <c r="E55"/>
      <c r="F55"/>
      <c r="G55"/>
      <c r="H55"/>
    </row>
    <row r="56" spans="1:8" x14ac:dyDescent="0.25">
      <c r="A56"/>
      <c r="B56"/>
      <c r="C56"/>
      <c r="D56"/>
      <c r="E56"/>
      <c r="F56"/>
      <c r="G56"/>
      <c r="H56"/>
    </row>
    <row r="57" spans="1:8" x14ac:dyDescent="0.25">
      <c r="A57"/>
      <c r="B57"/>
      <c r="C57"/>
      <c r="D57"/>
      <c r="E57"/>
      <c r="F57"/>
      <c r="G57"/>
      <c r="H57"/>
    </row>
    <row r="58" spans="1:8" x14ac:dyDescent="0.25">
      <c r="A58"/>
      <c r="B58"/>
      <c r="C58"/>
      <c r="D58"/>
      <c r="E58"/>
      <c r="F58"/>
      <c r="G58"/>
      <c r="H58"/>
    </row>
    <row r="60" spans="1:8" x14ac:dyDescent="0.25">
      <c r="A60" s="70"/>
      <c r="B60" s="183"/>
      <c r="C60" s="181"/>
      <c r="D60" s="154"/>
      <c r="E60" s="154"/>
      <c r="F60" s="68"/>
      <c r="G60" s="67"/>
    </row>
    <row r="62" spans="1:8" x14ac:dyDescent="0.25">
      <c r="A62" s="70"/>
      <c r="B62" s="180"/>
      <c r="C62" s="181"/>
      <c r="D62" s="182"/>
      <c r="E62" s="182"/>
      <c r="F62" s="68"/>
      <c r="G62" s="67"/>
    </row>
  </sheetData>
  <mergeCells count="5">
    <mergeCell ref="A2:G2"/>
    <mergeCell ref="A3:G3"/>
    <mergeCell ref="A4:G4"/>
    <mergeCell ref="A6:G6"/>
    <mergeCell ref="A5:G5"/>
  </mergeCells>
  <pageMargins left="0.7" right="0.7" top="0.75" bottom="0.75" header="0.3" footer="0.3"/>
  <pageSetup paperSize="9" scale="54" orientation="portrait" r:id="rId1"/>
  <ignoredErrors>
    <ignoredError sqref="F11"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2:Y72"/>
  <sheetViews>
    <sheetView showGridLines="0" zoomScale="91" zoomScaleNormal="91" workbookViewId="0">
      <selection activeCell="L53" sqref="L53"/>
    </sheetView>
  </sheetViews>
  <sheetFormatPr defaultColWidth="11.42578125" defaultRowHeight="15" x14ac:dyDescent="0.25"/>
  <cols>
    <col min="1" max="1" width="44" style="1" customWidth="1"/>
    <col min="2" max="2" width="44.140625" style="1" hidden="1" customWidth="1"/>
    <col min="3" max="3" width="0.140625" style="1" hidden="1" customWidth="1"/>
    <col min="4" max="6" width="27" style="1" hidden="1" customWidth="1"/>
    <col min="7" max="7" width="0.140625" style="1" hidden="1" customWidth="1"/>
    <col min="8" max="8" width="19.140625" style="1" hidden="1" customWidth="1"/>
    <col min="9" max="9" width="0.28515625" style="1" hidden="1" customWidth="1"/>
    <col min="10" max="10" width="10.42578125" style="1" hidden="1" customWidth="1"/>
    <col min="11" max="12" width="11.42578125" style="1"/>
    <col min="13" max="13" width="12.140625" style="1" customWidth="1"/>
    <col min="14" max="14" width="25.5703125" style="1" customWidth="1"/>
    <col min="15" max="15" width="18.85546875" style="1" customWidth="1"/>
    <col min="16" max="16384" width="11.42578125" style="1"/>
  </cols>
  <sheetData>
    <row r="2" spans="1:25" x14ac:dyDescent="0.25">
      <c r="A2" s="343" t="s">
        <v>206</v>
      </c>
      <c r="B2" s="343"/>
      <c r="C2" s="343"/>
      <c r="D2" s="343"/>
      <c r="E2" s="343"/>
      <c r="F2" s="343"/>
      <c r="G2" s="343"/>
      <c r="H2" s="343"/>
      <c r="I2" s="343"/>
      <c r="J2" s="343"/>
      <c r="K2" s="343"/>
      <c r="L2" s="343"/>
      <c r="M2" s="343"/>
    </row>
    <row r="3" spans="1:25" x14ac:dyDescent="0.25">
      <c r="A3" s="343" t="s">
        <v>225</v>
      </c>
      <c r="B3" s="343"/>
      <c r="C3" s="343"/>
      <c r="D3" s="343"/>
      <c r="E3" s="343"/>
      <c r="F3" s="343"/>
      <c r="G3" s="343"/>
      <c r="H3" s="343"/>
      <c r="I3" s="343"/>
      <c r="J3" s="343"/>
      <c r="K3" s="343"/>
      <c r="L3" s="343"/>
      <c r="M3" s="343"/>
    </row>
    <row r="4" spans="1:25" x14ac:dyDescent="0.25">
      <c r="A4" s="343" t="s">
        <v>226</v>
      </c>
      <c r="B4" s="343"/>
      <c r="C4" s="343"/>
      <c r="D4" s="343"/>
      <c r="E4" s="343"/>
      <c r="F4" s="343"/>
      <c r="G4" s="343"/>
      <c r="H4" s="343"/>
      <c r="I4" s="343"/>
      <c r="J4" s="343"/>
      <c r="K4" s="343"/>
      <c r="L4" s="343"/>
      <c r="M4" s="343"/>
    </row>
    <row r="5" spans="1:25" x14ac:dyDescent="0.25">
      <c r="A5" s="343" t="s">
        <v>273</v>
      </c>
      <c r="B5" s="343"/>
      <c r="C5" s="343"/>
      <c r="D5" s="343"/>
      <c r="E5" s="343"/>
      <c r="F5" s="343"/>
      <c r="G5" s="343"/>
      <c r="H5" s="343"/>
      <c r="I5" s="343"/>
      <c r="J5" s="343"/>
      <c r="K5" s="343"/>
      <c r="L5" s="343"/>
      <c r="M5" s="343"/>
    </row>
    <row r="6" spans="1:25" x14ac:dyDescent="0.25">
      <c r="A6" s="343" t="s">
        <v>272</v>
      </c>
      <c r="B6" s="343"/>
      <c r="C6" s="343"/>
      <c r="D6" s="343"/>
      <c r="E6" s="343"/>
      <c r="F6" s="343"/>
      <c r="G6" s="343"/>
      <c r="H6" s="343"/>
      <c r="I6" s="343"/>
      <c r="J6" s="343"/>
      <c r="K6" s="343"/>
      <c r="L6" s="343"/>
      <c r="M6" s="343"/>
    </row>
    <row r="9" spans="1:25" ht="15.75" x14ac:dyDescent="0.25">
      <c r="A9" s="392" t="s">
        <v>227</v>
      </c>
      <c r="B9" s="392"/>
      <c r="C9" s="392"/>
      <c r="D9" s="392"/>
      <c r="E9" s="392"/>
      <c r="F9" s="392"/>
      <c r="G9" s="392"/>
      <c r="H9" s="392"/>
      <c r="I9" s="392"/>
      <c r="J9" s="392"/>
      <c r="K9" s="392"/>
      <c r="L9" s="392"/>
      <c r="M9" s="392"/>
      <c r="Y9" s="18"/>
    </row>
    <row r="10" spans="1:25" x14ac:dyDescent="0.25">
      <c r="A10" s="184"/>
      <c r="B10" s="370" t="s">
        <v>274</v>
      </c>
      <c r="C10" s="370"/>
      <c r="D10" s="370"/>
      <c r="E10" s="370" t="s">
        <v>270</v>
      </c>
      <c r="F10" s="370"/>
      <c r="G10" s="370"/>
      <c r="H10" s="370" t="s">
        <v>277</v>
      </c>
      <c r="I10" s="370"/>
      <c r="J10" s="370"/>
      <c r="K10" s="370" t="s">
        <v>275</v>
      </c>
      <c r="L10" s="370"/>
      <c r="M10" s="370"/>
      <c r="N10"/>
      <c r="O10"/>
      <c r="P10"/>
      <c r="Q10"/>
      <c r="R10"/>
      <c r="S10"/>
      <c r="T10"/>
      <c r="U10"/>
    </row>
    <row r="11" spans="1:25" x14ac:dyDescent="0.25">
      <c r="A11" s="54" t="s">
        <v>228</v>
      </c>
      <c r="B11" s="54" t="s">
        <v>229</v>
      </c>
      <c r="C11" s="54" t="s">
        <v>230</v>
      </c>
      <c r="D11" s="54" t="s">
        <v>231</v>
      </c>
      <c r="E11" s="54" t="s">
        <v>229</v>
      </c>
      <c r="F11" s="54" t="s">
        <v>230</v>
      </c>
      <c r="G11" s="54" t="s">
        <v>231</v>
      </c>
      <c r="H11" s="54" t="s">
        <v>229</v>
      </c>
      <c r="I11" s="54" t="s">
        <v>230</v>
      </c>
      <c r="J11" s="54" t="s">
        <v>231</v>
      </c>
      <c r="K11" s="54" t="s">
        <v>229</v>
      </c>
      <c r="L11" s="54" t="s">
        <v>230</v>
      </c>
      <c r="M11" s="54" t="s">
        <v>231</v>
      </c>
      <c r="N11"/>
      <c r="O11"/>
      <c r="P11"/>
      <c r="Q11"/>
      <c r="R11"/>
      <c r="S11"/>
      <c r="T11"/>
      <c r="U11"/>
    </row>
    <row r="12" spans="1:25" x14ac:dyDescent="0.25">
      <c r="A12" s="53" t="s">
        <v>232</v>
      </c>
      <c r="B12" s="133">
        <v>6</v>
      </c>
      <c r="C12" s="133">
        <v>6</v>
      </c>
      <c r="D12" s="124">
        <f>IFERROR(C12/B12,"-")</f>
        <v>1</v>
      </c>
      <c r="E12" s="133">
        <v>3</v>
      </c>
      <c r="F12" s="133">
        <v>2</v>
      </c>
      <c r="G12" s="124">
        <f>IFERROR(F12/E12,"-")</f>
        <v>0.66666666666666663</v>
      </c>
      <c r="H12" s="133">
        <v>9</v>
      </c>
      <c r="I12" s="133">
        <v>7</v>
      </c>
      <c r="J12" s="124">
        <f>IFERROR(I12/H12,"-")</f>
        <v>0.77777777777777779</v>
      </c>
      <c r="K12" s="133">
        <f>B12+E12+H12</f>
        <v>18</v>
      </c>
      <c r="L12" s="133">
        <f>C12+F12+I12</f>
        <v>15</v>
      </c>
      <c r="M12" s="124">
        <f>IFERROR(L12/K12,"-")</f>
        <v>0.83333333333333337</v>
      </c>
      <c r="N12"/>
      <c r="O12"/>
      <c r="P12"/>
      <c r="Q12"/>
      <c r="R12"/>
      <c r="S12"/>
      <c r="T12"/>
      <c r="U12"/>
    </row>
    <row r="13" spans="1:25" x14ac:dyDescent="0.25">
      <c r="A13" s="53" t="s">
        <v>233</v>
      </c>
      <c r="B13" s="133">
        <v>142</v>
      </c>
      <c r="C13" s="133">
        <v>139</v>
      </c>
      <c r="D13" s="124">
        <f t="shared" ref="D13:D25" si="0">IFERROR(C13/B13,"-")</f>
        <v>0.97887323943661975</v>
      </c>
      <c r="E13" s="133">
        <v>155</v>
      </c>
      <c r="F13" s="133">
        <v>148</v>
      </c>
      <c r="G13" s="124">
        <f t="shared" ref="G13:G21" si="1">IFERROR(F13/E13,"-")</f>
        <v>0.95483870967741935</v>
      </c>
      <c r="H13" s="133">
        <v>185</v>
      </c>
      <c r="I13" s="133">
        <v>173</v>
      </c>
      <c r="J13" s="124">
        <f t="shared" ref="J13:J21" si="2">IFERROR(I13/H13,"-")</f>
        <v>0.93513513513513513</v>
      </c>
      <c r="K13" s="133">
        <f t="shared" ref="K13:K24" si="3">B13+E13+H13</f>
        <v>482</v>
      </c>
      <c r="L13" s="133">
        <f t="shared" ref="L13:L24" si="4">C13+F13+I13</f>
        <v>460</v>
      </c>
      <c r="M13" s="124">
        <f t="shared" ref="M13:M23" si="5">IFERROR(L13/K13,"-")</f>
        <v>0.9543568464730291</v>
      </c>
      <c r="N13"/>
      <c r="O13"/>
      <c r="P13"/>
      <c r="Q13"/>
      <c r="R13"/>
      <c r="S13"/>
      <c r="T13"/>
      <c r="U13"/>
    </row>
    <row r="14" spans="1:25" x14ac:dyDescent="0.25">
      <c r="A14" s="53" t="s">
        <v>234</v>
      </c>
      <c r="B14" s="133">
        <v>48</v>
      </c>
      <c r="C14" s="133">
        <v>47</v>
      </c>
      <c r="D14" s="124">
        <f t="shared" si="0"/>
        <v>0.97916666666666663</v>
      </c>
      <c r="E14" s="133">
        <v>46</v>
      </c>
      <c r="F14" s="133">
        <v>39</v>
      </c>
      <c r="G14" s="124">
        <f t="shared" si="1"/>
        <v>0.84782608695652173</v>
      </c>
      <c r="H14" s="133">
        <v>40</v>
      </c>
      <c r="I14" s="133">
        <v>3</v>
      </c>
      <c r="J14" s="124">
        <f t="shared" si="2"/>
        <v>7.4999999999999997E-2</v>
      </c>
      <c r="K14" s="133">
        <f t="shared" si="3"/>
        <v>134</v>
      </c>
      <c r="L14" s="133">
        <f t="shared" si="4"/>
        <v>89</v>
      </c>
      <c r="M14" s="124">
        <f t="shared" si="5"/>
        <v>0.66417910447761197</v>
      </c>
      <c r="N14"/>
      <c r="O14"/>
      <c r="P14"/>
      <c r="Q14"/>
      <c r="R14"/>
      <c r="S14"/>
      <c r="T14"/>
      <c r="U14"/>
    </row>
    <row r="15" spans="1:25" x14ac:dyDescent="0.25">
      <c r="A15" s="53" t="s">
        <v>235</v>
      </c>
      <c r="B15" s="133">
        <v>289</v>
      </c>
      <c r="C15" s="133">
        <v>288</v>
      </c>
      <c r="D15" s="124">
        <f t="shared" si="0"/>
        <v>0.9965397923875432</v>
      </c>
      <c r="E15" s="133">
        <v>172</v>
      </c>
      <c r="F15" s="133">
        <v>172</v>
      </c>
      <c r="G15" s="124">
        <f t="shared" si="1"/>
        <v>1</v>
      </c>
      <c r="H15" s="133">
        <v>191</v>
      </c>
      <c r="I15" s="133">
        <v>190</v>
      </c>
      <c r="J15" s="124">
        <f t="shared" si="2"/>
        <v>0.99476439790575921</v>
      </c>
      <c r="K15" s="133">
        <f t="shared" si="3"/>
        <v>652</v>
      </c>
      <c r="L15" s="133">
        <f t="shared" si="4"/>
        <v>650</v>
      </c>
      <c r="M15" s="124">
        <f t="shared" si="5"/>
        <v>0.99693251533742333</v>
      </c>
      <c r="N15"/>
      <c r="O15"/>
      <c r="P15"/>
      <c r="Q15"/>
      <c r="R15"/>
      <c r="S15"/>
      <c r="T15"/>
      <c r="U15"/>
    </row>
    <row r="16" spans="1:25" x14ac:dyDescent="0.25">
      <c r="A16" s="53" t="s">
        <v>236</v>
      </c>
      <c r="B16" s="133">
        <v>4789</v>
      </c>
      <c r="C16" s="133">
        <v>4723</v>
      </c>
      <c r="D16" s="124">
        <f t="shared" si="0"/>
        <v>0.98621841720609726</v>
      </c>
      <c r="E16" s="133">
        <v>4259</v>
      </c>
      <c r="F16" s="133">
        <v>4139</v>
      </c>
      <c r="G16" s="124">
        <f t="shared" si="1"/>
        <v>0.97182437191829063</v>
      </c>
      <c r="H16" s="133">
        <v>2691</v>
      </c>
      <c r="I16" s="133">
        <v>2555</v>
      </c>
      <c r="J16" s="124">
        <f t="shared" si="2"/>
        <v>0.94946116685247117</v>
      </c>
      <c r="K16" s="133">
        <f t="shared" si="3"/>
        <v>11739</v>
      </c>
      <c r="L16" s="133">
        <f t="shared" si="4"/>
        <v>11417</v>
      </c>
      <c r="M16" s="124">
        <f t="shared" si="5"/>
        <v>0.97257006559332138</v>
      </c>
      <c r="N16"/>
      <c r="O16"/>
      <c r="P16"/>
      <c r="Q16"/>
      <c r="R16"/>
      <c r="S16"/>
      <c r="T16"/>
      <c r="U16"/>
    </row>
    <row r="17" spans="1:21" x14ac:dyDescent="0.25">
      <c r="A17" s="53" t="s">
        <v>237</v>
      </c>
      <c r="B17" s="133">
        <v>472</v>
      </c>
      <c r="C17" s="133">
        <v>467</v>
      </c>
      <c r="D17" s="124">
        <f t="shared" si="0"/>
        <v>0.98940677966101698</v>
      </c>
      <c r="E17" s="133">
        <v>607</v>
      </c>
      <c r="F17" s="133">
        <v>601</v>
      </c>
      <c r="G17" s="124">
        <f t="shared" si="1"/>
        <v>0.99011532125205926</v>
      </c>
      <c r="H17" s="133">
        <v>552</v>
      </c>
      <c r="I17" s="133">
        <v>532</v>
      </c>
      <c r="J17" s="124">
        <f t="shared" si="2"/>
        <v>0.96376811594202894</v>
      </c>
      <c r="K17" s="133">
        <f t="shared" si="3"/>
        <v>1631</v>
      </c>
      <c r="L17" s="133">
        <f t="shared" si="4"/>
        <v>1600</v>
      </c>
      <c r="M17" s="124">
        <f t="shared" si="5"/>
        <v>0.9809932556713673</v>
      </c>
      <c r="N17"/>
      <c r="O17"/>
      <c r="P17"/>
      <c r="Q17"/>
      <c r="R17"/>
      <c r="S17"/>
      <c r="T17"/>
      <c r="U17"/>
    </row>
    <row r="18" spans="1:21" x14ac:dyDescent="0.25">
      <c r="A18" s="53" t="s">
        <v>238</v>
      </c>
      <c r="B18" s="133">
        <v>3627</v>
      </c>
      <c r="C18" s="133">
        <v>3620</v>
      </c>
      <c r="D18" s="124">
        <f t="shared" si="0"/>
        <v>0.99807003032809483</v>
      </c>
      <c r="E18" s="133">
        <v>3123</v>
      </c>
      <c r="F18" s="133">
        <v>3114</v>
      </c>
      <c r="G18" s="124">
        <f t="shared" si="1"/>
        <v>0.99711815561959649</v>
      </c>
      <c r="H18" s="133">
        <v>1604</v>
      </c>
      <c r="I18" s="133">
        <v>1571</v>
      </c>
      <c r="J18" s="124">
        <f t="shared" si="2"/>
        <v>0.979426433915212</v>
      </c>
      <c r="K18" s="133">
        <f t="shared" si="3"/>
        <v>8354</v>
      </c>
      <c r="L18" s="133">
        <f t="shared" si="4"/>
        <v>8305</v>
      </c>
      <c r="M18" s="124">
        <f t="shared" si="5"/>
        <v>0.99413454632511367</v>
      </c>
      <c r="N18"/>
      <c r="O18"/>
      <c r="P18"/>
      <c r="Q18"/>
      <c r="R18"/>
      <c r="S18"/>
      <c r="T18"/>
      <c r="U18"/>
    </row>
    <row r="19" spans="1:21" x14ac:dyDescent="0.25">
      <c r="A19" s="53" t="s">
        <v>239</v>
      </c>
      <c r="B19" s="133">
        <v>3</v>
      </c>
      <c r="C19" s="133">
        <v>3</v>
      </c>
      <c r="D19" s="124">
        <f t="shared" si="0"/>
        <v>1</v>
      </c>
      <c r="E19" s="133">
        <v>9</v>
      </c>
      <c r="F19" s="133">
        <v>9</v>
      </c>
      <c r="G19" s="124">
        <f t="shared" si="1"/>
        <v>1</v>
      </c>
      <c r="H19" s="133">
        <v>9</v>
      </c>
      <c r="I19" s="133">
        <v>9</v>
      </c>
      <c r="J19" s="124">
        <f t="shared" si="2"/>
        <v>1</v>
      </c>
      <c r="K19" s="133">
        <f t="shared" si="3"/>
        <v>21</v>
      </c>
      <c r="L19" s="133">
        <f t="shared" si="4"/>
        <v>21</v>
      </c>
      <c r="M19" s="124">
        <f t="shared" si="5"/>
        <v>1</v>
      </c>
      <c r="N19"/>
      <c r="O19"/>
      <c r="P19"/>
      <c r="Q19"/>
      <c r="R19"/>
      <c r="S19"/>
      <c r="T19"/>
      <c r="U19"/>
    </row>
    <row r="20" spans="1:21" x14ac:dyDescent="0.25">
      <c r="A20" s="53" t="s">
        <v>240</v>
      </c>
      <c r="B20" s="133">
        <v>92</v>
      </c>
      <c r="C20" s="133">
        <v>90</v>
      </c>
      <c r="D20" s="124">
        <f t="shared" si="0"/>
        <v>0.97826086956521741</v>
      </c>
      <c r="E20" s="133">
        <v>79</v>
      </c>
      <c r="F20" s="133">
        <v>78</v>
      </c>
      <c r="G20" s="124">
        <f t="shared" si="1"/>
        <v>0.98734177215189878</v>
      </c>
      <c r="H20" s="133">
        <v>55</v>
      </c>
      <c r="I20" s="133">
        <v>51</v>
      </c>
      <c r="J20" s="124">
        <f t="shared" si="2"/>
        <v>0.92727272727272725</v>
      </c>
      <c r="K20" s="133">
        <f t="shared" si="3"/>
        <v>226</v>
      </c>
      <c r="L20" s="133">
        <f t="shared" si="4"/>
        <v>219</v>
      </c>
      <c r="M20" s="124">
        <f t="shared" si="5"/>
        <v>0.96902654867256632</v>
      </c>
      <c r="N20"/>
      <c r="O20"/>
      <c r="P20"/>
      <c r="Q20"/>
      <c r="R20"/>
      <c r="S20"/>
      <c r="T20"/>
      <c r="U20"/>
    </row>
    <row r="21" spans="1:21" x14ac:dyDescent="0.25">
      <c r="A21" s="53" t="s">
        <v>241</v>
      </c>
      <c r="B21" s="133">
        <v>10</v>
      </c>
      <c r="C21" s="133">
        <v>10</v>
      </c>
      <c r="D21" s="124">
        <f t="shared" si="0"/>
        <v>1</v>
      </c>
      <c r="E21" s="133">
        <v>10</v>
      </c>
      <c r="F21" s="133">
        <v>10</v>
      </c>
      <c r="G21" s="124">
        <f t="shared" si="1"/>
        <v>1</v>
      </c>
      <c r="H21" s="133">
        <v>6</v>
      </c>
      <c r="I21" s="133">
        <v>5</v>
      </c>
      <c r="J21" s="124">
        <f t="shared" si="2"/>
        <v>0.83333333333333337</v>
      </c>
      <c r="K21" s="133">
        <f t="shared" si="3"/>
        <v>26</v>
      </c>
      <c r="L21" s="133">
        <f t="shared" si="4"/>
        <v>25</v>
      </c>
      <c r="M21" s="124">
        <f>IFERROR(L21/K21,"-")</f>
        <v>0.96153846153846156</v>
      </c>
      <c r="N21"/>
      <c r="O21"/>
      <c r="P21"/>
      <c r="Q21"/>
      <c r="R21"/>
      <c r="S21"/>
      <c r="T21"/>
      <c r="U21"/>
    </row>
    <row r="22" spans="1:21" x14ac:dyDescent="0.25">
      <c r="A22" s="53" t="s">
        <v>242</v>
      </c>
      <c r="B22" s="133">
        <v>174</v>
      </c>
      <c r="C22" s="133">
        <v>171</v>
      </c>
      <c r="D22" s="124">
        <f t="shared" si="0"/>
        <v>0.98275862068965514</v>
      </c>
      <c r="E22" s="133">
        <v>210</v>
      </c>
      <c r="F22" s="133">
        <v>208</v>
      </c>
      <c r="G22" s="124">
        <f t="shared" ref="G22:G25" si="6">IFERROR(F22/E22,"-")</f>
        <v>0.99047619047619051</v>
      </c>
      <c r="H22" s="133">
        <v>122</v>
      </c>
      <c r="I22" s="133">
        <v>103</v>
      </c>
      <c r="J22" s="124">
        <f t="shared" ref="J22:J25" si="7">IFERROR(I22/H22,"-")</f>
        <v>0.84426229508196726</v>
      </c>
      <c r="K22" s="133">
        <f t="shared" si="3"/>
        <v>506</v>
      </c>
      <c r="L22" s="133">
        <f t="shared" si="4"/>
        <v>482</v>
      </c>
      <c r="M22" s="124">
        <f t="shared" si="5"/>
        <v>0.95256916996047436</v>
      </c>
      <c r="N22"/>
      <c r="O22"/>
      <c r="P22"/>
      <c r="Q22"/>
      <c r="R22"/>
      <c r="S22"/>
      <c r="T22"/>
      <c r="U22"/>
    </row>
    <row r="23" spans="1:21" x14ac:dyDescent="0.25">
      <c r="A23" s="53" t="s">
        <v>243</v>
      </c>
      <c r="B23" s="133">
        <v>94</v>
      </c>
      <c r="C23" s="133">
        <v>93</v>
      </c>
      <c r="D23" s="124">
        <f t="shared" si="0"/>
        <v>0.98936170212765961</v>
      </c>
      <c r="E23" s="133">
        <v>63</v>
      </c>
      <c r="F23" s="133">
        <v>63</v>
      </c>
      <c r="G23" s="124">
        <f t="shared" si="6"/>
        <v>1</v>
      </c>
      <c r="H23" s="133">
        <v>69</v>
      </c>
      <c r="I23" s="133">
        <v>67</v>
      </c>
      <c r="J23" s="124"/>
      <c r="K23" s="133">
        <f t="shared" si="3"/>
        <v>226</v>
      </c>
      <c r="L23" s="133">
        <f t="shared" si="4"/>
        <v>223</v>
      </c>
      <c r="M23" s="124">
        <f t="shared" si="5"/>
        <v>0.98672566371681414</v>
      </c>
      <c r="N23"/>
      <c r="O23"/>
      <c r="P23"/>
      <c r="Q23"/>
      <c r="R23"/>
      <c r="S23"/>
      <c r="T23"/>
      <c r="U23"/>
    </row>
    <row r="24" spans="1:21" x14ac:dyDescent="0.25">
      <c r="A24" s="53" t="s">
        <v>244</v>
      </c>
      <c r="B24" s="133">
        <v>4</v>
      </c>
      <c r="C24" s="133">
        <v>4</v>
      </c>
      <c r="D24" s="124">
        <f t="shared" si="0"/>
        <v>1</v>
      </c>
      <c r="E24" s="133">
        <v>2</v>
      </c>
      <c r="F24" s="133">
        <v>2</v>
      </c>
      <c r="G24" s="124">
        <f t="shared" si="6"/>
        <v>1</v>
      </c>
      <c r="H24" s="133">
        <v>5</v>
      </c>
      <c r="I24" s="133">
        <v>5</v>
      </c>
      <c r="J24" s="124">
        <f t="shared" si="7"/>
        <v>1</v>
      </c>
      <c r="K24" s="133">
        <f t="shared" si="3"/>
        <v>11</v>
      </c>
      <c r="L24" s="133">
        <f t="shared" si="4"/>
        <v>11</v>
      </c>
      <c r="M24" s="124">
        <f t="shared" ref="M24" si="8">IFERROR(L24/K24,"-")</f>
        <v>1</v>
      </c>
      <c r="N24"/>
      <c r="O24"/>
      <c r="P24"/>
      <c r="Q24"/>
      <c r="R24"/>
      <c r="S24"/>
      <c r="T24"/>
      <c r="U24"/>
    </row>
    <row r="25" spans="1:21" x14ac:dyDescent="0.25">
      <c r="A25" s="46" t="s">
        <v>245</v>
      </c>
      <c r="B25" s="8">
        <f>SUM(B12:B24)</f>
        <v>9750</v>
      </c>
      <c r="C25" s="8">
        <f>SUM(C12:C24)</f>
        <v>9661</v>
      </c>
      <c r="D25" s="8">
        <f t="shared" si="0"/>
        <v>0.99087179487179489</v>
      </c>
      <c r="E25" s="8">
        <f>SUM(E12:E24)</f>
        <v>8738</v>
      </c>
      <c r="F25" s="8">
        <f>SUM(F12:F24)</f>
        <v>8585</v>
      </c>
      <c r="G25" s="8">
        <f t="shared" si="6"/>
        <v>0.98249027237354081</v>
      </c>
      <c r="H25" s="8">
        <f>SUM(H12:H24)</f>
        <v>5538</v>
      </c>
      <c r="I25" s="8">
        <f>SUM(I12:I24)</f>
        <v>5271</v>
      </c>
      <c r="J25" s="8">
        <f t="shared" si="7"/>
        <v>0.95178764897074752</v>
      </c>
      <c r="K25" s="8">
        <f>SUM(K12:K24)</f>
        <v>24026</v>
      </c>
      <c r="L25" s="8">
        <f>SUM(L12:L24)</f>
        <v>23517</v>
      </c>
      <c r="M25" s="90">
        <f>+L25/K25</f>
        <v>0.97881461749771081</v>
      </c>
      <c r="N25"/>
      <c r="O25"/>
      <c r="P25"/>
      <c r="Q25"/>
      <c r="R25"/>
      <c r="S25"/>
      <c r="T25"/>
      <c r="U25"/>
    </row>
    <row r="26" spans="1:21" ht="3.75" customHeight="1" x14ac:dyDescent="0.25">
      <c r="A26" s="141"/>
      <c r="B26"/>
      <c r="C26"/>
      <c r="D26"/>
      <c r="E26"/>
      <c r="F26"/>
      <c r="G26"/>
      <c r="H26"/>
      <c r="I26"/>
      <c r="J26"/>
      <c r="K26"/>
      <c r="L26"/>
      <c r="M26"/>
      <c r="N26"/>
      <c r="O26"/>
      <c r="P26"/>
      <c r="Q26"/>
      <c r="R26"/>
      <c r="S26"/>
      <c r="T26"/>
      <c r="U26"/>
    </row>
    <row r="27" spans="1:21" x14ac:dyDescent="0.25">
      <c r="A27" s="141" t="s">
        <v>246</v>
      </c>
      <c r="B27"/>
      <c r="C27"/>
      <c r="D27"/>
      <c r="E27"/>
      <c r="F27"/>
      <c r="G27"/>
      <c r="H27"/>
      <c r="I27"/>
      <c r="J27"/>
      <c r="K27"/>
      <c r="L27"/>
      <c r="M27"/>
      <c r="N27"/>
      <c r="O27"/>
      <c r="P27"/>
      <c r="Q27"/>
      <c r="R27"/>
      <c r="S27"/>
      <c r="T27"/>
      <c r="U27"/>
    </row>
    <row r="28" spans="1:21" x14ac:dyDescent="0.25">
      <c r="A28"/>
      <c r="B28"/>
      <c r="C28"/>
      <c r="D28"/>
      <c r="E28"/>
      <c r="F28"/>
      <c r="G28"/>
      <c r="H28"/>
      <c r="I28"/>
      <c r="J28"/>
      <c r="K28"/>
      <c r="L28"/>
      <c r="M28"/>
      <c r="N28"/>
      <c r="O28"/>
      <c r="P28"/>
      <c r="Q28"/>
      <c r="R28"/>
      <c r="S28"/>
      <c r="T28"/>
      <c r="U28"/>
    </row>
    <row r="29" spans="1:21" x14ac:dyDescent="0.25">
      <c r="A29"/>
      <c r="B29"/>
      <c r="C29"/>
      <c r="D29"/>
      <c r="E29"/>
      <c r="F29"/>
      <c r="G29"/>
      <c r="H29"/>
      <c r="I29"/>
      <c r="J29"/>
      <c r="K29"/>
      <c r="L29"/>
      <c r="M29"/>
      <c r="N29"/>
      <c r="O29"/>
      <c r="P29"/>
      <c r="Q29"/>
      <c r="R29"/>
      <c r="S29"/>
      <c r="T29"/>
      <c r="U29"/>
    </row>
    <row r="30" spans="1:21" x14ac:dyDescent="0.25">
      <c r="A30"/>
      <c r="B30"/>
      <c r="C30"/>
      <c r="D30"/>
      <c r="E30"/>
      <c r="F30"/>
      <c r="G30"/>
      <c r="H30"/>
      <c r="I30"/>
      <c r="J30"/>
      <c r="K30"/>
      <c r="L30"/>
      <c r="M30"/>
      <c r="N30"/>
      <c r="O30"/>
      <c r="P30"/>
      <c r="Q30"/>
      <c r="R30"/>
      <c r="S30"/>
      <c r="T30"/>
      <c r="U30"/>
    </row>
    <row r="31" spans="1:21" ht="15.75" x14ac:dyDescent="0.25">
      <c r="A31" s="390" t="s">
        <v>276</v>
      </c>
      <c r="B31" s="390"/>
      <c r="C31" s="390"/>
      <c r="D31" s="390"/>
      <c r="E31" s="390"/>
      <c r="F31" s="390"/>
      <c r="G31" s="390"/>
      <c r="H31" s="390"/>
      <c r="I31" s="390"/>
      <c r="J31" s="390"/>
      <c r="K31" s="390"/>
      <c r="L31" s="292"/>
      <c r="M31" s="292"/>
      <c r="N31"/>
      <c r="O31"/>
      <c r="P31"/>
      <c r="Q31"/>
      <c r="R31"/>
      <c r="S31"/>
      <c r="T31"/>
      <c r="U31"/>
    </row>
    <row r="32" spans="1:21" x14ac:dyDescent="0.25">
      <c r="A32" s="184"/>
      <c r="B32" s="370" t="s">
        <v>274</v>
      </c>
      <c r="C32" s="370"/>
      <c r="D32" s="370"/>
      <c r="E32" s="370" t="s">
        <v>270</v>
      </c>
      <c r="F32" s="370"/>
      <c r="G32" s="370"/>
      <c r="H32" s="370" t="s">
        <v>277</v>
      </c>
      <c r="I32" s="370"/>
      <c r="J32" s="370"/>
      <c r="K32" s="291"/>
      <c r="L32"/>
      <c r="M32"/>
      <c r="N32"/>
      <c r="O32"/>
      <c r="P32"/>
      <c r="Q32"/>
      <c r="R32"/>
      <c r="S32"/>
      <c r="T32"/>
      <c r="U32"/>
    </row>
    <row r="33" spans="1:21" x14ac:dyDescent="0.25">
      <c r="A33" s="54" t="s">
        <v>228</v>
      </c>
      <c r="B33" s="54" t="s">
        <v>229</v>
      </c>
      <c r="C33" s="54" t="s">
        <v>230</v>
      </c>
      <c r="D33" s="54" t="s">
        <v>50</v>
      </c>
      <c r="E33" s="54" t="s">
        <v>229</v>
      </c>
      <c r="F33" s="54" t="s">
        <v>230</v>
      </c>
      <c r="G33" s="54" t="s">
        <v>231</v>
      </c>
      <c r="H33" s="54" t="s">
        <v>229</v>
      </c>
      <c r="I33" s="54" t="s">
        <v>230</v>
      </c>
      <c r="J33" s="54" t="s">
        <v>231</v>
      </c>
      <c r="K33" s="54" t="s">
        <v>247</v>
      </c>
      <c r="L33"/>
      <c r="M33"/>
      <c r="N33"/>
      <c r="O33"/>
      <c r="P33"/>
      <c r="Q33"/>
      <c r="R33"/>
      <c r="S33"/>
      <c r="T33"/>
      <c r="U33"/>
    </row>
    <row r="34" spans="1:21" x14ac:dyDescent="0.25">
      <c r="A34" s="53" t="s">
        <v>248</v>
      </c>
      <c r="B34" s="133">
        <v>19</v>
      </c>
      <c r="C34" s="133">
        <v>19</v>
      </c>
      <c r="D34" s="226">
        <f>IFERROR(C34/B34,"-")</f>
        <v>1</v>
      </c>
      <c r="E34" s="133">
        <v>21</v>
      </c>
      <c r="F34" s="133">
        <v>20</v>
      </c>
      <c r="G34" s="226">
        <f t="shared" ref="G34:G48" si="9">IFERROR(F34/E34,"-")</f>
        <v>0.95238095238095233</v>
      </c>
      <c r="H34" s="133">
        <v>14</v>
      </c>
      <c r="I34" s="133">
        <v>10</v>
      </c>
      <c r="J34" s="226">
        <f t="shared" ref="J34:J48" si="10">IFERROR(I34/H34,"-")</f>
        <v>0.7142857142857143</v>
      </c>
      <c r="K34" s="133">
        <f>C34+F34+I34</f>
        <v>49</v>
      </c>
      <c r="L34"/>
      <c r="M34"/>
      <c r="N34"/>
      <c r="O34"/>
      <c r="P34"/>
      <c r="Q34"/>
      <c r="R34"/>
      <c r="S34"/>
      <c r="T34"/>
      <c r="U34"/>
    </row>
    <row r="35" spans="1:21" x14ac:dyDescent="0.25">
      <c r="A35" s="53" t="s">
        <v>249</v>
      </c>
      <c r="B35" s="133">
        <v>117</v>
      </c>
      <c r="C35" s="133">
        <v>116</v>
      </c>
      <c r="D35" s="226">
        <f t="shared" ref="D35:D47" si="11">IFERROR(C35/B35,"-")</f>
        <v>0.99145299145299148</v>
      </c>
      <c r="E35" s="133">
        <v>112</v>
      </c>
      <c r="F35" s="133">
        <v>109</v>
      </c>
      <c r="G35" s="226">
        <f t="shared" si="9"/>
        <v>0.9732142857142857</v>
      </c>
      <c r="H35" s="133">
        <v>72</v>
      </c>
      <c r="I35" s="133">
        <v>63</v>
      </c>
      <c r="J35" s="226">
        <f t="shared" si="10"/>
        <v>0.875</v>
      </c>
      <c r="K35" s="133">
        <f t="shared" ref="K35:K47" si="12">C35+F35+I35</f>
        <v>288</v>
      </c>
      <c r="L35"/>
      <c r="M35"/>
      <c r="N35"/>
      <c r="O35"/>
      <c r="P35"/>
      <c r="Q35"/>
      <c r="R35"/>
      <c r="S35"/>
      <c r="T35"/>
      <c r="U35"/>
    </row>
    <row r="36" spans="1:21" x14ac:dyDescent="0.25">
      <c r="A36" s="53" t="s">
        <v>250</v>
      </c>
      <c r="B36" s="133">
        <v>2</v>
      </c>
      <c r="C36" s="133">
        <v>1</v>
      </c>
      <c r="D36" s="226">
        <f t="shared" si="11"/>
        <v>0.5</v>
      </c>
      <c r="E36" s="133">
        <v>1</v>
      </c>
      <c r="F36" s="133">
        <v>1</v>
      </c>
      <c r="G36" s="226">
        <f t="shared" si="9"/>
        <v>1</v>
      </c>
      <c r="H36" s="133">
        <v>1</v>
      </c>
      <c r="I36" s="133">
        <v>1</v>
      </c>
      <c r="J36" s="226">
        <f t="shared" si="10"/>
        <v>1</v>
      </c>
      <c r="K36" s="133">
        <f t="shared" si="12"/>
        <v>3</v>
      </c>
      <c r="L36"/>
      <c r="M36"/>
      <c r="N36"/>
      <c r="O36"/>
      <c r="P36"/>
      <c r="Q36"/>
      <c r="R36"/>
      <c r="S36"/>
      <c r="T36"/>
      <c r="U36"/>
    </row>
    <row r="37" spans="1:21" x14ac:dyDescent="0.25">
      <c r="A37" s="53" t="s">
        <v>251</v>
      </c>
      <c r="B37" s="133">
        <v>4</v>
      </c>
      <c r="C37" s="133">
        <v>4</v>
      </c>
      <c r="D37" s="226">
        <f t="shared" si="11"/>
        <v>1</v>
      </c>
      <c r="E37" s="133">
        <v>10</v>
      </c>
      <c r="F37" s="133">
        <v>9</v>
      </c>
      <c r="G37" s="226">
        <f t="shared" si="9"/>
        <v>0.9</v>
      </c>
      <c r="H37" s="133">
        <v>3</v>
      </c>
      <c r="I37" s="133">
        <v>3</v>
      </c>
      <c r="J37" s="226">
        <f t="shared" si="10"/>
        <v>1</v>
      </c>
      <c r="K37" s="133">
        <f t="shared" si="12"/>
        <v>16</v>
      </c>
      <c r="L37"/>
      <c r="M37"/>
      <c r="N37"/>
      <c r="O37"/>
      <c r="P37"/>
      <c r="Q37"/>
      <c r="R37"/>
      <c r="S37"/>
      <c r="T37"/>
      <c r="U37"/>
    </row>
    <row r="38" spans="1:21" x14ac:dyDescent="0.25">
      <c r="A38" s="53" t="s">
        <v>252</v>
      </c>
      <c r="B38" s="133">
        <v>1</v>
      </c>
      <c r="C38" s="133">
        <v>1</v>
      </c>
      <c r="D38" s="226">
        <f t="shared" si="11"/>
        <v>1</v>
      </c>
      <c r="E38" s="133"/>
      <c r="F38" s="133"/>
      <c r="G38" s="226" t="str">
        <f t="shared" si="9"/>
        <v>-</v>
      </c>
      <c r="H38" s="133"/>
      <c r="I38" s="133"/>
      <c r="J38" s="226" t="str">
        <f t="shared" si="10"/>
        <v>-</v>
      </c>
      <c r="K38" s="133">
        <f t="shared" si="12"/>
        <v>1</v>
      </c>
      <c r="L38"/>
      <c r="M38"/>
      <c r="N38"/>
      <c r="O38"/>
      <c r="P38"/>
      <c r="Q38"/>
      <c r="R38"/>
      <c r="S38"/>
      <c r="T38"/>
      <c r="U38"/>
    </row>
    <row r="39" spans="1:21" x14ac:dyDescent="0.25">
      <c r="A39" s="53" t="s">
        <v>253</v>
      </c>
      <c r="B39" s="133">
        <v>111</v>
      </c>
      <c r="C39" s="133">
        <v>73</v>
      </c>
      <c r="D39" s="226">
        <f t="shared" si="11"/>
        <v>0.65765765765765771</v>
      </c>
      <c r="E39" s="133">
        <v>86</v>
      </c>
      <c r="F39" s="133">
        <v>48</v>
      </c>
      <c r="G39" s="226">
        <f t="shared" si="9"/>
        <v>0.55813953488372092</v>
      </c>
      <c r="H39" s="133">
        <v>71</v>
      </c>
      <c r="I39" s="133">
        <v>33</v>
      </c>
      <c r="J39" s="226">
        <f t="shared" si="10"/>
        <v>0.46478873239436619</v>
      </c>
      <c r="K39" s="133">
        <f t="shared" si="12"/>
        <v>154</v>
      </c>
      <c r="L39"/>
      <c r="M39"/>
      <c r="N39"/>
      <c r="O39"/>
      <c r="P39"/>
      <c r="Q39"/>
      <c r="R39"/>
      <c r="S39"/>
      <c r="T39"/>
      <c r="U39"/>
    </row>
    <row r="40" spans="1:21" x14ac:dyDescent="0.25">
      <c r="A40" s="53" t="s">
        <v>254</v>
      </c>
      <c r="B40" s="133">
        <v>19</v>
      </c>
      <c r="C40" s="133">
        <v>16</v>
      </c>
      <c r="D40" s="226">
        <f t="shared" si="11"/>
        <v>0.84210526315789469</v>
      </c>
      <c r="E40" s="133">
        <v>24</v>
      </c>
      <c r="F40" s="133">
        <v>21</v>
      </c>
      <c r="G40" s="226">
        <f t="shared" si="9"/>
        <v>0.875</v>
      </c>
      <c r="H40" s="133">
        <v>6</v>
      </c>
      <c r="I40" s="133">
        <v>3</v>
      </c>
      <c r="J40" s="226">
        <f t="shared" si="10"/>
        <v>0.5</v>
      </c>
      <c r="K40" s="133">
        <f t="shared" si="12"/>
        <v>40</v>
      </c>
      <c r="L40"/>
      <c r="M40"/>
      <c r="N40"/>
      <c r="O40"/>
      <c r="P40"/>
      <c r="Q40"/>
      <c r="R40"/>
      <c r="S40"/>
      <c r="T40"/>
      <c r="U40"/>
    </row>
    <row r="41" spans="1:21" x14ac:dyDescent="0.25">
      <c r="A41" s="53" t="s">
        <v>255</v>
      </c>
      <c r="B41" s="133">
        <v>24</v>
      </c>
      <c r="C41" s="133">
        <v>13</v>
      </c>
      <c r="D41" s="226">
        <f t="shared" si="11"/>
        <v>0.54166666666666663</v>
      </c>
      <c r="E41" s="133">
        <v>23</v>
      </c>
      <c r="F41" s="133">
        <v>12</v>
      </c>
      <c r="G41" s="226">
        <f t="shared" si="9"/>
        <v>0.52173913043478259</v>
      </c>
      <c r="H41" s="133">
        <v>21</v>
      </c>
      <c r="I41" s="133">
        <v>10</v>
      </c>
      <c r="J41" s="226">
        <f t="shared" si="10"/>
        <v>0.47619047619047616</v>
      </c>
      <c r="K41" s="133">
        <f t="shared" si="12"/>
        <v>35</v>
      </c>
      <c r="L41"/>
      <c r="M41"/>
      <c r="N41"/>
      <c r="O41"/>
      <c r="P41"/>
      <c r="Q41"/>
      <c r="R41"/>
      <c r="S41"/>
      <c r="T41"/>
      <c r="U41"/>
    </row>
    <row r="42" spans="1:21" x14ac:dyDescent="0.25">
      <c r="A42" s="53" t="s">
        <v>256</v>
      </c>
      <c r="B42" s="133">
        <v>194</v>
      </c>
      <c r="C42" s="133">
        <v>185</v>
      </c>
      <c r="D42" s="226">
        <f t="shared" si="11"/>
        <v>0.95360824742268047</v>
      </c>
      <c r="E42" s="133">
        <v>299</v>
      </c>
      <c r="F42" s="133">
        <v>290</v>
      </c>
      <c r="G42" s="226">
        <f t="shared" si="9"/>
        <v>0.96989966555183948</v>
      </c>
      <c r="H42" s="133">
        <v>203</v>
      </c>
      <c r="I42" s="133">
        <v>194</v>
      </c>
      <c r="J42" s="226">
        <f t="shared" si="10"/>
        <v>0.95566502463054193</v>
      </c>
      <c r="K42" s="133">
        <f t="shared" si="12"/>
        <v>669</v>
      </c>
      <c r="L42"/>
      <c r="M42"/>
      <c r="N42"/>
      <c r="O42"/>
      <c r="P42"/>
      <c r="Q42"/>
      <c r="R42"/>
      <c r="S42"/>
      <c r="T42"/>
      <c r="U42"/>
    </row>
    <row r="43" spans="1:21" x14ac:dyDescent="0.25">
      <c r="A43" s="53" t="s">
        <v>257</v>
      </c>
      <c r="B43" s="133">
        <v>62</v>
      </c>
      <c r="C43" s="133">
        <v>36</v>
      </c>
      <c r="D43" s="226">
        <f t="shared" si="11"/>
        <v>0.58064516129032262</v>
      </c>
      <c r="E43" s="133">
        <v>192</v>
      </c>
      <c r="F43" s="133">
        <v>166</v>
      </c>
      <c r="G43" s="226">
        <f t="shared" si="9"/>
        <v>0.86458333333333337</v>
      </c>
      <c r="H43" s="133">
        <v>75</v>
      </c>
      <c r="I43" s="133">
        <v>49</v>
      </c>
      <c r="J43" s="226">
        <f t="shared" si="10"/>
        <v>0.65333333333333332</v>
      </c>
      <c r="K43" s="133">
        <f t="shared" si="12"/>
        <v>251</v>
      </c>
      <c r="L43"/>
      <c r="M43"/>
      <c r="N43"/>
      <c r="O43"/>
      <c r="P43"/>
      <c r="Q43"/>
      <c r="R43"/>
      <c r="S43"/>
      <c r="T43"/>
      <c r="U43"/>
    </row>
    <row r="44" spans="1:21" x14ac:dyDescent="0.25">
      <c r="A44" s="53" t="s">
        <v>258</v>
      </c>
      <c r="B44" s="133">
        <v>14</v>
      </c>
      <c r="C44" s="133">
        <v>14</v>
      </c>
      <c r="D44" s="226">
        <f t="shared" si="11"/>
        <v>1</v>
      </c>
      <c r="E44" s="133">
        <v>10</v>
      </c>
      <c r="F44" s="133">
        <v>10</v>
      </c>
      <c r="G44" s="226">
        <f t="shared" si="9"/>
        <v>1</v>
      </c>
      <c r="H44" s="133">
        <v>21</v>
      </c>
      <c r="I44" s="133">
        <v>21</v>
      </c>
      <c r="J44" s="226">
        <f t="shared" si="10"/>
        <v>1</v>
      </c>
      <c r="K44" s="133">
        <f t="shared" si="12"/>
        <v>45</v>
      </c>
      <c r="L44"/>
      <c r="M44"/>
      <c r="N44"/>
      <c r="O44"/>
      <c r="P44"/>
      <c r="Q44"/>
      <c r="R44"/>
      <c r="S44"/>
      <c r="T44"/>
      <c r="U44"/>
    </row>
    <row r="45" spans="1:21" x14ac:dyDescent="0.25">
      <c r="A45" s="53" t="s">
        <v>238</v>
      </c>
      <c r="B45" s="133">
        <v>4007</v>
      </c>
      <c r="C45" s="133">
        <v>3230</v>
      </c>
      <c r="D45" s="226">
        <f t="shared" si="11"/>
        <v>0.80608934364861495</v>
      </c>
      <c r="E45" s="133">
        <v>4129</v>
      </c>
      <c r="F45" s="133">
        <v>3352</v>
      </c>
      <c r="G45" s="226">
        <f t="shared" si="9"/>
        <v>0.81181884233470569</v>
      </c>
      <c r="H45" s="133">
        <v>1860</v>
      </c>
      <c r="I45" s="133">
        <v>1083</v>
      </c>
      <c r="J45" s="226">
        <f t="shared" si="10"/>
        <v>0.58225806451612905</v>
      </c>
      <c r="K45" s="133">
        <f t="shared" si="12"/>
        <v>7665</v>
      </c>
      <c r="L45"/>
      <c r="M45"/>
      <c r="N45"/>
      <c r="O45"/>
      <c r="P45"/>
      <c r="Q45"/>
      <c r="R45"/>
      <c r="S45"/>
      <c r="T45"/>
      <c r="U45"/>
    </row>
    <row r="46" spans="1:21" x14ac:dyDescent="0.25">
      <c r="A46" s="53" t="s">
        <v>259</v>
      </c>
      <c r="B46" s="133">
        <v>36</v>
      </c>
      <c r="C46" s="133">
        <v>36</v>
      </c>
      <c r="D46" s="226">
        <f t="shared" si="11"/>
        <v>1</v>
      </c>
      <c r="E46" s="133">
        <v>30</v>
      </c>
      <c r="F46" s="133">
        <v>30</v>
      </c>
      <c r="G46" s="226">
        <f t="shared" si="9"/>
        <v>1</v>
      </c>
      <c r="H46" s="133">
        <v>28</v>
      </c>
      <c r="I46" s="133">
        <v>28</v>
      </c>
      <c r="J46" s="226">
        <f t="shared" si="10"/>
        <v>1</v>
      </c>
      <c r="K46" s="133">
        <f t="shared" si="12"/>
        <v>94</v>
      </c>
      <c r="L46"/>
      <c r="M46"/>
      <c r="N46"/>
      <c r="O46"/>
      <c r="P46"/>
      <c r="Q46"/>
      <c r="R46"/>
      <c r="S46"/>
      <c r="T46"/>
      <c r="U46"/>
    </row>
    <row r="47" spans="1:21" x14ac:dyDescent="0.25">
      <c r="A47" s="53" t="s">
        <v>260</v>
      </c>
      <c r="B47" s="133">
        <v>738</v>
      </c>
      <c r="C47" s="133">
        <v>738</v>
      </c>
      <c r="D47" s="226">
        <f t="shared" si="11"/>
        <v>1</v>
      </c>
      <c r="E47" s="133">
        <v>210</v>
      </c>
      <c r="F47" s="133">
        <v>210</v>
      </c>
      <c r="G47" s="226">
        <f t="shared" si="9"/>
        <v>1</v>
      </c>
      <c r="H47" s="133">
        <v>157</v>
      </c>
      <c r="I47" s="133">
        <v>157</v>
      </c>
      <c r="J47" s="226">
        <f t="shared" si="10"/>
        <v>1</v>
      </c>
      <c r="K47" s="133">
        <f t="shared" si="12"/>
        <v>1105</v>
      </c>
      <c r="L47"/>
      <c r="M47"/>
      <c r="N47"/>
      <c r="O47"/>
      <c r="P47"/>
      <c r="Q47"/>
      <c r="R47"/>
      <c r="S47"/>
      <c r="T47"/>
      <c r="U47"/>
    </row>
    <row r="48" spans="1:21" x14ac:dyDescent="0.25">
      <c r="A48" s="46" t="s">
        <v>245</v>
      </c>
      <c r="B48" s="8">
        <f>SUM(B34:B47)</f>
        <v>5348</v>
      </c>
      <c r="C48" s="8">
        <f>SUM(C34:C47)</f>
        <v>4482</v>
      </c>
      <c r="D48" s="8">
        <f>IFERROR(C48/B48,"-")</f>
        <v>0.83807030665669413</v>
      </c>
      <c r="E48" s="8">
        <f>SUM(E34:E47)</f>
        <v>5147</v>
      </c>
      <c r="F48" s="8">
        <f>SUM(F34:F47)</f>
        <v>4278</v>
      </c>
      <c r="G48" s="8">
        <f t="shared" si="9"/>
        <v>0.83116378472896835</v>
      </c>
      <c r="H48" s="8">
        <f>SUM(H34:H47)</f>
        <v>2532</v>
      </c>
      <c r="I48" s="8">
        <f>SUM(I34:I47)</f>
        <v>1655</v>
      </c>
      <c r="J48" s="8">
        <f t="shared" si="10"/>
        <v>0.6536334913112164</v>
      </c>
      <c r="K48" s="8">
        <f>SUM(K34:K47)</f>
        <v>10415</v>
      </c>
      <c r="L48"/>
      <c r="M48"/>
      <c r="N48"/>
      <c r="O48"/>
      <c r="P48"/>
      <c r="Q48"/>
      <c r="R48"/>
      <c r="S48"/>
      <c r="T48"/>
      <c r="U48"/>
    </row>
    <row r="49" spans="1:21" x14ac:dyDescent="0.25">
      <c r="A49" s="141" t="s">
        <v>261</v>
      </c>
      <c r="B49"/>
      <c r="C49"/>
      <c r="D49"/>
      <c r="E49"/>
      <c r="F49"/>
      <c r="G49"/>
      <c r="H49"/>
      <c r="I49"/>
      <c r="J49"/>
      <c r="K49"/>
      <c r="L49"/>
      <c r="M49"/>
      <c r="N49"/>
      <c r="O49"/>
      <c r="P49"/>
      <c r="Q49"/>
      <c r="R49"/>
      <c r="S49"/>
      <c r="T49"/>
      <c r="U49"/>
    </row>
    <row r="50" spans="1:21" x14ac:dyDescent="0.25">
      <c r="A50" s="141"/>
      <c r="B50"/>
      <c r="C50"/>
      <c r="D50"/>
      <c r="E50"/>
      <c r="F50"/>
      <c r="G50"/>
      <c r="H50"/>
      <c r="I50"/>
      <c r="J50"/>
      <c r="K50"/>
      <c r="L50"/>
      <c r="M50"/>
      <c r="N50"/>
      <c r="O50"/>
      <c r="P50"/>
      <c r="Q50"/>
      <c r="R50"/>
      <c r="S50"/>
      <c r="T50"/>
      <c r="U50"/>
    </row>
    <row r="51" spans="1:21" x14ac:dyDescent="0.25">
      <c r="A51"/>
      <c r="B51"/>
      <c r="C51"/>
      <c r="D51"/>
      <c r="E51"/>
      <c r="F51"/>
      <c r="G51"/>
      <c r="H51"/>
      <c r="I51"/>
      <c r="J51"/>
      <c r="K51"/>
      <c r="L51"/>
      <c r="M51"/>
      <c r="N51"/>
      <c r="O51"/>
      <c r="P51"/>
      <c r="Q51"/>
      <c r="R51"/>
      <c r="S51"/>
      <c r="T51"/>
      <c r="U51"/>
    </row>
    <row r="52" spans="1:21" x14ac:dyDescent="0.25">
      <c r="A52"/>
      <c r="B52"/>
      <c r="C52"/>
      <c r="D52"/>
      <c r="E52"/>
      <c r="F52"/>
      <c r="G52"/>
      <c r="H52"/>
      <c r="I52"/>
      <c r="J52"/>
      <c r="K52"/>
      <c r="L52"/>
      <c r="M52"/>
      <c r="N52"/>
      <c r="O52"/>
      <c r="P52"/>
      <c r="Q52"/>
      <c r="R52"/>
      <c r="S52"/>
      <c r="T52"/>
      <c r="U52"/>
    </row>
    <row r="53" spans="1:21" x14ac:dyDescent="0.25">
      <c r="A53"/>
      <c r="B53"/>
      <c r="C53"/>
      <c r="D53"/>
      <c r="E53"/>
      <c r="F53"/>
      <c r="G53"/>
      <c r="H53"/>
      <c r="I53"/>
      <c r="J53"/>
      <c r="K53"/>
      <c r="L53"/>
      <c r="M53"/>
      <c r="N53"/>
      <c r="O53"/>
      <c r="P53"/>
      <c r="Q53"/>
      <c r="R53"/>
      <c r="S53"/>
      <c r="T53"/>
      <c r="U53"/>
    </row>
    <row r="54" spans="1:21" x14ac:dyDescent="0.25">
      <c r="N54"/>
      <c r="O54"/>
      <c r="P54"/>
      <c r="Q54"/>
      <c r="R54"/>
      <c r="S54"/>
      <c r="T54"/>
      <c r="U54"/>
    </row>
    <row r="55" spans="1:21" x14ac:dyDescent="0.25">
      <c r="N55"/>
      <c r="O55"/>
      <c r="P55"/>
      <c r="Q55"/>
      <c r="R55"/>
      <c r="S55"/>
      <c r="T55"/>
      <c r="U55"/>
    </row>
    <row r="56" spans="1:21" x14ac:dyDescent="0.25">
      <c r="N56"/>
      <c r="O56"/>
      <c r="P56"/>
      <c r="Q56"/>
      <c r="R56"/>
      <c r="S56"/>
      <c r="T56"/>
      <c r="U56"/>
    </row>
    <row r="57" spans="1:21" x14ac:dyDescent="0.25">
      <c r="N57"/>
      <c r="O57"/>
      <c r="P57"/>
      <c r="Q57"/>
      <c r="R57"/>
      <c r="S57"/>
      <c r="T57"/>
      <c r="U57"/>
    </row>
    <row r="58" spans="1:21" x14ac:dyDescent="0.25">
      <c r="N58"/>
      <c r="O58"/>
      <c r="P58"/>
      <c r="Q58"/>
      <c r="R58"/>
      <c r="S58"/>
      <c r="T58"/>
      <c r="U58"/>
    </row>
    <row r="59" spans="1:21" x14ac:dyDescent="0.25">
      <c r="N59"/>
      <c r="O59"/>
      <c r="P59"/>
      <c r="Q59"/>
      <c r="R59"/>
      <c r="S59"/>
      <c r="T59"/>
      <c r="U59"/>
    </row>
    <row r="63" spans="1:21" ht="15.75" x14ac:dyDescent="0.25">
      <c r="A63" s="390" t="s">
        <v>262</v>
      </c>
      <c r="B63" s="390"/>
      <c r="C63" s="390"/>
      <c r="D63" s="390"/>
      <c r="E63" s="390"/>
      <c r="F63" s="390"/>
      <c r="G63" s="390"/>
      <c r="H63" s="390"/>
      <c r="I63" s="390"/>
      <c r="J63" s="390"/>
      <c r="K63" s="390"/>
      <c r="L63" s="390"/>
    </row>
    <row r="64" spans="1:21" x14ac:dyDescent="0.25">
      <c r="A64" s="179"/>
      <c r="B64" s="370" t="s">
        <v>274</v>
      </c>
      <c r="C64" s="370"/>
      <c r="D64" s="370"/>
      <c r="E64" s="370" t="s">
        <v>270</v>
      </c>
      <c r="F64" s="370"/>
      <c r="G64" s="370"/>
      <c r="H64" s="370" t="s">
        <v>277</v>
      </c>
      <c r="I64" s="370"/>
      <c r="J64" s="370"/>
      <c r="K64" s="370" t="s">
        <v>278</v>
      </c>
      <c r="L64" s="370"/>
      <c r="M64"/>
    </row>
    <row r="65" spans="1:14" x14ac:dyDescent="0.25">
      <c r="A65" s="53" t="s">
        <v>228</v>
      </c>
      <c r="B65" s="54" t="s">
        <v>229</v>
      </c>
      <c r="C65" s="54" t="s">
        <v>230</v>
      </c>
      <c r="D65" s="54" t="s">
        <v>50</v>
      </c>
      <c r="E65" s="54" t="s">
        <v>229</v>
      </c>
      <c r="F65" s="54" t="s">
        <v>230</v>
      </c>
      <c r="G65" s="54" t="s">
        <v>231</v>
      </c>
      <c r="H65" s="54" t="s">
        <v>229</v>
      </c>
      <c r="I65" s="54" t="s">
        <v>230</v>
      </c>
      <c r="J65" s="54" t="s">
        <v>231</v>
      </c>
      <c r="K65" s="54" t="s">
        <v>229</v>
      </c>
      <c r="L65" s="54" t="s">
        <v>263</v>
      </c>
    </row>
    <row r="66" spans="1:14" x14ac:dyDescent="0.25">
      <c r="A66" s="53" t="s">
        <v>264</v>
      </c>
      <c r="B66" s="133">
        <v>6</v>
      </c>
      <c r="C66" s="133">
        <v>8</v>
      </c>
      <c r="D66" s="226">
        <f>IFERROR(C66/B66,"-")</f>
        <v>1.3333333333333333</v>
      </c>
      <c r="E66" s="133">
        <v>2</v>
      </c>
      <c r="F66" s="133">
        <v>9</v>
      </c>
      <c r="G66" s="226">
        <f t="shared" ref="G66:G70" si="13">IFERROR(F66/E66,"-")</f>
        <v>4.5</v>
      </c>
      <c r="H66" s="133">
        <v>1</v>
      </c>
      <c r="I66" s="133">
        <v>6</v>
      </c>
      <c r="J66" s="226">
        <f t="shared" ref="J66:J70" si="14">IFERROR(I66/H66,"-")</f>
        <v>6</v>
      </c>
      <c r="K66" s="133">
        <f>B66+E66+H66</f>
        <v>9</v>
      </c>
      <c r="L66" s="133">
        <f>C66+F66+I66</f>
        <v>23</v>
      </c>
    </row>
    <row r="67" spans="1:14" x14ac:dyDescent="0.25">
      <c r="A67" s="53" t="s">
        <v>265</v>
      </c>
      <c r="B67" s="133">
        <v>5</v>
      </c>
      <c r="C67" s="133">
        <v>6</v>
      </c>
      <c r="D67" s="226">
        <f t="shared" ref="D67:D69" si="15">IFERROR(C67/B67,"-")</f>
        <v>1.2</v>
      </c>
      <c r="E67" s="133">
        <v>5</v>
      </c>
      <c r="F67" s="133">
        <v>5</v>
      </c>
      <c r="G67" s="226">
        <f t="shared" si="13"/>
        <v>1</v>
      </c>
      <c r="H67" s="133">
        <v>5</v>
      </c>
      <c r="I67" s="133">
        <v>7</v>
      </c>
      <c r="J67" s="226">
        <f t="shared" si="14"/>
        <v>1.4</v>
      </c>
      <c r="K67" s="133">
        <f t="shared" ref="K67:K69" si="16">B67+E67+H67</f>
        <v>15</v>
      </c>
      <c r="L67" s="133">
        <f t="shared" ref="L67:L69" si="17">C67+F67+I67</f>
        <v>18</v>
      </c>
    </row>
    <row r="68" spans="1:14" x14ac:dyDescent="0.25">
      <c r="A68" s="53" t="s">
        <v>266</v>
      </c>
      <c r="B68" s="133">
        <v>2</v>
      </c>
      <c r="C68" s="133">
        <v>2</v>
      </c>
      <c r="D68" s="226">
        <f t="shared" si="15"/>
        <v>1</v>
      </c>
      <c r="E68" s="133">
        <v>0</v>
      </c>
      <c r="F68" s="133">
        <v>4</v>
      </c>
      <c r="G68" s="226" t="str">
        <f t="shared" si="13"/>
        <v>-</v>
      </c>
      <c r="H68" s="133">
        <v>1</v>
      </c>
      <c r="I68" s="133">
        <v>4</v>
      </c>
      <c r="J68" s="226">
        <f t="shared" si="14"/>
        <v>4</v>
      </c>
      <c r="K68" s="133">
        <f t="shared" si="16"/>
        <v>3</v>
      </c>
      <c r="L68" s="133">
        <f t="shared" si="17"/>
        <v>10</v>
      </c>
    </row>
    <row r="69" spans="1:14" x14ac:dyDescent="0.25">
      <c r="A69" s="53" t="s">
        <v>267</v>
      </c>
      <c r="B69" s="133">
        <v>0</v>
      </c>
      <c r="C69" s="133">
        <v>0</v>
      </c>
      <c r="D69" s="226" t="str">
        <f t="shared" si="15"/>
        <v>-</v>
      </c>
      <c r="E69" s="133">
        <v>0</v>
      </c>
      <c r="F69" s="133">
        <v>0</v>
      </c>
      <c r="G69" s="226" t="str">
        <f t="shared" si="13"/>
        <v>-</v>
      </c>
      <c r="H69" s="133">
        <v>0</v>
      </c>
      <c r="I69" s="133">
        <v>0</v>
      </c>
      <c r="J69" s="226" t="str">
        <f t="shared" si="14"/>
        <v>-</v>
      </c>
      <c r="K69" s="133">
        <f t="shared" si="16"/>
        <v>0</v>
      </c>
      <c r="L69" s="133">
        <f t="shared" si="17"/>
        <v>0</v>
      </c>
    </row>
    <row r="70" spans="1:14" x14ac:dyDescent="0.25">
      <c r="A70" s="46" t="s">
        <v>245</v>
      </c>
      <c r="B70" s="8">
        <f>SUM(B60:B62)</f>
        <v>0</v>
      </c>
      <c r="C70" s="8">
        <f>SUM(C60:C62)</f>
        <v>0</v>
      </c>
      <c r="D70" s="8" t="str">
        <f>IFERROR(C70/B70,"-")</f>
        <v>-</v>
      </c>
      <c r="E70" s="8">
        <f>SUM(E60:E62)</f>
        <v>0</v>
      </c>
      <c r="F70" s="8">
        <f>SUM(F60:F62)</f>
        <v>0</v>
      </c>
      <c r="G70" s="8" t="str">
        <f t="shared" si="13"/>
        <v>-</v>
      </c>
      <c r="H70" s="8">
        <f>SUM(H60:H62)</f>
        <v>0</v>
      </c>
      <c r="I70" s="8">
        <f>SUM(I60:I62)</f>
        <v>0</v>
      </c>
      <c r="J70" s="8" t="str">
        <f t="shared" si="14"/>
        <v>-</v>
      </c>
      <c r="K70" s="8">
        <f>SUM(K66:K69)</f>
        <v>27</v>
      </c>
      <c r="L70" s="8">
        <f>SUM(L66:L69)</f>
        <v>51</v>
      </c>
    </row>
    <row r="71" spans="1:14" ht="17.25" customHeight="1" x14ac:dyDescent="0.25">
      <c r="A71" s="288" t="s">
        <v>268</v>
      </c>
      <c r="B71" s="288"/>
      <c r="C71" s="288"/>
      <c r="D71" s="288"/>
      <c r="E71" s="288"/>
      <c r="F71" s="288"/>
      <c r="G71" s="288"/>
      <c r="H71" s="288"/>
      <c r="I71" s="288"/>
      <c r="J71" s="288"/>
      <c r="K71" s="288"/>
      <c r="L71" s="288"/>
    </row>
    <row r="72" spans="1:14" ht="39.75" customHeight="1" x14ac:dyDescent="0.25">
      <c r="A72" s="391" t="s">
        <v>301</v>
      </c>
      <c r="B72" s="391"/>
      <c r="C72" s="391"/>
      <c r="D72" s="391"/>
      <c r="E72" s="391"/>
      <c r="F72" s="391"/>
      <c r="G72" s="391"/>
      <c r="H72" s="391"/>
      <c r="I72" s="391"/>
      <c r="J72" s="391"/>
      <c r="K72" s="391"/>
      <c r="L72" s="391"/>
      <c r="M72" s="391"/>
      <c r="N72" s="288"/>
    </row>
  </sheetData>
  <mergeCells count="20">
    <mergeCell ref="A31:K31"/>
    <mergeCell ref="A6:M6"/>
    <mergeCell ref="A2:M2"/>
    <mergeCell ref="A3:M3"/>
    <mergeCell ref="A4:M4"/>
    <mergeCell ref="B10:D10"/>
    <mergeCell ref="A5:M5"/>
    <mergeCell ref="A9:M9"/>
    <mergeCell ref="E10:G10"/>
    <mergeCell ref="H10:J10"/>
    <mergeCell ref="K10:M10"/>
    <mergeCell ref="A63:L63"/>
    <mergeCell ref="B32:D32"/>
    <mergeCell ref="E32:G32"/>
    <mergeCell ref="H32:J32"/>
    <mergeCell ref="A72:M72"/>
    <mergeCell ref="B64:D64"/>
    <mergeCell ref="E64:G64"/>
    <mergeCell ref="H64:J64"/>
    <mergeCell ref="K64:L64"/>
  </mergeCells>
  <pageMargins left="0.7" right="0.7" top="0.75" bottom="0.75" header="0.3" footer="0.3"/>
  <pageSetup paperSize="9" scale="41" orientation="portrait" r:id="rId1"/>
  <colBreaks count="1" manualBreakCount="1">
    <brk id="22" max="1048575" man="1"/>
  </colBreaks>
  <ignoredErrors>
    <ignoredError sqref="M2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P84"/>
  <sheetViews>
    <sheetView showGridLines="0" zoomScaleNormal="100" zoomScaleSheetLayoutView="100" workbookViewId="0">
      <selection activeCell="D9" sqref="D9"/>
    </sheetView>
  </sheetViews>
  <sheetFormatPr defaultColWidth="11.42578125" defaultRowHeight="15" x14ac:dyDescent="0.25"/>
  <cols>
    <col min="1" max="1" width="12.140625" style="1" customWidth="1"/>
    <col min="2" max="2" width="11.42578125" style="1"/>
    <col min="3" max="3" width="13.140625" style="1" bestFit="1" customWidth="1"/>
    <col min="4" max="4" width="12.140625" style="1" customWidth="1"/>
    <col min="5" max="5" width="13.42578125" style="1" customWidth="1"/>
    <col min="6" max="6" width="14.140625" style="1" customWidth="1"/>
    <col min="7" max="7" width="13.140625" style="1" customWidth="1"/>
    <col min="8" max="16384" width="11.42578125" style="1"/>
  </cols>
  <sheetData>
    <row r="1" spans="1:16" x14ac:dyDescent="0.25">
      <c r="A1" s="344" t="s">
        <v>0</v>
      </c>
      <c r="B1" s="344"/>
      <c r="C1" s="344"/>
      <c r="D1" s="344"/>
      <c r="E1" s="344"/>
      <c r="F1" s="344"/>
      <c r="G1" s="344"/>
    </row>
    <row r="2" spans="1:16" x14ac:dyDescent="0.25">
      <c r="A2" s="344" t="s">
        <v>25</v>
      </c>
      <c r="B2" s="344"/>
      <c r="C2" s="344"/>
      <c r="D2" s="344"/>
      <c r="E2" s="344"/>
      <c r="F2" s="344"/>
      <c r="G2" s="344"/>
    </row>
    <row r="3" spans="1:16" x14ac:dyDescent="0.25">
      <c r="A3" s="344" t="s">
        <v>26</v>
      </c>
      <c r="B3" s="344"/>
      <c r="C3" s="344"/>
      <c r="D3" s="344"/>
      <c r="E3" s="344"/>
      <c r="F3" s="344"/>
      <c r="G3" s="344"/>
    </row>
    <row r="4" spans="1:16" x14ac:dyDescent="0.25">
      <c r="A4" s="344" t="s">
        <v>280</v>
      </c>
      <c r="B4" s="344"/>
      <c r="C4" s="344"/>
      <c r="D4" s="344"/>
      <c r="E4" s="344"/>
      <c r="F4" s="344"/>
      <c r="G4" s="344"/>
    </row>
    <row r="5" spans="1:16" x14ac:dyDescent="0.25">
      <c r="A5" s="344" t="s">
        <v>272</v>
      </c>
      <c r="B5" s="344"/>
      <c r="C5" s="344"/>
      <c r="D5" s="344"/>
      <c r="E5" s="344"/>
      <c r="F5" s="344"/>
      <c r="G5" s="344"/>
      <c r="P5" s="18"/>
    </row>
    <row r="6" spans="1:16" ht="40.5" customHeight="1" x14ac:dyDescent="0.25">
      <c r="A6" s="43" t="s">
        <v>3</v>
      </c>
      <c r="B6" s="45" t="s">
        <v>27</v>
      </c>
      <c r="C6" s="45" t="s">
        <v>28</v>
      </c>
      <c r="D6" s="45" t="s">
        <v>29</v>
      </c>
      <c r="E6" s="45" t="s">
        <v>30</v>
      </c>
      <c r="F6" s="45" t="s">
        <v>31</v>
      </c>
      <c r="G6" s="45" t="s">
        <v>32</v>
      </c>
      <c r="J6"/>
      <c r="K6"/>
      <c r="L6"/>
      <c r="M6"/>
      <c r="N6"/>
      <c r="O6"/>
    </row>
    <row r="7" spans="1:16" x14ac:dyDescent="0.25">
      <c r="A7" s="211" t="s">
        <v>277</v>
      </c>
      <c r="B7" s="139">
        <v>91034</v>
      </c>
      <c r="C7" s="139">
        <v>24241</v>
      </c>
      <c r="D7" s="289">
        <f t="shared" ref="D7:D23" si="0">+C7/B7</f>
        <v>0.26628512423929523</v>
      </c>
      <c r="E7" s="139">
        <v>66793</v>
      </c>
      <c r="F7" s="289">
        <f>+E7/B7</f>
        <v>0.73371487576070482</v>
      </c>
      <c r="G7" s="139">
        <v>56016</v>
      </c>
      <c r="H7"/>
      <c r="I7"/>
      <c r="J7"/>
      <c r="K7" s="74"/>
      <c r="L7" s="74"/>
      <c r="M7"/>
      <c r="N7"/>
      <c r="O7"/>
    </row>
    <row r="8" spans="1:16" x14ac:dyDescent="0.25">
      <c r="A8" s="211" t="s">
        <v>270</v>
      </c>
      <c r="B8" s="139">
        <v>90929</v>
      </c>
      <c r="C8" s="139">
        <v>25438</v>
      </c>
      <c r="D8" s="289">
        <f t="shared" si="0"/>
        <v>0.27975673327541267</v>
      </c>
      <c r="E8" s="139">
        <v>65491</v>
      </c>
      <c r="F8" s="289">
        <f t="shared" ref="F8:F23" si="1">+E8/B8</f>
        <v>0.72024326672458727</v>
      </c>
      <c r="G8" s="139">
        <v>55916</v>
      </c>
      <c r="H8"/>
      <c r="I8"/>
      <c r="J8"/>
      <c r="K8"/>
      <c r="L8" s="74"/>
      <c r="M8"/>
      <c r="N8"/>
      <c r="O8"/>
    </row>
    <row r="9" spans="1:16" x14ac:dyDescent="0.25">
      <c r="A9" s="209" t="s">
        <v>274</v>
      </c>
      <c r="B9" s="139">
        <v>90817</v>
      </c>
      <c r="C9" s="139">
        <v>25267</v>
      </c>
      <c r="D9" s="289">
        <f t="shared" si="0"/>
        <v>0.2782188356805444</v>
      </c>
      <c r="E9" s="139">
        <v>65550</v>
      </c>
      <c r="F9" s="289">
        <f t="shared" si="1"/>
        <v>0.7217811643194556</v>
      </c>
      <c r="G9" s="139">
        <v>55807</v>
      </c>
      <c r="H9"/>
      <c r="I9"/>
      <c r="J9"/>
      <c r="K9"/>
      <c r="L9"/>
      <c r="M9"/>
      <c r="N9"/>
      <c r="O9"/>
    </row>
    <row r="10" spans="1:16" ht="24" customHeight="1" x14ac:dyDescent="0.25">
      <c r="A10" s="214" t="s">
        <v>288</v>
      </c>
      <c r="B10" s="221">
        <f>+AVERAGE(B7:B9)</f>
        <v>90926.666666666672</v>
      </c>
      <c r="C10" s="221">
        <f>+AVERAGE(C7:C9)</f>
        <v>24982</v>
      </c>
      <c r="D10" s="290">
        <f t="shared" si="0"/>
        <v>0.27474888188283597</v>
      </c>
      <c r="E10" s="221">
        <f>+AVERAGE(E7:E9)</f>
        <v>65944.666666666672</v>
      </c>
      <c r="F10" s="290">
        <f t="shared" si="1"/>
        <v>0.72525111811716403</v>
      </c>
      <c r="G10" s="8">
        <f>AVERAGE(G7:G9)</f>
        <v>55913</v>
      </c>
      <c r="H10"/>
      <c r="I10"/>
      <c r="J10"/>
      <c r="K10"/>
      <c r="L10" s="210"/>
      <c r="M10"/>
      <c r="N10"/>
      <c r="O10"/>
    </row>
    <row r="11" spans="1:16" hidden="1" x14ac:dyDescent="0.25">
      <c r="A11" s="209" t="s">
        <v>15</v>
      </c>
      <c r="B11" s="139"/>
      <c r="C11" s="139"/>
      <c r="D11" s="208" t="e">
        <f t="shared" si="0"/>
        <v>#DIV/0!</v>
      </c>
      <c r="E11" s="139"/>
      <c r="F11" s="208" t="e">
        <f t="shared" si="1"/>
        <v>#DIV/0!</v>
      </c>
      <c r="G11" s="208"/>
      <c r="H11"/>
      <c r="I11"/>
      <c r="J11"/>
      <c r="K11" s="74"/>
      <c r="L11" s="74"/>
      <c r="M11"/>
      <c r="N11"/>
      <c r="O11"/>
    </row>
    <row r="12" spans="1:16" hidden="1" x14ac:dyDescent="0.25">
      <c r="A12" s="211" t="s">
        <v>16</v>
      </c>
      <c r="B12" s="139"/>
      <c r="C12" s="139"/>
      <c r="D12" s="208" t="e">
        <f t="shared" si="0"/>
        <v>#DIV/0!</v>
      </c>
      <c r="E12" s="139"/>
      <c r="F12" s="208" t="e">
        <f t="shared" si="1"/>
        <v>#DIV/0!</v>
      </c>
      <c r="G12" s="208"/>
      <c r="H12"/>
      <c r="I12"/>
      <c r="J12"/>
      <c r="K12"/>
      <c r="L12" s="74"/>
      <c r="M12"/>
      <c r="N12"/>
      <c r="O12"/>
    </row>
    <row r="13" spans="1:16" hidden="1" x14ac:dyDescent="0.25">
      <c r="A13" s="211" t="s">
        <v>17</v>
      </c>
      <c r="B13" s="139"/>
      <c r="C13" s="139"/>
      <c r="D13" s="208" t="e">
        <f t="shared" si="0"/>
        <v>#DIV/0!</v>
      </c>
      <c r="E13" s="139"/>
      <c r="F13" s="208" t="e">
        <f t="shared" si="1"/>
        <v>#DIV/0!</v>
      </c>
      <c r="G13" s="208"/>
      <c r="H13"/>
      <c r="I13"/>
      <c r="J13"/>
      <c r="K13"/>
      <c r="L13"/>
      <c r="M13"/>
      <c r="N13"/>
      <c r="O13"/>
    </row>
    <row r="14" spans="1:16" ht="80.25" hidden="1" customHeight="1" x14ac:dyDescent="0.25">
      <c r="A14" s="140" t="s">
        <v>33</v>
      </c>
      <c r="B14" s="8" t="e">
        <f>+AVERAGE(B11:B13)</f>
        <v>#DIV/0!</v>
      </c>
      <c r="C14" s="8" t="e">
        <f>+AVERAGE(C11:C13)</f>
        <v>#DIV/0!</v>
      </c>
      <c r="D14" s="16" t="e">
        <f t="shared" si="0"/>
        <v>#DIV/0!</v>
      </c>
      <c r="E14" s="8" t="e">
        <f>+AVERAGE(E11:E13)</f>
        <v>#DIV/0!</v>
      </c>
      <c r="F14" s="16" t="e">
        <f t="shared" si="1"/>
        <v>#DIV/0!</v>
      </c>
      <c r="G14" s="16"/>
      <c r="H14"/>
      <c r="I14"/>
      <c r="J14"/>
      <c r="K14"/>
      <c r="L14" s="210"/>
      <c r="M14"/>
      <c r="N14"/>
      <c r="O14"/>
    </row>
    <row r="15" spans="1:16" hidden="1" x14ac:dyDescent="0.25">
      <c r="A15" s="209" t="s">
        <v>34</v>
      </c>
      <c r="B15" s="139"/>
      <c r="C15" s="139"/>
      <c r="D15" s="208" t="e">
        <f t="shared" si="0"/>
        <v>#DIV/0!</v>
      </c>
      <c r="E15" s="139"/>
      <c r="F15" s="208" t="e">
        <f t="shared" si="1"/>
        <v>#DIV/0!</v>
      </c>
      <c r="G15" s="208"/>
      <c r="H15"/>
      <c r="I15"/>
      <c r="J15"/>
      <c r="K15" s="74"/>
      <c r="L15" s="74"/>
      <c r="M15"/>
      <c r="N15"/>
      <c r="O15"/>
    </row>
    <row r="16" spans="1:16" hidden="1" x14ac:dyDescent="0.25">
      <c r="A16" s="211" t="s">
        <v>20</v>
      </c>
      <c r="B16" s="139"/>
      <c r="C16" s="139"/>
      <c r="D16" s="208" t="e">
        <f t="shared" si="0"/>
        <v>#DIV/0!</v>
      </c>
      <c r="E16" s="139"/>
      <c r="F16" s="208" t="e">
        <f t="shared" si="1"/>
        <v>#DIV/0!</v>
      </c>
      <c r="G16" s="208"/>
      <c r="H16"/>
      <c r="I16"/>
      <c r="J16"/>
      <c r="K16"/>
      <c r="L16" s="74"/>
      <c r="M16"/>
      <c r="N16"/>
      <c r="O16"/>
    </row>
    <row r="17" spans="1:15" hidden="1" x14ac:dyDescent="0.25">
      <c r="A17" s="211" t="s">
        <v>21</v>
      </c>
      <c r="B17" s="139"/>
      <c r="C17" s="139"/>
      <c r="D17" s="208" t="e">
        <f t="shared" si="0"/>
        <v>#DIV/0!</v>
      </c>
      <c r="E17" s="139"/>
      <c r="F17" s="208" t="e">
        <f t="shared" si="1"/>
        <v>#DIV/0!</v>
      </c>
      <c r="G17" s="208"/>
      <c r="H17"/>
      <c r="I17"/>
      <c r="J17"/>
      <c r="K17"/>
      <c r="L17"/>
      <c r="M17"/>
      <c r="N17"/>
      <c r="O17"/>
    </row>
    <row r="18" spans="1:15" ht="147" hidden="1" customHeight="1" x14ac:dyDescent="0.25">
      <c r="A18" s="140" t="s">
        <v>35</v>
      </c>
      <c r="B18" s="8" t="e">
        <f>+AVERAGE(B15:B17)</f>
        <v>#DIV/0!</v>
      </c>
      <c r="C18" s="8" t="e">
        <f>+AVERAGE(C15:C17)</f>
        <v>#DIV/0!</v>
      </c>
      <c r="D18" s="16" t="e">
        <f t="shared" si="0"/>
        <v>#DIV/0!</v>
      </c>
      <c r="E18" s="8" t="e">
        <f>+AVERAGE(E15:E17)</f>
        <v>#DIV/0!</v>
      </c>
      <c r="F18" s="16" t="e">
        <f t="shared" si="1"/>
        <v>#DIV/0!</v>
      </c>
      <c r="G18" s="16"/>
      <c r="H18"/>
      <c r="I18"/>
      <c r="J18"/>
      <c r="K18"/>
      <c r="L18" s="210"/>
      <c r="M18"/>
      <c r="N18"/>
      <c r="O18"/>
    </row>
    <row r="19" spans="1:15" hidden="1" x14ac:dyDescent="0.25">
      <c r="A19" s="209" t="s">
        <v>13</v>
      </c>
      <c r="B19" s="139"/>
      <c r="C19" s="139"/>
      <c r="D19" s="208" t="e">
        <f t="shared" si="0"/>
        <v>#DIV/0!</v>
      </c>
      <c r="E19" s="139"/>
      <c r="F19" s="208" t="e">
        <f t="shared" si="1"/>
        <v>#DIV/0!</v>
      </c>
      <c r="G19" s="208"/>
      <c r="H19"/>
      <c r="I19"/>
      <c r="J19"/>
      <c r="K19" s="74"/>
      <c r="L19" s="74"/>
      <c r="M19"/>
      <c r="N19"/>
      <c r="O19"/>
    </row>
    <row r="20" spans="1:15" hidden="1" x14ac:dyDescent="0.25">
      <c r="A20" s="211" t="s">
        <v>12</v>
      </c>
      <c r="B20" s="139"/>
      <c r="C20" s="139"/>
      <c r="D20" s="208" t="e">
        <f t="shared" si="0"/>
        <v>#DIV/0!</v>
      </c>
      <c r="E20" s="139"/>
      <c r="F20" s="208" t="e">
        <f t="shared" si="1"/>
        <v>#DIV/0!</v>
      </c>
      <c r="G20" s="208"/>
      <c r="H20"/>
      <c r="I20"/>
      <c r="J20"/>
      <c r="K20"/>
      <c r="L20" s="74"/>
      <c r="M20"/>
      <c r="N20"/>
      <c r="O20"/>
    </row>
    <row r="21" spans="1:15" hidden="1" x14ac:dyDescent="0.25">
      <c r="A21" s="211" t="s">
        <v>11</v>
      </c>
      <c r="B21" s="139"/>
      <c r="C21" s="139"/>
      <c r="D21" s="208" t="e">
        <f t="shared" si="0"/>
        <v>#DIV/0!</v>
      </c>
      <c r="E21" s="139"/>
      <c r="F21" s="208" t="e">
        <f t="shared" si="1"/>
        <v>#DIV/0!</v>
      </c>
      <c r="G21" s="208"/>
      <c r="H21"/>
      <c r="I21"/>
      <c r="J21"/>
      <c r="K21"/>
      <c r="L21"/>
      <c r="M21"/>
      <c r="N21"/>
      <c r="O21"/>
    </row>
    <row r="22" spans="1:15" ht="81.75" hidden="1" customHeight="1" x14ac:dyDescent="0.25">
      <c r="A22" s="140" t="s">
        <v>36</v>
      </c>
      <c r="B22" s="8" t="e">
        <f>+AVERAGE(B19:B21)</f>
        <v>#DIV/0!</v>
      </c>
      <c r="C22" s="8" t="e">
        <f>+AVERAGE(C19:C21)</f>
        <v>#DIV/0!</v>
      </c>
      <c r="D22" s="16" t="e">
        <f t="shared" si="0"/>
        <v>#DIV/0!</v>
      </c>
      <c r="E22" s="8" t="e">
        <f>+AVERAGE(E19:E21)</f>
        <v>#DIV/0!</v>
      </c>
      <c r="F22" s="16" t="e">
        <f t="shared" si="1"/>
        <v>#DIV/0!</v>
      </c>
      <c r="G22" s="16"/>
      <c r="H22"/>
      <c r="I22"/>
      <c r="J22"/>
      <c r="K22"/>
      <c r="L22" s="210"/>
      <c r="M22"/>
      <c r="N22"/>
      <c r="O22"/>
    </row>
    <row r="23" spans="1:15" hidden="1" x14ac:dyDescent="0.25">
      <c r="A23" s="28" t="s">
        <v>23</v>
      </c>
      <c r="B23" s="10" t="e">
        <f>+AVERAGE(B10,B14,B18,B22)</f>
        <v>#DIV/0!</v>
      </c>
      <c r="C23" s="10" t="e">
        <f>+AVERAGE(C10,C14,C18,C22)</f>
        <v>#DIV/0!</v>
      </c>
      <c r="D23" s="17" t="e">
        <f t="shared" si="0"/>
        <v>#DIV/0!</v>
      </c>
      <c r="E23" s="10" t="e">
        <f>+AVERAGE(E10,E14,E18,E22,)</f>
        <v>#DIV/0!</v>
      </c>
      <c r="F23" s="17" t="e">
        <f t="shared" si="1"/>
        <v>#DIV/0!</v>
      </c>
      <c r="G23" s="17"/>
      <c r="H23"/>
      <c r="I23"/>
      <c r="J23"/>
      <c r="K23"/>
      <c r="L23" s="210"/>
      <c r="M23"/>
      <c r="N23"/>
      <c r="O23"/>
    </row>
    <row r="24" spans="1:15" ht="16.5" customHeight="1" x14ac:dyDescent="0.25">
      <c r="A24" s="217" t="s">
        <v>292</v>
      </c>
      <c r="B24" s="203"/>
      <c r="C24"/>
      <c r="D24" s="210"/>
      <c r="E24"/>
      <c r="F24" s="210"/>
      <c r="G24" s="210"/>
      <c r="H24"/>
      <c r="I24"/>
      <c r="J24"/>
      <c r="K24"/>
      <c r="L24" s="210"/>
      <c r="M24"/>
      <c r="N24"/>
      <c r="O24"/>
    </row>
    <row r="25" spans="1:15" x14ac:dyDescent="0.25">
      <c r="A25" s="217" t="s">
        <v>296</v>
      </c>
      <c r="B25" s="139"/>
      <c r="C25" s="139"/>
      <c r="D25" s="208"/>
      <c r="E25" s="139"/>
      <c r="F25" s="208"/>
      <c r="G25" s="208"/>
      <c r="H25"/>
      <c r="I25"/>
      <c r="J25"/>
      <c r="K25"/>
      <c r="L25" s="210"/>
      <c r="M25"/>
      <c r="N25"/>
      <c r="O25"/>
    </row>
    <row r="26" spans="1:15" x14ac:dyDescent="0.25">
      <c r="A26" s="217" t="s">
        <v>297</v>
      </c>
      <c r="B26" s="139"/>
      <c r="C26" s="139"/>
      <c r="D26" s="208"/>
      <c r="E26" s="139"/>
      <c r="F26" s="208"/>
      <c r="G26" s="208"/>
      <c r="H26"/>
      <c r="I26"/>
      <c r="J26"/>
      <c r="K26"/>
      <c r="L26" s="210"/>
      <c r="M26"/>
      <c r="N26"/>
      <c r="O26"/>
    </row>
    <row r="27" spans="1:15" x14ac:dyDescent="0.25">
      <c r="A27" s="217"/>
      <c r="B27" s="139"/>
      <c r="C27" s="139"/>
      <c r="D27" s="208"/>
      <c r="E27" s="139"/>
      <c r="F27" s="208"/>
      <c r="G27" s="208"/>
      <c r="H27"/>
      <c r="I27"/>
      <c r="J27"/>
      <c r="K27"/>
      <c r="L27" s="210"/>
      <c r="M27"/>
      <c r="N27"/>
      <c r="O27"/>
    </row>
    <row r="28" spans="1:15" x14ac:dyDescent="0.25">
      <c r="A28" s="209"/>
      <c r="B28" s="139"/>
      <c r="C28" s="139"/>
      <c r="D28" s="208"/>
      <c r="E28" s="139"/>
      <c r="F28" s="208"/>
      <c r="G28" s="208"/>
      <c r="H28"/>
      <c r="I28"/>
      <c r="J28"/>
      <c r="K28"/>
      <c r="L28"/>
      <c r="M28"/>
      <c r="N28"/>
      <c r="O28"/>
    </row>
    <row r="29" spans="1:15" x14ac:dyDescent="0.25">
      <c r="A29"/>
      <c r="B29"/>
      <c r="C29"/>
      <c r="D29"/>
      <c r="E29"/>
      <c r="F29"/>
      <c r="G29"/>
      <c r="H29"/>
      <c r="I29"/>
      <c r="J29"/>
      <c r="K29"/>
      <c r="L29"/>
      <c r="M29"/>
      <c r="N29"/>
      <c r="O29"/>
    </row>
    <row r="30" spans="1:15" x14ac:dyDescent="0.25">
      <c r="A30"/>
      <c r="B30"/>
      <c r="C30"/>
      <c r="D30"/>
      <c r="E30"/>
      <c r="F30"/>
      <c r="G30"/>
      <c r="H30"/>
      <c r="I30"/>
      <c r="J30"/>
      <c r="K30"/>
      <c r="L30"/>
      <c r="M30"/>
      <c r="N30"/>
      <c r="O30"/>
    </row>
    <row r="31" spans="1:15" x14ac:dyDescent="0.25">
      <c r="A31"/>
      <c r="B31"/>
      <c r="C31"/>
      <c r="D31"/>
      <c r="E31"/>
      <c r="F31"/>
      <c r="G31"/>
      <c r="H31"/>
      <c r="I31"/>
      <c r="J31"/>
      <c r="K31"/>
      <c r="L31"/>
      <c r="M31"/>
      <c r="N31"/>
      <c r="O31"/>
    </row>
    <row r="32" spans="1:15" x14ac:dyDescent="0.25">
      <c r="A32"/>
      <c r="B32"/>
      <c r="C32"/>
      <c r="D32"/>
      <c r="E32"/>
      <c r="F32"/>
      <c r="G32"/>
      <c r="H32"/>
      <c r="I32"/>
      <c r="J32"/>
      <c r="K32"/>
      <c r="L32"/>
      <c r="M32"/>
      <c r="N32"/>
      <c r="O32"/>
    </row>
    <row r="33" spans="1:15" x14ac:dyDescent="0.25">
      <c r="A33"/>
      <c r="B33"/>
      <c r="C33"/>
      <c r="D33"/>
      <c r="E33"/>
      <c r="F33"/>
      <c r="G33"/>
      <c r="H33"/>
      <c r="I33"/>
      <c r="J33"/>
      <c r="K33"/>
      <c r="L33"/>
      <c r="M33"/>
      <c r="N33"/>
      <c r="O33"/>
    </row>
    <row r="34" spans="1:15" x14ac:dyDescent="0.25">
      <c r="A34"/>
      <c r="B34"/>
      <c r="C34"/>
      <c r="D34"/>
      <c r="E34"/>
      <c r="F34"/>
      <c r="G34"/>
      <c r="H34"/>
      <c r="I34"/>
      <c r="J34"/>
      <c r="K34"/>
      <c r="L34"/>
      <c r="M34"/>
      <c r="N34"/>
      <c r="O34"/>
    </row>
    <row r="35" spans="1:15" x14ac:dyDescent="0.25">
      <c r="A35"/>
      <c r="B35"/>
      <c r="C35"/>
      <c r="D35"/>
      <c r="E35"/>
      <c r="F35"/>
      <c r="G35"/>
      <c r="H35"/>
      <c r="I35"/>
      <c r="J35"/>
      <c r="K35"/>
      <c r="L35"/>
      <c r="M35"/>
      <c r="N35"/>
      <c r="O35"/>
    </row>
    <row r="36" spans="1:15" x14ac:dyDescent="0.25">
      <c r="A36"/>
      <c r="B36"/>
      <c r="C36"/>
      <c r="D36"/>
      <c r="E36"/>
      <c r="F36"/>
      <c r="G36"/>
      <c r="H36"/>
      <c r="I36"/>
      <c r="J36"/>
      <c r="K36"/>
      <c r="L36"/>
      <c r="M36"/>
      <c r="N36"/>
      <c r="O36"/>
    </row>
    <row r="37" spans="1:15" x14ac:dyDescent="0.25">
      <c r="A37"/>
      <c r="B37"/>
      <c r="C37"/>
      <c r="D37"/>
      <c r="E37"/>
      <c r="F37"/>
      <c r="G37"/>
      <c r="H37"/>
      <c r="I37"/>
      <c r="J37"/>
      <c r="K37"/>
      <c r="L37"/>
      <c r="M37"/>
      <c r="N37"/>
      <c r="O37"/>
    </row>
    <row r="38" spans="1:15" x14ac:dyDescent="0.25">
      <c r="A38"/>
      <c r="B38"/>
      <c r="C38"/>
      <c r="D38"/>
      <c r="E38"/>
      <c r="F38"/>
      <c r="G38"/>
      <c r="H38"/>
      <c r="I38"/>
      <c r="J38"/>
      <c r="K38"/>
      <c r="L38"/>
      <c r="M38"/>
      <c r="N38"/>
      <c r="O38"/>
    </row>
    <row r="39" spans="1:15" x14ac:dyDescent="0.25">
      <c r="A39"/>
      <c r="B39"/>
      <c r="C39"/>
      <c r="D39"/>
      <c r="E39"/>
      <c r="F39"/>
      <c r="G39"/>
      <c r="H39"/>
      <c r="I39"/>
      <c r="J39"/>
      <c r="K39"/>
      <c r="L39"/>
      <c r="M39"/>
      <c r="N39"/>
      <c r="O39"/>
    </row>
    <row r="40" spans="1:15" x14ac:dyDescent="0.25">
      <c r="A40"/>
      <c r="B40"/>
      <c r="C40"/>
      <c r="D40"/>
      <c r="E40"/>
      <c r="F40"/>
      <c r="G40"/>
      <c r="H40"/>
      <c r="I40"/>
      <c r="J40"/>
      <c r="K40"/>
      <c r="L40"/>
      <c r="M40"/>
      <c r="N40"/>
      <c r="O40"/>
    </row>
    <row r="41" spans="1:15" x14ac:dyDescent="0.25">
      <c r="A41"/>
      <c r="B41"/>
      <c r="C41"/>
      <c r="D41"/>
      <c r="E41"/>
      <c r="F41"/>
      <c r="G41"/>
      <c r="H41"/>
      <c r="I41"/>
      <c r="J41"/>
      <c r="K41"/>
      <c r="L41"/>
      <c r="M41"/>
      <c r="N41"/>
      <c r="O41"/>
    </row>
    <row r="42" spans="1:15" x14ac:dyDescent="0.25">
      <c r="A42"/>
      <c r="B42"/>
      <c r="C42"/>
      <c r="D42"/>
      <c r="E42"/>
      <c r="F42"/>
      <c r="G42"/>
      <c r="H42"/>
      <c r="I42"/>
      <c r="J42"/>
      <c r="K42"/>
      <c r="L42"/>
      <c r="M42"/>
      <c r="N42"/>
      <c r="O42"/>
    </row>
    <row r="43" spans="1:15" x14ac:dyDescent="0.25">
      <c r="A43"/>
      <c r="B43"/>
      <c r="C43"/>
      <c r="D43"/>
      <c r="E43"/>
      <c r="F43"/>
      <c r="G43"/>
      <c r="H43"/>
      <c r="I43"/>
      <c r="J43"/>
      <c r="K43"/>
      <c r="L43"/>
      <c r="M43"/>
      <c r="N43"/>
      <c r="O43"/>
    </row>
    <row r="44" spans="1:15" x14ac:dyDescent="0.25">
      <c r="A44"/>
      <c r="B44"/>
      <c r="C44"/>
      <c r="D44"/>
      <c r="E44"/>
      <c r="F44"/>
      <c r="G44"/>
      <c r="H44"/>
      <c r="I44"/>
      <c r="J44"/>
      <c r="K44"/>
      <c r="L44"/>
      <c r="M44"/>
      <c r="N44" t="s">
        <v>37</v>
      </c>
      <c r="O44"/>
    </row>
    <row r="45" spans="1:15" x14ac:dyDescent="0.25">
      <c r="A45"/>
      <c r="B45"/>
      <c r="C45"/>
      <c r="D45"/>
      <c r="E45"/>
      <c r="F45"/>
      <c r="G45"/>
      <c r="H45"/>
      <c r="I45"/>
      <c r="J45"/>
      <c r="K45"/>
      <c r="L45"/>
      <c r="M45"/>
      <c r="N45"/>
      <c r="O45"/>
    </row>
    <row r="46" spans="1:15" x14ac:dyDescent="0.25">
      <c r="A46"/>
      <c r="B46"/>
      <c r="C46"/>
      <c r="D46"/>
      <c r="E46"/>
      <c r="F46"/>
      <c r="G46"/>
      <c r="H46"/>
      <c r="I46"/>
      <c r="J46"/>
      <c r="K46"/>
      <c r="L46"/>
      <c r="M46"/>
      <c r="N46"/>
      <c r="O46"/>
    </row>
    <row r="47" spans="1:15" x14ac:dyDescent="0.25">
      <c r="A47"/>
      <c r="B47"/>
      <c r="C47"/>
      <c r="D47"/>
      <c r="E47"/>
      <c r="F47"/>
      <c r="G47"/>
      <c r="H47"/>
      <c r="I47"/>
      <c r="J47"/>
      <c r="K47"/>
      <c r="L47"/>
      <c r="M47"/>
      <c r="N47"/>
      <c r="O47"/>
    </row>
    <row r="59" spans="2:3" x14ac:dyDescent="0.25">
      <c r="B59"/>
      <c r="C59" s="213"/>
    </row>
    <row r="60" spans="2:3" x14ac:dyDescent="0.25">
      <c r="B60"/>
      <c r="C60" s="18"/>
    </row>
    <row r="75" spans="5:9" x14ac:dyDescent="0.25">
      <c r="E75"/>
      <c r="F75"/>
      <c r="G75"/>
      <c r="H75"/>
      <c r="I75"/>
    </row>
    <row r="76" spans="5:9" x14ac:dyDescent="0.25">
      <c r="E76"/>
      <c r="F76"/>
      <c r="G76"/>
      <c r="H76"/>
      <c r="I76"/>
    </row>
    <row r="77" spans="5:9" x14ac:dyDescent="0.25">
      <c r="E77"/>
      <c r="F77"/>
      <c r="G77"/>
      <c r="H77"/>
      <c r="I77"/>
    </row>
    <row r="78" spans="5:9" x14ac:dyDescent="0.25">
      <c r="E78"/>
      <c r="F78"/>
      <c r="G78"/>
      <c r="H78"/>
      <c r="I78"/>
    </row>
    <row r="79" spans="5:9" x14ac:dyDescent="0.25">
      <c r="E79"/>
      <c r="F79"/>
      <c r="G79"/>
      <c r="H79"/>
      <c r="I79"/>
    </row>
    <row r="80" spans="5:9" x14ac:dyDescent="0.25">
      <c r="E80"/>
      <c r="F80"/>
      <c r="G80"/>
      <c r="H80"/>
      <c r="I80"/>
    </row>
    <row r="81" spans="5:9" x14ac:dyDescent="0.25">
      <c r="E81"/>
      <c r="F81"/>
      <c r="G81"/>
      <c r="H81"/>
      <c r="I81"/>
    </row>
    <row r="82" spans="5:9" x14ac:dyDescent="0.25">
      <c r="E82"/>
      <c r="F82"/>
      <c r="G82"/>
      <c r="H82"/>
      <c r="I82"/>
    </row>
    <row r="83" spans="5:9" x14ac:dyDescent="0.25">
      <c r="E83"/>
      <c r="F83"/>
      <c r="G83"/>
      <c r="H83"/>
      <c r="I83"/>
    </row>
    <row r="84" spans="5:9" x14ac:dyDescent="0.25">
      <c r="E84"/>
      <c r="F84"/>
      <c r="G84"/>
      <c r="H84"/>
      <c r="I84"/>
    </row>
  </sheetData>
  <mergeCells count="5">
    <mergeCell ref="A1:G1"/>
    <mergeCell ref="A2:G2"/>
    <mergeCell ref="A3:G3"/>
    <mergeCell ref="A4:G4"/>
    <mergeCell ref="A5:G5"/>
  </mergeCells>
  <pageMargins left="0.7" right="0.7" top="0.75" bottom="0.75" header="0.3" footer="0.3"/>
  <pageSetup paperSize="9" scale="52" orientation="portrait" r:id="rId1"/>
  <ignoredErrors>
    <ignoredError sqref="D1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O47"/>
  <sheetViews>
    <sheetView showGridLines="0" zoomScaleNormal="100" workbookViewId="0">
      <selection activeCell="I9" sqref="I9"/>
    </sheetView>
  </sheetViews>
  <sheetFormatPr defaultColWidth="11.42578125" defaultRowHeight="15" x14ac:dyDescent="0.25"/>
  <cols>
    <col min="1" max="1" width="12.42578125" style="1" customWidth="1"/>
    <col min="2" max="2" width="14.42578125" style="1" customWidth="1"/>
    <col min="3" max="11" width="11.42578125" style="1"/>
    <col min="12" max="12" width="0" style="1" hidden="1" customWidth="1"/>
    <col min="13" max="13" width="12.7109375" style="1" hidden="1" customWidth="1"/>
    <col min="14" max="15" width="0" style="1" hidden="1" customWidth="1"/>
    <col min="16" max="16384" width="11.42578125" style="1"/>
  </cols>
  <sheetData>
    <row r="1" spans="1:15" x14ac:dyDescent="0.25">
      <c r="A1" s="344" t="s">
        <v>0</v>
      </c>
      <c r="B1" s="344"/>
      <c r="C1" s="344"/>
      <c r="D1" s="344"/>
      <c r="E1" s="344"/>
      <c r="F1" s="344"/>
    </row>
    <row r="2" spans="1:15" x14ac:dyDescent="0.25">
      <c r="A2" s="344" t="s">
        <v>25</v>
      </c>
      <c r="B2" s="344"/>
      <c r="C2" s="344"/>
      <c r="D2" s="344"/>
      <c r="E2" s="344"/>
      <c r="F2" s="344"/>
    </row>
    <row r="3" spans="1:15" x14ac:dyDescent="0.25">
      <c r="A3" s="344" t="s">
        <v>38</v>
      </c>
      <c r="B3" s="344"/>
      <c r="C3" s="344"/>
      <c r="D3" s="344"/>
      <c r="E3" s="344"/>
      <c r="F3" s="344"/>
    </row>
    <row r="4" spans="1:15" x14ac:dyDescent="0.25">
      <c r="A4" s="344" t="s">
        <v>290</v>
      </c>
      <c r="B4" s="344"/>
      <c r="C4" s="344"/>
      <c r="D4" s="344"/>
      <c r="E4" s="344"/>
      <c r="F4" s="344"/>
    </row>
    <row r="5" spans="1:15" x14ac:dyDescent="0.25">
      <c r="A5" s="344" t="s">
        <v>272</v>
      </c>
      <c r="B5" s="344"/>
      <c r="C5" s="344"/>
      <c r="D5" s="344"/>
      <c r="E5" s="344"/>
      <c r="F5" s="344"/>
    </row>
    <row r="6" spans="1:15" ht="30.75" customHeight="1" x14ac:dyDescent="0.25">
      <c r="A6" s="345" t="s">
        <v>39</v>
      </c>
      <c r="B6" s="345"/>
      <c r="C6" s="345"/>
      <c r="D6" s="345"/>
      <c r="E6" s="345"/>
      <c r="F6" s="345"/>
      <c r="G6"/>
      <c r="H6"/>
      <c r="I6"/>
      <c r="J6"/>
      <c r="K6"/>
    </row>
    <row r="7" spans="1:15" ht="15" customHeight="1" x14ac:dyDescent="0.25">
      <c r="A7" s="142"/>
      <c r="B7" s="143" t="s">
        <v>40</v>
      </c>
      <c r="C7" s="143" t="s">
        <v>41</v>
      </c>
      <c r="D7" s="143" t="s">
        <v>23</v>
      </c>
      <c r="E7" s="143" t="s">
        <v>42</v>
      </c>
      <c r="F7" s="143" t="s">
        <v>43</v>
      </c>
      <c r="G7"/>
      <c r="H7"/>
      <c r="I7"/>
      <c r="J7"/>
      <c r="K7"/>
      <c r="L7" s="1" t="s">
        <v>44</v>
      </c>
    </row>
    <row r="8" spans="1:15" x14ac:dyDescent="0.25">
      <c r="A8" s="211" t="s">
        <v>277</v>
      </c>
      <c r="B8" s="139">
        <v>19635</v>
      </c>
      <c r="C8" s="139">
        <v>4606</v>
      </c>
      <c r="D8" s="19">
        <f>+B8+C8</f>
        <v>24241</v>
      </c>
      <c r="E8" s="20">
        <f>B8/D8</f>
        <v>0.80999133699104819</v>
      </c>
      <c r="F8" s="20">
        <f>+C8/D8</f>
        <v>0.19000866300895178</v>
      </c>
      <c r="G8"/>
      <c r="H8"/>
      <c r="I8"/>
      <c r="J8"/>
      <c r="K8"/>
      <c r="L8" s="14">
        <v>29288</v>
      </c>
    </row>
    <row r="9" spans="1:15" x14ac:dyDescent="0.25">
      <c r="A9" s="211" t="s">
        <v>270</v>
      </c>
      <c r="B9" s="139">
        <v>20605</v>
      </c>
      <c r="C9" s="139">
        <v>4883</v>
      </c>
      <c r="D9" s="19">
        <f t="shared" ref="D9:D22" si="0">+B9+C9</f>
        <v>25488</v>
      </c>
      <c r="E9" s="20">
        <f>B9/D9</f>
        <v>0.8084196484620213</v>
      </c>
      <c r="F9" s="20">
        <f>+C9/D9</f>
        <v>0.19158035153797864</v>
      </c>
      <c r="G9"/>
      <c r="H9"/>
      <c r="I9"/>
      <c r="J9"/>
      <c r="K9"/>
      <c r="L9" s="14">
        <v>29900</v>
      </c>
      <c r="O9" s="14">
        <f>+D9-D8</f>
        <v>1247</v>
      </c>
    </row>
    <row r="10" spans="1:15" x14ac:dyDescent="0.25">
      <c r="A10" s="211" t="s">
        <v>274</v>
      </c>
      <c r="B10" s="139">
        <v>20466</v>
      </c>
      <c r="C10" s="139">
        <v>4801</v>
      </c>
      <c r="D10" s="19">
        <f>+B10+C10</f>
        <v>25267</v>
      </c>
      <c r="E10" s="20">
        <f>B10/D10</f>
        <v>0.80998931412514352</v>
      </c>
      <c r="F10" s="20">
        <f>+C10/D10</f>
        <v>0.19001068587485653</v>
      </c>
      <c r="G10"/>
      <c r="H10"/>
      <c r="I10"/>
      <c r="J10"/>
      <c r="K10"/>
      <c r="L10" s="14">
        <v>30160</v>
      </c>
      <c r="O10" s="14">
        <f>+D10-D9</f>
        <v>-221</v>
      </c>
    </row>
    <row r="11" spans="1:15" ht="25.5" x14ac:dyDescent="0.25">
      <c r="A11" s="140" t="s">
        <v>289</v>
      </c>
      <c r="B11" s="80">
        <f>AVERAGE(B8:B10)</f>
        <v>20235.333333333332</v>
      </c>
      <c r="C11" s="80">
        <f>AVERAGE(C8:C10)</f>
        <v>4763.333333333333</v>
      </c>
      <c r="D11" s="80">
        <f>AVERAGE(D8:D10)</f>
        <v>24998.666666666668</v>
      </c>
      <c r="E11" s="16">
        <f>+AVERAGE(E8:E10)</f>
        <v>0.80946676652607097</v>
      </c>
      <c r="F11" s="16">
        <f>+AVERAGE(F8:F10)</f>
        <v>0.190533233473929</v>
      </c>
      <c r="G11"/>
      <c r="H11"/>
      <c r="I11"/>
      <c r="J11"/>
      <c r="K11"/>
      <c r="L11" s="14">
        <v>29782.666666666668</v>
      </c>
      <c r="M11" s="75">
        <f>+(D11-L11)/D11*100</f>
        <v>-19.137020641100857</v>
      </c>
      <c r="O11" s="14">
        <f>+D11-L11</f>
        <v>-4784</v>
      </c>
    </row>
    <row r="12" spans="1:15" hidden="1" x14ac:dyDescent="0.25">
      <c r="A12" s="53" t="s">
        <v>15</v>
      </c>
      <c r="B12" s="139"/>
      <c r="C12" s="139"/>
      <c r="D12" s="19">
        <f>+B12+C12</f>
        <v>0</v>
      </c>
      <c r="E12" s="20" t="e">
        <f>+B12/D12</f>
        <v>#DIV/0!</v>
      </c>
      <c r="F12" s="20" t="e">
        <f>+C12/D12</f>
        <v>#DIV/0!</v>
      </c>
      <c r="G12"/>
      <c r="H12"/>
      <c r="I12"/>
      <c r="J12"/>
      <c r="K12"/>
    </row>
    <row r="13" spans="1:15" hidden="1" x14ac:dyDescent="0.25">
      <c r="A13" s="53" t="s">
        <v>16</v>
      </c>
      <c r="B13" s="139"/>
      <c r="C13" s="139"/>
      <c r="D13" s="19">
        <f t="shared" si="0"/>
        <v>0</v>
      </c>
      <c r="E13" s="20" t="e">
        <f>+B13/D13</f>
        <v>#DIV/0!</v>
      </c>
      <c r="F13" s="20" t="e">
        <f>+C13/D13</f>
        <v>#DIV/0!</v>
      </c>
      <c r="G13"/>
      <c r="H13"/>
      <c r="I13"/>
      <c r="J13"/>
      <c r="K13"/>
    </row>
    <row r="14" spans="1:15" hidden="1" x14ac:dyDescent="0.25">
      <c r="A14" s="53" t="s">
        <v>17</v>
      </c>
      <c r="B14" s="139"/>
      <c r="C14" s="139"/>
      <c r="D14" s="19">
        <f t="shared" si="0"/>
        <v>0</v>
      </c>
      <c r="E14" s="20" t="e">
        <f>+B14/D14</f>
        <v>#DIV/0!</v>
      </c>
      <c r="F14" s="20" t="e">
        <f>+C14/D14</f>
        <v>#DIV/0!</v>
      </c>
      <c r="G14"/>
      <c r="H14"/>
      <c r="I14"/>
      <c r="J14"/>
      <c r="K14"/>
    </row>
    <row r="15" spans="1:15" ht="25.5" hidden="1" x14ac:dyDescent="0.25">
      <c r="A15" s="140" t="s">
        <v>33</v>
      </c>
      <c r="B15" s="8" t="e">
        <f>AVERAGE(B12:B14)</f>
        <v>#DIV/0!</v>
      </c>
      <c r="C15" s="8" t="e">
        <f>AVERAGE(C12:C14)</f>
        <v>#DIV/0!</v>
      </c>
      <c r="D15" s="8">
        <f>AVERAGE(D12:D14)</f>
        <v>0</v>
      </c>
      <c r="E15" s="16" t="e">
        <f>+AVERAGE(E12:E14)</f>
        <v>#DIV/0!</v>
      </c>
      <c r="F15" s="16" t="e">
        <f>+AVERAGE(F12:F14)</f>
        <v>#DIV/0!</v>
      </c>
      <c r="G15"/>
      <c r="H15"/>
      <c r="I15"/>
      <c r="J15"/>
      <c r="K15"/>
    </row>
    <row r="16" spans="1:15" hidden="1" x14ac:dyDescent="0.25">
      <c r="A16" s="53" t="s">
        <v>34</v>
      </c>
      <c r="B16" s="139"/>
      <c r="C16" s="139"/>
      <c r="D16" s="19">
        <f t="shared" si="0"/>
        <v>0</v>
      </c>
      <c r="E16" s="20" t="e">
        <f>+B16/D16</f>
        <v>#DIV/0!</v>
      </c>
      <c r="F16" s="20" t="e">
        <f>+C16/D16</f>
        <v>#DIV/0!</v>
      </c>
      <c r="G16"/>
      <c r="H16"/>
      <c r="I16"/>
      <c r="J16"/>
      <c r="K16"/>
    </row>
    <row r="17" spans="1:12" hidden="1" x14ac:dyDescent="0.25">
      <c r="A17" s="53" t="s">
        <v>20</v>
      </c>
      <c r="B17" s="139"/>
      <c r="C17" s="139"/>
      <c r="D17" s="19">
        <f t="shared" si="0"/>
        <v>0</v>
      </c>
      <c r="E17" s="20" t="e">
        <f>+B17/D17</f>
        <v>#DIV/0!</v>
      </c>
      <c r="F17" s="20" t="e">
        <f>+C17/D17</f>
        <v>#DIV/0!</v>
      </c>
      <c r="G17"/>
      <c r="H17"/>
      <c r="I17"/>
      <c r="J17"/>
      <c r="K17"/>
    </row>
    <row r="18" spans="1:12" hidden="1" x14ac:dyDescent="0.25">
      <c r="A18" s="53" t="s">
        <v>21</v>
      </c>
      <c r="B18" s="139"/>
      <c r="C18" s="139"/>
      <c r="D18" s="19">
        <f t="shared" si="0"/>
        <v>0</v>
      </c>
      <c r="E18" s="20" t="e">
        <f>+B18/D18</f>
        <v>#DIV/0!</v>
      </c>
      <c r="F18" s="20" t="e">
        <f>+C18/D18</f>
        <v>#DIV/0!</v>
      </c>
      <c r="G18"/>
      <c r="H18"/>
      <c r="I18"/>
      <c r="J18"/>
      <c r="K18"/>
    </row>
    <row r="19" spans="1:12" ht="25.5" hidden="1" x14ac:dyDescent="0.25">
      <c r="A19" s="140" t="s">
        <v>35</v>
      </c>
      <c r="B19" s="8" t="e">
        <f>AVERAGE(B16:B18)</f>
        <v>#DIV/0!</v>
      </c>
      <c r="C19" s="8" t="e">
        <f>AVERAGE(C16:C18)</f>
        <v>#DIV/0!</v>
      </c>
      <c r="D19" s="8">
        <f>AVERAGE(D16:D18)</f>
        <v>0</v>
      </c>
      <c r="E19" s="16" t="e">
        <f>+AVERAGE(E16:E18)</f>
        <v>#DIV/0!</v>
      </c>
      <c r="F19" s="16" t="e">
        <f>+AVERAGE(F16:F18)</f>
        <v>#DIV/0!</v>
      </c>
      <c r="G19"/>
      <c r="H19"/>
      <c r="I19"/>
      <c r="J19"/>
      <c r="K19"/>
    </row>
    <row r="20" spans="1:12" hidden="1" x14ac:dyDescent="0.25">
      <c r="A20" s="53" t="s">
        <v>13</v>
      </c>
      <c r="B20" s="139"/>
      <c r="C20" s="139"/>
      <c r="D20" s="19">
        <f t="shared" si="0"/>
        <v>0</v>
      </c>
      <c r="E20" s="20" t="e">
        <f>+B20/D20</f>
        <v>#DIV/0!</v>
      </c>
      <c r="F20" s="20" t="e">
        <f>+C20/D20</f>
        <v>#DIV/0!</v>
      </c>
      <c r="G20"/>
      <c r="H20"/>
      <c r="I20"/>
      <c r="J20"/>
      <c r="K20"/>
    </row>
    <row r="21" spans="1:12" hidden="1" x14ac:dyDescent="0.25">
      <c r="A21" s="53" t="s">
        <v>12</v>
      </c>
      <c r="B21" s="139"/>
      <c r="C21" s="139"/>
      <c r="D21" s="19">
        <f t="shared" si="0"/>
        <v>0</v>
      </c>
      <c r="E21" s="20" t="e">
        <f>+B21/D21</f>
        <v>#DIV/0!</v>
      </c>
      <c r="F21" s="20" t="e">
        <f>+C21/D21</f>
        <v>#DIV/0!</v>
      </c>
      <c r="G21"/>
      <c r="H21"/>
      <c r="I21"/>
      <c r="J21"/>
      <c r="K21"/>
    </row>
    <row r="22" spans="1:12" hidden="1" x14ac:dyDescent="0.25">
      <c r="A22" s="53" t="s">
        <v>11</v>
      </c>
      <c r="B22" s="139"/>
      <c r="C22" s="139"/>
      <c r="D22" s="19">
        <f t="shared" si="0"/>
        <v>0</v>
      </c>
      <c r="E22" s="20" t="e">
        <f>+B22/D22</f>
        <v>#DIV/0!</v>
      </c>
      <c r="F22" s="20" t="e">
        <f>+C22/D22</f>
        <v>#DIV/0!</v>
      </c>
      <c r="G22"/>
      <c r="H22"/>
      <c r="I22"/>
      <c r="J22"/>
      <c r="K22"/>
    </row>
    <row r="23" spans="1:12" ht="25.5" hidden="1" x14ac:dyDescent="0.25">
      <c r="A23" s="140" t="s">
        <v>36</v>
      </c>
      <c r="B23" s="8" t="e">
        <f t="shared" ref="B23:D24" si="1">AVERAGE(B20:B22)</f>
        <v>#DIV/0!</v>
      </c>
      <c r="C23" s="8" t="e">
        <f t="shared" si="1"/>
        <v>#DIV/0!</v>
      </c>
      <c r="D23" s="8">
        <f t="shared" si="1"/>
        <v>0</v>
      </c>
      <c r="E23" s="16" t="e">
        <f>+AVERAGE(E20:E22)</f>
        <v>#DIV/0!</v>
      </c>
      <c r="F23" s="16" t="e">
        <f>+AVERAGE(F20:F22)</f>
        <v>#DIV/0!</v>
      </c>
      <c r="G23"/>
      <c r="H23"/>
      <c r="I23"/>
      <c r="J23"/>
      <c r="K23"/>
    </row>
    <row r="24" spans="1:12" hidden="1" x14ac:dyDescent="0.25">
      <c r="A24" s="28" t="s">
        <v>23</v>
      </c>
      <c r="B24" s="10" t="e">
        <f t="shared" si="1"/>
        <v>#DIV/0!</v>
      </c>
      <c r="C24" s="10" t="e">
        <f t="shared" si="1"/>
        <v>#DIV/0!</v>
      </c>
      <c r="D24" s="17">
        <f t="shared" si="1"/>
        <v>0</v>
      </c>
      <c r="E24" s="10" t="e">
        <f>+AVERAGE(E21:E23)</f>
        <v>#DIV/0!</v>
      </c>
      <c r="F24" s="17" t="e">
        <f>+AVERAGE(F21:F23)</f>
        <v>#DIV/0!</v>
      </c>
      <c r="G24"/>
      <c r="H24"/>
      <c r="I24" s="74"/>
      <c r="J24" s="74"/>
      <c r="K24" s="74"/>
    </row>
    <row r="25" spans="1:12" x14ac:dyDescent="0.25">
      <c r="A25" s="217" t="s">
        <v>293</v>
      </c>
      <c r="B25"/>
      <c r="C25"/>
      <c r="D25"/>
      <c r="E25"/>
      <c r="F25"/>
      <c r="G25"/>
      <c r="H25"/>
      <c r="I25"/>
      <c r="J25"/>
      <c r="K25"/>
      <c r="L25" s="18"/>
    </row>
    <row r="26" spans="1:12" x14ac:dyDescent="0.25">
      <c r="A26" s="217" t="s">
        <v>298</v>
      </c>
      <c r="B26"/>
      <c r="C26"/>
      <c r="D26"/>
      <c r="E26"/>
      <c r="F26"/>
      <c r="G26"/>
      <c r="H26"/>
      <c r="I26"/>
      <c r="J26"/>
      <c r="K26"/>
      <c r="L26" s="18"/>
    </row>
    <row r="27" spans="1:12" x14ac:dyDescent="0.25">
      <c r="A27" s="217"/>
      <c r="B27"/>
      <c r="C27"/>
      <c r="D27"/>
      <c r="E27"/>
      <c r="F27"/>
      <c r="G27"/>
      <c r="H27"/>
      <c r="I27"/>
      <c r="J27"/>
      <c r="K27"/>
      <c r="L27" s="18"/>
    </row>
    <row r="28" spans="1:12" x14ac:dyDescent="0.25">
      <c r="A28"/>
      <c r="B28"/>
      <c r="C28"/>
      <c r="D28"/>
      <c r="E28"/>
      <c r="F28"/>
      <c r="G28"/>
      <c r="H28"/>
      <c r="I28"/>
      <c r="J28"/>
      <c r="K28"/>
    </row>
    <row r="29" spans="1:12" x14ac:dyDescent="0.25">
      <c r="A29"/>
      <c r="B29"/>
      <c r="C29"/>
      <c r="D29"/>
      <c r="E29"/>
      <c r="F29"/>
      <c r="G29"/>
      <c r="H29"/>
      <c r="I29"/>
      <c r="J29"/>
      <c r="K29"/>
    </row>
    <row r="30" spans="1:12" x14ac:dyDescent="0.25">
      <c r="A30"/>
      <c r="B30"/>
      <c r="C30"/>
      <c r="D30"/>
      <c r="E30"/>
      <c r="F30"/>
      <c r="G30"/>
      <c r="H30"/>
      <c r="I30"/>
      <c r="J30"/>
      <c r="K30"/>
    </row>
    <row r="31" spans="1:12" x14ac:dyDescent="0.25">
      <c r="A31"/>
      <c r="B31"/>
      <c r="C31"/>
      <c r="D31"/>
      <c r="E31"/>
      <c r="F31"/>
      <c r="G31"/>
      <c r="H31"/>
      <c r="I31"/>
      <c r="J31"/>
      <c r="K31"/>
    </row>
    <row r="32" spans="1:12" x14ac:dyDescent="0.25">
      <c r="A32"/>
      <c r="B32"/>
      <c r="C32"/>
      <c r="D32"/>
      <c r="E32"/>
      <c r="F32"/>
      <c r="G32"/>
      <c r="H32"/>
      <c r="I32"/>
      <c r="J32"/>
      <c r="K32"/>
    </row>
    <row r="33" spans="1:11" x14ac:dyDescent="0.25">
      <c r="A33"/>
      <c r="B33"/>
      <c r="C33"/>
      <c r="D33"/>
      <c r="E33"/>
      <c r="F33"/>
      <c r="G33"/>
      <c r="H33"/>
      <c r="I33"/>
      <c r="J33"/>
      <c r="K33"/>
    </row>
    <row r="34" spans="1:11" x14ac:dyDescent="0.25">
      <c r="A34"/>
      <c r="B34"/>
      <c r="C34"/>
      <c r="D34"/>
      <c r="E34"/>
      <c r="F34"/>
      <c r="G34"/>
      <c r="H34"/>
      <c r="I34"/>
      <c r="J34"/>
      <c r="K34"/>
    </row>
    <row r="35" spans="1:11" x14ac:dyDescent="0.25">
      <c r="A35"/>
      <c r="B35"/>
      <c r="C35"/>
      <c r="D35"/>
      <c r="E35"/>
      <c r="F35"/>
      <c r="G35"/>
      <c r="H35"/>
      <c r="I35"/>
      <c r="J35"/>
      <c r="K35"/>
    </row>
    <row r="36" spans="1:11" x14ac:dyDescent="0.25">
      <c r="A36"/>
      <c r="B36"/>
      <c r="C36"/>
      <c r="D36"/>
      <c r="E36"/>
      <c r="F36"/>
      <c r="G36"/>
      <c r="H36"/>
      <c r="I36"/>
      <c r="J36"/>
      <c r="K36"/>
    </row>
    <row r="37" spans="1:11" x14ac:dyDescent="0.25">
      <c r="A37"/>
      <c r="B37"/>
      <c r="C37"/>
      <c r="D37"/>
      <c r="E37"/>
      <c r="F37"/>
      <c r="G37"/>
      <c r="H37"/>
      <c r="I37"/>
      <c r="J37"/>
      <c r="K37"/>
    </row>
    <row r="38" spans="1:11" x14ac:dyDescent="0.25">
      <c r="A38"/>
      <c r="B38"/>
      <c r="C38"/>
      <c r="D38"/>
      <c r="E38"/>
      <c r="F38"/>
      <c r="G38"/>
      <c r="H38"/>
      <c r="I38"/>
      <c r="J38"/>
      <c r="K38"/>
    </row>
    <row r="39" spans="1:11" x14ac:dyDescent="0.25">
      <c r="A39"/>
      <c r="B39"/>
      <c r="C39"/>
      <c r="D39"/>
      <c r="E39"/>
      <c r="F39"/>
      <c r="G39"/>
      <c r="H39"/>
      <c r="I39"/>
      <c r="J39"/>
      <c r="K39"/>
    </row>
    <row r="40" spans="1:11" x14ac:dyDescent="0.25">
      <c r="A40"/>
      <c r="B40"/>
      <c r="C40"/>
      <c r="D40"/>
      <c r="E40"/>
      <c r="F40"/>
      <c r="G40"/>
      <c r="H40"/>
      <c r="I40"/>
      <c r="J40"/>
      <c r="K40"/>
    </row>
    <row r="46" spans="1:11" x14ac:dyDescent="0.25">
      <c r="A46" s="53"/>
      <c r="B46" s="139"/>
      <c r="C46" s="139"/>
      <c r="D46" s="19"/>
      <c r="E46" s="20"/>
      <c r="F46" s="20"/>
    </row>
    <row r="47" spans="1:11" x14ac:dyDescent="0.25">
      <c r="A47" s="53"/>
      <c r="B47" s="139"/>
      <c r="C47" s="139"/>
      <c r="D47" s="19"/>
      <c r="E47" s="20"/>
      <c r="F47" s="20"/>
    </row>
  </sheetData>
  <mergeCells count="6">
    <mergeCell ref="A6:F6"/>
    <mergeCell ref="A1:F1"/>
    <mergeCell ref="A2:F2"/>
    <mergeCell ref="A3:F3"/>
    <mergeCell ref="A5:F5"/>
    <mergeCell ref="A4:F4"/>
  </mergeCells>
  <pageMargins left="0.7" right="0.7" top="0.75" bottom="0.75" header="0.3" footer="0.3"/>
  <pageSetup paperSize="9" scale="67" orientation="portrait" r:id="rId1"/>
  <ignoredErrors>
    <ignoredError sqref="F11 D1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K41"/>
  <sheetViews>
    <sheetView showGridLines="0" zoomScale="115" zoomScaleNormal="115" workbookViewId="0">
      <selection activeCell="E25" sqref="E25"/>
    </sheetView>
  </sheetViews>
  <sheetFormatPr defaultColWidth="11.42578125" defaultRowHeight="15" x14ac:dyDescent="0.25"/>
  <cols>
    <col min="1" max="1" width="11.7109375" style="1" customWidth="1"/>
    <col min="2" max="2" width="20.5703125" style="1" customWidth="1"/>
    <col min="3" max="3" width="19.7109375" style="1" customWidth="1"/>
    <col min="4" max="4" width="20" style="1" customWidth="1"/>
    <col min="5" max="16384" width="11.42578125" style="1"/>
  </cols>
  <sheetData>
    <row r="1" spans="1:11" x14ac:dyDescent="0.25">
      <c r="A1" s="344" t="s">
        <v>0</v>
      </c>
      <c r="B1" s="344"/>
      <c r="C1" s="344"/>
      <c r="D1" s="344"/>
      <c r="E1" s="21"/>
      <c r="F1" s="21"/>
    </row>
    <row r="2" spans="1:11" x14ac:dyDescent="0.25">
      <c r="A2" s="344" t="s">
        <v>25</v>
      </c>
      <c r="B2" s="344"/>
      <c r="C2" s="344"/>
      <c r="D2" s="344"/>
      <c r="E2" s="22"/>
      <c r="F2" s="22"/>
    </row>
    <row r="3" spans="1:11" x14ac:dyDescent="0.25">
      <c r="A3" s="344" t="s">
        <v>45</v>
      </c>
      <c r="B3" s="344"/>
      <c r="C3" s="344"/>
      <c r="D3" s="344"/>
      <c r="E3" s="22"/>
      <c r="F3" s="22"/>
    </row>
    <row r="4" spans="1:11" x14ac:dyDescent="0.25">
      <c r="A4" s="344" t="s">
        <v>280</v>
      </c>
      <c r="B4" s="344"/>
      <c r="C4" s="344"/>
      <c r="D4" s="344"/>
      <c r="E4" s="21"/>
      <c r="F4" s="21"/>
    </row>
    <row r="5" spans="1:11" x14ac:dyDescent="0.25">
      <c r="A5" s="344" t="s">
        <v>272</v>
      </c>
      <c r="B5" s="344"/>
      <c r="C5" s="344"/>
      <c r="D5" s="344"/>
      <c r="E5" s="22"/>
      <c r="F5" s="22"/>
    </row>
    <row r="6" spans="1:11" x14ac:dyDescent="0.25">
      <c r="A6" s="345" t="s">
        <v>46</v>
      </c>
      <c r="B6" s="345"/>
      <c r="C6" s="345"/>
      <c r="D6" s="345"/>
      <c r="E6"/>
      <c r="F6"/>
      <c r="G6"/>
      <c r="H6"/>
      <c r="I6"/>
      <c r="J6"/>
      <c r="K6"/>
    </row>
    <row r="7" spans="1:11" x14ac:dyDescent="0.25">
      <c r="A7" s="142"/>
      <c r="B7" s="317" t="s">
        <v>47</v>
      </c>
      <c r="C7" s="318" t="s">
        <v>48</v>
      </c>
      <c r="D7" s="318" t="s">
        <v>49</v>
      </c>
      <c r="E7"/>
      <c r="F7"/>
      <c r="G7"/>
      <c r="H7"/>
      <c r="I7"/>
      <c r="J7"/>
      <c r="K7"/>
    </row>
    <row r="8" spans="1:11" x14ac:dyDescent="0.25">
      <c r="A8" s="70" t="s">
        <v>277</v>
      </c>
      <c r="B8" s="314">
        <v>105763359.95</v>
      </c>
      <c r="C8" s="314">
        <v>14422276.359999999</v>
      </c>
      <c r="D8" s="315">
        <f>+B8+C8</f>
        <v>120185636.31</v>
      </c>
      <c r="E8"/>
      <c r="F8" s="145"/>
      <c r="G8" s="145"/>
      <c r="H8"/>
      <c r="I8"/>
      <c r="J8"/>
      <c r="K8"/>
    </row>
    <row r="9" spans="1:11" x14ac:dyDescent="0.25">
      <c r="A9" s="70" t="s">
        <v>270</v>
      </c>
      <c r="B9" s="314">
        <v>93785464.859999999</v>
      </c>
      <c r="C9" s="314">
        <v>12788927.02</v>
      </c>
      <c r="D9" s="315">
        <f>+B9+C9</f>
        <v>106574391.88</v>
      </c>
      <c r="E9"/>
      <c r="F9"/>
      <c r="G9"/>
      <c r="H9"/>
      <c r="I9"/>
      <c r="J9"/>
      <c r="K9"/>
    </row>
    <row r="10" spans="1:11" x14ac:dyDescent="0.25">
      <c r="A10" s="70" t="s">
        <v>274</v>
      </c>
      <c r="B10" s="314">
        <v>112208286.73999999</v>
      </c>
      <c r="C10" s="314">
        <v>15301130.01</v>
      </c>
      <c r="D10" s="315">
        <f>+B10+C10</f>
        <v>127509416.75</v>
      </c>
      <c r="E10"/>
      <c r="F10"/>
      <c r="G10"/>
      <c r="H10"/>
      <c r="I10"/>
      <c r="J10"/>
      <c r="K10"/>
    </row>
    <row r="11" spans="1:11" x14ac:dyDescent="0.25">
      <c r="A11" s="27" t="s">
        <v>286</v>
      </c>
      <c r="B11" s="313">
        <f>SUM(B8:B10)</f>
        <v>311757111.55000001</v>
      </c>
      <c r="C11" s="313">
        <f>SUM(C8:C10)</f>
        <v>42512333.390000001</v>
      </c>
      <c r="D11" s="313">
        <f>SUM(D8:D10)</f>
        <v>354269444.94</v>
      </c>
      <c r="E11"/>
      <c r="F11"/>
      <c r="G11"/>
      <c r="H11"/>
      <c r="I11"/>
      <c r="J11"/>
      <c r="K11"/>
    </row>
    <row r="12" spans="1:11" hidden="1" x14ac:dyDescent="0.25">
      <c r="A12" s="223" t="s">
        <v>15</v>
      </c>
      <c r="B12" s="144"/>
      <c r="C12" s="144"/>
      <c r="D12" s="26">
        <f>+B12+C12</f>
        <v>0</v>
      </c>
      <c r="E12"/>
      <c r="F12" s="145"/>
      <c r="G12" s="145"/>
      <c r="H12"/>
      <c r="I12"/>
      <c r="J12"/>
      <c r="K12"/>
    </row>
    <row r="13" spans="1:11" hidden="1" x14ac:dyDescent="0.25">
      <c r="A13" s="223" t="s">
        <v>16</v>
      </c>
      <c r="B13" s="144"/>
      <c r="C13" s="144"/>
      <c r="D13" s="26">
        <f>+B13+C13</f>
        <v>0</v>
      </c>
      <c r="E13"/>
      <c r="F13"/>
      <c r="G13"/>
      <c r="H13"/>
      <c r="I13"/>
      <c r="J13"/>
      <c r="K13"/>
    </row>
    <row r="14" spans="1:11" hidden="1" x14ac:dyDescent="0.25">
      <c r="A14" s="223" t="s">
        <v>17</v>
      </c>
      <c r="B14" s="144"/>
      <c r="C14" s="144"/>
      <c r="D14" s="26">
        <f>+B14+C14</f>
        <v>0</v>
      </c>
      <c r="E14"/>
      <c r="F14"/>
      <c r="G14"/>
      <c r="H14"/>
      <c r="I14"/>
      <c r="J14"/>
      <c r="K14"/>
    </row>
    <row r="15" spans="1:11" hidden="1" x14ac:dyDescent="0.25">
      <c r="A15" s="27" t="s">
        <v>18</v>
      </c>
      <c r="B15" s="8">
        <f>SUM(B12:B14)</f>
        <v>0</v>
      </c>
      <c r="C15" s="8">
        <f>SUM(C12:C14)</f>
        <v>0</v>
      </c>
      <c r="D15" s="8">
        <f>SUM(D12:D14)</f>
        <v>0</v>
      </c>
      <c r="E15"/>
      <c r="F15"/>
      <c r="G15"/>
      <c r="H15"/>
      <c r="I15"/>
      <c r="J15"/>
      <c r="K15"/>
    </row>
    <row r="16" spans="1:11" hidden="1" x14ac:dyDescent="0.25">
      <c r="A16" s="223" t="s">
        <v>34</v>
      </c>
      <c r="B16" s="144"/>
      <c r="C16" s="144"/>
      <c r="D16" s="26">
        <f>+B16+C16</f>
        <v>0</v>
      </c>
      <c r="E16"/>
      <c r="F16" s="145"/>
      <c r="G16" s="145"/>
      <c r="H16"/>
      <c r="I16"/>
      <c r="J16"/>
      <c r="K16"/>
    </row>
    <row r="17" spans="1:11" hidden="1" x14ac:dyDescent="0.25">
      <c r="A17" s="223" t="s">
        <v>20</v>
      </c>
      <c r="B17" s="144"/>
      <c r="C17" s="144"/>
      <c r="D17" s="26">
        <f>+B17+C17</f>
        <v>0</v>
      </c>
      <c r="E17"/>
      <c r="F17"/>
      <c r="G17"/>
      <c r="H17"/>
      <c r="I17"/>
      <c r="J17"/>
      <c r="K17"/>
    </row>
    <row r="18" spans="1:11" hidden="1" x14ac:dyDescent="0.25">
      <c r="A18" s="223" t="s">
        <v>21</v>
      </c>
      <c r="B18" s="144"/>
      <c r="C18" s="144"/>
      <c r="D18" s="26">
        <f>+B18+C18</f>
        <v>0</v>
      </c>
      <c r="E18"/>
      <c r="F18"/>
      <c r="G18"/>
      <c r="H18"/>
      <c r="I18"/>
      <c r="J18"/>
      <c r="K18"/>
    </row>
    <row r="19" spans="1:11" hidden="1" x14ac:dyDescent="0.25">
      <c r="A19" s="27" t="s">
        <v>22</v>
      </c>
      <c r="B19" s="8">
        <f>SUM(B16:B18)</f>
        <v>0</v>
      </c>
      <c r="C19" s="8">
        <f>SUM(C16:C18)</f>
        <v>0</v>
      </c>
      <c r="D19" s="8">
        <f>SUM(D16:D18)</f>
        <v>0</v>
      </c>
      <c r="E19"/>
      <c r="F19"/>
      <c r="G19"/>
      <c r="H19"/>
      <c r="I19"/>
      <c r="J19"/>
      <c r="K19"/>
    </row>
    <row r="20" spans="1:11" hidden="1" x14ac:dyDescent="0.25">
      <c r="A20" s="223" t="s">
        <v>13</v>
      </c>
      <c r="B20" s="144"/>
      <c r="C20" s="144"/>
      <c r="D20" s="26">
        <f>+B20+C20</f>
        <v>0</v>
      </c>
      <c r="E20"/>
      <c r="F20" s="145"/>
      <c r="G20" s="145"/>
      <c r="H20"/>
      <c r="I20"/>
      <c r="J20"/>
      <c r="K20"/>
    </row>
    <row r="21" spans="1:11" hidden="1" x14ac:dyDescent="0.25">
      <c r="A21" s="223" t="s">
        <v>12</v>
      </c>
      <c r="B21" s="144"/>
      <c r="C21" s="144"/>
      <c r="D21" s="26">
        <f>+B21+C21</f>
        <v>0</v>
      </c>
      <c r="E21"/>
      <c r="F21"/>
      <c r="G21"/>
      <c r="H21"/>
      <c r="I21"/>
      <c r="J21"/>
      <c r="K21"/>
    </row>
    <row r="22" spans="1:11" hidden="1" x14ac:dyDescent="0.25">
      <c r="A22" s="223" t="s">
        <v>11</v>
      </c>
      <c r="B22" s="144"/>
      <c r="C22" s="144"/>
      <c r="D22" s="26">
        <f>+B22+C22</f>
        <v>0</v>
      </c>
      <c r="E22"/>
      <c r="F22"/>
      <c r="G22"/>
      <c r="H22"/>
      <c r="I22"/>
      <c r="J22"/>
      <c r="K22"/>
    </row>
    <row r="23" spans="1:11" hidden="1" x14ac:dyDescent="0.25">
      <c r="A23" s="27" t="s">
        <v>14</v>
      </c>
      <c r="B23" s="8">
        <f>SUM(B20:B22)</f>
        <v>0</v>
      </c>
      <c r="C23" s="8">
        <f>SUM(C20:C22)</f>
        <v>0</v>
      </c>
      <c r="D23" s="8">
        <f>SUM(D20:D22)</f>
        <v>0</v>
      </c>
      <c r="E23"/>
      <c r="F23"/>
      <c r="G23"/>
      <c r="H23"/>
      <c r="I23"/>
      <c r="J23"/>
      <c r="K23"/>
    </row>
    <row r="24" spans="1:11" hidden="1" x14ac:dyDescent="0.25">
      <c r="A24" s="28" t="s">
        <v>23</v>
      </c>
      <c r="B24" s="23">
        <f>+B11+B15+B19+B23</f>
        <v>311757111.55000001</v>
      </c>
      <c r="C24" s="23">
        <f>+C11+C15+C19+C23</f>
        <v>42512333.390000001</v>
      </c>
      <c r="D24" s="23">
        <f>+D11+D15+D19+D23</f>
        <v>354269444.94</v>
      </c>
      <c r="E24"/>
      <c r="F24"/>
      <c r="G24"/>
      <c r="H24"/>
      <c r="I24"/>
      <c r="J24"/>
      <c r="K24"/>
    </row>
    <row r="25" spans="1:11" x14ac:dyDescent="0.25">
      <c r="A25" s="224" t="s">
        <v>50</v>
      </c>
      <c r="B25" s="316">
        <f>B11/D11</f>
        <v>0.88000000000790368</v>
      </c>
      <c r="C25" s="316">
        <f>C11/D11</f>
        <v>0.11999999999209641</v>
      </c>
      <c r="D25" s="225"/>
      <c r="E25"/>
      <c r="F25"/>
      <c r="G25"/>
      <c r="H25"/>
      <c r="I25"/>
      <c r="J25"/>
      <c r="K25"/>
    </row>
    <row r="26" spans="1:11" x14ac:dyDescent="0.25">
      <c r="A26" s="217" t="s">
        <v>293</v>
      </c>
      <c r="B26" s="203"/>
      <c r="C26"/>
      <c r="D26"/>
      <c r="E26"/>
      <c r="F26"/>
      <c r="G26"/>
      <c r="H26"/>
      <c r="I26"/>
      <c r="J26"/>
      <c r="K26"/>
    </row>
    <row r="27" spans="1:11" x14ac:dyDescent="0.25">
      <c r="A27" s="217" t="s">
        <v>294</v>
      </c>
      <c r="B27"/>
      <c r="C27"/>
      <c r="D27"/>
      <c r="E27"/>
      <c r="F27"/>
      <c r="G27"/>
      <c r="H27"/>
      <c r="I27"/>
      <c r="J27"/>
      <c r="K27"/>
    </row>
    <row r="28" spans="1:11" x14ac:dyDescent="0.25">
      <c r="A28"/>
      <c r="B28"/>
      <c r="C28"/>
      <c r="D28"/>
      <c r="E28"/>
      <c r="F28"/>
      <c r="G28"/>
      <c r="H28"/>
      <c r="I28"/>
      <c r="J28"/>
      <c r="K28"/>
    </row>
    <row r="29" spans="1:11" x14ac:dyDescent="0.25">
      <c r="A29"/>
      <c r="B29"/>
      <c r="C29"/>
      <c r="D29"/>
      <c r="E29"/>
      <c r="F29"/>
      <c r="G29"/>
      <c r="H29"/>
      <c r="I29"/>
      <c r="J29"/>
      <c r="K29"/>
    </row>
    <row r="30" spans="1:11" x14ac:dyDescent="0.25">
      <c r="A30"/>
      <c r="B30"/>
      <c r="C30"/>
      <c r="D30"/>
      <c r="E30"/>
      <c r="F30"/>
      <c r="G30"/>
      <c r="H30"/>
      <c r="I30"/>
      <c r="J30"/>
      <c r="K30"/>
    </row>
    <row r="31" spans="1:11" x14ac:dyDescent="0.25">
      <c r="A31"/>
      <c r="B31"/>
      <c r="C31"/>
      <c r="D31"/>
      <c r="E31"/>
      <c r="F31"/>
      <c r="G31"/>
      <c r="H31"/>
      <c r="I31"/>
      <c r="J31"/>
      <c r="K31"/>
    </row>
    <row r="32" spans="1:11" x14ac:dyDescent="0.25">
      <c r="A32"/>
      <c r="B32"/>
      <c r="C32"/>
      <c r="D32"/>
      <c r="E32"/>
      <c r="F32"/>
      <c r="G32"/>
      <c r="H32"/>
      <c r="I32"/>
      <c r="J32"/>
      <c r="K32"/>
    </row>
    <row r="33" spans="1:11" x14ac:dyDescent="0.25">
      <c r="A33"/>
      <c r="B33"/>
      <c r="C33"/>
      <c r="D33"/>
      <c r="E33"/>
      <c r="F33"/>
      <c r="G33" s="147"/>
      <c r="H33" s="147"/>
      <c r="I33" s="147"/>
      <c r="J33" s="147"/>
      <c r="K33" s="138"/>
    </row>
    <row r="34" spans="1:11" x14ac:dyDescent="0.25">
      <c r="A34"/>
      <c r="B34"/>
      <c r="C34"/>
      <c r="D34"/>
      <c r="E34"/>
      <c r="F34"/>
      <c r="G34"/>
      <c r="H34"/>
      <c r="I34"/>
      <c r="J34"/>
      <c r="K34"/>
    </row>
    <row r="35" spans="1:11" x14ac:dyDescent="0.25">
      <c r="A35"/>
      <c r="B35"/>
      <c r="C35"/>
      <c r="D35"/>
      <c r="E35"/>
      <c r="F35"/>
      <c r="G35"/>
      <c r="H35"/>
      <c r="I35"/>
      <c r="J35"/>
      <c r="K35"/>
    </row>
    <row r="36" spans="1:11" x14ac:dyDescent="0.25">
      <c r="A36"/>
      <c r="B36"/>
      <c r="C36"/>
      <c r="D36"/>
      <c r="E36"/>
      <c r="F36"/>
      <c r="G36"/>
      <c r="H36"/>
      <c r="I36"/>
      <c r="J36"/>
      <c r="K36"/>
    </row>
    <row r="37" spans="1:11" x14ac:dyDescent="0.25">
      <c r="A37"/>
      <c r="B37"/>
      <c r="C37"/>
      <c r="D37"/>
      <c r="E37"/>
      <c r="F37"/>
      <c r="G37"/>
      <c r="H37"/>
      <c r="I37"/>
      <c r="J37"/>
      <c r="K37"/>
    </row>
    <row r="38" spans="1:11" x14ac:dyDescent="0.25">
      <c r="A38"/>
      <c r="B38"/>
      <c r="C38"/>
      <c r="D38"/>
      <c r="E38"/>
      <c r="F38"/>
      <c r="G38"/>
      <c r="H38"/>
      <c r="I38"/>
      <c r="J38"/>
      <c r="K38"/>
    </row>
    <row r="39" spans="1:11" x14ac:dyDescent="0.25">
      <c r="A39"/>
      <c r="B39"/>
      <c r="C39"/>
      <c r="D39"/>
      <c r="E39"/>
      <c r="F39"/>
      <c r="G39"/>
      <c r="H39"/>
      <c r="I39"/>
      <c r="J39"/>
      <c r="K39"/>
    </row>
    <row r="40" spans="1:11" x14ac:dyDescent="0.25">
      <c r="A40" s="53"/>
      <c r="B40" s="144"/>
      <c r="C40" s="144"/>
      <c r="D40" s="26"/>
    </row>
    <row r="41" spans="1:11" x14ac:dyDescent="0.25">
      <c r="A41" s="53"/>
      <c r="B41" s="144"/>
      <c r="C41" s="144"/>
      <c r="D41" s="26"/>
    </row>
  </sheetData>
  <mergeCells count="6">
    <mergeCell ref="A6:D6"/>
    <mergeCell ref="A1:D1"/>
    <mergeCell ref="A2:D2"/>
    <mergeCell ref="A3:D3"/>
    <mergeCell ref="A5:D5"/>
    <mergeCell ref="A4:D4"/>
  </mergeCells>
  <pageMargins left="0.7" right="0.7" top="0.75" bottom="0.75" header="0.3" footer="0.3"/>
  <pageSetup paperSize="9" scale="64" orientation="portrait"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J45"/>
  <sheetViews>
    <sheetView showGridLines="0" zoomScale="130" zoomScaleNormal="130" zoomScaleSheetLayoutView="115" workbookViewId="0">
      <selection activeCell="F33" sqref="F33"/>
    </sheetView>
  </sheetViews>
  <sheetFormatPr defaultColWidth="11.42578125" defaultRowHeight="15" x14ac:dyDescent="0.25"/>
  <cols>
    <col min="1" max="1" width="21.42578125" style="1" customWidth="1"/>
    <col min="2" max="2" width="15.7109375" style="1" customWidth="1"/>
    <col min="3" max="3" width="21.140625" style="1" customWidth="1"/>
    <col min="4" max="4" width="16.7109375" style="1" customWidth="1"/>
    <col min="5" max="16384" width="11.42578125" style="1"/>
  </cols>
  <sheetData>
    <row r="1" spans="1:7" x14ac:dyDescent="0.25">
      <c r="A1" s="344" t="s">
        <v>0</v>
      </c>
      <c r="B1" s="344"/>
      <c r="C1" s="344"/>
      <c r="D1" s="344"/>
    </row>
    <row r="2" spans="1:7" x14ac:dyDescent="0.25">
      <c r="A2" s="344" t="s">
        <v>25</v>
      </c>
      <c r="B2" s="344"/>
      <c r="C2" s="344"/>
      <c r="D2" s="344"/>
    </row>
    <row r="3" spans="1:7" x14ac:dyDescent="0.25">
      <c r="A3" s="344" t="s">
        <v>51</v>
      </c>
      <c r="B3" s="344"/>
      <c r="C3" s="344"/>
      <c r="D3" s="344"/>
    </row>
    <row r="4" spans="1:7" x14ac:dyDescent="0.25">
      <c r="A4" s="344" t="s">
        <v>280</v>
      </c>
      <c r="B4" s="344"/>
      <c r="C4" s="344"/>
      <c r="D4" s="344"/>
    </row>
    <row r="5" spans="1:7" x14ac:dyDescent="0.25">
      <c r="A5" s="344" t="s">
        <v>272</v>
      </c>
      <c r="B5" s="344"/>
      <c r="C5" s="344"/>
      <c r="D5" s="344"/>
    </row>
    <row r="6" spans="1:7" x14ac:dyDescent="0.25">
      <c r="A6" s="345" t="s">
        <v>51</v>
      </c>
      <c r="B6" s="345"/>
      <c r="C6" s="345"/>
      <c r="D6" s="345"/>
      <c r="E6"/>
      <c r="F6"/>
      <c r="G6"/>
    </row>
    <row r="7" spans="1:7" x14ac:dyDescent="0.25">
      <c r="A7" s="142"/>
      <c r="B7" s="143" t="s">
        <v>52</v>
      </c>
      <c r="C7" s="143" t="s">
        <v>53</v>
      </c>
      <c r="D7" s="143" t="s">
        <v>54</v>
      </c>
      <c r="E7"/>
      <c r="F7"/>
      <c r="G7"/>
    </row>
    <row r="8" spans="1:7" x14ac:dyDescent="0.25">
      <c r="A8" s="211" t="s">
        <v>277</v>
      </c>
      <c r="B8" s="133">
        <v>27359</v>
      </c>
      <c r="C8" s="139">
        <f>+B8-B9</f>
        <v>1921</v>
      </c>
      <c r="D8" s="148">
        <f>C8/B9</f>
        <v>7.5516943155908484E-2</v>
      </c>
      <c r="E8"/>
      <c r="F8"/>
      <c r="G8"/>
    </row>
    <row r="9" spans="1:7" x14ac:dyDescent="0.25">
      <c r="A9" s="211" t="s">
        <v>270</v>
      </c>
      <c r="B9" s="133">
        <v>25438</v>
      </c>
      <c r="C9" s="139">
        <f>+B9-B10</f>
        <v>-1280</v>
      </c>
      <c r="D9" s="148">
        <f>C9/B10</f>
        <v>-4.7907777528258103E-2</v>
      </c>
      <c r="E9"/>
      <c r="F9"/>
      <c r="G9"/>
    </row>
    <row r="10" spans="1:7" x14ac:dyDescent="0.25">
      <c r="A10" s="211" t="s">
        <v>274</v>
      </c>
      <c r="B10" s="133">
        <v>26718</v>
      </c>
      <c r="C10" s="139">
        <f>+B10-28079</f>
        <v>-1361</v>
      </c>
      <c r="D10" s="148">
        <f>C10/28079</f>
        <v>-4.8470387122048507E-2</v>
      </c>
      <c r="E10"/>
      <c r="F10"/>
      <c r="G10"/>
    </row>
    <row r="11" spans="1:7" x14ac:dyDescent="0.25">
      <c r="A11" s="27" t="s">
        <v>14</v>
      </c>
      <c r="B11" s="80">
        <f>SUM(B8:B10)</f>
        <v>79515</v>
      </c>
      <c r="C11" s="80">
        <f>+B11-87873</f>
        <v>-8358</v>
      </c>
      <c r="D11" s="319">
        <f>C11/96646</f>
        <v>-8.6480557912381267E-2</v>
      </c>
      <c r="E11"/>
      <c r="F11" s="74"/>
      <c r="G11" s="145"/>
    </row>
    <row r="12" spans="1:7" hidden="1" x14ac:dyDescent="0.25">
      <c r="A12" s="53" t="s">
        <v>15</v>
      </c>
      <c r="B12" s="133"/>
      <c r="C12" s="149">
        <f>+B12-B10</f>
        <v>-26718</v>
      </c>
      <c r="D12"/>
      <c r="E12"/>
      <c r="F12"/>
      <c r="G12"/>
    </row>
    <row r="13" spans="1:7" hidden="1" x14ac:dyDescent="0.25">
      <c r="A13" s="53" t="s">
        <v>16</v>
      </c>
      <c r="B13" s="133"/>
      <c r="C13" s="149">
        <f>+B13-B12</f>
        <v>0</v>
      </c>
      <c r="D13"/>
      <c r="E13"/>
      <c r="F13"/>
      <c r="G13"/>
    </row>
    <row r="14" spans="1:7" hidden="1" x14ac:dyDescent="0.25">
      <c r="A14" s="53" t="s">
        <v>17</v>
      </c>
      <c r="B14" s="133"/>
      <c r="C14" s="149">
        <f>+B14-B13</f>
        <v>0</v>
      </c>
      <c r="D14"/>
      <c r="E14"/>
      <c r="F14"/>
      <c r="G14"/>
    </row>
    <row r="15" spans="1:7" hidden="1" x14ac:dyDescent="0.25">
      <c r="A15" s="27" t="s">
        <v>18</v>
      </c>
      <c r="B15" s="8">
        <f>SUM(B12:B14)</f>
        <v>0</v>
      </c>
      <c r="C15" s="73">
        <f>+B15-B11</f>
        <v>-79515</v>
      </c>
      <c r="D15" s="16">
        <f>+(B15-B11)/B11</f>
        <v>-1</v>
      </c>
      <c r="E15"/>
      <c r="F15" s="74"/>
      <c r="G15"/>
    </row>
    <row r="16" spans="1:7" hidden="1" x14ac:dyDescent="0.25">
      <c r="A16" s="53" t="s">
        <v>34</v>
      </c>
      <c r="B16" s="133"/>
      <c r="C16" s="149">
        <f>+B16-B14</f>
        <v>0</v>
      </c>
      <c r="D16"/>
      <c r="E16"/>
      <c r="F16"/>
      <c r="G16"/>
    </row>
    <row r="17" spans="1:10" hidden="1" x14ac:dyDescent="0.25">
      <c r="A17" s="53" t="s">
        <v>20</v>
      </c>
      <c r="B17" s="133"/>
      <c r="C17" s="149">
        <f>+B17-B16</f>
        <v>0</v>
      </c>
      <c r="D17"/>
      <c r="E17"/>
      <c r="F17"/>
      <c r="G17"/>
    </row>
    <row r="18" spans="1:10" hidden="1" x14ac:dyDescent="0.25">
      <c r="A18" s="53" t="s">
        <v>21</v>
      </c>
      <c r="B18" s="133"/>
      <c r="C18" s="149">
        <f>+B18-B17</f>
        <v>0</v>
      </c>
      <c r="D18"/>
      <c r="E18"/>
      <c r="F18"/>
      <c r="G18"/>
    </row>
    <row r="19" spans="1:10" hidden="1" x14ac:dyDescent="0.25">
      <c r="A19" s="27" t="s">
        <v>22</v>
      </c>
      <c r="B19" s="8">
        <f>SUM(B16:B18)</f>
        <v>0</v>
      </c>
      <c r="C19" s="73">
        <f>+B19-B15</f>
        <v>0</v>
      </c>
      <c r="D19" s="73" t="e">
        <f>+(B19-B15)/B15</f>
        <v>#DIV/0!</v>
      </c>
      <c r="E19"/>
      <c r="F19" s="74"/>
      <c r="G19"/>
    </row>
    <row r="20" spans="1:10" hidden="1" x14ac:dyDescent="0.25">
      <c r="A20" s="53" t="s">
        <v>13</v>
      </c>
      <c r="B20" s="133"/>
      <c r="C20" s="149">
        <f>+B20-B18</f>
        <v>0</v>
      </c>
      <c r="D20"/>
      <c r="E20"/>
      <c r="F20"/>
      <c r="G20"/>
    </row>
    <row r="21" spans="1:10" hidden="1" x14ac:dyDescent="0.25">
      <c r="A21" s="53" t="s">
        <v>12</v>
      </c>
      <c r="B21" s="133"/>
      <c r="C21" s="149">
        <f>+B21-B20</f>
        <v>0</v>
      </c>
      <c r="D21"/>
      <c r="E21"/>
      <c r="F21"/>
      <c r="G21"/>
    </row>
    <row r="22" spans="1:10" hidden="1" x14ac:dyDescent="0.25">
      <c r="A22" s="53" t="s">
        <v>11</v>
      </c>
      <c r="B22" s="133"/>
      <c r="C22" s="149">
        <f>+B22-B21</f>
        <v>0</v>
      </c>
      <c r="D22"/>
      <c r="E22"/>
      <c r="F22"/>
      <c r="G22"/>
    </row>
    <row r="23" spans="1:10" hidden="1" x14ac:dyDescent="0.25">
      <c r="A23" s="27" t="s">
        <v>14</v>
      </c>
      <c r="B23" s="8">
        <f>SUM(B20:B22)</f>
        <v>0</v>
      </c>
      <c r="C23" s="73">
        <f>+B23-B19</f>
        <v>0</v>
      </c>
      <c r="D23" s="73" t="e">
        <f>+(B23-B19)/B19</f>
        <v>#DIV/0!</v>
      </c>
      <c r="E23"/>
      <c r="F23" s="74"/>
      <c r="G23"/>
    </row>
    <row r="24" spans="1:10" hidden="1" x14ac:dyDescent="0.25">
      <c r="A24" s="28" t="s">
        <v>23</v>
      </c>
      <c r="B24" s="29">
        <f>+B11+B15+B19+B23</f>
        <v>79515</v>
      </c>
      <c r="C24" s="29"/>
      <c r="D24" s="29"/>
      <c r="E24"/>
      <c r="F24"/>
      <c r="G24"/>
    </row>
    <row r="25" spans="1:10" ht="5.25" customHeight="1" x14ac:dyDescent="0.25">
      <c r="A25" s="346"/>
      <c r="B25" s="346"/>
      <c r="C25" s="346"/>
      <c r="D25" s="346"/>
      <c r="E25"/>
      <c r="F25"/>
      <c r="G25"/>
    </row>
    <row r="26" spans="1:10" ht="13.5" customHeight="1" x14ac:dyDescent="0.25">
      <c r="A26" s="217" t="s">
        <v>293</v>
      </c>
      <c r="B26" s="138"/>
      <c r="C26" s="138"/>
      <c r="D26" s="138"/>
      <c r="E26" s="138"/>
      <c r="F26" s="138"/>
      <c r="G26"/>
    </row>
    <row r="27" spans="1:10" ht="13.5" customHeight="1" x14ac:dyDescent="0.25">
      <c r="A27" s="217" t="s">
        <v>294</v>
      </c>
      <c r="B27" s="138"/>
      <c r="C27" s="138"/>
      <c r="D27" s="138"/>
      <c r="E27" s="138"/>
      <c r="F27" s="138"/>
      <c r="G27"/>
    </row>
    <row r="28" spans="1:10" ht="13.5" customHeight="1" x14ac:dyDescent="0.25">
      <c r="A28" s="217"/>
      <c r="B28" s="138"/>
      <c r="C28" s="138"/>
      <c r="D28" s="138"/>
      <c r="E28" s="138"/>
      <c r="F28" s="138"/>
      <c r="G28"/>
    </row>
    <row r="29" spans="1:10" ht="12.75" customHeight="1" x14ac:dyDescent="0.25">
      <c r="A29" s="205"/>
      <c r="B29"/>
      <c r="C29"/>
      <c r="D29"/>
      <c r="E29"/>
      <c r="F29"/>
      <c r="G29"/>
    </row>
    <row r="30" spans="1:10" x14ac:dyDescent="0.25">
      <c r="A30"/>
      <c r="B30"/>
      <c r="C30"/>
      <c r="D30"/>
      <c r="E30"/>
      <c r="F30"/>
      <c r="G30"/>
    </row>
    <row r="31" spans="1:10" x14ac:dyDescent="0.25">
      <c r="A31"/>
      <c r="B31"/>
      <c r="C31"/>
      <c r="D31"/>
      <c r="E31"/>
      <c r="F31"/>
      <c r="G31"/>
    </row>
    <row r="32" spans="1:10" x14ac:dyDescent="0.25">
      <c r="A32"/>
      <c r="B32"/>
      <c r="C32"/>
      <c r="D32"/>
      <c r="E32"/>
      <c r="F32"/>
      <c r="G32"/>
      <c r="J32" s="33"/>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4" spans="1:7" x14ac:dyDescent="0.25">
      <c r="A44" s="53"/>
      <c r="B44" s="133"/>
      <c r="C44" s="139"/>
      <c r="D44" s="148"/>
    </row>
    <row r="45" spans="1:7" x14ac:dyDescent="0.25">
      <c r="A45" s="53"/>
      <c r="B45" s="133"/>
      <c r="C45" s="139"/>
      <c r="D45" s="20"/>
    </row>
  </sheetData>
  <mergeCells count="7">
    <mergeCell ref="A25:D25"/>
    <mergeCell ref="A6:D6"/>
    <mergeCell ref="A1:D1"/>
    <mergeCell ref="A2:D2"/>
    <mergeCell ref="A3:D3"/>
    <mergeCell ref="A4:D4"/>
    <mergeCell ref="A5:D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45"/>
  <sheetViews>
    <sheetView showGridLines="0" zoomScale="91" zoomScaleNormal="91" zoomScaleSheetLayoutView="130" workbookViewId="0">
      <selection activeCell="A7" sqref="A1:A1048576"/>
    </sheetView>
  </sheetViews>
  <sheetFormatPr defaultColWidth="11.42578125" defaultRowHeight="15" x14ac:dyDescent="0.25"/>
  <cols>
    <col min="1" max="1" width="15" style="1" customWidth="1"/>
    <col min="2" max="2" width="22" style="1" customWidth="1"/>
    <col min="3" max="4" width="20.42578125" style="1" customWidth="1"/>
    <col min="5" max="16384" width="11.42578125" style="1"/>
  </cols>
  <sheetData>
    <row r="1" spans="1:7" x14ac:dyDescent="0.25">
      <c r="A1" s="347" t="s">
        <v>0</v>
      </c>
      <c r="B1" s="347"/>
      <c r="C1" s="347"/>
      <c r="D1" s="347"/>
      <c r="E1" s="22"/>
      <c r="F1" s="22"/>
      <c r="G1" s="22"/>
    </row>
    <row r="2" spans="1:7" x14ac:dyDescent="0.25">
      <c r="A2" s="344" t="s">
        <v>25</v>
      </c>
      <c r="B2" s="344"/>
      <c r="C2" s="344"/>
      <c r="D2" s="344"/>
      <c r="E2" s="22"/>
      <c r="F2" s="22"/>
      <c r="G2" s="22"/>
    </row>
    <row r="3" spans="1:7" x14ac:dyDescent="0.25">
      <c r="A3" s="344" t="s">
        <v>55</v>
      </c>
      <c r="B3" s="344"/>
      <c r="C3" s="344"/>
      <c r="D3" s="344"/>
      <c r="E3" s="22"/>
      <c r="F3" s="22"/>
      <c r="G3" s="22"/>
    </row>
    <row r="4" spans="1:7" x14ac:dyDescent="0.25">
      <c r="A4" s="347" t="s">
        <v>280</v>
      </c>
      <c r="B4" s="347"/>
      <c r="C4" s="347"/>
      <c r="D4" s="347"/>
      <c r="E4" s="21"/>
      <c r="F4" s="22"/>
      <c r="G4" s="22"/>
    </row>
    <row r="5" spans="1:7" x14ac:dyDescent="0.25">
      <c r="A5" s="344" t="s">
        <v>272</v>
      </c>
      <c r="B5" s="344"/>
      <c r="C5" s="344"/>
      <c r="D5" s="344"/>
      <c r="E5" s="22"/>
      <c r="F5" s="22"/>
      <c r="G5" s="22"/>
    </row>
    <row r="6" spans="1:7" ht="15" customHeight="1" x14ac:dyDescent="0.25">
      <c r="A6" s="345" t="s">
        <v>55</v>
      </c>
      <c r="B6" s="345"/>
      <c r="C6" s="345"/>
      <c r="D6" s="345"/>
      <c r="E6"/>
      <c r="F6"/>
    </row>
    <row r="7" spans="1:7" x14ac:dyDescent="0.25">
      <c r="A7" s="142" t="s">
        <v>3</v>
      </c>
      <c r="B7" s="129" t="s">
        <v>56</v>
      </c>
      <c r="C7" s="129" t="s">
        <v>57</v>
      </c>
      <c r="D7" s="129" t="s">
        <v>58</v>
      </c>
      <c r="E7"/>
      <c r="F7"/>
    </row>
    <row r="8" spans="1:7" ht="15.75" x14ac:dyDescent="0.25">
      <c r="A8" s="211" t="s">
        <v>277</v>
      </c>
      <c r="B8" s="312">
        <v>487</v>
      </c>
      <c r="C8" s="312">
        <v>6</v>
      </c>
      <c r="D8" s="320">
        <v>767086474.8599999</v>
      </c>
      <c r="E8"/>
      <c r="F8"/>
    </row>
    <row r="9" spans="1:7" ht="15.75" x14ac:dyDescent="0.25">
      <c r="A9" s="211" t="s">
        <v>270</v>
      </c>
      <c r="B9" s="312">
        <v>120</v>
      </c>
      <c r="C9" s="312">
        <v>4</v>
      </c>
      <c r="D9" s="320">
        <v>3643649.7</v>
      </c>
      <c r="E9"/>
      <c r="F9"/>
      <c r="G9" s="53"/>
    </row>
    <row r="10" spans="1:7" ht="15.75" x14ac:dyDescent="0.25">
      <c r="A10" s="211" t="s">
        <v>274</v>
      </c>
      <c r="B10" s="312">
        <v>37</v>
      </c>
      <c r="C10" s="312">
        <v>2</v>
      </c>
      <c r="D10" s="320">
        <v>23902615.080000002</v>
      </c>
      <c r="E10"/>
      <c r="F10"/>
      <c r="G10" s="53"/>
    </row>
    <row r="11" spans="1:7" x14ac:dyDescent="0.25">
      <c r="A11" s="27" t="s">
        <v>14</v>
      </c>
      <c r="B11" s="8">
        <f>SUM(B8:B10)</f>
        <v>644</v>
      </c>
      <c r="C11" s="80">
        <f>SUM(C8:C10)</f>
        <v>12</v>
      </c>
      <c r="D11" s="275">
        <f>SUM(D8:D10)</f>
        <v>794632739.63999999</v>
      </c>
      <c r="E11"/>
      <c r="F11"/>
      <c r="G11" s="53"/>
    </row>
    <row r="12" spans="1:7" hidden="1" x14ac:dyDescent="0.25">
      <c r="A12" s="53" t="s">
        <v>15</v>
      </c>
      <c r="B12" s="150"/>
      <c r="C12" s="150"/>
      <c r="D12" s="150"/>
      <c r="E12"/>
      <c r="F12"/>
    </row>
    <row r="13" spans="1:7" hidden="1" x14ac:dyDescent="0.25">
      <c r="A13" s="53" t="s">
        <v>16</v>
      </c>
      <c r="B13" s="150"/>
      <c r="C13" s="150"/>
      <c r="D13" s="150"/>
      <c r="E13"/>
      <c r="F13"/>
    </row>
    <row r="14" spans="1:7" hidden="1" x14ac:dyDescent="0.25">
      <c r="A14" s="53" t="s">
        <v>17</v>
      </c>
      <c r="B14" s="150"/>
      <c r="C14" s="150"/>
      <c r="D14" s="150"/>
      <c r="E14"/>
      <c r="F14"/>
    </row>
    <row r="15" spans="1:7" hidden="1" x14ac:dyDescent="0.25">
      <c r="A15" s="27" t="s">
        <v>59</v>
      </c>
      <c r="B15" s="8">
        <f>SUM(B12:B14)</f>
        <v>0</v>
      </c>
      <c r="C15" s="8">
        <f>SUM(C12:C14)</f>
        <v>0</v>
      </c>
      <c r="D15" s="8"/>
      <c r="E15"/>
      <c r="F15"/>
    </row>
    <row r="16" spans="1:7" hidden="1" x14ac:dyDescent="0.25">
      <c r="A16" s="53" t="s">
        <v>34</v>
      </c>
      <c r="B16" s="150"/>
      <c r="C16" s="150"/>
      <c r="D16" s="150"/>
      <c r="E16"/>
      <c r="F16"/>
    </row>
    <row r="17" spans="1:6" hidden="1" x14ac:dyDescent="0.25">
      <c r="A17" s="53" t="s">
        <v>20</v>
      </c>
      <c r="B17" s="150"/>
      <c r="C17" s="150"/>
      <c r="D17" s="150"/>
      <c r="E17"/>
      <c r="F17"/>
    </row>
    <row r="18" spans="1:6" hidden="1" x14ac:dyDescent="0.25">
      <c r="A18" s="53" t="s">
        <v>21</v>
      </c>
      <c r="B18" s="150"/>
      <c r="C18" s="150"/>
      <c r="D18" s="150"/>
      <c r="E18"/>
      <c r="F18"/>
    </row>
    <row r="19" spans="1:6" hidden="1" x14ac:dyDescent="0.25">
      <c r="A19" s="27" t="s">
        <v>60</v>
      </c>
      <c r="B19" s="8">
        <f>SUM(B16:B18)</f>
        <v>0</v>
      </c>
      <c r="C19" s="8">
        <f>SUM(C16:C18)</f>
        <v>0</v>
      </c>
      <c r="D19" s="8"/>
      <c r="E19"/>
      <c r="F19"/>
    </row>
    <row r="20" spans="1:6" hidden="1" x14ac:dyDescent="0.25">
      <c r="A20" s="53" t="s">
        <v>13</v>
      </c>
      <c r="B20" s="150"/>
      <c r="C20" s="150"/>
      <c r="D20" s="150"/>
      <c r="E20"/>
      <c r="F20"/>
    </row>
    <row r="21" spans="1:6" hidden="1" x14ac:dyDescent="0.25">
      <c r="A21" s="53" t="s">
        <v>12</v>
      </c>
      <c r="B21" s="150"/>
      <c r="C21" s="150"/>
      <c r="D21" s="150"/>
      <c r="E21"/>
      <c r="F21"/>
    </row>
    <row r="22" spans="1:6" hidden="1" x14ac:dyDescent="0.25">
      <c r="A22" s="53" t="s">
        <v>11</v>
      </c>
      <c r="B22" s="150"/>
      <c r="C22" s="150"/>
      <c r="D22" s="150"/>
      <c r="E22"/>
      <c r="F22"/>
    </row>
    <row r="23" spans="1:6" hidden="1" x14ac:dyDescent="0.25">
      <c r="A23" s="27" t="s">
        <v>61</v>
      </c>
      <c r="B23" s="8">
        <f>SUM(B20:B22)</f>
        <v>0</v>
      </c>
      <c r="C23" s="8">
        <f>SUM(C20:C22)</f>
        <v>0</v>
      </c>
      <c r="D23" s="8"/>
      <c r="E23"/>
      <c r="F23"/>
    </row>
    <row r="24" spans="1:6" hidden="1" x14ac:dyDescent="0.25">
      <c r="A24" s="28" t="s">
        <v>23</v>
      </c>
      <c r="B24" s="30"/>
      <c r="C24" s="30"/>
      <c r="D24" s="30"/>
      <c r="E24"/>
      <c r="F24"/>
    </row>
    <row r="25" spans="1:6" ht="3.75" customHeight="1" x14ac:dyDescent="0.25">
      <c r="A25" s="217"/>
      <c r="B25" s="217"/>
      <c r="C25" s="217"/>
      <c r="D25" s="217"/>
      <c r="E25"/>
      <c r="F25"/>
    </row>
    <row r="26" spans="1:6" ht="12" customHeight="1" x14ac:dyDescent="0.25">
      <c r="A26" s="217" t="s">
        <v>293</v>
      </c>
      <c r="B26"/>
      <c r="C26"/>
      <c r="D26"/>
      <c r="E26"/>
      <c r="F26"/>
    </row>
    <row r="27" spans="1:6" ht="12" customHeight="1" x14ac:dyDescent="0.25">
      <c r="A27" s="217" t="s">
        <v>291</v>
      </c>
      <c r="B27"/>
      <c r="C27"/>
      <c r="D27"/>
      <c r="E27"/>
      <c r="F27"/>
    </row>
    <row r="28" spans="1:6" x14ac:dyDescent="0.25">
      <c r="A28"/>
      <c r="B28"/>
      <c r="C28"/>
      <c r="D28"/>
      <c r="E28"/>
      <c r="F28"/>
    </row>
    <row r="29" spans="1:6" x14ac:dyDescent="0.25">
      <c r="A29"/>
      <c r="B29"/>
      <c r="C29"/>
      <c r="D29"/>
      <c r="E29"/>
      <c r="F29"/>
    </row>
    <row r="30" spans="1:6" x14ac:dyDescent="0.25">
      <c r="A30"/>
      <c r="B30"/>
      <c r="C30"/>
      <c r="D30"/>
      <c r="E30"/>
      <c r="F30"/>
    </row>
    <row r="31" spans="1:6" x14ac:dyDescent="0.25">
      <c r="A31"/>
      <c r="B31"/>
      <c r="C31"/>
      <c r="D31"/>
      <c r="E31"/>
      <c r="F31"/>
    </row>
    <row r="32" spans="1:6" x14ac:dyDescent="0.25">
      <c r="A32"/>
      <c r="B32"/>
      <c r="C32"/>
      <c r="D32"/>
      <c r="E32"/>
      <c r="F32"/>
    </row>
    <row r="33" spans="1:6" x14ac:dyDescent="0.25">
      <c r="A33"/>
      <c r="B33"/>
      <c r="C33"/>
      <c r="D33"/>
      <c r="E33"/>
      <c r="F33"/>
    </row>
    <row r="34" spans="1:6" x14ac:dyDescent="0.25">
      <c r="A34"/>
      <c r="B34"/>
      <c r="C34"/>
      <c r="D34"/>
      <c r="E34" s="53"/>
      <c r="F34" s="129"/>
    </row>
    <row r="35" spans="1:6" x14ac:dyDescent="0.25">
      <c r="A35"/>
      <c r="B35"/>
      <c r="C35"/>
      <c r="D35"/>
      <c r="E35" s="53"/>
      <c r="F35" s="144"/>
    </row>
    <row r="36" spans="1:6" x14ac:dyDescent="0.25">
      <c r="A36"/>
      <c r="B36"/>
      <c r="C36"/>
      <c r="D36"/>
      <c r="E36" s="53"/>
      <c r="F36" s="144"/>
    </row>
    <row r="37" spans="1:6" x14ac:dyDescent="0.25">
      <c r="A37"/>
      <c r="B37"/>
      <c r="C37"/>
      <c r="D37"/>
      <c r="E37"/>
      <c r="F37" s="144"/>
    </row>
    <row r="38" spans="1:6" x14ac:dyDescent="0.25">
      <c r="A38"/>
      <c r="B38"/>
      <c r="C38"/>
      <c r="D38"/>
      <c r="E38"/>
      <c r="F38"/>
    </row>
    <row r="39" spans="1:6" x14ac:dyDescent="0.25">
      <c r="A39"/>
      <c r="B39"/>
      <c r="C39"/>
      <c r="D39"/>
      <c r="E39"/>
      <c r="F39"/>
    </row>
    <row r="40" spans="1:6" x14ac:dyDescent="0.25">
      <c r="A40"/>
      <c r="B40"/>
      <c r="C40"/>
      <c r="D40"/>
      <c r="E40"/>
      <c r="F40"/>
    </row>
    <row r="41" spans="1:6" x14ac:dyDescent="0.25">
      <c r="A41"/>
      <c r="B41"/>
      <c r="C41"/>
      <c r="D41"/>
      <c r="E41"/>
      <c r="F41"/>
    </row>
    <row r="44" spans="1:6" x14ac:dyDescent="0.25">
      <c r="A44" s="53"/>
      <c r="B44" s="150"/>
      <c r="C44" s="150"/>
      <c r="D44" s="150"/>
    </row>
    <row r="45" spans="1:6" x14ac:dyDescent="0.25">
      <c r="A45" s="53"/>
      <c r="B45" s="150"/>
      <c r="C45" s="150"/>
      <c r="D45" s="150"/>
    </row>
  </sheetData>
  <mergeCells count="6">
    <mergeCell ref="A6:D6"/>
    <mergeCell ref="A1:D1"/>
    <mergeCell ref="A2:D2"/>
    <mergeCell ref="A3:D3"/>
    <mergeCell ref="A4:D4"/>
    <mergeCell ref="A5:D5"/>
  </mergeCells>
  <pageMargins left="0.7" right="0.7" top="0.75" bottom="0.75" header="0.3" footer="0.3"/>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M56"/>
  <sheetViews>
    <sheetView showGridLines="0" zoomScale="90" zoomScaleNormal="90" workbookViewId="0">
      <selection activeCell="H41" sqref="H41"/>
    </sheetView>
  </sheetViews>
  <sheetFormatPr defaultColWidth="11.42578125" defaultRowHeight="15" x14ac:dyDescent="0.25"/>
  <cols>
    <col min="1" max="1" width="12" style="1" customWidth="1"/>
    <col min="2" max="4" width="18.140625" style="1" customWidth="1"/>
    <col min="5" max="5" width="17.140625" style="1" customWidth="1"/>
    <col min="6" max="6" width="11.42578125" style="1"/>
    <col min="7" max="7" width="15.140625" style="1" bestFit="1" customWidth="1"/>
    <col min="8" max="8" width="15.5703125" style="1" customWidth="1"/>
    <col min="9" max="9" width="18.140625" style="1" customWidth="1"/>
    <col min="10" max="10" width="19.85546875" style="1" customWidth="1"/>
    <col min="11" max="12" width="11.42578125" style="1"/>
    <col min="13" max="13" width="16.85546875" style="1" bestFit="1" customWidth="1"/>
    <col min="14" max="16384" width="11.42578125" style="1"/>
  </cols>
  <sheetData>
    <row r="1" spans="1:13" x14ac:dyDescent="0.25">
      <c r="A1" s="343" t="s">
        <v>0</v>
      </c>
      <c r="B1" s="343"/>
      <c r="C1" s="343"/>
      <c r="D1" s="343"/>
      <c r="E1" s="343"/>
      <c r="F1" s="343"/>
      <c r="G1" s="343"/>
      <c r="H1" s="343"/>
    </row>
    <row r="2" spans="1:13" x14ac:dyDescent="0.25">
      <c r="A2" s="343" t="s">
        <v>62</v>
      </c>
      <c r="B2" s="343"/>
      <c r="C2" s="343"/>
      <c r="D2" s="343"/>
      <c r="E2" s="343"/>
      <c r="F2" s="343"/>
      <c r="G2" s="343"/>
      <c r="H2" s="343"/>
    </row>
    <row r="3" spans="1:13" x14ac:dyDescent="0.25">
      <c r="A3" s="343" t="s">
        <v>63</v>
      </c>
      <c r="B3" s="343"/>
      <c r="C3" s="343"/>
      <c r="D3" s="343"/>
      <c r="E3" s="343"/>
      <c r="F3" s="343"/>
      <c r="G3" s="343"/>
      <c r="H3" s="343"/>
    </row>
    <row r="4" spans="1:13" x14ac:dyDescent="0.25">
      <c r="A4" s="343" t="s">
        <v>273</v>
      </c>
      <c r="B4" s="343"/>
      <c r="C4" s="343"/>
      <c r="D4" s="343"/>
      <c r="E4" s="343"/>
      <c r="F4" s="343"/>
      <c r="G4" s="343"/>
      <c r="H4" s="343"/>
    </row>
    <row r="5" spans="1:13" x14ac:dyDescent="0.25">
      <c r="A5" s="343" t="s">
        <v>272</v>
      </c>
      <c r="B5" s="343"/>
      <c r="C5" s="343"/>
      <c r="D5" s="343"/>
      <c r="E5" s="343"/>
      <c r="F5" s="343"/>
      <c r="G5" s="343"/>
      <c r="H5" s="343"/>
    </row>
    <row r="6" spans="1:13" x14ac:dyDescent="0.25">
      <c r="A6" s="151"/>
      <c r="B6" s="348" t="s">
        <v>64</v>
      </c>
      <c r="C6" s="348"/>
      <c r="D6" s="348"/>
      <c r="E6" s="348" t="s">
        <v>65</v>
      </c>
      <c r="F6" s="348"/>
      <c r="G6" s="348"/>
      <c r="H6" s="348"/>
    </row>
    <row r="7" spans="1:13" ht="15" customHeight="1" x14ac:dyDescent="0.25">
      <c r="A7" s="352" t="s">
        <v>3</v>
      </c>
      <c r="B7" s="345" t="s">
        <v>66</v>
      </c>
      <c r="C7" s="345" t="s">
        <v>67</v>
      </c>
      <c r="D7" s="345" t="s">
        <v>68</v>
      </c>
      <c r="E7" s="345" t="s">
        <v>69</v>
      </c>
      <c r="F7" s="345"/>
      <c r="G7" s="345" t="s">
        <v>6</v>
      </c>
      <c r="H7" s="345"/>
      <c r="I7" s="14"/>
    </row>
    <row r="8" spans="1:13" x14ac:dyDescent="0.25">
      <c r="A8" s="352"/>
      <c r="B8" s="345"/>
      <c r="C8" s="345"/>
      <c r="D8" s="345"/>
      <c r="E8" s="345"/>
      <c r="F8" s="345"/>
      <c r="G8" s="345"/>
      <c r="H8" s="345"/>
      <c r="I8" s="14"/>
    </row>
    <row r="9" spans="1:13" ht="14.25" customHeight="1" x14ac:dyDescent="0.25">
      <c r="A9" s="152"/>
      <c r="B9" s="129" t="s">
        <v>7</v>
      </c>
      <c r="C9" s="129" t="s">
        <v>7</v>
      </c>
      <c r="D9" s="129" t="s">
        <v>7</v>
      </c>
      <c r="E9" s="129" t="s">
        <v>8</v>
      </c>
      <c r="F9" s="129" t="s">
        <v>9</v>
      </c>
      <c r="G9" s="129" t="s">
        <v>8</v>
      </c>
      <c r="H9" s="129" t="s">
        <v>9</v>
      </c>
    </row>
    <row r="10" spans="1:13" hidden="1" x14ac:dyDescent="0.25">
      <c r="A10" s="186" t="s">
        <v>10</v>
      </c>
      <c r="B10" s="228"/>
      <c r="C10" s="228"/>
      <c r="D10" s="229"/>
      <c r="E10" s="230"/>
      <c r="F10" s="234"/>
      <c r="G10" s="231"/>
      <c r="H10" s="238"/>
    </row>
    <row r="11" spans="1:13" x14ac:dyDescent="0.25">
      <c r="A11" s="87" t="s">
        <v>269</v>
      </c>
      <c r="B11" s="299">
        <v>3512568519.8000002</v>
      </c>
      <c r="C11" s="299">
        <v>1796472.4100000001</v>
      </c>
      <c r="D11" s="299">
        <v>3585910246.2900004</v>
      </c>
      <c r="E11" s="300">
        <v>3520253236.1900001</v>
      </c>
      <c r="F11" s="235">
        <f t="shared" ref="F11" si="0">(E11/D11)</f>
        <v>0.98169028068454045</v>
      </c>
      <c r="G11" s="231">
        <f>+D11-E11</f>
        <v>65657010.100000381</v>
      </c>
      <c r="H11" s="239">
        <f>(G11/D11)</f>
        <v>1.8309719315459563E-2</v>
      </c>
      <c r="I11" s="14"/>
    </row>
    <row r="12" spans="1:13" x14ac:dyDescent="0.25">
      <c r="A12" s="87" t="s">
        <v>270</v>
      </c>
      <c r="B12" s="299">
        <v>3472392943.6999998</v>
      </c>
      <c r="C12" s="299">
        <v>691401.32</v>
      </c>
      <c r="D12" s="299">
        <v>3572265833.1900001</v>
      </c>
      <c r="E12" s="300">
        <v>3500720579.1099997</v>
      </c>
      <c r="F12" s="235">
        <f t="shared" ref="F12" si="1">(E12/D12)</f>
        <v>0.9799720240819505</v>
      </c>
      <c r="G12" s="231">
        <f>+D12-E12</f>
        <v>71545254.080000401</v>
      </c>
      <c r="H12" s="239">
        <f t="shared" ref="H12" si="2">(G12/D12)</f>
        <v>2.0027975918049515E-2</v>
      </c>
      <c r="K12" s="14"/>
      <c r="M12" s="123"/>
    </row>
    <row r="13" spans="1:13" x14ac:dyDescent="0.25">
      <c r="A13" s="87" t="s">
        <v>274</v>
      </c>
      <c r="B13" s="299">
        <v>3524764276.6399999</v>
      </c>
      <c r="C13" s="321">
        <v>0</v>
      </c>
      <c r="D13" s="299">
        <v>3524764276.6399999</v>
      </c>
      <c r="E13" s="300">
        <v>3425582788.4699998</v>
      </c>
      <c r="F13" s="235">
        <f>(E13/D13)</f>
        <v>0.97186152593882236</v>
      </c>
      <c r="G13" s="233">
        <f>+D13-E13</f>
        <v>99181488.170000076</v>
      </c>
      <c r="H13" s="239">
        <f>(G13/D13)</f>
        <v>2.8138474061177605E-2</v>
      </c>
    </row>
    <row r="14" spans="1:13" x14ac:dyDescent="0.25">
      <c r="A14" s="27" t="s">
        <v>286</v>
      </c>
      <c r="B14" s="236">
        <f>SUM(B10:B13)</f>
        <v>10509725740.139999</v>
      </c>
      <c r="C14" s="237">
        <f>SUM(C10:C13)</f>
        <v>2487873.73</v>
      </c>
      <c r="D14" s="237">
        <f>SUM(D10:D13)</f>
        <v>10682940356.120001</v>
      </c>
      <c r="E14" s="237">
        <f>SUM(E10:E13)</f>
        <v>10446556603.769999</v>
      </c>
      <c r="F14" s="241">
        <f>+E14/(B14+C14)</f>
        <v>0.99375421652263884</v>
      </c>
      <c r="G14" s="236">
        <f>(B14+C14)-E14</f>
        <v>65657010.100000381</v>
      </c>
      <c r="H14" s="240">
        <f>G14/(B14+C14)</f>
        <v>6.2457834773611692E-3</v>
      </c>
      <c r="I14" s="18"/>
      <c r="J14" s="36"/>
    </row>
    <row r="15" spans="1:13" hidden="1" x14ac:dyDescent="0.25">
      <c r="A15" s="87" t="s">
        <v>15</v>
      </c>
      <c r="B15" s="133">
        <v>1913412632.9166667</v>
      </c>
      <c r="C15" s="133"/>
      <c r="D15" s="133"/>
      <c r="E15" s="134"/>
      <c r="F15" s="2">
        <f t="shared" ref="F15:F28" si="3">(E15/B15)</f>
        <v>0</v>
      </c>
      <c r="G15" s="72">
        <f>+B15-E15</f>
        <v>1913412632.9166667</v>
      </c>
      <c r="H15" s="4">
        <f t="shared" ref="H15:H27" si="4">(G15/B15)</f>
        <v>1</v>
      </c>
    </row>
    <row r="16" spans="1:13" hidden="1" x14ac:dyDescent="0.25">
      <c r="A16" s="87" t="s">
        <v>16</v>
      </c>
      <c r="B16" s="133">
        <v>1913412632.9166667</v>
      </c>
      <c r="C16" s="133"/>
      <c r="D16" s="133"/>
      <c r="E16" s="134"/>
      <c r="F16" s="2">
        <f t="shared" si="3"/>
        <v>0</v>
      </c>
      <c r="G16" s="72">
        <f>+B16-E16</f>
        <v>1913412632.9166667</v>
      </c>
      <c r="H16" s="4">
        <f t="shared" si="4"/>
        <v>1</v>
      </c>
    </row>
    <row r="17" spans="1:12" hidden="1" x14ac:dyDescent="0.25">
      <c r="A17" s="87" t="s">
        <v>17</v>
      </c>
      <c r="B17" s="133">
        <v>1913412632.9166667</v>
      </c>
      <c r="C17" s="133"/>
      <c r="D17" s="133"/>
      <c r="E17" s="134"/>
      <c r="F17" s="2">
        <f t="shared" si="3"/>
        <v>0</v>
      </c>
      <c r="G17" s="72">
        <f>+B17-E17</f>
        <v>1913412632.9166667</v>
      </c>
      <c r="H17" s="4">
        <f t="shared" si="4"/>
        <v>1</v>
      </c>
    </row>
    <row r="18" spans="1:12" hidden="1" x14ac:dyDescent="0.25">
      <c r="A18" s="27" t="s">
        <v>18</v>
      </c>
      <c r="B18" s="8">
        <f>SUM(B15:B17)</f>
        <v>5740237898.75</v>
      </c>
      <c r="C18" s="8"/>
      <c r="D18" s="8"/>
      <c r="E18" s="8">
        <f>SUM(E15:E17)</f>
        <v>0</v>
      </c>
      <c r="F18" s="3">
        <f t="shared" si="3"/>
        <v>0</v>
      </c>
      <c r="G18" s="13">
        <f>SUM(G10:G13)</f>
        <v>236383752.35000086</v>
      </c>
      <c r="H18" s="5">
        <f t="shared" si="4"/>
        <v>4.1180131646020461E-2</v>
      </c>
    </row>
    <row r="19" spans="1:12" hidden="1" x14ac:dyDescent="0.25">
      <c r="A19" s="87" t="s">
        <v>19</v>
      </c>
      <c r="B19" s="133">
        <v>1913412632.9166667</v>
      </c>
      <c r="C19" s="133"/>
      <c r="D19" s="133"/>
      <c r="E19" s="134"/>
      <c r="F19" s="2">
        <f t="shared" si="3"/>
        <v>0</v>
      </c>
      <c r="G19" s="72">
        <f>+B19-E19</f>
        <v>1913412632.9166667</v>
      </c>
      <c r="H19" s="4">
        <f t="shared" si="4"/>
        <v>1</v>
      </c>
    </row>
    <row r="20" spans="1:12" hidden="1" x14ac:dyDescent="0.25">
      <c r="A20" s="87" t="s">
        <v>20</v>
      </c>
      <c r="B20" s="133">
        <v>1913412632.9166667</v>
      </c>
      <c r="C20" s="133"/>
      <c r="D20" s="133"/>
      <c r="E20" s="134"/>
      <c r="F20" s="2">
        <f t="shared" si="3"/>
        <v>0</v>
      </c>
      <c r="G20" s="72">
        <f>+B20-E20</f>
        <v>1913412632.9166667</v>
      </c>
      <c r="H20" s="4">
        <f t="shared" si="4"/>
        <v>1</v>
      </c>
    </row>
    <row r="21" spans="1:12" hidden="1" x14ac:dyDescent="0.25">
      <c r="A21" s="87" t="s">
        <v>21</v>
      </c>
      <c r="B21" s="133">
        <v>1913412632.9166667</v>
      </c>
      <c r="C21" s="133"/>
      <c r="D21" s="133"/>
      <c r="E21" s="134"/>
      <c r="F21" s="2">
        <f t="shared" si="3"/>
        <v>0</v>
      </c>
      <c r="G21" s="72">
        <f>+B21-E21</f>
        <v>1913412632.9166667</v>
      </c>
      <c r="H21" s="4">
        <f t="shared" si="4"/>
        <v>1</v>
      </c>
    </row>
    <row r="22" spans="1:12" hidden="1" x14ac:dyDescent="0.25">
      <c r="A22" s="27" t="s">
        <v>22</v>
      </c>
      <c r="B22" s="8">
        <f>SUM(B19:B21)</f>
        <v>5740237898.75</v>
      </c>
      <c r="C22" s="8"/>
      <c r="D22" s="8"/>
      <c r="E22" s="8">
        <f>SUM(E19:E21)</f>
        <v>0</v>
      </c>
      <c r="F22" s="3">
        <f t="shared" si="3"/>
        <v>0</v>
      </c>
      <c r="G22" s="13">
        <f>SUM(G19:G21)</f>
        <v>5740237898.75</v>
      </c>
      <c r="H22" s="5">
        <f t="shared" si="4"/>
        <v>1</v>
      </c>
    </row>
    <row r="23" spans="1:12" hidden="1" x14ac:dyDescent="0.25">
      <c r="A23" s="87" t="s">
        <v>13</v>
      </c>
      <c r="B23" s="133">
        <v>1913412632.9166667</v>
      </c>
      <c r="C23" s="133"/>
      <c r="D23" s="133"/>
      <c r="E23" s="134"/>
      <c r="F23" s="2">
        <f t="shared" si="3"/>
        <v>0</v>
      </c>
      <c r="G23" s="72">
        <f>+B23-E23</f>
        <v>1913412632.9166667</v>
      </c>
      <c r="H23" s="4">
        <f t="shared" si="4"/>
        <v>1</v>
      </c>
    </row>
    <row r="24" spans="1:12" hidden="1" x14ac:dyDescent="0.25">
      <c r="A24" s="87" t="s">
        <v>12</v>
      </c>
      <c r="B24" s="133">
        <v>1913412632.9166667</v>
      </c>
      <c r="C24" s="133"/>
      <c r="D24" s="133"/>
      <c r="E24" s="134"/>
      <c r="F24" s="2">
        <f t="shared" si="3"/>
        <v>0</v>
      </c>
      <c r="G24" s="72">
        <f>+B24-E24</f>
        <v>1913412632.9166667</v>
      </c>
      <c r="H24" s="4">
        <f t="shared" si="4"/>
        <v>1</v>
      </c>
    </row>
    <row r="25" spans="1:12" hidden="1" x14ac:dyDescent="0.25">
      <c r="A25" s="87" t="s">
        <v>11</v>
      </c>
      <c r="B25" s="133">
        <v>1843710155</v>
      </c>
      <c r="C25" s="133"/>
      <c r="D25" s="133"/>
      <c r="E25" s="134"/>
      <c r="F25" s="2">
        <f t="shared" si="3"/>
        <v>0</v>
      </c>
      <c r="G25" s="72">
        <f>+B25-E25</f>
        <v>1843710155</v>
      </c>
      <c r="H25" s="4">
        <f t="shared" si="4"/>
        <v>1</v>
      </c>
    </row>
    <row r="26" spans="1:12" hidden="1" x14ac:dyDescent="0.25">
      <c r="A26" s="87" t="s">
        <v>10</v>
      </c>
      <c r="B26" s="133">
        <v>1913412632.9166667</v>
      </c>
      <c r="C26" s="133"/>
      <c r="D26" s="133"/>
      <c r="E26" s="134"/>
      <c r="F26" s="2">
        <f t="shared" si="3"/>
        <v>0</v>
      </c>
      <c r="G26" s="72">
        <f>+B26-E26</f>
        <v>1913412632.9166667</v>
      </c>
      <c r="H26" s="4">
        <f t="shared" si="4"/>
        <v>1</v>
      </c>
    </row>
    <row r="27" spans="1:12" hidden="1" x14ac:dyDescent="0.25">
      <c r="A27" s="27" t="s">
        <v>14</v>
      </c>
      <c r="B27" s="8">
        <f>SUM(B23:B26)</f>
        <v>7583948053.750001</v>
      </c>
      <c r="C27" s="8"/>
      <c r="D27" s="8"/>
      <c r="E27" s="8">
        <f>SUM(E23:E26)</f>
        <v>0</v>
      </c>
      <c r="F27" s="3">
        <f t="shared" si="3"/>
        <v>0</v>
      </c>
      <c r="G27" s="13">
        <f>SUM(G23:G26)</f>
        <v>7583948053.750001</v>
      </c>
      <c r="H27" s="5">
        <f t="shared" si="4"/>
        <v>1</v>
      </c>
    </row>
    <row r="28" spans="1:12" hidden="1" x14ac:dyDescent="0.25">
      <c r="A28" s="136" t="s">
        <v>23</v>
      </c>
      <c r="B28" s="10">
        <f>+B14+B18+B22+B27</f>
        <v>29574149591.389999</v>
      </c>
      <c r="C28" s="10"/>
      <c r="D28" s="10"/>
      <c r="E28" s="10">
        <f>+E14+E18+E22+E27</f>
        <v>10446556603.769999</v>
      </c>
      <c r="F28" s="17">
        <f t="shared" si="3"/>
        <v>0.35323269639548088</v>
      </c>
      <c r="G28" s="11">
        <f>+G14+G18+G22+G27</f>
        <v>13626226714.950001</v>
      </c>
      <c r="H28" s="17">
        <v>1</v>
      </c>
    </row>
    <row r="29" spans="1:12" ht="33.75" customHeight="1" x14ac:dyDescent="0.25">
      <c r="A29" s="350" t="s">
        <v>70</v>
      </c>
      <c r="B29" s="350"/>
      <c r="C29" s="350"/>
      <c r="D29" s="350"/>
      <c r="E29" s="350"/>
      <c r="F29" s="350"/>
      <c r="G29" s="350"/>
      <c r="H29" s="350"/>
    </row>
    <row r="30" spans="1:12" ht="13.5" customHeight="1" x14ac:dyDescent="0.25">
      <c r="A30" s="351" t="s">
        <v>300</v>
      </c>
      <c r="B30" s="351"/>
      <c r="C30" s="351"/>
      <c r="D30" s="351"/>
      <c r="E30" s="351"/>
      <c r="F30" s="351"/>
      <c r="G30" s="351"/>
      <c r="H30" s="351"/>
      <c r="I30" s="14"/>
      <c r="J30" s="123"/>
    </row>
    <row r="31" spans="1:12" ht="12.75" customHeight="1" x14ac:dyDescent="0.25">
      <c r="A31" s="349" t="s">
        <v>299</v>
      </c>
      <c r="B31" s="349"/>
      <c r="C31" s="349"/>
      <c r="D31" s="349"/>
      <c r="E31" s="349"/>
      <c r="F31" s="349"/>
      <c r="G31" s="349"/>
      <c r="H31" s="349"/>
      <c r="J31" s="33"/>
      <c r="L31" s="14"/>
    </row>
    <row r="32" spans="1:12" x14ac:dyDescent="0.25">
      <c r="A32" s="204"/>
      <c r="B32" s="203"/>
      <c r="C32"/>
      <c r="D32"/>
      <c r="E32"/>
      <c r="F32"/>
      <c r="G32"/>
      <c r="H32"/>
      <c r="I32" s="14"/>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9" x14ac:dyDescent="0.25">
      <c r="A49"/>
      <c r="B49"/>
      <c r="C49"/>
      <c r="D49"/>
      <c r="E49"/>
      <c r="F49"/>
      <c r="G49"/>
      <c r="H49"/>
    </row>
    <row r="50" spans="1:9" x14ac:dyDescent="0.25">
      <c r="A50"/>
      <c r="B50"/>
      <c r="C50"/>
      <c r="D50"/>
      <c r="E50"/>
      <c r="F50"/>
      <c r="G50"/>
      <c r="H50"/>
    </row>
    <row r="51" spans="1:9" x14ac:dyDescent="0.25">
      <c r="A51"/>
      <c r="B51"/>
      <c r="C51"/>
      <c r="D51"/>
      <c r="E51"/>
      <c r="F51"/>
      <c r="G51"/>
      <c r="H51"/>
    </row>
    <row r="52" spans="1:9" x14ac:dyDescent="0.25">
      <c r="A52"/>
      <c r="B52"/>
      <c r="C52"/>
      <c r="D52"/>
      <c r="E52"/>
      <c r="F52"/>
      <c r="G52"/>
      <c r="H52"/>
    </row>
    <row r="53" spans="1:9" x14ac:dyDescent="0.25">
      <c r="A53"/>
      <c r="B53"/>
      <c r="C53"/>
      <c r="D53"/>
      <c r="E53"/>
      <c r="F53"/>
      <c r="G53"/>
      <c r="H53"/>
    </row>
    <row r="54" spans="1:9" x14ac:dyDescent="0.25">
      <c r="B54" s="87"/>
      <c r="C54" s="133"/>
      <c r="D54" s="153"/>
      <c r="E54" s="133"/>
      <c r="F54" s="134"/>
      <c r="G54" s="2"/>
      <c r="H54" s="72"/>
      <c r="I54" s="4"/>
    </row>
    <row r="56" spans="1:9" x14ac:dyDescent="0.25">
      <c r="B56" s="87"/>
      <c r="C56" s="153"/>
      <c r="D56" s="133"/>
      <c r="E56" s="133"/>
      <c r="F56" s="134"/>
      <c r="G56" s="2"/>
      <c r="H56" s="126"/>
      <c r="I56" s="4"/>
    </row>
  </sheetData>
  <mergeCells count="16">
    <mergeCell ref="E6:H6"/>
    <mergeCell ref="A31:H31"/>
    <mergeCell ref="A29:H29"/>
    <mergeCell ref="A30:H30"/>
    <mergeCell ref="A1:H1"/>
    <mergeCell ref="A2:H2"/>
    <mergeCell ref="A3:H3"/>
    <mergeCell ref="A5:H5"/>
    <mergeCell ref="E7:F8"/>
    <mergeCell ref="G7:H8"/>
    <mergeCell ref="B7:B8"/>
    <mergeCell ref="A7:A8"/>
    <mergeCell ref="A4:H4"/>
    <mergeCell ref="C7:C8"/>
    <mergeCell ref="D7:D8"/>
    <mergeCell ref="B6:D6"/>
  </mergeCells>
  <pageMargins left="0.7" right="0.7" top="0.75" bottom="0.75" header="0.3" footer="0.3"/>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W65"/>
  <sheetViews>
    <sheetView showGridLines="0" tabSelected="1" zoomScaleNormal="100" zoomScaleSheetLayoutView="130" workbookViewId="0">
      <selection activeCell="F42" sqref="F42"/>
    </sheetView>
  </sheetViews>
  <sheetFormatPr defaultColWidth="11.42578125" defaultRowHeight="15" x14ac:dyDescent="0.25"/>
  <cols>
    <col min="1" max="1" width="12.28515625" style="1" customWidth="1"/>
    <col min="2" max="2" width="11" style="1" customWidth="1"/>
    <col min="3" max="3" width="11.42578125" style="1" customWidth="1"/>
    <col min="4" max="4" width="17.5703125" style="1" customWidth="1"/>
    <col min="5" max="5" width="11" style="1" customWidth="1"/>
    <col min="6" max="6" width="10.140625" style="1" customWidth="1"/>
    <col min="7" max="7" width="15.5703125" style="1" customWidth="1"/>
    <col min="8" max="8" width="11.28515625" style="1" customWidth="1"/>
    <col min="9" max="9" width="11.7109375" style="1" customWidth="1"/>
    <col min="10" max="10" width="17.140625" style="1" customWidth="1"/>
    <col min="11" max="11" width="10.7109375" style="1" customWidth="1"/>
    <col min="12" max="12" width="10.28515625" style="1" customWidth="1"/>
    <col min="13" max="13" width="17.7109375" style="1" bestFit="1" customWidth="1"/>
    <col min="14" max="14" width="11" style="1" customWidth="1"/>
    <col min="15" max="15" width="15.42578125" style="1" hidden="1" customWidth="1"/>
    <col min="16" max="16" width="16.42578125" style="1" hidden="1" customWidth="1"/>
    <col min="17" max="17" width="14.7109375" style="1" hidden="1" customWidth="1"/>
    <col min="18" max="18" width="17.7109375" style="1" hidden="1" customWidth="1"/>
    <col min="19" max="19" width="16.7109375" style="1" hidden="1" customWidth="1"/>
    <col min="20" max="20" width="12.28515625" style="1" hidden="1" customWidth="1"/>
    <col min="21" max="21" width="17.7109375" style="1" hidden="1" customWidth="1"/>
    <col min="22" max="22" width="0" style="1" hidden="1" customWidth="1"/>
    <col min="23" max="16384" width="11.42578125" style="1"/>
  </cols>
  <sheetData>
    <row r="1" spans="1:23" x14ac:dyDescent="0.25">
      <c r="A1" s="343" t="s">
        <v>0</v>
      </c>
      <c r="B1" s="343"/>
      <c r="C1" s="343"/>
      <c r="D1" s="343"/>
      <c r="E1" s="343"/>
      <c r="F1" s="343"/>
      <c r="G1" s="343"/>
      <c r="H1" s="343"/>
      <c r="I1" s="343"/>
      <c r="J1" s="343"/>
      <c r="K1" s="343"/>
      <c r="L1" s="343"/>
      <c r="M1" s="343"/>
      <c r="N1" s="22"/>
    </row>
    <row r="2" spans="1:23" x14ac:dyDescent="0.25">
      <c r="A2" s="343" t="s">
        <v>62</v>
      </c>
      <c r="B2" s="343"/>
      <c r="C2" s="343"/>
      <c r="D2" s="343"/>
      <c r="E2" s="343"/>
      <c r="F2" s="343"/>
      <c r="G2" s="343"/>
      <c r="H2" s="343"/>
      <c r="I2" s="343"/>
      <c r="J2" s="343"/>
      <c r="K2" s="343"/>
      <c r="L2" s="343"/>
      <c r="M2" s="343"/>
    </row>
    <row r="3" spans="1:23" x14ac:dyDescent="0.25">
      <c r="A3" s="343" t="s">
        <v>71</v>
      </c>
      <c r="B3" s="343"/>
      <c r="C3" s="343"/>
      <c r="D3" s="343"/>
      <c r="E3" s="343"/>
      <c r="F3" s="343"/>
      <c r="G3" s="343"/>
      <c r="H3" s="343"/>
      <c r="I3" s="343"/>
      <c r="J3" s="343"/>
      <c r="K3" s="343"/>
      <c r="L3" s="343"/>
      <c r="M3" s="343"/>
    </row>
    <row r="4" spans="1:23" x14ac:dyDescent="0.25">
      <c r="A4" s="343" t="s">
        <v>273</v>
      </c>
      <c r="B4" s="343"/>
      <c r="C4" s="343"/>
      <c r="D4" s="343"/>
      <c r="E4" s="343"/>
      <c r="F4" s="343"/>
      <c r="G4" s="343"/>
      <c r="H4" s="343"/>
      <c r="I4" s="343"/>
      <c r="J4" s="343"/>
      <c r="K4" s="343"/>
      <c r="L4" s="343"/>
      <c r="M4" s="343"/>
    </row>
    <row r="5" spans="1:23" x14ac:dyDescent="0.25">
      <c r="A5" s="343" t="s">
        <v>272</v>
      </c>
      <c r="B5" s="343"/>
      <c r="C5" s="343"/>
      <c r="D5" s="343"/>
      <c r="E5" s="343"/>
      <c r="F5" s="343"/>
      <c r="G5" s="343"/>
      <c r="H5" s="343"/>
      <c r="I5" s="343"/>
      <c r="J5" s="343"/>
      <c r="K5" s="343"/>
      <c r="L5" s="343"/>
      <c r="M5" s="343"/>
    </row>
    <row r="6" spans="1:23" x14ac:dyDescent="0.25">
      <c r="A6"/>
      <c r="B6" s="354" t="s">
        <v>72</v>
      </c>
      <c r="C6" s="354"/>
      <c r="D6" s="354"/>
      <c r="E6" s="357" t="s">
        <v>73</v>
      </c>
      <c r="F6" s="357"/>
      <c r="G6" s="357"/>
      <c r="H6" s="355" t="s">
        <v>74</v>
      </c>
      <c r="I6" s="355"/>
      <c r="J6" s="355"/>
      <c r="K6" s="356" t="s">
        <v>75</v>
      </c>
      <c r="L6" s="356"/>
      <c r="M6" s="356"/>
    </row>
    <row r="7" spans="1:23" ht="25.5" x14ac:dyDescent="0.25">
      <c r="A7" s="43" t="s">
        <v>3</v>
      </c>
      <c r="B7" s="45" t="s">
        <v>76</v>
      </c>
      <c r="C7" s="45" t="s">
        <v>77</v>
      </c>
      <c r="D7" s="45" t="s">
        <v>7</v>
      </c>
      <c r="E7" s="45" t="s">
        <v>76</v>
      </c>
      <c r="F7" s="45" t="s">
        <v>77</v>
      </c>
      <c r="G7" s="45" t="s">
        <v>7</v>
      </c>
      <c r="H7" s="45" t="s">
        <v>76</v>
      </c>
      <c r="I7" s="45" t="s">
        <v>77</v>
      </c>
      <c r="J7" s="45" t="s">
        <v>7</v>
      </c>
      <c r="K7" s="45" t="s">
        <v>76</v>
      </c>
      <c r="L7" s="45" t="s">
        <v>77</v>
      </c>
      <c r="M7" s="45" t="s">
        <v>7</v>
      </c>
      <c r="W7" s="35"/>
    </row>
    <row r="8" spans="1:23" s="190" customFormat="1" ht="15.75" hidden="1" customHeight="1" x14ac:dyDescent="0.25">
      <c r="A8" s="191" t="s">
        <v>10</v>
      </c>
      <c r="B8" s="192"/>
      <c r="C8" s="189"/>
      <c r="D8" s="242"/>
      <c r="E8" s="188"/>
      <c r="F8" s="188"/>
      <c r="G8" s="243"/>
      <c r="H8" s="187"/>
      <c r="I8" s="188"/>
      <c r="J8" s="243"/>
      <c r="K8" s="193">
        <f>+H8+E8+B8</f>
        <v>0</v>
      </c>
      <c r="L8" s="193">
        <f>+C8+F8+I8</f>
        <v>0</v>
      </c>
      <c r="M8" s="244">
        <f>+D8+G8+J8</f>
        <v>0</v>
      </c>
    </row>
    <row r="9" spans="1:23" x14ac:dyDescent="0.25">
      <c r="A9" s="44" t="s">
        <v>277</v>
      </c>
      <c r="B9" s="322">
        <v>144321</v>
      </c>
      <c r="C9" s="322">
        <v>157009</v>
      </c>
      <c r="D9" s="323">
        <v>2516334988.5700002</v>
      </c>
      <c r="E9" s="322">
        <v>47060</v>
      </c>
      <c r="F9" s="322">
        <v>47060</v>
      </c>
      <c r="G9" s="323">
        <v>282360000</v>
      </c>
      <c r="H9" s="322">
        <v>24847</v>
      </c>
      <c r="I9" s="322">
        <v>24989</v>
      </c>
      <c r="J9" s="323">
        <v>721558247.62</v>
      </c>
      <c r="K9" s="325">
        <f>+B9+H9+E9</f>
        <v>216228</v>
      </c>
      <c r="L9" s="326">
        <f t="shared" ref="L9" si="0">+C9+I9+F9</f>
        <v>229058</v>
      </c>
      <c r="M9" s="327">
        <f t="shared" ref="M9" si="1">+D9+J9+G9</f>
        <v>3520253236.1900001</v>
      </c>
      <c r="U9" s="114">
        <f>+U29/1000000</f>
        <v>4346.9737028000009</v>
      </c>
    </row>
    <row r="10" spans="1:23" x14ac:dyDescent="0.25">
      <c r="A10" s="44" t="s">
        <v>270</v>
      </c>
      <c r="B10" s="322">
        <v>142822</v>
      </c>
      <c r="C10" s="324">
        <v>155471</v>
      </c>
      <c r="D10" s="323">
        <v>2483544771.9299998</v>
      </c>
      <c r="E10" s="322">
        <v>45266</v>
      </c>
      <c r="F10" s="322">
        <v>45266</v>
      </c>
      <c r="G10" s="323">
        <v>271596000</v>
      </c>
      <c r="H10" s="322">
        <v>24839</v>
      </c>
      <c r="I10" s="322">
        <v>24979</v>
      </c>
      <c r="J10" s="323">
        <v>721058641</v>
      </c>
      <c r="K10" s="325">
        <f t="shared" ref="K10:M10" si="2">+B10+H10+E10</f>
        <v>212927</v>
      </c>
      <c r="L10" s="326">
        <f t="shared" si="2"/>
        <v>225716</v>
      </c>
      <c r="M10" s="327">
        <f t="shared" si="2"/>
        <v>3476199412.9299998</v>
      </c>
      <c r="Q10" s="35">
        <f>+L11-L10</f>
        <v>-3276</v>
      </c>
    </row>
    <row r="11" spans="1:23" x14ac:dyDescent="0.25">
      <c r="A11" s="44" t="s">
        <v>274</v>
      </c>
      <c r="B11" s="322">
        <v>141156</v>
      </c>
      <c r="C11" s="322">
        <v>153771</v>
      </c>
      <c r="D11" s="323">
        <v>2437516720.1599998</v>
      </c>
      <c r="E11" s="322">
        <v>43694</v>
      </c>
      <c r="F11" s="322">
        <v>43694</v>
      </c>
      <c r="G11" s="323">
        <v>262164000</v>
      </c>
      <c r="H11" s="322">
        <v>24835</v>
      </c>
      <c r="I11" s="322">
        <v>24975</v>
      </c>
      <c r="J11" s="323">
        <v>720969472.14999998</v>
      </c>
      <c r="K11" s="325">
        <f>+B11+H11+E11</f>
        <v>209685</v>
      </c>
      <c r="L11" s="326">
        <f t="shared" ref="L11" si="3">+C11+I11+F11</f>
        <v>222440</v>
      </c>
      <c r="M11" s="328">
        <f t="shared" ref="M11" si="4">+D11+J11+G11</f>
        <v>3420650192.3099999</v>
      </c>
      <c r="S11" s="33"/>
      <c r="V11" s="1">
        <f>+U29/1000000</f>
        <v>4346.9737028000009</v>
      </c>
    </row>
    <row r="12" spans="1:23" x14ac:dyDescent="0.25">
      <c r="A12" s="27" t="s">
        <v>286</v>
      </c>
      <c r="B12" s="39">
        <f>+B9</f>
        <v>144321</v>
      </c>
      <c r="C12" s="39">
        <f>+C9</f>
        <v>157009</v>
      </c>
      <c r="D12" s="246">
        <f>SUM(D8:D11)</f>
        <v>7437396480.6599998</v>
      </c>
      <c r="E12" s="39">
        <f>+E9</f>
        <v>47060</v>
      </c>
      <c r="F12" s="39">
        <f>+F9</f>
        <v>47060</v>
      </c>
      <c r="G12" s="246">
        <f>SUM(G8:G11)</f>
        <v>816120000</v>
      </c>
      <c r="H12" s="39">
        <f>+H9</f>
        <v>24847</v>
      </c>
      <c r="I12" s="39">
        <f>+I9</f>
        <v>24989</v>
      </c>
      <c r="J12" s="247">
        <f>SUM(J8:J11)</f>
        <v>2163586360.77</v>
      </c>
      <c r="K12" s="39">
        <f>+K9</f>
        <v>216228</v>
      </c>
      <c r="L12" s="39">
        <f>+L9</f>
        <v>229058</v>
      </c>
      <c r="M12" s="247">
        <f>SUM(M8:M11)</f>
        <v>10417102841.43</v>
      </c>
      <c r="S12" s="353" t="s">
        <v>44</v>
      </c>
      <c r="T12" s="353"/>
      <c r="U12" s="353"/>
    </row>
    <row r="13" spans="1:23" hidden="1" x14ac:dyDescent="0.25">
      <c r="A13" s="44" t="s">
        <v>15</v>
      </c>
      <c r="B13" s="154"/>
      <c r="C13" s="125"/>
      <c r="D13" s="125">
        <f>SUM(D8:D11)</f>
        <v>7437396480.6599998</v>
      </c>
      <c r="E13" s="125"/>
      <c r="F13" s="125"/>
      <c r="G13" s="125">
        <f>SUM(G8:G11)</f>
        <v>816120000</v>
      </c>
      <c r="H13" s="125"/>
      <c r="I13" s="125"/>
      <c r="J13" s="125">
        <f>SUM(J8:J11)</f>
        <v>2163586360.77</v>
      </c>
      <c r="K13" s="37">
        <f t="shared" ref="K13:M15" si="5">+B13+H13+E13</f>
        <v>0</v>
      </c>
      <c r="L13" s="38">
        <f t="shared" si="5"/>
        <v>0</v>
      </c>
      <c r="M13" s="37">
        <f t="shared" si="5"/>
        <v>10417102841.43</v>
      </c>
    </row>
    <row r="14" spans="1:23" hidden="1" x14ac:dyDescent="0.25">
      <c r="A14" s="44" t="s">
        <v>16</v>
      </c>
      <c r="B14" s="154"/>
      <c r="C14" s="155"/>
      <c r="D14" s="125"/>
      <c r="E14" s="125"/>
      <c r="F14" s="125"/>
      <c r="G14" s="125"/>
      <c r="H14" s="125"/>
      <c r="I14" s="125"/>
      <c r="J14" s="125"/>
      <c r="K14" s="37">
        <f t="shared" si="5"/>
        <v>0</v>
      </c>
      <c r="L14" s="38">
        <f t="shared" si="5"/>
        <v>0</v>
      </c>
      <c r="M14" s="37">
        <f t="shared" si="5"/>
        <v>0</v>
      </c>
    </row>
    <row r="15" spans="1:23" hidden="1" x14ac:dyDescent="0.25">
      <c r="A15" s="44" t="s">
        <v>17</v>
      </c>
      <c r="B15" s="154"/>
      <c r="C15" s="125"/>
      <c r="D15" s="125"/>
      <c r="E15" s="125"/>
      <c r="F15" s="125"/>
      <c r="G15" s="125"/>
      <c r="H15" s="125"/>
      <c r="I15" s="125"/>
      <c r="J15" s="125"/>
      <c r="K15" s="37">
        <f t="shared" si="5"/>
        <v>0</v>
      </c>
      <c r="L15" s="38">
        <f t="shared" si="5"/>
        <v>0</v>
      </c>
      <c r="M15" s="37">
        <f t="shared" si="5"/>
        <v>0</v>
      </c>
      <c r="Q15" s="35">
        <f>+M11-M10</f>
        <v>-55549220.619999886</v>
      </c>
      <c r="S15" s="33"/>
    </row>
    <row r="16" spans="1:23" hidden="1" x14ac:dyDescent="0.25">
      <c r="A16" s="27" t="s">
        <v>18</v>
      </c>
      <c r="B16" s="39">
        <f>+B15</f>
        <v>0</v>
      </c>
      <c r="C16" s="39">
        <f>+C15</f>
        <v>0</v>
      </c>
      <c r="D16" s="39">
        <f>+SUM(D13:D15)</f>
        <v>7437396480.6599998</v>
      </c>
      <c r="E16" s="39">
        <f>+E15</f>
        <v>0</v>
      </c>
      <c r="F16" s="39">
        <f>+F15</f>
        <v>0</v>
      </c>
      <c r="G16" s="39">
        <f>+SUM(G13:G15)</f>
        <v>816120000</v>
      </c>
      <c r="H16" s="39">
        <f>+H15</f>
        <v>0</v>
      </c>
      <c r="I16" s="39">
        <f>+I15</f>
        <v>0</v>
      </c>
      <c r="J16" s="39">
        <f>+SUM(J13:J15)</f>
        <v>2163586360.77</v>
      </c>
      <c r="K16" s="39">
        <f>+K15</f>
        <v>0</v>
      </c>
      <c r="L16" s="40">
        <f>+L15</f>
        <v>0</v>
      </c>
      <c r="M16" s="39">
        <f>+SUM(M13:M15)</f>
        <v>10417102841.43</v>
      </c>
    </row>
    <row r="17" spans="1:21" hidden="1" x14ac:dyDescent="0.25">
      <c r="A17" s="44" t="s">
        <v>34</v>
      </c>
      <c r="B17" s="154"/>
      <c r="C17" s="125"/>
      <c r="D17" s="125"/>
      <c r="E17" s="125"/>
      <c r="F17" s="125"/>
      <c r="G17" s="125"/>
      <c r="H17" s="125"/>
      <c r="I17" s="125"/>
      <c r="J17" s="125"/>
      <c r="K17" s="37">
        <f t="shared" ref="K17:M19" si="6">+B17+H17+E17</f>
        <v>0</v>
      </c>
      <c r="L17" s="38">
        <f t="shared" si="6"/>
        <v>0</v>
      </c>
      <c r="M17" s="37">
        <f t="shared" si="6"/>
        <v>0</v>
      </c>
    </row>
    <row r="18" spans="1:21" hidden="1" x14ac:dyDescent="0.25">
      <c r="A18" s="44" t="s">
        <v>20</v>
      </c>
      <c r="B18" s="154"/>
      <c r="C18" s="155"/>
      <c r="D18" s="125"/>
      <c r="E18" s="125"/>
      <c r="F18" s="125"/>
      <c r="G18" s="125"/>
      <c r="H18" s="125"/>
      <c r="I18" s="125"/>
      <c r="J18" s="125"/>
      <c r="K18" s="37">
        <f t="shared" si="6"/>
        <v>0</v>
      </c>
      <c r="L18" s="38">
        <f t="shared" si="6"/>
        <v>0</v>
      </c>
      <c r="M18" s="37">
        <f t="shared" si="6"/>
        <v>0</v>
      </c>
    </row>
    <row r="19" spans="1:21" hidden="1" x14ac:dyDescent="0.25">
      <c r="A19" s="44" t="s">
        <v>21</v>
      </c>
      <c r="B19" s="154"/>
      <c r="C19" s="125"/>
      <c r="D19" s="125"/>
      <c r="E19" s="125"/>
      <c r="F19" s="125"/>
      <c r="G19" s="125"/>
      <c r="H19" s="125"/>
      <c r="I19" s="125"/>
      <c r="J19" s="125"/>
      <c r="K19" s="37">
        <f t="shared" si="6"/>
        <v>0</v>
      </c>
      <c r="L19" s="38">
        <f t="shared" si="6"/>
        <v>0</v>
      </c>
      <c r="M19" s="37">
        <f t="shared" si="6"/>
        <v>0</v>
      </c>
      <c r="S19" s="33"/>
    </row>
    <row r="20" spans="1:21" hidden="1" x14ac:dyDescent="0.25">
      <c r="A20" s="27" t="s">
        <v>22</v>
      </c>
      <c r="B20" s="39">
        <f>+B19</f>
        <v>0</v>
      </c>
      <c r="C20" s="39">
        <f>+C19</f>
        <v>0</v>
      </c>
      <c r="D20" s="39">
        <f>+SUM(D17:D19)</f>
        <v>0</v>
      </c>
      <c r="E20" s="39">
        <f>+E19</f>
        <v>0</v>
      </c>
      <c r="F20" s="39">
        <f>+F19</f>
        <v>0</v>
      </c>
      <c r="G20" s="39">
        <f>+SUM(G17:G19)</f>
        <v>0</v>
      </c>
      <c r="H20" s="39">
        <f>+H19</f>
        <v>0</v>
      </c>
      <c r="I20" s="39">
        <f>+I19</f>
        <v>0</v>
      </c>
      <c r="J20" s="39">
        <f>+SUM(J17:J19)</f>
        <v>0</v>
      </c>
      <c r="K20" s="39">
        <f>+K19</f>
        <v>0</v>
      </c>
      <c r="L20" s="40">
        <f>+L19</f>
        <v>0</v>
      </c>
      <c r="M20" s="39">
        <f>+SUM(M17:M19)</f>
        <v>0</v>
      </c>
    </row>
    <row r="21" spans="1:21" hidden="1" x14ac:dyDescent="0.25">
      <c r="A21" s="44" t="s">
        <v>13</v>
      </c>
      <c r="B21" s="154"/>
      <c r="C21" s="125"/>
      <c r="D21" s="125"/>
      <c r="E21" s="125"/>
      <c r="F21" s="125"/>
      <c r="G21" s="125"/>
      <c r="H21" s="125"/>
      <c r="I21" s="125"/>
      <c r="J21" s="125"/>
      <c r="K21" s="37">
        <f t="shared" ref="K21:M24" si="7">+B21+H21+E21</f>
        <v>0</v>
      </c>
      <c r="L21" s="38">
        <f t="shared" si="7"/>
        <v>0</v>
      </c>
      <c r="M21" s="37">
        <f t="shared" si="7"/>
        <v>0</v>
      </c>
    </row>
    <row r="22" spans="1:21" hidden="1" x14ac:dyDescent="0.25">
      <c r="A22" s="44" t="s">
        <v>12</v>
      </c>
      <c r="B22" s="154"/>
      <c r="C22" s="155"/>
      <c r="D22" s="125"/>
      <c r="E22" s="125"/>
      <c r="F22" s="125"/>
      <c r="G22" s="125"/>
      <c r="H22" s="125"/>
      <c r="I22" s="125"/>
      <c r="J22" s="125"/>
      <c r="K22" s="37">
        <f t="shared" si="7"/>
        <v>0</v>
      </c>
      <c r="L22" s="38">
        <f t="shared" si="7"/>
        <v>0</v>
      </c>
      <c r="M22" s="37">
        <f t="shared" si="7"/>
        <v>0</v>
      </c>
    </row>
    <row r="23" spans="1:21" hidden="1" x14ac:dyDescent="0.25">
      <c r="A23" s="44" t="s">
        <v>11</v>
      </c>
      <c r="B23" s="154"/>
      <c r="C23" s="125"/>
      <c r="D23" s="125"/>
      <c r="E23" s="125"/>
      <c r="F23" s="125"/>
      <c r="G23" s="125"/>
      <c r="H23" s="125"/>
      <c r="I23" s="125"/>
      <c r="J23" s="125"/>
      <c r="K23" s="37">
        <f t="shared" si="7"/>
        <v>0</v>
      </c>
      <c r="L23" s="38">
        <f t="shared" si="7"/>
        <v>0</v>
      </c>
      <c r="M23" s="37">
        <f t="shared" si="7"/>
        <v>0</v>
      </c>
      <c r="S23" s="33"/>
    </row>
    <row r="24" spans="1:21" hidden="1" x14ac:dyDescent="0.25">
      <c r="A24" s="44" t="s">
        <v>10</v>
      </c>
      <c r="B24" s="154"/>
      <c r="C24" s="125"/>
      <c r="D24" s="125"/>
      <c r="E24" s="125"/>
      <c r="F24" s="125"/>
      <c r="G24" s="125"/>
      <c r="H24" s="125"/>
      <c r="I24" s="125"/>
      <c r="J24" s="125"/>
      <c r="K24" s="37">
        <f t="shared" si="7"/>
        <v>0</v>
      </c>
      <c r="L24" s="38">
        <f t="shared" si="7"/>
        <v>0</v>
      </c>
      <c r="M24" s="37">
        <f t="shared" si="7"/>
        <v>0</v>
      </c>
    </row>
    <row r="25" spans="1:21" hidden="1" x14ac:dyDescent="0.25">
      <c r="A25" s="27" t="s">
        <v>14</v>
      </c>
      <c r="B25" s="39">
        <f>+B24</f>
        <v>0</v>
      </c>
      <c r="C25" s="39">
        <f>+C24</f>
        <v>0</v>
      </c>
      <c r="D25" s="39">
        <f>+SUM(D21:D24)</f>
        <v>0</v>
      </c>
      <c r="E25" s="39">
        <f>+E24</f>
        <v>0</v>
      </c>
      <c r="F25" s="39">
        <f>+F24</f>
        <v>0</v>
      </c>
      <c r="G25" s="39">
        <f>+SUM(G21:G24)</f>
        <v>0</v>
      </c>
      <c r="H25" s="39">
        <f>+H24</f>
        <v>0</v>
      </c>
      <c r="I25" s="39">
        <f>+I24</f>
        <v>0</v>
      </c>
      <c r="J25" s="39">
        <f>+SUM(J21:J24)</f>
        <v>0</v>
      </c>
      <c r="K25" s="39">
        <f>+K24</f>
        <v>0</v>
      </c>
      <c r="L25" s="40">
        <f>+L24</f>
        <v>0</v>
      </c>
      <c r="M25" s="39">
        <f>+SUM(M21:M24)</f>
        <v>0</v>
      </c>
    </row>
    <row r="26" spans="1:21" hidden="1" x14ac:dyDescent="0.25">
      <c r="A26" s="28" t="s">
        <v>23</v>
      </c>
      <c r="B26" s="41">
        <f>+B25</f>
        <v>0</v>
      </c>
      <c r="C26" s="41">
        <f>+C25</f>
        <v>0</v>
      </c>
      <c r="D26" s="41">
        <f>+D12+D16+D20+D25</f>
        <v>14874792961.32</v>
      </c>
      <c r="E26" s="41">
        <f>+E25</f>
        <v>0</v>
      </c>
      <c r="F26" s="41">
        <f>+F25</f>
        <v>0</v>
      </c>
      <c r="G26" s="41">
        <f>+G12+G16+G20+G25</f>
        <v>1632240000</v>
      </c>
      <c r="H26" s="41">
        <f>+H25</f>
        <v>0</v>
      </c>
      <c r="I26" s="41">
        <f>+I25</f>
        <v>0</v>
      </c>
      <c r="J26" s="41">
        <f>+J12+J16+J20+J25</f>
        <v>4327172721.54</v>
      </c>
      <c r="K26" s="41">
        <f>+K25</f>
        <v>0</v>
      </c>
      <c r="L26" s="42">
        <f>+L25</f>
        <v>0</v>
      </c>
      <c r="M26" s="41">
        <f>+M12+M16+M20+M25</f>
        <v>20834205682.860001</v>
      </c>
    </row>
    <row r="27" spans="1:21" x14ac:dyDescent="0.25">
      <c r="A27" s="138" t="s">
        <v>78</v>
      </c>
      <c r="B27" s="203"/>
      <c r="C27"/>
      <c r="D27"/>
      <c r="E27"/>
      <c r="F27"/>
      <c r="G27"/>
      <c r="H27"/>
      <c r="I27"/>
      <c r="J27" s="145"/>
      <c r="K27"/>
      <c r="L27"/>
      <c r="M27"/>
      <c r="P27" s="1" t="s">
        <v>79</v>
      </c>
      <c r="Q27" s="34" t="s">
        <v>80</v>
      </c>
      <c r="R27" s="76" t="s">
        <v>7</v>
      </c>
      <c r="S27" s="34" t="s">
        <v>81</v>
      </c>
      <c r="T27" s="76" t="s">
        <v>80</v>
      </c>
      <c r="U27" s="1" t="s">
        <v>7</v>
      </c>
    </row>
    <row r="28" spans="1:21" x14ac:dyDescent="0.25">
      <c r="A28"/>
      <c r="B28"/>
      <c r="C28"/>
      <c r="D28"/>
      <c r="E28"/>
      <c r="F28"/>
      <c r="G28"/>
      <c r="H28"/>
      <c r="I28"/>
      <c r="J28"/>
      <c r="K28"/>
      <c r="L28"/>
      <c r="M28"/>
      <c r="Q28" s="74"/>
      <c r="R28" s="36"/>
      <c r="S28" s="75">
        <v>145883</v>
      </c>
      <c r="T28" s="14">
        <v>158341</v>
      </c>
      <c r="U28" s="14">
        <v>6070129138.6299992</v>
      </c>
    </row>
    <row r="29" spans="1:21" x14ac:dyDescent="0.25">
      <c r="A29"/>
      <c r="B29"/>
      <c r="C29"/>
      <c r="D29"/>
      <c r="E29"/>
      <c r="F29"/>
      <c r="G29"/>
      <c r="H29"/>
      <c r="I29"/>
      <c r="J29"/>
      <c r="K29"/>
      <c r="L29"/>
      <c r="M29"/>
      <c r="Q29" s="81"/>
      <c r="R29" s="81"/>
      <c r="S29" s="35">
        <f>+K12-S28</f>
        <v>70345</v>
      </c>
      <c r="T29" s="35">
        <f>+L12-T28</f>
        <v>70717</v>
      </c>
      <c r="U29" s="35">
        <f>+M12-U28</f>
        <v>4346973702.8000011</v>
      </c>
    </row>
    <row r="30" spans="1:21" x14ac:dyDescent="0.25">
      <c r="A30"/>
      <c r="B30"/>
      <c r="C30"/>
      <c r="D30"/>
      <c r="E30"/>
      <c r="F30"/>
      <c r="G30"/>
      <c r="H30"/>
      <c r="I30"/>
      <c r="J30"/>
      <c r="K30"/>
      <c r="L30"/>
      <c r="M30"/>
      <c r="R30" s="36"/>
    </row>
    <row r="31" spans="1:21" x14ac:dyDescent="0.25">
      <c r="A31"/>
      <c r="B31"/>
      <c r="C31"/>
      <c r="D31"/>
      <c r="E31"/>
      <c r="F31"/>
      <c r="G31"/>
      <c r="H31"/>
      <c r="I31"/>
      <c r="J31"/>
      <c r="K31"/>
      <c r="L31"/>
      <c r="M31"/>
    </row>
    <row r="32" spans="1:21" x14ac:dyDescent="0.25">
      <c r="A32"/>
      <c r="B32"/>
      <c r="C32"/>
      <c r="D32"/>
      <c r="E32"/>
      <c r="F32"/>
      <c r="G32"/>
      <c r="H32"/>
      <c r="I32"/>
      <c r="J32"/>
      <c r="K32"/>
      <c r="L32"/>
      <c r="M32"/>
      <c r="S32" s="85">
        <f>+(K12-S28)/S28</f>
        <v>0.48220149023532555</v>
      </c>
      <c r="T32" s="85">
        <f>+(L12-T28)/T28</f>
        <v>0.44661205878452204</v>
      </c>
      <c r="U32" s="85">
        <f>+(M12-U28)/U28</f>
        <v>0.71612540747050624</v>
      </c>
    </row>
    <row r="33" spans="1:21" x14ac:dyDescent="0.25">
      <c r="A33"/>
      <c r="B33"/>
      <c r="C33"/>
      <c r="D33"/>
      <c r="E33"/>
      <c r="F33"/>
      <c r="G33"/>
      <c r="H33"/>
      <c r="I33"/>
      <c r="J33"/>
      <c r="K33"/>
      <c r="L33"/>
      <c r="M33"/>
    </row>
    <row r="34" spans="1:21" x14ac:dyDescent="0.25">
      <c r="A34"/>
      <c r="B34"/>
      <c r="C34"/>
      <c r="D34"/>
      <c r="E34"/>
      <c r="F34"/>
      <c r="G34"/>
      <c r="H34"/>
      <c r="I34"/>
      <c r="J34"/>
      <c r="K34"/>
      <c r="L34"/>
      <c r="M34"/>
    </row>
    <row r="35" spans="1:21" x14ac:dyDescent="0.25">
      <c r="A35"/>
      <c r="B35"/>
      <c r="C35"/>
      <c r="D35"/>
      <c r="E35"/>
      <c r="F35"/>
      <c r="G35"/>
      <c r="H35"/>
      <c r="I35"/>
      <c r="J35"/>
      <c r="K35"/>
      <c r="L35"/>
      <c r="M35"/>
      <c r="S35" s="1" t="s">
        <v>82</v>
      </c>
    </row>
    <row r="36" spans="1:21" x14ac:dyDescent="0.25">
      <c r="A36"/>
      <c r="B36"/>
      <c r="C36"/>
      <c r="D36"/>
      <c r="E36"/>
      <c r="F36"/>
      <c r="G36"/>
      <c r="H36"/>
      <c r="I36"/>
      <c r="J36"/>
      <c r="K36"/>
      <c r="L36"/>
      <c r="M36"/>
      <c r="S36" s="123" t="s">
        <v>81</v>
      </c>
      <c r="T36" s="123" t="s">
        <v>80</v>
      </c>
      <c r="U36" s="123" t="s">
        <v>7</v>
      </c>
    </row>
    <row r="37" spans="1:21" x14ac:dyDescent="0.25">
      <c r="A37"/>
      <c r="B37"/>
      <c r="C37"/>
      <c r="D37"/>
      <c r="E37"/>
      <c r="F37"/>
      <c r="G37"/>
      <c r="H37"/>
      <c r="I37"/>
      <c r="J37"/>
      <c r="K37"/>
      <c r="L37"/>
      <c r="M37"/>
      <c r="S37" s="123">
        <v>139458</v>
      </c>
      <c r="T37" s="123">
        <v>151810</v>
      </c>
      <c r="U37" s="123">
        <v>5844095640.5</v>
      </c>
    </row>
    <row r="38" spans="1:21" x14ac:dyDescent="0.25">
      <c r="A38"/>
      <c r="B38"/>
      <c r="C38"/>
      <c r="D38"/>
      <c r="E38"/>
      <c r="F38"/>
      <c r="G38"/>
      <c r="H38"/>
      <c r="I38"/>
      <c r="J38"/>
      <c r="K38"/>
      <c r="L38"/>
      <c r="M38"/>
      <c r="S38" s="123">
        <f>K12-S37</f>
        <v>76770</v>
      </c>
      <c r="T38" s="123">
        <f>L12-T37</f>
        <v>77248</v>
      </c>
      <c r="U38" s="123">
        <f>M12-U37</f>
        <v>4573007200.9300003</v>
      </c>
    </row>
    <row r="39" spans="1:21" x14ac:dyDescent="0.25">
      <c r="A39"/>
      <c r="B39"/>
      <c r="C39"/>
      <c r="D39"/>
      <c r="E39"/>
      <c r="F39"/>
      <c r="G39"/>
      <c r="H39"/>
      <c r="I39"/>
      <c r="J39"/>
      <c r="K39"/>
      <c r="L39"/>
      <c r="M39"/>
      <c r="S39" s="123"/>
      <c r="T39" s="123"/>
      <c r="U39" s="123"/>
    </row>
    <row r="40" spans="1:21" x14ac:dyDescent="0.25">
      <c r="A40"/>
      <c r="B40"/>
      <c r="C40"/>
      <c r="D40"/>
      <c r="E40"/>
      <c r="F40"/>
      <c r="G40"/>
      <c r="H40"/>
      <c r="I40"/>
      <c r="J40"/>
      <c r="K40"/>
      <c r="L40"/>
      <c r="M40"/>
      <c r="S40" s="123"/>
      <c r="T40" s="123"/>
      <c r="U40" s="123"/>
    </row>
    <row r="41" spans="1:21" x14ac:dyDescent="0.25">
      <c r="A41"/>
      <c r="B41"/>
      <c r="C41"/>
      <c r="D41"/>
      <c r="E41"/>
      <c r="F41"/>
      <c r="G41"/>
      <c r="H41"/>
      <c r="I41"/>
      <c r="J41"/>
      <c r="K41"/>
      <c r="L41"/>
      <c r="M41"/>
      <c r="S41" s="85">
        <f>+(K12-S37)/S37</f>
        <v>0.55048831906380413</v>
      </c>
      <c r="T41" s="85">
        <f>+(L12-T37)/T37</f>
        <v>0.50884658454647258</v>
      </c>
      <c r="U41" s="85">
        <f>+(M12-U37)/U37</f>
        <v>0.78250040420946121</v>
      </c>
    </row>
    <row r="42" spans="1:21" x14ac:dyDescent="0.25">
      <c r="A42"/>
      <c r="B42"/>
      <c r="C42"/>
      <c r="D42"/>
      <c r="E42"/>
      <c r="F42"/>
      <c r="G42"/>
      <c r="H42"/>
      <c r="I42"/>
      <c r="J42"/>
      <c r="K42"/>
      <c r="L42"/>
      <c r="M42"/>
    </row>
    <row r="43" spans="1:21" x14ac:dyDescent="0.25">
      <c r="A43"/>
      <c r="B43"/>
      <c r="C43"/>
      <c r="D43"/>
      <c r="E43"/>
      <c r="F43"/>
      <c r="G43"/>
      <c r="H43"/>
      <c r="I43"/>
      <c r="J43"/>
      <c r="K43"/>
      <c r="L43"/>
      <c r="M43"/>
    </row>
    <row r="44" spans="1:21" x14ac:dyDescent="0.25">
      <c r="A44"/>
      <c r="B44"/>
      <c r="C44"/>
      <c r="D44"/>
      <c r="E44"/>
      <c r="F44"/>
      <c r="G44"/>
      <c r="H44"/>
      <c r="I44"/>
      <c r="J44"/>
      <c r="K44"/>
      <c r="L44"/>
      <c r="M44"/>
    </row>
    <row r="45" spans="1:21" x14ac:dyDescent="0.25">
      <c r="A45"/>
      <c r="B45"/>
      <c r="C45"/>
      <c r="D45"/>
      <c r="E45"/>
      <c r="F45"/>
      <c r="G45"/>
      <c r="H45"/>
      <c r="I45"/>
      <c r="J45"/>
      <c r="K45"/>
      <c r="L45"/>
      <c r="M45"/>
    </row>
    <row r="46" spans="1:21" x14ac:dyDescent="0.25">
      <c r="A46"/>
      <c r="B46"/>
      <c r="C46"/>
      <c r="D46"/>
      <c r="E46"/>
      <c r="F46"/>
      <c r="G46"/>
      <c r="H46"/>
      <c r="I46"/>
      <c r="J46"/>
      <c r="K46"/>
      <c r="L46"/>
      <c r="M46"/>
    </row>
    <row r="47" spans="1:21" x14ac:dyDescent="0.25">
      <c r="A47"/>
      <c r="B47"/>
      <c r="C47"/>
      <c r="D47"/>
      <c r="E47"/>
      <c r="F47"/>
      <c r="G47"/>
      <c r="H47"/>
      <c r="I47"/>
      <c r="J47"/>
      <c r="K47"/>
      <c r="L47"/>
      <c r="M47"/>
    </row>
    <row r="48" spans="1:21" x14ac:dyDescent="0.25">
      <c r="A48"/>
      <c r="B48"/>
      <c r="C48"/>
      <c r="D48"/>
      <c r="E48"/>
      <c r="F48"/>
      <c r="G48"/>
      <c r="H48"/>
      <c r="I48"/>
      <c r="J48"/>
      <c r="K48"/>
      <c r="L48"/>
      <c r="M48"/>
    </row>
    <row r="49" spans="1:14" x14ac:dyDescent="0.25">
      <c r="A49"/>
      <c r="B49"/>
      <c r="C49"/>
      <c r="D49"/>
      <c r="E49"/>
      <c r="F49"/>
      <c r="G49"/>
      <c r="H49"/>
      <c r="I49"/>
      <c r="J49"/>
      <c r="K49"/>
      <c r="L49"/>
      <c r="M49"/>
    </row>
    <row r="50" spans="1:14" x14ac:dyDescent="0.25">
      <c r="A50"/>
      <c r="B50"/>
      <c r="C50"/>
      <c r="D50"/>
      <c r="E50"/>
      <c r="F50"/>
      <c r="G50"/>
      <c r="H50"/>
      <c r="I50"/>
      <c r="J50"/>
      <c r="K50"/>
      <c r="L50"/>
      <c r="M50"/>
    </row>
    <row r="51" spans="1:14" x14ac:dyDescent="0.25">
      <c r="A51"/>
      <c r="B51"/>
      <c r="C51"/>
      <c r="D51"/>
      <c r="E51"/>
      <c r="F51"/>
      <c r="G51"/>
      <c r="H51"/>
      <c r="I51"/>
      <c r="J51"/>
      <c r="K51"/>
      <c r="L51"/>
      <c r="M51"/>
    </row>
    <row r="52" spans="1:14" x14ac:dyDescent="0.25">
      <c r="A52"/>
      <c r="B52"/>
      <c r="C52"/>
      <c r="D52"/>
      <c r="E52"/>
      <c r="F52"/>
      <c r="G52"/>
      <c r="H52"/>
      <c r="I52"/>
      <c r="J52"/>
      <c r="K52"/>
      <c r="L52"/>
      <c r="M52"/>
    </row>
    <row r="53" spans="1:14" x14ac:dyDescent="0.25">
      <c r="A53"/>
      <c r="B53"/>
      <c r="C53"/>
      <c r="D53"/>
      <c r="E53"/>
      <c r="F53"/>
      <c r="G53"/>
      <c r="H53"/>
      <c r="I53"/>
      <c r="J53"/>
      <c r="K53"/>
      <c r="L53"/>
      <c r="M53"/>
    </row>
    <row r="54" spans="1:14" x14ac:dyDescent="0.25">
      <c r="A54"/>
      <c r="B54"/>
      <c r="C54"/>
      <c r="D54"/>
      <c r="E54"/>
      <c r="F54"/>
      <c r="G54"/>
      <c r="H54"/>
      <c r="I54"/>
      <c r="J54"/>
      <c r="K54"/>
      <c r="L54"/>
      <c r="M54"/>
    </row>
    <row r="55" spans="1:14" x14ac:dyDescent="0.25">
      <c r="A55"/>
      <c r="B55"/>
      <c r="C55"/>
      <c r="D55"/>
      <c r="E55"/>
      <c r="F55"/>
      <c r="G55"/>
      <c r="H55"/>
      <c r="I55"/>
      <c r="J55"/>
      <c r="K55"/>
      <c r="L55"/>
      <c r="M55"/>
    </row>
    <row r="56" spans="1:14" x14ac:dyDescent="0.25">
      <c r="A56"/>
      <c r="B56"/>
      <c r="C56"/>
      <c r="D56"/>
      <c r="E56"/>
      <c r="F56"/>
      <c r="G56"/>
      <c r="H56"/>
      <c r="I56"/>
      <c r="J56"/>
      <c r="K56"/>
      <c r="L56"/>
      <c r="M56"/>
    </row>
    <row r="57" spans="1:14" x14ac:dyDescent="0.25">
      <c r="A57"/>
      <c r="B57"/>
      <c r="C57"/>
      <c r="D57"/>
      <c r="E57"/>
      <c r="F57"/>
      <c r="G57"/>
      <c r="H57"/>
      <c r="I57"/>
      <c r="J57"/>
      <c r="K57"/>
      <c r="L57"/>
      <c r="M57"/>
    </row>
    <row r="63" spans="1:14" x14ac:dyDescent="0.25">
      <c r="B63" s="44"/>
      <c r="C63" s="154"/>
      <c r="D63" s="125"/>
      <c r="E63" s="125"/>
      <c r="F63" s="125"/>
      <c r="G63" s="125"/>
      <c r="H63" s="125"/>
      <c r="I63" s="125"/>
      <c r="J63" s="125"/>
      <c r="K63" s="125"/>
      <c r="L63" s="37"/>
      <c r="M63" s="38"/>
      <c r="N63" s="37"/>
    </row>
    <row r="65" spans="2:14" x14ac:dyDescent="0.25">
      <c r="B65" s="44"/>
      <c r="C65" s="154"/>
      <c r="D65" s="125"/>
      <c r="E65" s="125"/>
      <c r="F65" s="125"/>
      <c r="G65" s="125"/>
      <c r="H65" s="125"/>
      <c r="I65" s="125"/>
      <c r="J65" s="125"/>
      <c r="K65" s="125"/>
      <c r="L65" s="37"/>
      <c r="M65" s="38"/>
      <c r="N65" s="127"/>
    </row>
  </sheetData>
  <mergeCells count="10">
    <mergeCell ref="S12:U12"/>
    <mergeCell ref="A1:M1"/>
    <mergeCell ref="A2:M2"/>
    <mergeCell ref="A3:M3"/>
    <mergeCell ref="A5:M5"/>
    <mergeCell ref="B6:D6"/>
    <mergeCell ref="H6:J6"/>
    <mergeCell ref="K6:M6"/>
    <mergeCell ref="A4:M4"/>
    <mergeCell ref="E6:G6"/>
  </mergeCells>
  <pageMargins left="0.7" right="0.7" top="0.75" bottom="0.75" header="0.3" footer="0.3"/>
  <pageSetup paperSize="9" scale="53" orientation="portrait" r:id="rId1"/>
  <colBreaks count="1" manualBreakCount="1">
    <brk id="14" max="1048575" man="1"/>
  </colBreaks>
  <ignoredErrors>
    <ignoredError sqref="K12 L12:M12 G12 D12"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R42"/>
  <sheetViews>
    <sheetView showGridLines="0" zoomScale="91" zoomScaleNormal="85" workbookViewId="0">
      <selection activeCell="R21" sqref="R21"/>
    </sheetView>
  </sheetViews>
  <sheetFormatPr defaultColWidth="11.42578125" defaultRowHeight="15" x14ac:dyDescent="0.25"/>
  <cols>
    <col min="1" max="1" width="12.28515625" style="1" customWidth="1"/>
    <col min="2" max="2" width="10.7109375" style="1" customWidth="1"/>
    <col min="3" max="3" width="13.5703125" style="1" customWidth="1"/>
    <col min="4" max="4" width="10.5703125" style="1" customWidth="1"/>
    <col min="5" max="5" width="15.140625" style="1" customWidth="1"/>
    <col min="6" max="6" width="12.28515625" style="1" customWidth="1"/>
    <col min="7" max="11" width="10.5703125" style="1" customWidth="1"/>
    <col min="12" max="12" width="17.7109375" style="1" customWidth="1"/>
    <col min="13" max="13" width="14.85546875" style="1" customWidth="1"/>
    <col min="14" max="14" width="14.7109375" style="1" customWidth="1"/>
    <col min="15" max="15" width="16.7109375" style="1" customWidth="1"/>
    <col min="16" max="16" width="13.5703125" style="1" customWidth="1"/>
    <col min="17" max="17" width="15.28515625" style="1" customWidth="1"/>
    <col min="18" max="18" width="17" style="1" customWidth="1"/>
    <col min="19" max="16384" width="11.42578125" style="1"/>
  </cols>
  <sheetData>
    <row r="1" spans="1:18" x14ac:dyDescent="0.25">
      <c r="A1" s="343" t="s">
        <v>0</v>
      </c>
      <c r="B1" s="343"/>
      <c r="C1" s="343"/>
      <c r="D1" s="343"/>
      <c r="E1" s="343"/>
      <c r="F1" s="343"/>
      <c r="G1" s="343"/>
      <c r="H1" s="343"/>
      <c r="I1" s="343"/>
      <c r="J1" s="343"/>
      <c r="K1" s="343"/>
      <c r="L1" s="343"/>
      <c r="M1" s="343"/>
      <c r="N1" s="343"/>
      <c r="O1" s="343"/>
      <c r="P1" s="343"/>
      <c r="Q1" s="343"/>
      <c r="R1" s="343"/>
    </row>
    <row r="2" spans="1:18" x14ac:dyDescent="0.25">
      <c r="A2" s="343" t="s">
        <v>62</v>
      </c>
      <c r="B2" s="343"/>
      <c r="C2" s="343"/>
      <c r="D2" s="343"/>
      <c r="E2" s="343"/>
      <c r="F2" s="343"/>
      <c r="G2" s="343"/>
      <c r="H2" s="343"/>
      <c r="I2" s="343"/>
      <c r="J2" s="343"/>
      <c r="K2" s="343"/>
      <c r="L2" s="343"/>
      <c r="M2" s="343"/>
      <c r="N2" s="343"/>
      <c r="O2" s="343"/>
      <c r="P2" s="343"/>
      <c r="Q2" s="343"/>
      <c r="R2" s="343"/>
    </row>
    <row r="3" spans="1:18" x14ac:dyDescent="0.25">
      <c r="A3" s="343" t="s">
        <v>83</v>
      </c>
      <c r="B3" s="343"/>
      <c r="C3" s="343"/>
      <c r="D3" s="343"/>
      <c r="E3" s="343"/>
      <c r="F3" s="343"/>
      <c r="G3" s="343"/>
      <c r="H3" s="343"/>
      <c r="I3" s="343"/>
      <c r="J3" s="343"/>
      <c r="K3" s="343"/>
      <c r="L3" s="343"/>
      <c r="M3" s="343"/>
      <c r="N3" s="343"/>
      <c r="O3" s="343"/>
      <c r="P3" s="343"/>
      <c r="Q3" s="343"/>
      <c r="R3" s="343"/>
    </row>
    <row r="4" spans="1:18" x14ac:dyDescent="0.25">
      <c r="A4" s="343" t="s">
        <v>273</v>
      </c>
      <c r="B4" s="343"/>
      <c r="C4" s="343"/>
      <c r="D4" s="343"/>
      <c r="E4" s="343"/>
      <c r="F4" s="343"/>
      <c r="G4" s="343"/>
      <c r="H4" s="343"/>
      <c r="I4" s="343"/>
      <c r="J4" s="343"/>
      <c r="K4" s="343"/>
      <c r="L4" s="343"/>
      <c r="M4" s="343"/>
      <c r="N4" s="343"/>
      <c r="O4" s="343"/>
      <c r="P4" s="343"/>
      <c r="Q4" s="343"/>
      <c r="R4" s="343"/>
    </row>
    <row r="5" spans="1:18" x14ac:dyDescent="0.25">
      <c r="A5" s="343" t="s">
        <v>272</v>
      </c>
      <c r="B5" s="343"/>
      <c r="C5" s="343"/>
      <c r="D5" s="343"/>
      <c r="E5" s="343"/>
      <c r="F5" s="343"/>
      <c r="G5" s="343"/>
      <c r="H5" s="343"/>
      <c r="I5" s="343"/>
      <c r="J5" s="343"/>
      <c r="K5" s="343"/>
      <c r="L5" s="343"/>
      <c r="M5" s="343"/>
      <c r="N5" s="343"/>
      <c r="O5" s="343"/>
      <c r="P5" s="343"/>
      <c r="Q5" s="343"/>
      <c r="R5" s="343"/>
    </row>
    <row r="6" spans="1:18" ht="30" customHeight="1" x14ac:dyDescent="0.25">
      <c r="A6" s="22"/>
      <c r="B6" s="358" t="s">
        <v>84</v>
      </c>
      <c r="C6" s="358"/>
      <c r="D6" s="358"/>
      <c r="E6" s="358"/>
      <c r="F6" s="358"/>
      <c r="G6" s="363" t="s">
        <v>85</v>
      </c>
      <c r="H6" s="363"/>
      <c r="I6" s="363"/>
      <c r="J6" s="363"/>
      <c r="K6" s="363"/>
      <c r="L6" s="361" t="s">
        <v>86</v>
      </c>
      <c r="M6" s="361"/>
      <c r="N6" s="362" t="s">
        <v>87</v>
      </c>
      <c r="O6" s="362"/>
      <c r="P6" s="360" t="s">
        <v>75</v>
      </c>
      <c r="Q6" s="360"/>
      <c r="R6" s="22"/>
    </row>
    <row r="7" spans="1:18" ht="24" customHeight="1" x14ac:dyDescent="0.25">
      <c r="A7" s="45" t="s">
        <v>3</v>
      </c>
      <c r="B7" s="45" t="s">
        <v>88</v>
      </c>
      <c r="C7" s="45" t="s">
        <v>89</v>
      </c>
      <c r="D7" s="45" t="s">
        <v>90</v>
      </c>
      <c r="E7" s="45" t="s">
        <v>91</v>
      </c>
      <c r="F7" s="45" t="s">
        <v>92</v>
      </c>
      <c r="G7" s="45" t="s">
        <v>88</v>
      </c>
      <c r="H7" s="45" t="s">
        <v>89</v>
      </c>
      <c r="I7" s="45" t="s">
        <v>90</v>
      </c>
      <c r="J7" s="45" t="s">
        <v>91</v>
      </c>
      <c r="K7" s="45" t="s">
        <v>92</v>
      </c>
      <c r="L7" s="45" t="s">
        <v>88</v>
      </c>
      <c r="M7" s="45" t="s">
        <v>89</v>
      </c>
      <c r="N7" s="45" t="s">
        <v>88</v>
      </c>
      <c r="O7" s="45" t="s">
        <v>93</v>
      </c>
      <c r="P7" s="45" t="s">
        <v>88</v>
      </c>
      <c r="Q7" s="45" t="s">
        <v>89</v>
      </c>
    </row>
    <row r="8" spans="1:18" ht="1.5" hidden="1" customHeight="1" x14ac:dyDescent="0.25">
      <c r="A8" s="44" t="s">
        <v>10</v>
      </c>
      <c r="B8" s="215"/>
      <c r="C8" s="248"/>
      <c r="D8" s="248"/>
      <c r="E8" s="248"/>
      <c r="F8" s="248"/>
      <c r="G8" s="215"/>
      <c r="H8" s="248"/>
      <c r="I8" s="248"/>
      <c r="J8" s="248"/>
      <c r="K8" s="248"/>
      <c r="L8" s="215"/>
      <c r="M8" s="248"/>
      <c r="N8" s="248"/>
      <c r="O8" s="248"/>
      <c r="P8" s="215">
        <f>B8+G8+L8+N8</f>
        <v>0</v>
      </c>
      <c r="Q8" s="248">
        <f>C8+H8+M8+O8</f>
        <v>0</v>
      </c>
    </row>
    <row r="9" spans="1:18" ht="13.5" customHeight="1" x14ac:dyDescent="0.25">
      <c r="A9" s="44" t="s">
        <v>277</v>
      </c>
      <c r="B9" s="332">
        <v>214</v>
      </c>
      <c r="C9" s="304">
        <v>2377677.81</v>
      </c>
      <c r="D9" s="304">
        <v>237054.48</v>
      </c>
      <c r="E9" s="304">
        <v>71330.320000000007</v>
      </c>
      <c r="F9" s="304">
        <v>2069293</v>
      </c>
      <c r="G9" s="332">
        <v>2</v>
      </c>
      <c r="H9" s="304">
        <v>25000</v>
      </c>
      <c r="I9" s="304">
        <v>2492.5</v>
      </c>
      <c r="J9" s="304">
        <v>750</v>
      </c>
      <c r="K9" s="304">
        <v>21757.5</v>
      </c>
      <c r="L9" s="332">
        <v>556</v>
      </c>
      <c r="M9" s="304">
        <v>9562858.2699999996</v>
      </c>
      <c r="N9" s="332">
        <v>811</v>
      </c>
      <c r="O9" s="304">
        <v>9771196.1999999993</v>
      </c>
      <c r="P9" s="201">
        <f t="shared" ref="P9:Q11" si="0">+L9+N9+B9+G9</f>
        <v>1583</v>
      </c>
      <c r="Q9" s="250">
        <f t="shared" si="0"/>
        <v>21736732.279999997</v>
      </c>
    </row>
    <row r="10" spans="1:18" x14ac:dyDescent="0.25">
      <c r="A10" s="44" t="s">
        <v>279</v>
      </c>
      <c r="B10" s="332">
        <v>214</v>
      </c>
      <c r="C10" s="304">
        <v>2329526.35</v>
      </c>
      <c r="D10" s="304">
        <v>232253.78</v>
      </c>
      <c r="E10" s="304">
        <v>69885.78</v>
      </c>
      <c r="F10" s="304">
        <v>2027386.79</v>
      </c>
      <c r="G10" s="332">
        <v>2</v>
      </c>
      <c r="H10" s="304">
        <v>25000</v>
      </c>
      <c r="I10" s="304">
        <v>2492.5</v>
      </c>
      <c r="J10" s="304">
        <v>750</v>
      </c>
      <c r="K10" s="304">
        <v>21757.5</v>
      </c>
      <c r="L10" s="332">
        <v>547</v>
      </c>
      <c r="M10" s="304">
        <v>9391895.4700000007</v>
      </c>
      <c r="N10" s="332">
        <v>804</v>
      </c>
      <c r="O10" s="304">
        <v>9582956.9199999999</v>
      </c>
      <c r="P10" s="201">
        <f t="shared" si="0"/>
        <v>1567</v>
      </c>
      <c r="Q10" s="250">
        <f t="shared" si="0"/>
        <v>21329378.740000002</v>
      </c>
    </row>
    <row r="11" spans="1:18" x14ac:dyDescent="0.25">
      <c r="A11" s="44" t="s">
        <v>274</v>
      </c>
      <c r="B11" s="332">
        <v>213</v>
      </c>
      <c r="C11" s="304">
        <v>2349280.37</v>
      </c>
      <c r="D11" s="304">
        <v>234223.26</v>
      </c>
      <c r="E11" s="304">
        <v>70478.399999999994</v>
      </c>
      <c r="F11" s="304">
        <v>2044578.71</v>
      </c>
      <c r="G11" s="332">
        <v>2</v>
      </c>
      <c r="H11" s="304">
        <v>25000</v>
      </c>
      <c r="I11" s="304">
        <v>2492.5</v>
      </c>
      <c r="J11" s="304">
        <v>750</v>
      </c>
      <c r="K11" s="304">
        <v>21757.5</v>
      </c>
      <c r="L11" s="332">
        <v>549</v>
      </c>
      <c r="M11" s="304">
        <v>9431789.5399999991</v>
      </c>
      <c r="N11" s="332">
        <v>793</v>
      </c>
      <c r="O11" s="304">
        <v>9475452.4000000004</v>
      </c>
      <c r="P11" s="201">
        <f t="shared" si="0"/>
        <v>1557</v>
      </c>
      <c r="Q11" s="250">
        <f t="shared" si="0"/>
        <v>21281522.309999999</v>
      </c>
    </row>
    <row r="12" spans="1:18" x14ac:dyDescent="0.25">
      <c r="A12" s="27" t="s">
        <v>287</v>
      </c>
      <c r="B12" s="331">
        <f>+B9</f>
        <v>214</v>
      </c>
      <c r="C12" s="329">
        <f>+SUM(C8:C11)</f>
        <v>7056484.5300000003</v>
      </c>
      <c r="D12" s="330">
        <f>+SUM(D9:D11)</f>
        <v>703531.52000000002</v>
      </c>
      <c r="E12" s="330">
        <f>+SUM(E9:E11)</f>
        <v>211694.5</v>
      </c>
      <c r="F12" s="330">
        <f>+SUM(F8:F11)</f>
        <v>6141258.5</v>
      </c>
      <c r="G12" s="331">
        <f>+G9</f>
        <v>2</v>
      </c>
      <c r="H12" s="330">
        <f>SUM(H8:H11)</f>
        <v>75000</v>
      </c>
      <c r="I12" s="330">
        <f>SUM(I9:I11)</f>
        <v>7477.5</v>
      </c>
      <c r="J12" s="330">
        <f>SUM(J9:J11)</f>
        <v>2250</v>
      </c>
      <c r="K12" s="330">
        <f>SUM(K8:K11)</f>
        <v>65272.5</v>
      </c>
      <c r="L12" s="331">
        <f>+L9</f>
        <v>556</v>
      </c>
      <c r="M12" s="330">
        <f>+SUM(M8:M11)</f>
        <v>28386543.280000001</v>
      </c>
      <c r="N12" s="330">
        <f>+N9</f>
        <v>811</v>
      </c>
      <c r="O12" s="330">
        <f>+SUM(O8:O11)</f>
        <v>28829605.519999996</v>
      </c>
      <c r="P12" s="200">
        <f>+P9</f>
        <v>1583</v>
      </c>
      <c r="Q12" s="249">
        <f>SUM(Q8:Q11)</f>
        <v>64347633.329999998</v>
      </c>
    </row>
    <row r="13" spans="1:18" x14ac:dyDescent="0.25">
      <c r="A13" s="206" t="s">
        <v>99</v>
      </c>
      <c r="C13" s="393">
        <f>+C12/Q12</f>
        <v>0.1096619124096075</v>
      </c>
      <c r="D13" s="394"/>
      <c r="E13" s="394"/>
      <c r="F13" s="394"/>
      <c r="G13" s="394"/>
      <c r="H13" s="393">
        <f>+H12/Q12</f>
        <v>1.1655440319828154E-3</v>
      </c>
      <c r="I13" s="394"/>
      <c r="J13" s="394"/>
      <c r="K13" s="394"/>
      <c r="L13" s="394"/>
      <c r="M13" s="393">
        <f>+M12/Q12</f>
        <v>0.44114354811501194</v>
      </c>
      <c r="N13" s="394"/>
      <c r="O13" s="393">
        <f>+O12/Q12</f>
        <v>0.44802899544339769</v>
      </c>
    </row>
    <row r="14" spans="1:18" x14ac:dyDescent="0.25">
      <c r="A14" s="206"/>
      <c r="C14" s="311"/>
      <c r="H14" s="311"/>
      <c r="M14" s="311"/>
      <c r="O14" s="311"/>
    </row>
    <row r="15" spans="1:18" x14ac:dyDescent="0.25">
      <c r="A15" s="206"/>
      <c r="C15" s="311"/>
      <c r="H15" s="311"/>
      <c r="M15" s="311"/>
      <c r="O15" s="311"/>
    </row>
    <row r="16" spans="1:18" x14ac:dyDescent="0.25">
      <c r="P16" s="36"/>
    </row>
    <row r="17" spans="2:17" x14ac:dyDescent="0.25">
      <c r="C17" s="35"/>
      <c r="D17"/>
      <c r="E17"/>
      <c r="F17"/>
      <c r="G17"/>
      <c r="H17"/>
      <c r="I17"/>
      <c r="J17"/>
      <c r="K17"/>
      <c r="L17"/>
      <c r="M17"/>
      <c r="N17"/>
      <c r="O17"/>
      <c r="Q17" s="35"/>
    </row>
    <row r="19" spans="2:17" x14ac:dyDescent="0.25">
      <c r="B19" s="14"/>
    </row>
    <row r="20" spans="2:17" x14ac:dyDescent="0.25">
      <c r="M20" s="1" t="s">
        <v>94</v>
      </c>
    </row>
    <row r="29" spans="2:17" x14ac:dyDescent="0.25">
      <c r="E29" s="202"/>
    </row>
    <row r="32" spans="2:17" ht="4.5" customHeight="1" x14ac:dyDescent="0.25"/>
    <row r="33" spans="1:14" ht="41.25" customHeight="1" x14ac:dyDescent="0.25">
      <c r="A33"/>
      <c r="B33" s="358" t="s">
        <v>95</v>
      </c>
      <c r="C33" s="358"/>
      <c r="D33" s="359" t="s">
        <v>96</v>
      </c>
      <c r="E33" s="359"/>
      <c r="F33" s="363" t="s">
        <v>85</v>
      </c>
      <c r="G33" s="363"/>
      <c r="H33" s="363"/>
      <c r="I33" s="363"/>
      <c r="J33" s="364" t="s">
        <v>97</v>
      </c>
      <c r="K33" s="364"/>
      <c r="L33" s="364"/>
      <c r="M33" s="360" t="s">
        <v>75</v>
      </c>
      <c r="N33" s="360"/>
    </row>
    <row r="34" spans="1:14" ht="38.25" customHeight="1" x14ac:dyDescent="0.25">
      <c r="A34" s="212" t="s">
        <v>3</v>
      </c>
      <c r="B34" s="212" t="s">
        <v>88</v>
      </c>
      <c r="C34" s="212" t="s">
        <v>89</v>
      </c>
      <c r="D34" s="212" t="s">
        <v>88</v>
      </c>
      <c r="E34" s="212" t="s">
        <v>89</v>
      </c>
      <c r="F34" s="365" t="s">
        <v>88</v>
      </c>
      <c r="G34" s="365"/>
      <c r="H34" s="345" t="s">
        <v>89</v>
      </c>
      <c r="I34" s="345"/>
      <c r="J34" s="369" t="s">
        <v>88</v>
      </c>
      <c r="K34" s="369"/>
      <c r="L34" s="212" t="s">
        <v>7</v>
      </c>
      <c r="M34" s="212" t="s">
        <v>88</v>
      </c>
      <c r="N34" s="212" t="s">
        <v>89</v>
      </c>
    </row>
    <row r="35" spans="1:14" ht="0.75" customHeight="1" x14ac:dyDescent="0.25">
      <c r="A35" s="44" t="s">
        <v>10</v>
      </c>
      <c r="B35" s="199" t="s">
        <v>98</v>
      </c>
      <c r="C35" s="32" t="s">
        <v>98</v>
      </c>
      <c r="D35" s="199" t="s">
        <v>98</v>
      </c>
      <c r="E35" s="32" t="s">
        <v>98</v>
      </c>
      <c r="F35" s="368" t="s">
        <v>98</v>
      </c>
      <c r="G35" s="368"/>
      <c r="H35" s="368" t="s">
        <v>98</v>
      </c>
      <c r="I35" s="368"/>
      <c r="J35" s="368" t="s">
        <v>98</v>
      </c>
      <c r="K35" s="368"/>
      <c r="L35" s="215" t="s">
        <v>98</v>
      </c>
      <c r="M35" s="199" t="s">
        <v>98</v>
      </c>
      <c r="N35" s="199" t="s">
        <v>98</v>
      </c>
    </row>
    <row r="36" spans="1:14" x14ac:dyDescent="0.25">
      <c r="A36" s="44" t="s">
        <v>269</v>
      </c>
      <c r="B36" s="301">
        <v>4</v>
      </c>
      <c r="C36" s="266">
        <v>1373021.9</v>
      </c>
      <c r="D36" s="301">
        <v>8</v>
      </c>
      <c r="E36" s="266">
        <v>3948042.3</v>
      </c>
      <c r="F36" s="366">
        <v>0</v>
      </c>
      <c r="G36" s="366"/>
      <c r="H36" s="366">
        <v>0</v>
      </c>
      <c r="I36" s="366"/>
      <c r="J36" s="368">
        <v>13</v>
      </c>
      <c r="K36" s="368"/>
      <c r="L36" s="266">
        <v>7464034.0999999996</v>
      </c>
      <c r="M36" s="201">
        <f>B36+D36+J36</f>
        <v>25</v>
      </c>
      <c r="N36" s="250">
        <f>C36+E36+L36</f>
        <v>12785098.299999999</v>
      </c>
    </row>
    <row r="37" spans="1:14" x14ac:dyDescent="0.25">
      <c r="A37" s="44" t="s">
        <v>270</v>
      </c>
      <c r="B37" s="301">
        <v>2</v>
      </c>
      <c r="C37" s="266">
        <v>421225</v>
      </c>
      <c r="D37" s="301">
        <v>13</v>
      </c>
      <c r="E37" s="266">
        <v>1872801.12</v>
      </c>
      <c r="F37" s="366">
        <v>0</v>
      </c>
      <c r="G37" s="366"/>
      <c r="H37" s="366">
        <v>0</v>
      </c>
      <c r="I37" s="366"/>
      <c r="J37" s="368">
        <v>12</v>
      </c>
      <c r="K37" s="368"/>
      <c r="L37" s="266">
        <v>3898793.5</v>
      </c>
      <c r="M37" s="201">
        <f t="shared" ref="M37:M38" si="1">B37+D37+J37</f>
        <v>27</v>
      </c>
      <c r="N37" s="250">
        <f t="shared" ref="N37:N38" si="2">C37+E37+L37</f>
        <v>6192819.6200000001</v>
      </c>
    </row>
    <row r="38" spans="1:14" x14ac:dyDescent="0.25">
      <c r="A38" s="44" t="s">
        <v>274</v>
      </c>
      <c r="B38" s="301">
        <v>4</v>
      </c>
      <c r="C38" s="266">
        <v>353837.4</v>
      </c>
      <c r="D38" s="301">
        <v>9</v>
      </c>
      <c r="E38" s="266">
        <v>1022274.74</v>
      </c>
      <c r="F38" s="366">
        <v>0</v>
      </c>
      <c r="G38" s="366"/>
      <c r="H38" s="366">
        <v>0</v>
      </c>
      <c r="I38" s="366"/>
      <c r="J38" s="368">
        <v>14</v>
      </c>
      <c r="K38" s="368"/>
      <c r="L38" s="266">
        <v>2254741</v>
      </c>
      <c r="M38" s="201">
        <f t="shared" si="1"/>
        <v>27</v>
      </c>
      <c r="N38" s="250">
        <f t="shared" si="2"/>
        <v>3630853.14</v>
      </c>
    </row>
    <row r="39" spans="1:14" x14ac:dyDescent="0.25">
      <c r="A39" s="27" t="s">
        <v>275</v>
      </c>
      <c r="B39" s="200">
        <f>SUM(B36:B38)</f>
        <v>10</v>
      </c>
      <c r="C39" s="251">
        <f>+SUM(C36:C38)</f>
        <v>2148084.2999999998</v>
      </c>
      <c r="D39" s="200">
        <f>SUM(D36:D38)</f>
        <v>30</v>
      </c>
      <c r="E39" s="251">
        <f>+SUM(E36:E38)</f>
        <v>6843118.1600000001</v>
      </c>
      <c r="F39" s="367">
        <f>SUM(F36:F38)</f>
        <v>0</v>
      </c>
      <c r="G39" s="367"/>
      <c r="H39" s="367">
        <f>SUM(H36:H38)</f>
        <v>0</v>
      </c>
      <c r="I39" s="367"/>
      <c r="J39" s="367">
        <f>SUM(J36:J38)</f>
        <v>39</v>
      </c>
      <c r="K39" s="367"/>
      <c r="L39" s="249">
        <f>+SUM(L36:L38)</f>
        <v>13617568.6</v>
      </c>
      <c r="M39" s="200">
        <f>SUM(M36:M38)</f>
        <v>79</v>
      </c>
      <c r="N39" s="249">
        <f>SUM(N36:N38)</f>
        <v>22608771.059999999</v>
      </c>
    </row>
    <row r="40" spans="1:14" x14ac:dyDescent="0.25">
      <c r="A40" s="206" t="s">
        <v>99</v>
      </c>
    </row>
    <row r="42" spans="1:14" ht="15" customHeight="1" x14ac:dyDescent="0.25"/>
  </sheetData>
  <mergeCells count="33">
    <mergeCell ref="J36:K36"/>
    <mergeCell ref="J34:K34"/>
    <mergeCell ref="J37:K37"/>
    <mergeCell ref="J38:K38"/>
    <mergeCell ref="J39:K39"/>
    <mergeCell ref="J35:K35"/>
    <mergeCell ref="F34:G34"/>
    <mergeCell ref="H34:I34"/>
    <mergeCell ref="F36:G36"/>
    <mergeCell ref="F39:G39"/>
    <mergeCell ref="H39:I39"/>
    <mergeCell ref="F37:G37"/>
    <mergeCell ref="F38:G38"/>
    <mergeCell ref="H36:I36"/>
    <mergeCell ref="H37:I37"/>
    <mergeCell ref="H38:I38"/>
    <mergeCell ref="F35:G35"/>
    <mergeCell ref="H35:I35"/>
    <mergeCell ref="B33:C33"/>
    <mergeCell ref="D33:E33"/>
    <mergeCell ref="M33:N33"/>
    <mergeCell ref="A1:R1"/>
    <mergeCell ref="A2:R2"/>
    <mergeCell ref="A3:R3"/>
    <mergeCell ref="A4:R4"/>
    <mergeCell ref="A5:R5"/>
    <mergeCell ref="B6:F6"/>
    <mergeCell ref="L6:M6"/>
    <mergeCell ref="N6:O6"/>
    <mergeCell ref="P6:Q6"/>
    <mergeCell ref="G6:K6"/>
    <mergeCell ref="J33:L33"/>
    <mergeCell ref="F33:I33"/>
  </mergeCells>
  <pageMargins left="0.7" right="0.7" top="0.75" bottom="0.75" header="0.3" footer="0.3"/>
  <pageSetup paperSize="9" scale="50" orientation="landscape" r:id="rId1"/>
  <ignoredErrors>
    <ignoredError sqref="N39 B12 D12 E12 N12 P8:P12 Q8:Q12 F12:G12 H12:J12 K12:L12 N36:N38 M36:M39 L39 J39 H39 F39 B39 C13 H13 M13 O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Presupuesto Adm.</vt:lpstr>
      <vt:lpstr>Afiliados y Cotizantes</vt:lpstr>
      <vt:lpstr>Cotizantes</vt:lpstr>
      <vt:lpstr>Empleador</vt:lpstr>
      <vt:lpstr>Aportes</vt:lpstr>
      <vt:lpstr>Traspaso</vt:lpstr>
      <vt:lpstr>Presupuesto de Pensiones</vt:lpstr>
      <vt:lpstr>Nómina</vt:lpstr>
      <vt:lpstr>Autoseguro</vt:lpstr>
      <vt:lpstr>Movimientos</vt:lpstr>
      <vt:lpstr>Hoja1</vt:lpstr>
      <vt:lpstr>Tipo de Pension</vt:lpstr>
      <vt:lpstr>Modalidad</vt:lpstr>
      <vt:lpstr>Retroactivos</vt:lpstr>
      <vt:lpstr>Reintegros</vt:lpstr>
      <vt:lpstr>Créditos Rechazados</vt:lpstr>
      <vt:lpstr>PUC</vt:lpstr>
      <vt:lpstr>Recuperación Fondos</vt:lpstr>
      <vt:lpstr>Servicios</vt:lpstr>
      <vt:lpstr>'Afiliados y Cotizantes'!Print_Area</vt:lpstr>
      <vt:lpstr>Aportes!Print_Area</vt:lpstr>
      <vt:lpstr>Autoseguro!Print_Area</vt:lpstr>
      <vt:lpstr>Cotizantes!Print_Area</vt:lpstr>
      <vt:lpstr>Modalidad!Print_Area</vt:lpstr>
      <vt:lpstr>Movimientos!Print_Area</vt:lpstr>
      <vt:lpstr>Nómina!Print_Area</vt:lpstr>
      <vt:lpstr>'Presupuesto de Pensiones'!Print_Area</vt:lpstr>
      <vt:lpstr>'Recuperación Fondos'!Print_Area</vt:lpstr>
      <vt:lpstr>Retroactivos!Print_Area</vt:lpstr>
      <vt:lpstr>Servicios!Print_Area</vt:lpstr>
      <vt:lpstr>'Tipo de Pension'!Print_Area</vt:lpstr>
      <vt:lpstr>Traspaso!Print_Area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Roa</dc:creator>
  <cp:keywords/>
  <dc:description/>
  <cp:lastModifiedBy>Eury Enrique Familia Marte</cp:lastModifiedBy>
  <cp:revision/>
  <dcterms:created xsi:type="dcterms:W3CDTF">2019-06-03T16:17:46Z</dcterms:created>
  <dcterms:modified xsi:type="dcterms:W3CDTF">2024-04-09T11:03:39Z</dcterms:modified>
  <cp:category/>
  <cp:contentStatus/>
</cp:coreProperties>
</file>