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drawings/drawing13.xml" ContentType="application/vnd.openxmlformats-officedocument.drawingml.chartshapes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7.xml" ContentType="application/vnd.openxmlformats-officedocument.drawingml.chart+xml"/>
  <Override PartName="/xl/drawings/drawing14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3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7.xml" ContentType="application/vnd.openxmlformats-officedocument.drawing+xml"/>
  <Override PartName="/xl/charts/chart3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3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4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4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4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9.xml" ContentType="application/vnd.openxmlformats-officedocument.drawing+xml"/>
  <Override PartName="/xl/charts/chart43.xml" ContentType="application/vnd.openxmlformats-officedocument.drawingml.chart+xml"/>
  <Override PartName="/xl/drawings/drawing20.xml" ContentType="application/vnd.openxmlformats-officedocument.drawing+xml"/>
  <Override PartName="/xl/charts/chart4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4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4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PLANIFICACION Y DESARROLLO\PLANIFICACION\7. Estadísticas\Boletín Estadístico 2023\T3\"/>
    </mc:Choice>
  </mc:AlternateContent>
  <xr:revisionPtr revIDLastSave="0" documentId="8_{88E67CF3-556D-4A30-8F66-50A4DA76508B}" xr6:coauthVersionLast="47" xr6:coauthVersionMax="47" xr10:uidLastSave="{00000000-0000-0000-0000-000000000000}"/>
  <bookViews>
    <workbookView xWindow="-120" yWindow="-120" windowWidth="29040" windowHeight="15840" firstSheet="9" activeTab="18" xr2:uid="{00000000-000D-0000-FFFF-FFFF00000000}"/>
  </bookViews>
  <sheets>
    <sheet name="Presupuesto Adm." sheetId="1" r:id="rId1"/>
    <sheet name="Afiliados y Cotizantes" sheetId="21" r:id="rId2"/>
    <sheet name="Cotizantes" sheetId="4" r:id="rId3"/>
    <sheet name="Empleador" sheetId="7" r:id="rId4"/>
    <sheet name="Aportes" sheetId="5" r:id="rId5"/>
    <sheet name="Traspaso" sheetId="6" r:id="rId6"/>
    <sheet name="Presupuesto de Pensiones" sheetId="2" r:id="rId7"/>
    <sheet name="Nómina" sheetId="8" r:id="rId8"/>
    <sheet name="Autoseguro" sheetId="22" r:id="rId9"/>
    <sheet name="Movimientos" sheetId="9" r:id="rId10"/>
    <sheet name="Hoja1" sheetId="18" state="hidden" r:id="rId11"/>
    <sheet name="Tipo de Pension" sheetId="12" r:id="rId12"/>
    <sheet name="Modalidad" sheetId="10" r:id="rId13"/>
    <sheet name="Retroactivos" sheetId="11" r:id="rId14"/>
    <sheet name="Reintegros" sheetId="16" state="hidden" r:id="rId15"/>
    <sheet name="Créditos Rechazados" sheetId="17" state="hidden" r:id="rId16"/>
    <sheet name="Pago Único" sheetId="24" r:id="rId17"/>
    <sheet name="Recuperación Fondos" sheetId="15" r:id="rId18"/>
    <sheet name="Servicios" sheetId="13" r:id="rId19"/>
  </sheets>
  <externalReferences>
    <externalReference r:id="rId20"/>
  </externalReferences>
  <definedNames>
    <definedName name="_xlnm.Print_Area" localSheetId="1">'Afiliados y Cotizantes'!$B$1:$T$77</definedName>
    <definedName name="_xlnm.Print_Area" localSheetId="4">Aportes!$A$1:$D$31</definedName>
    <definedName name="_xlnm.Print_Area" localSheetId="8">Autoseguro!$B$1:$Y$73</definedName>
    <definedName name="_xlnm.Print_Area" localSheetId="2">Cotizantes!$B$1:$L$42</definedName>
    <definedName name="_xlnm.Print_Area" localSheetId="12">Modalidad!$A$1:$S$54</definedName>
    <definedName name="_xlnm.Print_Area" localSheetId="9">Movimientos!$B$1:$R$45</definedName>
    <definedName name="_xlnm.Print_Area" localSheetId="7">Nómina!$A$1:$O$66</definedName>
    <definedName name="_xlnm.Print_Area" localSheetId="6">'Presupuesto de Pensiones'!$B$1:$I$83</definedName>
    <definedName name="_xlnm.Print_Area" localSheetId="17">'Recuperación Fondos'!$A$1:$G$60</definedName>
    <definedName name="_xlnm.Print_Area" localSheetId="13">Retroactivos!$A$1:$J$48</definedName>
    <definedName name="_xlnm.Print_Area" localSheetId="18">Servicios!$A$1:$Z$75</definedName>
    <definedName name="_xlnm.Print_Area" localSheetId="11">'Tipo de Pension'!$B$1:$AI$66</definedName>
    <definedName name="_xlnm.Print_Area" localSheetId="5">Traspaso!$A$1:$I$45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5" l="1"/>
  <c r="G9" i="15"/>
  <c r="F9" i="15" l="1"/>
  <c r="F7" i="15"/>
  <c r="F8" i="15"/>
  <c r="N41" i="13" l="1"/>
  <c r="N40" i="13"/>
  <c r="P13" i="10" l="1"/>
  <c r="L13" i="10"/>
  <c r="H13" i="10"/>
  <c r="D13" i="10"/>
  <c r="G41" i="12"/>
  <c r="G61" i="12" l="1"/>
  <c r="I41" i="12"/>
  <c r="M53" i="13" l="1"/>
  <c r="D10" i="15"/>
  <c r="E10" i="15"/>
  <c r="F10" i="15"/>
  <c r="G19" i="12"/>
  <c r="P13" i="9"/>
  <c r="P10" i="9"/>
  <c r="O11" i="9"/>
  <c r="O10" i="9"/>
  <c r="F13" i="9"/>
  <c r="E13" i="9"/>
  <c r="D13" i="9"/>
  <c r="C13" i="9"/>
  <c r="H12" i="2" l="1"/>
  <c r="H13" i="2"/>
  <c r="H11" i="2"/>
  <c r="G11" i="2"/>
  <c r="L24" i="13"/>
  <c r="M24" i="13"/>
  <c r="N34" i="13" l="1"/>
  <c r="N36" i="13"/>
  <c r="N37" i="13"/>
  <c r="N38" i="13"/>
  <c r="N39" i="13"/>
  <c r="N42" i="13"/>
  <c r="N43" i="13"/>
  <c r="N44" i="13"/>
  <c r="N45" i="13"/>
  <c r="N46" i="13"/>
  <c r="N47" i="13"/>
  <c r="N35" i="13"/>
  <c r="N48" i="13"/>
  <c r="N49" i="13"/>
  <c r="N50" i="13"/>
  <c r="N51" i="13"/>
  <c r="N52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F10" i="7" l="1"/>
  <c r="E8" i="4"/>
  <c r="G8" i="4" s="1"/>
  <c r="E9" i="4"/>
  <c r="G9" i="4" s="1"/>
  <c r="F9" i="4" l="1"/>
  <c r="F8" i="4"/>
  <c r="G7" i="21"/>
  <c r="D10" i="21"/>
  <c r="K29" i="12" l="1"/>
  <c r="K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28" i="12"/>
  <c r="M51" i="12"/>
  <c r="M52" i="12"/>
  <c r="M53" i="12"/>
  <c r="M54" i="12"/>
  <c r="M55" i="12"/>
  <c r="M56" i="12"/>
  <c r="M57" i="12"/>
  <c r="M58" i="12"/>
  <c r="M59" i="12"/>
  <c r="M60" i="12"/>
  <c r="M50" i="12"/>
  <c r="K51" i="12"/>
  <c r="K52" i="12"/>
  <c r="K53" i="12"/>
  <c r="K54" i="12"/>
  <c r="K55" i="12"/>
  <c r="K56" i="12"/>
  <c r="K57" i="12"/>
  <c r="K58" i="12"/>
  <c r="K59" i="12"/>
  <c r="K60" i="12"/>
  <c r="K50" i="12"/>
  <c r="C61" i="12"/>
  <c r="D54" i="12" s="1"/>
  <c r="K61" i="12" l="1"/>
  <c r="L50" i="12"/>
  <c r="D53" i="12"/>
  <c r="D52" i="12"/>
  <c r="D51" i="12"/>
  <c r="D59" i="12"/>
  <c r="D58" i="12"/>
  <c r="D57" i="12"/>
  <c r="M61" i="12"/>
  <c r="D56" i="12"/>
  <c r="D50" i="12"/>
  <c r="D55" i="12"/>
  <c r="D60" i="12"/>
  <c r="I61" i="12" l="1"/>
  <c r="J52" i="12" l="1"/>
  <c r="J51" i="12"/>
  <c r="J55" i="12"/>
  <c r="J57" i="12"/>
  <c r="J56" i="12"/>
  <c r="J60" i="12"/>
  <c r="J54" i="12"/>
  <c r="J59" i="12"/>
  <c r="J53" i="12"/>
  <c r="J58" i="12"/>
  <c r="J14" i="24" l="1"/>
  <c r="I14" i="24"/>
  <c r="H14" i="24"/>
  <c r="J9" i="11"/>
  <c r="I10" i="11" l="1"/>
  <c r="I9" i="11"/>
  <c r="I11" i="11"/>
  <c r="H9" i="11"/>
  <c r="H10" i="11"/>
  <c r="H11" i="11"/>
  <c r="D19" i="12" l="1"/>
  <c r="L11" i="12"/>
  <c r="L12" i="12"/>
  <c r="L13" i="12"/>
  <c r="L14" i="12"/>
  <c r="L15" i="12"/>
  <c r="L16" i="12"/>
  <c r="L17" i="12"/>
  <c r="L18" i="12"/>
  <c r="L10" i="12"/>
  <c r="K10" i="12"/>
  <c r="K11" i="12"/>
  <c r="K12" i="12"/>
  <c r="K13" i="12"/>
  <c r="K14" i="12"/>
  <c r="K15" i="12"/>
  <c r="K16" i="12"/>
  <c r="K17" i="12"/>
  <c r="K18" i="12"/>
  <c r="K19" i="12" l="1"/>
  <c r="C19" i="12"/>
  <c r="E19" i="12"/>
  <c r="F18" i="12" s="1"/>
  <c r="F16" i="12" l="1"/>
  <c r="F13" i="12"/>
  <c r="F10" i="12"/>
  <c r="F11" i="12"/>
  <c r="F14" i="12"/>
  <c r="F17" i="12"/>
  <c r="F12" i="12"/>
  <c r="F15" i="12"/>
  <c r="F19" i="12" l="1"/>
  <c r="I11" i="12" l="1"/>
  <c r="N11" i="12" s="1"/>
  <c r="I12" i="12"/>
  <c r="N12" i="12" s="1"/>
  <c r="I13" i="12"/>
  <c r="N13" i="12" s="1"/>
  <c r="I14" i="12"/>
  <c r="N14" i="12" s="1"/>
  <c r="I15" i="12"/>
  <c r="N15" i="12" s="1"/>
  <c r="I16" i="12"/>
  <c r="I17" i="12"/>
  <c r="I18" i="12"/>
  <c r="N18" i="12" s="1"/>
  <c r="I10" i="12"/>
  <c r="N10" i="12" s="1"/>
  <c r="P11" i="9"/>
  <c r="P12" i="9"/>
  <c r="O12" i="9"/>
  <c r="M33" i="22"/>
  <c r="O31" i="22"/>
  <c r="O32" i="22"/>
  <c r="O30" i="22"/>
  <c r="N31" i="22"/>
  <c r="N32" i="22"/>
  <c r="N30" i="22"/>
  <c r="N33" i="22" s="1"/>
  <c r="P12" i="22"/>
  <c r="Q9" i="22"/>
  <c r="B12" i="8"/>
  <c r="I12" i="8"/>
  <c r="H12" i="8"/>
  <c r="D12" i="8"/>
  <c r="M9" i="8"/>
  <c r="M10" i="8"/>
  <c r="L10" i="8"/>
  <c r="L11" i="8"/>
  <c r="L9" i="8"/>
  <c r="K10" i="8"/>
  <c r="K11" i="8"/>
  <c r="K9" i="8"/>
  <c r="N16" i="12" l="1"/>
  <c r="N17" i="12"/>
  <c r="O33" i="22"/>
  <c r="O13" i="9"/>
  <c r="H11" i="12"/>
  <c r="L19" i="12"/>
  <c r="M18" i="12"/>
  <c r="M17" i="12"/>
  <c r="M14" i="12"/>
  <c r="M12" i="12"/>
  <c r="M11" i="12"/>
  <c r="M16" i="12"/>
  <c r="M15" i="12"/>
  <c r="M10" i="12"/>
  <c r="M13" i="12"/>
  <c r="H16" i="12"/>
  <c r="I19" i="12"/>
  <c r="H15" i="12"/>
  <c r="H14" i="12"/>
  <c r="H10" i="12"/>
  <c r="H13" i="12"/>
  <c r="H18" i="12"/>
  <c r="H12" i="12"/>
  <c r="H17" i="12"/>
  <c r="M19" i="12" l="1"/>
  <c r="J16" i="12"/>
  <c r="N19" i="12"/>
  <c r="J18" i="12"/>
  <c r="J12" i="12"/>
  <c r="J14" i="12"/>
  <c r="J13" i="12"/>
  <c r="J10" i="12"/>
  <c r="J11" i="12"/>
  <c r="J15" i="12"/>
  <c r="J17" i="12"/>
  <c r="F23" i="2" l="1"/>
  <c r="D23" i="2"/>
  <c r="C19" i="2"/>
  <c r="G19" i="2" s="1"/>
  <c r="C20" i="2"/>
  <c r="C21" i="2"/>
  <c r="E21" i="2" s="1"/>
  <c r="G12" i="2"/>
  <c r="G13" i="2"/>
  <c r="C23" i="2" l="1"/>
  <c r="H23" i="2" s="1"/>
  <c r="I23" i="2" s="1"/>
  <c r="G23" i="2"/>
  <c r="E19" i="2"/>
  <c r="H19" i="2" s="1"/>
  <c r="G21" i="2"/>
  <c r="H21" i="2"/>
  <c r="I21" i="2" s="1"/>
  <c r="G20" i="2" l="1"/>
  <c r="I19" i="2"/>
  <c r="E20" i="2"/>
  <c r="H20" i="2" l="1"/>
  <c r="I20" i="2" s="1"/>
  <c r="E23" i="2"/>
  <c r="N32" i="1"/>
  <c r="O32" i="1" s="1"/>
  <c r="M32" i="1"/>
  <c r="N31" i="1"/>
  <c r="O31" i="1" s="1"/>
  <c r="M31" i="1"/>
  <c r="N30" i="1"/>
  <c r="M30" i="1"/>
  <c r="L29" i="1"/>
  <c r="K29" i="1"/>
  <c r="N28" i="1"/>
  <c r="O28" i="1" s="1"/>
  <c r="M28" i="1"/>
  <c r="N27" i="1"/>
  <c r="O27" i="1" s="1"/>
  <c r="M27" i="1"/>
  <c r="N26" i="1"/>
  <c r="M26" i="1"/>
  <c r="L25" i="1"/>
  <c r="K25" i="1"/>
  <c r="N24" i="1"/>
  <c r="O24" i="1" s="1"/>
  <c r="M24" i="1"/>
  <c r="N23" i="1"/>
  <c r="O23" i="1" s="1"/>
  <c r="M23" i="1"/>
  <c r="N22" i="1"/>
  <c r="O22" i="1" s="1"/>
  <c r="M22" i="1"/>
  <c r="L21" i="1"/>
  <c r="K21" i="1"/>
  <c r="N20" i="1"/>
  <c r="O20" i="1" s="1"/>
  <c r="M20" i="1"/>
  <c r="N19" i="1"/>
  <c r="O19" i="1" s="1"/>
  <c r="M19" i="1"/>
  <c r="N18" i="1"/>
  <c r="O18" i="1" s="1"/>
  <c r="M18" i="1"/>
  <c r="L17" i="1"/>
  <c r="K17" i="1"/>
  <c r="N16" i="1"/>
  <c r="O16" i="1" s="1"/>
  <c r="M16" i="1"/>
  <c r="N15" i="1"/>
  <c r="O15" i="1" s="1"/>
  <c r="M15" i="1"/>
  <c r="N14" i="1"/>
  <c r="M14" i="1"/>
  <c r="C13" i="1"/>
  <c r="M25" i="1" l="1"/>
  <c r="M21" i="1"/>
  <c r="N21" i="1"/>
  <c r="O21" i="1" s="1"/>
  <c r="N17" i="1"/>
  <c r="O17" i="1" s="1"/>
  <c r="M17" i="1"/>
  <c r="N29" i="1"/>
  <c r="O29" i="1" s="1"/>
  <c r="M29" i="1"/>
  <c r="O14" i="1"/>
  <c r="O26" i="1"/>
  <c r="N25" i="1"/>
  <c r="O25" i="1" s="1"/>
  <c r="O30" i="1"/>
  <c r="B11" i="5" l="1"/>
  <c r="C10" i="5"/>
  <c r="D10" i="5" s="1"/>
  <c r="C12" i="5"/>
  <c r="F8" i="7" l="1"/>
  <c r="F9" i="7"/>
  <c r="D11" i="4"/>
  <c r="C11" i="4"/>
  <c r="E10" i="4" l="1"/>
  <c r="G10" i="4" s="1"/>
  <c r="G8" i="21"/>
  <c r="E7" i="21"/>
  <c r="E8" i="21"/>
  <c r="E9" i="21"/>
  <c r="F9" i="21"/>
  <c r="G9" i="21" s="1"/>
  <c r="F10" i="4" l="1"/>
  <c r="F10" i="21"/>
  <c r="E11" i="21" l="1"/>
  <c r="G11" i="21"/>
  <c r="E12" i="21"/>
  <c r="G12" i="21"/>
  <c r="E13" i="21"/>
  <c r="G13" i="21"/>
  <c r="C14" i="21"/>
  <c r="D14" i="21"/>
  <c r="F14" i="21"/>
  <c r="H14" i="21"/>
  <c r="E15" i="21"/>
  <c r="G15" i="21"/>
  <c r="E16" i="21"/>
  <c r="G16" i="21"/>
  <c r="E17" i="21"/>
  <c r="G17" i="21"/>
  <c r="C18" i="21"/>
  <c r="D18" i="21"/>
  <c r="F18" i="21"/>
  <c r="E19" i="21"/>
  <c r="G19" i="21"/>
  <c r="E20" i="21"/>
  <c r="G20" i="21"/>
  <c r="E21" i="21"/>
  <c r="G21" i="21"/>
  <c r="C22" i="21"/>
  <c r="D22" i="21"/>
  <c r="F22" i="21"/>
  <c r="E23" i="21"/>
  <c r="G23" i="21"/>
  <c r="E24" i="21"/>
  <c r="G24" i="21"/>
  <c r="E18" i="21" l="1"/>
  <c r="G14" i="21"/>
  <c r="G18" i="21"/>
  <c r="E14" i="21"/>
  <c r="E22" i="21"/>
  <c r="G22" i="21"/>
  <c r="C15" i="4"/>
  <c r="H10" i="21" l="1"/>
  <c r="B10" i="15"/>
  <c r="C10" i="15"/>
  <c r="E15" i="24" l="1"/>
  <c r="F15" i="24"/>
  <c r="G15" i="24"/>
  <c r="D15" i="24"/>
  <c r="J13" i="24" l="1"/>
  <c r="D11" i="6"/>
  <c r="H8" i="24"/>
  <c r="I8" i="24"/>
  <c r="J8" i="24"/>
  <c r="H9" i="24"/>
  <c r="I9" i="24"/>
  <c r="J9" i="24"/>
  <c r="H10" i="24"/>
  <c r="I10" i="24"/>
  <c r="J10" i="24"/>
  <c r="B11" i="24"/>
  <c r="C11" i="24"/>
  <c r="D11" i="24"/>
  <c r="E11" i="24"/>
  <c r="F11" i="24"/>
  <c r="G11" i="24"/>
  <c r="H12" i="24"/>
  <c r="I12" i="24"/>
  <c r="J12" i="24"/>
  <c r="H16" i="24"/>
  <c r="I16" i="24"/>
  <c r="J16" i="24"/>
  <c r="I17" i="24"/>
  <c r="J17" i="24"/>
  <c r="H18" i="24"/>
  <c r="I18" i="24"/>
  <c r="J18" i="24"/>
  <c r="B19" i="24"/>
  <c r="C19" i="24"/>
  <c r="D19" i="24"/>
  <c r="E19" i="24"/>
  <c r="F19" i="24"/>
  <c r="G19" i="24"/>
  <c r="H20" i="24"/>
  <c r="I20" i="24"/>
  <c r="J20" i="24"/>
  <c r="H21" i="24"/>
  <c r="I21" i="24"/>
  <c r="J21" i="24"/>
  <c r="H22" i="24"/>
  <c r="I22" i="24"/>
  <c r="J22" i="24"/>
  <c r="H23" i="24"/>
  <c r="I23" i="24"/>
  <c r="J23" i="24"/>
  <c r="B24" i="24"/>
  <c r="C24" i="24"/>
  <c r="D24" i="24"/>
  <c r="E24" i="24"/>
  <c r="F24" i="24"/>
  <c r="G24" i="24"/>
  <c r="J15" i="24" l="1"/>
  <c r="H11" i="24"/>
  <c r="H13" i="24"/>
  <c r="H15" i="24" s="1"/>
  <c r="B15" i="24"/>
  <c r="B25" i="24" s="1"/>
  <c r="H19" i="24"/>
  <c r="I13" i="24"/>
  <c r="I15" i="24" s="1"/>
  <c r="C15" i="24"/>
  <c r="C25" i="24" s="1"/>
  <c r="J19" i="24"/>
  <c r="G25" i="24"/>
  <c r="F25" i="24"/>
  <c r="D25" i="24"/>
  <c r="H24" i="24"/>
  <c r="E25" i="24"/>
  <c r="J11" i="24"/>
  <c r="I11" i="24"/>
  <c r="I19" i="24"/>
  <c r="J24" i="24"/>
  <c r="I24" i="24"/>
  <c r="D26" i="24" l="1"/>
  <c r="G26" i="24"/>
  <c r="H25" i="24"/>
  <c r="I25" i="24"/>
  <c r="J25" i="24"/>
  <c r="J26" i="24" s="1"/>
  <c r="Q10" i="22" l="1"/>
  <c r="Q11" i="22"/>
  <c r="J12" i="22"/>
  <c r="L12" i="22"/>
  <c r="P10" i="10" l="1"/>
  <c r="O10" i="10"/>
  <c r="N10" i="10"/>
  <c r="C11" i="6"/>
  <c r="E11" i="4" l="1"/>
  <c r="F11" i="4" s="1"/>
  <c r="E61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28" i="12"/>
  <c r="K31" i="12"/>
  <c r="K32" i="12"/>
  <c r="K33" i="12"/>
  <c r="K34" i="12"/>
  <c r="K35" i="12"/>
  <c r="K36" i="12"/>
  <c r="K37" i="12"/>
  <c r="K38" i="12"/>
  <c r="K39" i="12"/>
  <c r="K40" i="12"/>
  <c r="K30" i="12"/>
  <c r="C41" i="12"/>
  <c r="M41" i="12" l="1"/>
  <c r="F53" i="12"/>
  <c r="F59" i="12"/>
  <c r="F54" i="12"/>
  <c r="F55" i="12"/>
  <c r="F56" i="12"/>
  <c r="F51" i="12"/>
  <c r="F57" i="12"/>
  <c r="F52" i="12"/>
  <c r="F58" i="12"/>
  <c r="F60" i="12"/>
  <c r="F50" i="12"/>
  <c r="H52" i="12"/>
  <c r="H58" i="12"/>
  <c r="H59" i="12"/>
  <c r="H54" i="12"/>
  <c r="H55" i="12"/>
  <c r="H56" i="12"/>
  <c r="H57" i="12"/>
  <c r="H53" i="12"/>
  <c r="H51" i="12"/>
  <c r="H60" i="12"/>
  <c r="K41" i="12"/>
  <c r="L30" i="12" s="1"/>
  <c r="J50" i="12"/>
  <c r="H50" i="12"/>
  <c r="L31" i="12" l="1"/>
  <c r="L33" i="12"/>
  <c r="L37" i="12"/>
  <c r="L32" i="12"/>
  <c r="L40" i="12"/>
  <c r="L28" i="12"/>
  <c r="L29" i="12"/>
  <c r="L39" i="12"/>
  <c r="L34" i="12"/>
  <c r="L35" i="12"/>
  <c r="L36" i="12"/>
  <c r="L38" i="12"/>
  <c r="N32" i="12"/>
  <c r="N38" i="12"/>
  <c r="N33" i="12"/>
  <c r="N39" i="12"/>
  <c r="N28" i="12"/>
  <c r="N29" i="12"/>
  <c r="N37" i="12"/>
  <c r="N35" i="12"/>
  <c r="N30" i="12"/>
  <c r="N34" i="12"/>
  <c r="N36" i="12"/>
  <c r="N40" i="12"/>
  <c r="N31" i="12"/>
  <c r="L41" i="12" l="1"/>
  <c r="N41" i="12"/>
  <c r="N24" i="13" l="1"/>
  <c r="C10" i="21"/>
  <c r="M70" i="13"/>
  <c r="L70" i="13"/>
  <c r="E12" i="11" l="1"/>
  <c r="B12" i="11"/>
  <c r="D16" i="11"/>
  <c r="E16" i="11"/>
  <c r="D20" i="11"/>
  <c r="E20" i="11"/>
  <c r="D24" i="11"/>
  <c r="E24" i="11"/>
  <c r="D28" i="11"/>
  <c r="E28" i="11"/>
  <c r="J15" i="11"/>
  <c r="G13" i="10"/>
  <c r="C13" i="10"/>
  <c r="E13" i="10"/>
  <c r="I13" i="10"/>
  <c r="K13" i="10"/>
  <c r="M13" i="10"/>
  <c r="J13" i="10"/>
  <c r="Q12" i="10"/>
  <c r="Q11" i="10"/>
  <c r="Q10" i="10"/>
  <c r="P11" i="10"/>
  <c r="P12" i="10"/>
  <c r="O11" i="10"/>
  <c r="O12" i="10"/>
  <c r="N11" i="10"/>
  <c r="N12" i="10"/>
  <c r="N13" i="10"/>
  <c r="F13" i="10"/>
  <c r="B13" i="10"/>
  <c r="S12" i="10" l="1"/>
  <c r="J10" i="11"/>
  <c r="G7" i="15"/>
  <c r="G10" i="15"/>
  <c r="J11" i="11"/>
  <c r="Q13" i="10"/>
  <c r="S10" i="10"/>
  <c r="F12" i="11"/>
  <c r="S11" i="10"/>
  <c r="G12" i="11"/>
  <c r="C12" i="11"/>
  <c r="O13" i="10"/>
  <c r="H12" i="11"/>
  <c r="D29" i="11"/>
  <c r="D12" i="11"/>
  <c r="E29" i="11"/>
  <c r="J12" i="11" l="1"/>
  <c r="S13" i="10"/>
  <c r="O36" i="10" s="1"/>
  <c r="N48" i="10" s="1"/>
  <c r="I12" i="11"/>
  <c r="J13" i="9"/>
  <c r="N13" i="9"/>
  <c r="L13" i="9"/>
  <c r="H13" i="9"/>
  <c r="G31" i="11" l="1"/>
  <c r="D31" i="11"/>
  <c r="J31" i="11" s="1"/>
  <c r="Q36" i="10"/>
  <c r="Q35" i="10"/>
  <c r="O35" i="10"/>
  <c r="S35" i="10" s="1"/>
  <c r="M13" i="9"/>
  <c r="K13" i="9"/>
  <c r="I13" i="9"/>
  <c r="G13" i="9"/>
  <c r="F33" i="22"/>
  <c r="E12" i="22"/>
  <c r="D33" i="22"/>
  <c r="G33" i="22"/>
  <c r="I33" i="22"/>
  <c r="K33" i="22"/>
  <c r="C33" i="22"/>
  <c r="S36" i="10" l="1"/>
  <c r="O48" i="10"/>
  <c r="I34" i="22"/>
  <c r="H43" i="22" s="1"/>
  <c r="M34" i="22"/>
  <c r="I43" i="22" s="1"/>
  <c r="F34" i="22"/>
  <c r="G43" i="22" s="1"/>
  <c r="D34" i="22"/>
  <c r="F43" i="22" s="1"/>
  <c r="O34" i="22" l="1"/>
  <c r="I29" i="22"/>
  <c r="F29" i="22"/>
  <c r="O12" i="22" l="1"/>
  <c r="N12" i="22"/>
  <c r="M12" i="22"/>
  <c r="D12" i="22"/>
  <c r="C12" i="22"/>
  <c r="K12" i="22"/>
  <c r="I12" i="22"/>
  <c r="G12" i="22"/>
  <c r="F12" i="22"/>
  <c r="R9" i="22"/>
  <c r="R10" i="22"/>
  <c r="R11" i="22"/>
  <c r="Q12" i="22" l="1"/>
  <c r="R12" i="22"/>
  <c r="D17" i="22" s="1"/>
  <c r="P21" i="22" l="1"/>
  <c r="I17" i="22"/>
  <c r="Q21" i="22" s="1"/>
  <c r="P17" i="22"/>
  <c r="S21" i="22" s="1"/>
  <c r="N17" i="22"/>
  <c r="R21" i="22" s="1"/>
  <c r="D14" i="2"/>
  <c r="G12" i="8"/>
  <c r="E12" i="8"/>
  <c r="K12" i="8" s="1"/>
  <c r="C12" i="8"/>
  <c r="M11" i="8"/>
  <c r="J12" i="8"/>
  <c r="F12" i="8"/>
  <c r="E14" i="2"/>
  <c r="F14" i="2"/>
  <c r="C14" i="2"/>
  <c r="D15" i="6"/>
  <c r="C9" i="5"/>
  <c r="D9" i="5" s="1"/>
  <c r="C8" i="5"/>
  <c r="D8" i="5" s="1"/>
  <c r="E11" i="7"/>
  <c r="C11" i="7"/>
  <c r="H14" i="2" l="1"/>
  <c r="I14" i="2" s="1"/>
  <c r="M12" i="8"/>
  <c r="R17" i="22"/>
  <c r="G14" i="2"/>
  <c r="D28" i="6"/>
  <c r="G11" i="4"/>
  <c r="G32" i="8"/>
  <c r="X34" i="8" s="1"/>
  <c r="F11" i="7"/>
  <c r="E29" i="7" s="1"/>
  <c r="L12" i="8"/>
  <c r="D32" i="8" l="1"/>
  <c r="W34" i="8" s="1"/>
  <c r="C29" i="7"/>
  <c r="J32" i="8"/>
  <c r="Y34" i="8" s="1"/>
  <c r="G10" i="21"/>
  <c r="D13" i="1"/>
  <c r="E10" i="21" l="1"/>
  <c r="E13" i="1"/>
  <c r="F13" i="1"/>
  <c r="G13" i="1" s="1"/>
  <c r="J70" i="13" l="1"/>
  <c r="I70" i="13"/>
  <c r="G70" i="13"/>
  <c r="F70" i="13"/>
  <c r="D70" i="13"/>
  <c r="C70" i="13"/>
  <c r="K69" i="13"/>
  <c r="H69" i="13"/>
  <c r="E69" i="13"/>
  <c r="K68" i="13"/>
  <c r="H68" i="13"/>
  <c r="E68" i="13"/>
  <c r="K67" i="13"/>
  <c r="H67" i="13"/>
  <c r="E67" i="13"/>
  <c r="K66" i="13"/>
  <c r="H66" i="13"/>
  <c r="E66" i="13"/>
  <c r="L53" i="13"/>
  <c r="N53" i="13" s="1"/>
  <c r="H70" i="13" l="1"/>
  <c r="K70" i="13"/>
  <c r="E70" i="13"/>
  <c r="J14" i="11" l="1"/>
  <c r="J13" i="11"/>
  <c r="I14" i="11"/>
  <c r="I13" i="11"/>
  <c r="H13" i="11"/>
  <c r="P16" i="9"/>
  <c r="P15" i="9"/>
  <c r="P14" i="9"/>
  <c r="O16" i="9"/>
  <c r="O15" i="9"/>
  <c r="O14" i="9"/>
  <c r="D16" i="8"/>
  <c r="H17" i="9" l="1"/>
  <c r="G17" i="9"/>
  <c r="F17" i="9"/>
  <c r="E17" i="9"/>
  <c r="L17" i="10" l="1"/>
  <c r="H17" i="10"/>
  <c r="D17" i="10"/>
  <c r="D17" i="1" l="1"/>
  <c r="C17" i="1"/>
  <c r="F9" i="1"/>
  <c r="G9" i="1" s="1"/>
  <c r="E9" i="1"/>
  <c r="M17" i="10" l="1"/>
  <c r="K17" i="10"/>
  <c r="I17" i="10"/>
  <c r="G17" i="10"/>
  <c r="E17" i="10"/>
  <c r="C17" i="10"/>
  <c r="R8" i="22"/>
  <c r="Q8" i="22"/>
  <c r="J16" i="8"/>
  <c r="G16" i="8"/>
  <c r="I17" i="9" l="1"/>
  <c r="N27" i="22"/>
  <c r="N28" i="22"/>
  <c r="N26" i="22"/>
  <c r="O27" i="22"/>
  <c r="O28" i="22"/>
  <c r="O26" i="22"/>
  <c r="K29" i="22"/>
  <c r="E29" i="22"/>
  <c r="G29" i="22"/>
  <c r="C29" i="22"/>
  <c r="N29" i="22" l="1"/>
  <c r="R14" i="22" l="1"/>
  <c r="R13" i="22"/>
  <c r="Q13" i="22"/>
  <c r="Q14" i="22"/>
  <c r="Q15" i="22"/>
  <c r="R15" i="22"/>
  <c r="K16" i="22"/>
  <c r="K39" i="13" l="1"/>
  <c r="H39" i="13"/>
  <c r="E39" i="13"/>
  <c r="E41" i="12" l="1"/>
  <c r="J29" i="12" l="1"/>
  <c r="J35" i="12"/>
  <c r="J30" i="12"/>
  <c r="J36" i="12"/>
  <c r="J31" i="12"/>
  <c r="J32" i="12"/>
  <c r="J38" i="12"/>
  <c r="J33" i="12"/>
  <c r="J39" i="12"/>
  <c r="J34" i="12"/>
  <c r="J40" i="12"/>
  <c r="J37" i="12"/>
  <c r="J28" i="12"/>
  <c r="J17" i="9"/>
  <c r="M29" i="22"/>
  <c r="D29" i="22"/>
  <c r="O16" i="22"/>
  <c r="M16" i="22"/>
  <c r="F16" i="22"/>
  <c r="E16" i="22"/>
  <c r="C16" i="22"/>
  <c r="Q16" i="22"/>
  <c r="O29" i="22" l="1"/>
  <c r="F11" i="15" l="1"/>
  <c r="F41" i="12" l="1"/>
  <c r="D41" i="12"/>
  <c r="H41" i="12"/>
  <c r="J41" i="12"/>
  <c r="N54" i="12" l="1"/>
  <c r="N50" i="12"/>
  <c r="N51" i="12"/>
  <c r="N52" i="12"/>
  <c r="N56" i="12"/>
  <c r="N58" i="12"/>
  <c r="N57" i="12"/>
  <c r="N59" i="12"/>
  <c r="N53" i="12"/>
  <c r="N55" i="12"/>
  <c r="N60" i="12"/>
  <c r="L60" i="12"/>
  <c r="L54" i="12"/>
  <c r="L57" i="12"/>
  <c r="L52" i="12"/>
  <c r="L53" i="12"/>
  <c r="L55" i="12"/>
  <c r="L51" i="12"/>
  <c r="L59" i="12"/>
  <c r="L56" i="12"/>
  <c r="L58" i="12"/>
  <c r="N61" i="12" l="1"/>
  <c r="L61" i="12"/>
  <c r="H19" i="12" l="1"/>
  <c r="J19" i="12"/>
  <c r="G16" i="11" l="1"/>
  <c r="F16" i="11"/>
  <c r="C16" i="11"/>
  <c r="B16" i="11"/>
  <c r="K8" i="8"/>
  <c r="L8" i="8"/>
  <c r="M8" i="8"/>
  <c r="G10" i="2"/>
  <c r="H10" i="2" l="1"/>
  <c r="I10" i="2" l="1"/>
  <c r="Q16" i="10" l="1"/>
  <c r="Q9" i="10" l="1"/>
  <c r="P9" i="10"/>
  <c r="O9" i="10"/>
  <c r="N9" i="10"/>
  <c r="I16" i="8" l="1"/>
  <c r="H16" i="8"/>
  <c r="E16" i="8"/>
  <c r="D17" i="8"/>
  <c r="G17" i="8"/>
  <c r="J17" i="8"/>
  <c r="E14" i="1" l="1"/>
  <c r="H18" i="10" l="1"/>
  <c r="G11" i="15"/>
  <c r="F13" i="15"/>
  <c r="G13" i="15" s="1"/>
  <c r="I15" i="11"/>
  <c r="I16" i="11" s="1"/>
  <c r="H15" i="11"/>
  <c r="J17" i="10"/>
  <c r="F17" i="10"/>
  <c r="B17" i="10"/>
  <c r="P16" i="10"/>
  <c r="O16" i="10"/>
  <c r="N16" i="10"/>
  <c r="Q14" i="10"/>
  <c r="P14" i="10"/>
  <c r="O14" i="10"/>
  <c r="N14" i="10"/>
  <c r="N17" i="10" s="1"/>
  <c r="F16" i="8"/>
  <c r="C16" i="8"/>
  <c r="B16" i="8"/>
  <c r="M13" i="8"/>
  <c r="L13" i="8"/>
  <c r="L16" i="8" s="1"/>
  <c r="K13" i="8"/>
  <c r="K16" i="8" s="1"/>
  <c r="M15" i="8"/>
  <c r="L15" i="8"/>
  <c r="K15" i="8"/>
  <c r="F14" i="7" l="1"/>
  <c r="F12" i="7"/>
  <c r="E14" i="4"/>
  <c r="G14" i="4" s="1"/>
  <c r="E12" i="4"/>
  <c r="F14" i="1"/>
  <c r="F16" i="1"/>
  <c r="E16" i="1"/>
  <c r="G12" i="4" l="1"/>
  <c r="F12" i="4"/>
  <c r="G14" i="1"/>
  <c r="G16" i="1"/>
  <c r="C24" i="2"/>
  <c r="F14" i="4"/>
  <c r="F24" i="2"/>
  <c r="G24" i="2" l="1"/>
  <c r="H24" i="2" l="1"/>
  <c r="C72" i="18" l="1"/>
  <c r="D69" i="18" s="1"/>
  <c r="A72" i="18"/>
  <c r="B71" i="18"/>
  <c r="B70" i="18"/>
  <c r="B69" i="18"/>
  <c r="B68" i="18"/>
  <c r="B67" i="18"/>
  <c r="B66" i="18"/>
  <c r="B65" i="18"/>
  <c r="B64" i="18"/>
  <c r="B63" i="18"/>
  <c r="D71" i="18" l="1"/>
  <c r="D65" i="18"/>
  <c r="D68" i="18"/>
  <c r="D66" i="18"/>
  <c r="B72" i="18"/>
  <c r="D63" i="18"/>
  <c r="D70" i="18"/>
  <c r="D64" i="18"/>
  <c r="D67" i="18"/>
  <c r="D72" i="18" l="1"/>
  <c r="G9" i="16" l="1"/>
  <c r="F9" i="16"/>
  <c r="C9" i="16"/>
  <c r="B9" i="16"/>
  <c r="M49" i="12" l="1"/>
  <c r="K49" i="12"/>
  <c r="F49" i="12" l="1"/>
  <c r="F61" i="12" l="1"/>
  <c r="P39" i="17" l="1"/>
  <c r="N39" i="17"/>
  <c r="P38" i="17"/>
  <c r="N38" i="17"/>
  <c r="P37" i="17"/>
  <c r="N37" i="17"/>
  <c r="P36" i="17"/>
  <c r="N36" i="17"/>
  <c r="P35" i="17"/>
  <c r="N35" i="17"/>
  <c r="P34" i="17"/>
  <c r="N34" i="17"/>
  <c r="P33" i="17"/>
  <c r="N33" i="17"/>
  <c r="P32" i="17"/>
  <c r="N32" i="17"/>
  <c r="G23" i="17"/>
  <c r="F23" i="17"/>
  <c r="E23" i="17"/>
  <c r="D23" i="17"/>
  <c r="C23" i="17"/>
  <c r="B23" i="17"/>
  <c r="I22" i="17"/>
  <c r="H22" i="17"/>
  <c r="I21" i="17"/>
  <c r="H21" i="17"/>
  <c r="I20" i="17"/>
  <c r="H20" i="17"/>
  <c r="G19" i="17"/>
  <c r="F19" i="17"/>
  <c r="E19" i="17"/>
  <c r="D19" i="17"/>
  <c r="C19" i="17"/>
  <c r="B19" i="17"/>
  <c r="I18" i="17"/>
  <c r="H18" i="17"/>
  <c r="I17" i="17"/>
  <c r="H17" i="17"/>
  <c r="I16" i="17"/>
  <c r="H16" i="17"/>
  <c r="G15" i="17"/>
  <c r="F15" i="17"/>
  <c r="E15" i="17"/>
  <c r="D15" i="17"/>
  <c r="C15" i="17"/>
  <c r="B15" i="17"/>
  <c r="I14" i="17"/>
  <c r="H14" i="17"/>
  <c r="I13" i="17"/>
  <c r="H13" i="17"/>
  <c r="I12" i="17"/>
  <c r="H12" i="17"/>
  <c r="G11" i="17"/>
  <c r="G24" i="17" s="1"/>
  <c r="F11" i="17"/>
  <c r="E11" i="17"/>
  <c r="D11" i="17"/>
  <c r="C11" i="17"/>
  <c r="B11" i="17"/>
  <c r="I10" i="17"/>
  <c r="H10" i="17"/>
  <c r="I9" i="17"/>
  <c r="H9" i="17"/>
  <c r="I8" i="17"/>
  <c r="H8" i="17"/>
  <c r="P39" i="16"/>
  <c r="N39" i="16"/>
  <c r="P38" i="16"/>
  <c r="N38" i="16"/>
  <c r="P37" i="16"/>
  <c r="N37" i="16"/>
  <c r="P36" i="16"/>
  <c r="N36" i="16"/>
  <c r="P35" i="16"/>
  <c r="N35" i="16"/>
  <c r="P34" i="16"/>
  <c r="N34" i="16"/>
  <c r="P33" i="16"/>
  <c r="N33" i="16"/>
  <c r="P32" i="16"/>
  <c r="N32" i="16"/>
  <c r="G23" i="16"/>
  <c r="F23" i="16"/>
  <c r="E23" i="16"/>
  <c r="D23" i="16"/>
  <c r="C23" i="16"/>
  <c r="B23" i="16"/>
  <c r="I22" i="16"/>
  <c r="H22" i="16"/>
  <c r="I21" i="16"/>
  <c r="H21" i="16"/>
  <c r="I20" i="16"/>
  <c r="H20" i="16"/>
  <c r="G19" i="16"/>
  <c r="F19" i="16"/>
  <c r="E19" i="16"/>
  <c r="D19" i="16"/>
  <c r="C19" i="16"/>
  <c r="B19" i="16"/>
  <c r="I18" i="16"/>
  <c r="H18" i="16"/>
  <c r="I17" i="16"/>
  <c r="H17" i="16"/>
  <c r="I16" i="16"/>
  <c r="H16" i="16"/>
  <c r="G15" i="16"/>
  <c r="F15" i="16"/>
  <c r="E15" i="16"/>
  <c r="D15" i="16"/>
  <c r="C15" i="16"/>
  <c r="B15" i="16"/>
  <c r="I14" i="16"/>
  <c r="H14" i="16"/>
  <c r="I13" i="16"/>
  <c r="H13" i="16"/>
  <c r="I12" i="16"/>
  <c r="H12" i="16"/>
  <c r="G11" i="16"/>
  <c r="G24" i="16" s="1"/>
  <c r="F11" i="16"/>
  <c r="E11" i="16"/>
  <c r="E24" i="16" s="1"/>
  <c r="D11" i="16"/>
  <c r="C11" i="16"/>
  <c r="B11" i="16"/>
  <c r="I10" i="16"/>
  <c r="H10" i="16"/>
  <c r="I9" i="16"/>
  <c r="H9" i="16"/>
  <c r="I8" i="16"/>
  <c r="H8" i="16"/>
  <c r="E24" i="17" l="1"/>
  <c r="F24" i="16"/>
  <c r="B24" i="16"/>
  <c r="F24" i="17"/>
  <c r="D24" i="17"/>
  <c r="H15" i="16"/>
  <c r="H11" i="17"/>
  <c r="H15" i="17"/>
  <c r="H19" i="17"/>
  <c r="D24" i="16"/>
  <c r="I11" i="16"/>
  <c r="B24" i="17"/>
  <c r="H23" i="17"/>
  <c r="I11" i="17"/>
  <c r="C24" i="17"/>
  <c r="H11" i="16"/>
  <c r="H19" i="16"/>
  <c r="H23" i="16"/>
  <c r="C24" i="16"/>
  <c r="I19" i="17"/>
  <c r="I15" i="17"/>
  <c r="I23" i="17"/>
  <c r="I15" i="16"/>
  <c r="I23" i="16"/>
  <c r="I19" i="16"/>
  <c r="H24" i="17" l="1"/>
  <c r="I24" i="16"/>
  <c r="I24" i="17"/>
  <c r="H24" i="16"/>
  <c r="C17" i="9" l="1"/>
  <c r="F15" i="1"/>
  <c r="F17" i="1" s="1"/>
  <c r="D15" i="4" l="1"/>
  <c r="D17" i="9" l="1"/>
  <c r="C14" i="15" l="1"/>
  <c r="E14" i="15" l="1"/>
  <c r="D14" i="15"/>
  <c r="B14" i="15"/>
  <c r="C15" i="6"/>
  <c r="B15" i="6"/>
  <c r="E15" i="7"/>
  <c r="C15" i="7"/>
  <c r="C28" i="7" s="1"/>
  <c r="E28" i="7" l="1"/>
  <c r="D49" i="12"/>
  <c r="E17" i="1"/>
  <c r="K35" i="13" l="1"/>
  <c r="H35" i="13"/>
  <c r="E35" i="13"/>
  <c r="K47" i="13"/>
  <c r="H47" i="13"/>
  <c r="E47" i="13"/>
  <c r="K45" i="13"/>
  <c r="H45" i="13"/>
  <c r="E45" i="13"/>
  <c r="K44" i="13"/>
  <c r="H44" i="13"/>
  <c r="E44" i="13"/>
  <c r="K43" i="13"/>
  <c r="H43" i="13"/>
  <c r="E43" i="13"/>
  <c r="K42" i="13"/>
  <c r="H42" i="13"/>
  <c r="E42" i="13"/>
  <c r="K38" i="13"/>
  <c r="H38" i="13"/>
  <c r="E38" i="13"/>
  <c r="K37" i="13"/>
  <c r="H37" i="13"/>
  <c r="E37" i="13"/>
  <c r="K36" i="13"/>
  <c r="H36" i="13"/>
  <c r="E36" i="13"/>
  <c r="K34" i="13"/>
  <c r="H34" i="13"/>
  <c r="E34" i="13"/>
  <c r="J24" i="13"/>
  <c r="I24" i="13"/>
  <c r="G24" i="13"/>
  <c r="F24" i="13"/>
  <c r="D24" i="13"/>
  <c r="C24" i="13"/>
  <c r="E26" i="15"/>
  <c r="D26" i="15"/>
  <c r="C26" i="15"/>
  <c r="B26" i="15"/>
  <c r="F25" i="15"/>
  <c r="G25" i="15" s="1"/>
  <c r="F24" i="15"/>
  <c r="G24" i="15" s="1"/>
  <c r="F23" i="15"/>
  <c r="G23" i="15" s="1"/>
  <c r="E22" i="15"/>
  <c r="D22" i="15"/>
  <c r="C22" i="15"/>
  <c r="B22" i="15"/>
  <c r="F21" i="15"/>
  <c r="G21" i="15" s="1"/>
  <c r="F20" i="15"/>
  <c r="G20" i="15" s="1"/>
  <c r="F19" i="15"/>
  <c r="G19" i="15" s="1"/>
  <c r="E18" i="15"/>
  <c r="D18" i="15"/>
  <c r="C18" i="15"/>
  <c r="B18" i="15"/>
  <c r="F17" i="15"/>
  <c r="G17" i="15" s="1"/>
  <c r="F16" i="15"/>
  <c r="G16" i="15" s="1"/>
  <c r="F15" i="15"/>
  <c r="G15" i="15" s="1"/>
  <c r="F12" i="15"/>
  <c r="G12" i="15" s="1"/>
  <c r="G28" i="11"/>
  <c r="F28" i="11"/>
  <c r="C28" i="11"/>
  <c r="B28" i="11"/>
  <c r="J27" i="11"/>
  <c r="I27" i="11"/>
  <c r="H27" i="11"/>
  <c r="J26" i="11"/>
  <c r="I26" i="11"/>
  <c r="H26" i="11"/>
  <c r="J25" i="11"/>
  <c r="I25" i="11"/>
  <c r="H25" i="11"/>
  <c r="G24" i="11"/>
  <c r="F24" i="11"/>
  <c r="C24" i="11"/>
  <c r="B24" i="11"/>
  <c r="J23" i="11"/>
  <c r="I23" i="11"/>
  <c r="H23" i="11"/>
  <c r="J22" i="11"/>
  <c r="I22" i="11"/>
  <c r="H22" i="11"/>
  <c r="J21" i="11"/>
  <c r="I21" i="11"/>
  <c r="H21" i="11"/>
  <c r="G20" i="11"/>
  <c r="F20" i="11"/>
  <c r="C20" i="11"/>
  <c r="B20" i="11"/>
  <c r="J19" i="11"/>
  <c r="I19" i="11"/>
  <c r="H19" i="11"/>
  <c r="J18" i="11"/>
  <c r="I18" i="11"/>
  <c r="H18" i="11"/>
  <c r="J17" i="11"/>
  <c r="I17" i="11"/>
  <c r="H17" i="11"/>
  <c r="J16" i="11"/>
  <c r="H14" i="11"/>
  <c r="H16" i="11" s="1"/>
  <c r="I30" i="10"/>
  <c r="H30" i="10"/>
  <c r="H31" i="10" s="1"/>
  <c r="G30" i="10"/>
  <c r="F30" i="10"/>
  <c r="F31" i="10" s="1"/>
  <c r="M30" i="10"/>
  <c r="L30" i="10"/>
  <c r="L31" i="10" s="1"/>
  <c r="K30" i="10"/>
  <c r="J30" i="10"/>
  <c r="J31" i="10" s="1"/>
  <c r="E30" i="10"/>
  <c r="D30" i="10"/>
  <c r="D31" i="10" s="1"/>
  <c r="C30" i="10"/>
  <c r="B30" i="10"/>
  <c r="B31" i="10" s="1"/>
  <c r="Q29" i="10"/>
  <c r="P29" i="10"/>
  <c r="O29" i="10"/>
  <c r="N29" i="10"/>
  <c r="Q28" i="10"/>
  <c r="P28" i="10"/>
  <c r="P30" i="10" s="1"/>
  <c r="P31" i="10" s="1"/>
  <c r="O28" i="10"/>
  <c r="N28" i="10"/>
  <c r="N30" i="10" s="1"/>
  <c r="N31" i="10" s="1"/>
  <c r="Q27" i="10"/>
  <c r="P27" i="10"/>
  <c r="O27" i="10"/>
  <c r="N27" i="10"/>
  <c r="Q26" i="10"/>
  <c r="P26" i="10"/>
  <c r="O26" i="10"/>
  <c r="N26" i="10"/>
  <c r="I25" i="10"/>
  <c r="H25" i="10"/>
  <c r="G25" i="10"/>
  <c r="F25" i="10"/>
  <c r="M25" i="10"/>
  <c r="L25" i="10"/>
  <c r="K25" i="10"/>
  <c r="J25" i="10"/>
  <c r="E25" i="10"/>
  <c r="D25" i="10"/>
  <c r="C25" i="10"/>
  <c r="B25" i="10"/>
  <c r="Q24" i="10"/>
  <c r="P24" i="10"/>
  <c r="P25" i="10" s="1"/>
  <c r="O24" i="10"/>
  <c r="N24" i="10"/>
  <c r="N25" i="10" s="1"/>
  <c r="Q23" i="10"/>
  <c r="P23" i="10"/>
  <c r="O23" i="10"/>
  <c r="N23" i="10"/>
  <c r="Q22" i="10"/>
  <c r="P22" i="10"/>
  <c r="O22" i="10"/>
  <c r="N22" i="10"/>
  <c r="I21" i="10"/>
  <c r="H21" i="10"/>
  <c r="G21" i="10"/>
  <c r="F21" i="10"/>
  <c r="M21" i="10"/>
  <c r="L21" i="10"/>
  <c r="K21" i="10"/>
  <c r="J21" i="10"/>
  <c r="E21" i="10"/>
  <c r="D21" i="10"/>
  <c r="C21" i="10"/>
  <c r="B21" i="10"/>
  <c r="Q20" i="10"/>
  <c r="P20" i="10"/>
  <c r="P21" i="10" s="1"/>
  <c r="O20" i="10"/>
  <c r="N20" i="10"/>
  <c r="N21" i="10" s="1"/>
  <c r="Q19" i="10"/>
  <c r="P19" i="10"/>
  <c r="O19" i="10"/>
  <c r="N19" i="10"/>
  <c r="Q18" i="10"/>
  <c r="P18" i="10"/>
  <c r="O18" i="10"/>
  <c r="N18" i="10"/>
  <c r="Q15" i="10"/>
  <c r="Q17" i="10" s="1"/>
  <c r="P15" i="10"/>
  <c r="P17" i="10" s="1"/>
  <c r="O15" i="10"/>
  <c r="O17" i="10" s="1"/>
  <c r="N15" i="10"/>
  <c r="H49" i="12"/>
  <c r="H61" i="12" s="1"/>
  <c r="N29" i="9"/>
  <c r="M29" i="9"/>
  <c r="L29" i="9"/>
  <c r="K29" i="9"/>
  <c r="J29" i="9"/>
  <c r="I29" i="9"/>
  <c r="D29" i="9"/>
  <c r="C29" i="9"/>
  <c r="P28" i="9"/>
  <c r="O28" i="9"/>
  <c r="P27" i="9"/>
  <c r="O27" i="9"/>
  <c r="P26" i="9"/>
  <c r="O26" i="9"/>
  <c r="N25" i="9"/>
  <c r="M25" i="9"/>
  <c r="L25" i="9"/>
  <c r="K25" i="9"/>
  <c r="J25" i="9"/>
  <c r="I25" i="9"/>
  <c r="D25" i="9"/>
  <c r="C25" i="9"/>
  <c r="P24" i="9"/>
  <c r="O24" i="9"/>
  <c r="P23" i="9"/>
  <c r="O23" i="9"/>
  <c r="P22" i="9"/>
  <c r="O22" i="9"/>
  <c r="N21" i="9"/>
  <c r="M21" i="9"/>
  <c r="L21" i="9"/>
  <c r="K21" i="9"/>
  <c r="J21" i="9"/>
  <c r="I21" i="9"/>
  <c r="D21" i="9"/>
  <c r="C21" i="9"/>
  <c r="P20" i="9"/>
  <c r="O20" i="9"/>
  <c r="P19" i="9"/>
  <c r="O19" i="9"/>
  <c r="P18" i="9"/>
  <c r="O18" i="9"/>
  <c r="N17" i="9"/>
  <c r="M17" i="9"/>
  <c r="L17" i="9"/>
  <c r="K17" i="9"/>
  <c r="G29" i="8"/>
  <c r="F29" i="8"/>
  <c r="F30" i="8" s="1"/>
  <c r="E29" i="8"/>
  <c r="E30" i="8" s="1"/>
  <c r="J29" i="8"/>
  <c r="I29" i="8"/>
  <c r="I30" i="8" s="1"/>
  <c r="H29" i="8"/>
  <c r="H30" i="8" s="1"/>
  <c r="D29" i="8"/>
  <c r="C29" i="8"/>
  <c r="C30" i="8" s="1"/>
  <c r="B29" i="8"/>
  <c r="B30" i="8" s="1"/>
  <c r="M28" i="8"/>
  <c r="L28" i="8"/>
  <c r="L29" i="8" s="1"/>
  <c r="L30" i="8" s="1"/>
  <c r="K28" i="8"/>
  <c r="K29" i="8" s="1"/>
  <c r="K30" i="8" s="1"/>
  <c r="M27" i="8"/>
  <c r="L27" i="8"/>
  <c r="K27" i="8"/>
  <c r="M26" i="8"/>
  <c r="L26" i="8"/>
  <c r="K26" i="8"/>
  <c r="M25" i="8"/>
  <c r="L25" i="8"/>
  <c r="K25" i="8"/>
  <c r="G24" i="8"/>
  <c r="F24" i="8"/>
  <c r="E24" i="8"/>
  <c r="J24" i="8"/>
  <c r="I24" i="8"/>
  <c r="H24" i="8"/>
  <c r="D24" i="8"/>
  <c r="C24" i="8"/>
  <c r="B24" i="8"/>
  <c r="M23" i="8"/>
  <c r="L23" i="8"/>
  <c r="L24" i="8" s="1"/>
  <c r="K23" i="8"/>
  <c r="K24" i="8" s="1"/>
  <c r="M22" i="8"/>
  <c r="L22" i="8"/>
  <c r="K22" i="8"/>
  <c r="M21" i="8"/>
  <c r="L21" i="8"/>
  <c r="K21" i="8"/>
  <c r="G20" i="8"/>
  <c r="F20" i="8"/>
  <c r="E20" i="8"/>
  <c r="J20" i="8"/>
  <c r="I20" i="8"/>
  <c r="H20" i="8"/>
  <c r="D20" i="8"/>
  <c r="C20" i="8"/>
  <c r="B20" i="8"/>
  <c r="M19" i="8"/>
  <c r="L19" i="8"/>
  <c r="L20" i="8" s="1"/>
  <c r="K19" i="8"/>
  <c r="K20" i="8" s="1"/>
  <c r="M18" i="8"/>
  <c r="L18" i="8"/>
  <c r="K18" i="8"/>
  <c r="M17" i="8"/>
  <c r="L17" i="8"/>
  <c r="K17" i="8"/>
  <c r="M14" i="8"/>
  <c r="M16" i="8" s="1"/>
  <c r="L14" i="8"/>
  <c r="K14" i="8"/>
  <c r="C27" i="6"/>
  <c r="B27" i="6"/>
  <c r="C23" i="6"/>
  <c r="B23" i="6"/>
  <c r="C28" i="6"/>
  <c r="B11" i="6"/>
  <c r="B15" i="5"/>
  <c r="C11" i="5" s="1"/>
  <c r="D11" i="5" s="1"/>
  <c r="C14" i="5"/>
  <c r="D14" i="5" s="1"/>
  <c r="C13" i="5"/>
  <c r="D13" i="5" s="1"/>
  <c r="D12" i="5"/>
  <c r="E27" i="7"/>
  <c r="C27" i="7"/>
  <c r="F26" i="7"/>
  <c r="F25" i="7"/>
  <c r="F24" i="7"/>
  <c r="E23" i="7"/>
  <c r="C23" i="7"/>
  <c r="F22" i="7"/>
  <c r="F21" i="7"/>
  <c r="F20" i="7"/>
  <c r="E19" i="7"/>
  <c r="C19" i="7"/>
  <c r="F18" i="7"/>
  <c r="F17" i="7"/>
  <c r="F16" i="7"/>
  <c r="F13" i="7"/>
  <c r="D27" i="4"/>
  <c r="D28" i="4" s="1"/>
  <c r="C27" i="4"/>
  <c r="C28" i="4" s="1"/>
  <c r="E26" i="4"/>
  <c r="G26" i="4" s="1"/>
  <c r="E25" i="4"/>
  <c r="E24" i="4"/>
  <c r="G24" i="4" s="1"/>
  <c r="G27" i="4" s="1"/>
  <c r="D23" i="4"/>
  <c r="C23" i="4"/>
  <c r="E22" i="4"/>
  <c r="G22" i="4" s="1"/>
  <c r="E21" i="4"/>
  <c r="G21" i="4" s="1"/>
  <c r="E20" i="4"/>
  <c r="G20" i="4" s="1"/>
  <c r="G23" i="4" s="1"/>
  <c r="D19" i="4"/>
  <c r="C19" i="4"/>
  <c r="E18" i="4"/>
  <c r="F18" i="4" s="1"/>
  <c r="E17" i="4"/>
  <c r="F17" i="4" s="1"/>
  <c r="E16" i="4"/>
  <c r="G16" i="4" s="1"/>
  <c r="G19" i="4" s="1"/>
  <c r="E13" i="4"/>
  <c r="F30" i="1"/>
  <c r="D30" i="1"/>
  <c r="C30" i="1"/>
  <c r="G29" i="1"/>
  <c r="E29" i="1"/>
  <c r="G28" i="1"/>
  <c r="E28" i="1"/>
  <c r="G27" i="1"/>
  <c r="E27" i="1"/>
  <c r="G26" i="1"/>
  <c r="E26" i="1"/>
  <c r="F25" i="1"/>
  <c r="D25" i="1"/>
  <c r="C25" i="1"/>
  <c r="G24" i="1"/>
  <c r="E24" i="1"/>
  <c r="G23" i="1"/>
  <c r="E23" i="1"/>
  <c r="G22" i="1"/>
  <c r="E22" i="1"/>
  <c r="F21" i="1"/>
  <c r="D21" i="1"/>
  <c r="C21" i="1"/>
  <c r="G20" i="1"/>
  <c r="E20" i="1"/>
  <c r="G19" i="1"/>
  <c r="E19" i="1"/>
  <c r="G18" i="1"/>
  <c r="E18" i="1"/>
  <c r="G15" i="1"/>
  <c r="E15" i="1"/>
  <c r="B28" i="6" l="1"/>
  <c r="H24" i="13"/>
  <c r="T17" i="10"/>
  <c r="T32" i="10" s="1"/>
  <c r="D31" i="1"/>
  <c r="B27" i="15"/>
  <c r="D27" i="15"/>
  <c r="K24" i="13"/>
  <c r="D30" i="9"/>
  <c r="G17" i="4"/>
  <c r="K30" i="9"/>
  <c r="I30" i="9"/>
  <c r="O25" i="9"/>
  <c r="C30" i="9"/>
  <c r="E30" i="1"/>
  <c r="I20" i="11"/>
  <c r="M30" i="9"/>
  <c r="O29" i="9"/>
  <c r="C27" i="15"/>
  <c r="E25" i="1"/>
  <c r="N30" i="9"/>
  <c r="G29" i="11"/>
  <c r="J24" i="11"/>
  <c r="E24" i="13"/>
  <c r="G25" i="1"/>
  <c r="G30" i="1"/>
  <c r="F27" i="7"/>
  <c r="O21" i="9"/>
  <c r="F16" i="4"/>
  <c r="F19" i="4" s="1"/>
  <c r="F24" i="4"/>
  <c r="F27" i="4" s="1"/>
  <c r="F23" i="7"/>
  <c r="G18" i="4"/>
  <c r="E15" i="4"/>
  <c r="E19" i="4"/>
  <c r="T47" i="8"/>
  <c r="T44" i="8"/>
  <c r="K31" i="10"/>
  <c r="C31" i="1"/>
  <c r="E27" i="4"/>
  <c r="E28" i="4" s="1"/>
  <c r="F26" i="4"/>
  <c r="E27" i="15"/>
  <c r="P29" i="9"/>
  <c r="F19" i="7"/>
  <c r="S35" i="8"/>
  <c r="S47" i="8"/>
  <c r="S44" i="8"/>
  <c r="P21" i="9"/>
  <c r="P25" i="9"/>
  <c r="H24" i="11"/>
  <c r="F15" i="7"/>
  <c r="F21" i="4"/>
  <c r="F18" i="15"/>
  <c r="G18" i="15" s="1"/>
  <c r="F22" i="15"/>
  <c r="G22" i="15" s="1"/>
  <c r="F26" i="15"/>
  <c r="G26" i="15" s="1"/>
  <c r="E21" i="1"/>
  <c r="E23" i="4"/>
  <c r="J30" i="9"/>
  <c r="O21" i="10"/>
  <c r="G21" i="1"/>
  <c r="F25" i="4"/>
  <c r="F28" i="4" s="1"/>
  <c r="I31" i="10"/>
  <c r="F20" i="4"/>
  <c r="F23" i="4" s="1"/>
  <c r="F22" i="4"/>
  <c r="G25" i="4"/>
  <c r="G28" i="4" s="1"/>
  <c r="L30" i="9"/>
  <c r="F29" i="11"/>
  <c r="H20" i="11"/>
  <c r="I24" i="11"/>
  <c r="H28" i="11"/>
  <c r="J28" i="11"/>
  <c r="M31" i="10"/>
  <c r="O30" i="10"/>
  <c r="I28" i="11"/>
  <c r="J20" i="11"/>
  <c r="B29" i="11"/>
  <c r="C29" i="11"/>
  <c r="J49" i="12"/>
  <c r="J61" i="12" s="1"/>
  <c r="P17" i="9"/>
  <c r="S38" i="8"/>
  <c r="F13" i="4"/>
  <c r="F15" i="4" s="1"/>
  <c r="G13" i="4"/>
  <c r="Q25" i="10"/>
  <c r="G31" i="10"/>
  <c r="Q30" i="10"/>
  <c r="Q21" i="10"/>
  <c r="O25" i="10"/>
  <c r="E31" i="10"/>
  <c r="F14" i="15"/>
  <c r="O17" i="9"/>
  <c r="Q19" i="8"/>
  <c r="M20" i="8"/>
  <c r="J30" i="8"/>
  <c r="M24" i="8"/>
  <c r="M29" i="8"/>
  <c r="Q14" i="8"/>
  <c r="G17" i="1"/>
  <c r="T38" i="8"/>
  <c r="T35" i="8"/>
  <c r="D30" i="8"/>
  <c r="G30" i="8"/>
  <c r="C15" i="5"/>
  <c r="D15" i="5" s="1"/>
  <c r="M32" i="8" l="1"/>
  <c r="F28" i="7"/>
  <c r="P30" i="9"/>
  <c r="E31" i="1"/>
  <c r="I29" i="11"/>
  <c r="O30" i="9"/>
  <c r="Q32" i="10"/>
  <c r="U47" i="8"/>
  <c r="U44" i="8"/>
  <c r="U38" i="8"/>
  <c r="U35" i="8"/>
  <c r="G31" i="8"/>
  <c r="M30" i="8"/>
  <c r="H29" i="11"/>
  <c r="O31" i="10"/>
  <c r="J31" i="8"/>
  <c r="J29" i="11"/>
  <c r="Q31" i="10"/>
  <c r="G15" i="4"/>
  <c r="D31" i="8"/>
  <c r="F31" i="1"/>
  <c r="G31" i="1" s="1"/>
  <c r="G14" i="15"/>
  <c r="F27" i="15"/>
  <c r="G27" i="15" s="1"/>
  <c r="O32" i="10" l="1"/>
  <c r="U13" i="8"/>
  <c r="V15" i="8"/>
  <c r="C31" i="10" l="1"/>
  <c r="D16" i="22" l="1"/>
  <c r="G16" i="22"/>
  <c r="I16" i="22"/>
  <c r="N16" i="22"/>
  <c r="P16" i="22"/>
  <c r="R16" i="22"/>
  <c r="D61" i="12"/>
  <c r="C53" i="13" l="1"/>
  <c r="F53" i="13"/>
  <c r="H53" i="13"/>
  <c r="G53" i="13"/>
  <c r="I53" i="13"/>
  <c r="E53" i="13"/>
  <c r="D53" i="13"/>
  <c r="J53" i="13"/>
  <c r="K5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David Colon Rodriguez</author>
  </authors>
  <commentList>
    <comment ref="F17" authorId="0" shapeId="0" xr:uid="{2B562B49-3129-453A-B3A1-CE9E3357A70B}">
      <text>
        <r>
          <rPr>
            <sz val="9"/>
            <color indexed="81"/>
            <rFont val="Tahoma"/>
            <family val="2"/>
          </rPr>
          <t>** Se consideró los pagos de nóminas adicionales de los Retroactivos #1 y #2 de la Policía Nacional, correspondientes a Abril 2023, las cuales serán pagadas durante la primera quincena de mayo 2023.</t>
        </r>
      </text>
    </comment>
  </commentList>
</comments>
</file>

<file path=xl/sharedStrings.xml><?xml version="1.0" encoding="utf-8"?>
<sst xmlns="http://schemas.openxmlformats.org/spreadsheetml/2006/main" count="970" uniqueCount="303">
  <si>
    <t>Dirección General de Jubilaciones y Pensiones a Cargo del Estado</t>
  </si>
  <si>
    <t>Departamento Administrativo y Financiero</t>
  </si>
  <si>
    <t>Ejecución Presupuesto Administrativo</t>
  </si>
  <si>
    <t>Año 2023</t>
  </si>
  <si>
    <t>Mes</t>
  </si>
  <si>
    <t>Presupuesto Programado</t>
  </si>
  <si>
    <t>Presupuesto Ejecutado</t>
  </si>
  <si>
    <t>Restante</t>
  </si>
  <si>
    <t>Monto</t>
  </si>
  <si>
    <t>Absoluto (RD$)</t>
  </si>
  <si>
    <t>Relativo</t>
  </si>
  <si>
    <t>Regalía</t>
  </si>
  <si>
    <t>Junio</t>
  </si>
  <si>
    <t>Mayo</t>
  </si>
  <si>
    <t>Abril</t>
  </si>
  <si>
    <t>2do Trimestre</t>
  </si>
  <si>
    <t>Marzo</t>
  </si>
  <si>
    <t>Febrero</t>
  </si>
  <si>
    <t>Enero</t>
  </si>
  <si>
    <t>1er Trimestre</t>
  </si>
  <si>
    <t xml:space="preserve">Julio </t>
  </si>
  <si>
    <t>Agosto</t>
  </si>
  <si>
    <t>Septiembre</t>
  </si>
  <si>
    <t>3er Trimestre</t>
  </si>
  <si>
    <t>Octubre</t>
  </si>
  <si>
    <t>Noviembre</t>
  </si>
  <si>
    <t>Diciembre</t>
  </si>
  <si>
    <t>4to Trimestre</t>
  </si>
  <si>
    <t>Total</t>
  </si>
  <si>
    <r>
      <t xml:space="preserve">Fuente: </t>
    </r>
    <r>
      <rPr>
        <sz val="8"/>
        <color rgb="FF000000"/>
        <rFont val="Calibri"/>
        <family val="2"/>
        <scheme val="minor"/>
      </rPr>
      <t>Departamento Financiero,SIGEF</t>
    </r>
  </si>
  <si>
    <t>División de Seguimiento al Sistema de Reparto</t>
  </si>
  <si>
    <t>Afiliados y Cotizantes</t>
  </si>
  <si>
    <t>Afiliados al Sistema de Reparto</t>
  </si>
  <si>
    <t>Cotizantes</t>
  </si>
  <si>
    <t>% Cotizantes</t>
  </si>
  <si>
    <t>No Cotizantes</t>
  </si>
  <si>
    <t>% No Cotizantes</t>
  </si>
  <si>
    <t>Promedio
2do Trimestre</t>
  </si>
  <si>
    <t>Promedio 1er Trimestre</t>
  </si>
  <si>
    <t>Julio</t>
  </si>
  <si>
    <t>Promedio
3er Trimestre</t>
  </si>
  <si>
    <t>Promedio
4to Trimestre</t>
  </si>
  <si>
    <t xml:space="preserve"> </t>
  </si>
  <si>
    <t>Distribución de Cotizantes por Tipo de Empleador</t>
  </si>
  <si>
    <t>Cantidad de Cotizantes por Tipo de Empleador</t>
  </si>
  <si>
    <t xml:space="preserve">Público 
</t>
  </si>
  <si>
    <t>Privado</t>
  </si>
  <si>
    <t>% Público</t>
  </si>
  <si>
    <t>% Privado</t>
  </si>
  <si>
    <t>Promedio
1er Trimestre</t>
  </si>
  <si>
    <r>
      <rPr>
        <b/>
        <sz val="8"/>
        <color rgb="FF000000"/>
        <rFont val="Calibri"/>
        <family val="2"/>
      </rPr>
      <t>Fuente:</t>
    </r>
    <r>
      <rPr>
        <sz val="8"/>
        <color indexed="8"/>
        <rFont val="Calibri"/>
        <family val="2"/>
      </rPr>
      <t xml:space="preserve"> Data extraída de UNIPAGO, analizada por la División de Seguimiento al Sistema de Reparto</t>
    </r>
  </si>
  <si>
    <t>Individualización por tipo de Empleador</t>
  </si>
  <si>
    <t>Individualización de aportes por tipo de Empleador</t>
  </si>
  <si>
    <t>Público (RD$)</t>
  </si>
  <si>
    <t>Privado (RD$)</t>
  </si>
  <si>
    <t>Total (RD$)</t>
  </si>
  <si>
    <t>Porcentaje</t>
  </si>
  <si>
    <t>Distribución de Aportes</t>
  </si>
  <si>
    <t>Cantidad de Aportes</t>
  </si>
  <si>
    <t>Δ Absoluta</t>
  </si>
  <si>
    <t>Δ Relativa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</si>
  <si>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Data extraída de UNIPAGO, analizada por la División de Seguimiento al Sistema de Reparto</t>
    </r>
  </si>
  <si>
    <t>Cantidad de Traspasos</t>
  </si>
  <si>
    <t>Recibidos (SCI a Reparto)</t>
  </si>
  <si>
    <t>Cedidos (Reparto a SCI)</t>
  </si>
  <si>
    <t>Monto Traspasado (RD$)</t>
  </si>
  <si>
    <t>T3</t>
  </si>
  <si>
    <t>T4</t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</si>
  <si>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Data extraída de UNIPAGO, analizada por la División de Seguimiento al Sistema de Reparto</t>
    </r>
  </si>
  <si>
    <t>Departamento de Gestión Financiera de Pensiones</t>
  </si>
  <si>
    <t>Ejecución Presupuesto Pensionados</t>
  </si>
  <si>
    <t>Programación Presupuestaria</t>
  </si>
  <si>
    <t>Ejecución Presupuestaria</t>
  </si>
  <si>
    <t>Programación Ordinaria (RD$)</t>
  </si>
  <si>
    <t>Ajuste de Partidas Devengadas</t>
  </si>
  <si>
    <t>Programación Total</t>
  </si>
  <si>
    <t xml:space="preserve"> Ejecutado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</si>
  <si>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SIGEF, División de Presupuesto de Pensiones</t>
    </r>
  </si>
  <si>
    <t>Nómina de Pensionados</t>
  </si>
  <si>
    <t>Pensiones Civiles</t>
  </si>
  <si>
    <t>Pensiones Solidarias</t>
  </si>
  <si>
    <t>PN</t>
  </si>
  <si>
    <t>TOTAL</t>
  </si>
  <si>
    <t>Cantidad Pensionados</t>
  </si>
  <si>
    <t>Cantidad Pensiones</t>
  </si>
  <si>
    <t>Enero-Abril 2021</t>
  </si>
  <si>
    <t>Abril-Junio 2019</t>
  </si>
  <si>
    <t>Variaciones</t>
  </si>
  <si>
    <t>Pensiones</t>
  </si>
  <si>
    <t>Pensionados</t>
  </si>
  <si>
    <t>Abril-Junio 2020</t>
  </si>
  <si>
    <t>Nóminas Autoseguro</t>
  </si>
  <si>
    <t>Nómina Mensual Discapacidad Civil</t>
  </si>
  <si>
    <t>Nómina Mensual Discapacidad Policía Nacional</t>
  </si>
  <si>
    <t>Nómina Mensual Sobrevivencia Civil</t>
  </si>
  <si>
    <t>Nómina Mensual Sobrevivencia Policía</t>
  </si>
  <si>
    <t>Cantidad Beneficiarios</t>
  </si>
  <si>
    <t>Monto Bruto
(RD$)</t>
  </si>
  <si>
    <t>AFP
(RD$)</t>
  </si>
  <si>
    <t>SFS
(RD$)</t>
  </si>
  <si>
    <t>Monto Neto
(RD$)</t>
  </si>
  <si>
    <t>Monto
(RD$)</t>
  </si>
  <si>
    <t>-</t>
  </si>
  <si>
    <t>Nómina Deuda Retroactiva 
Discapacidad Civil</t>
  </si>
  <si>
    <t>Nómina Deuda Retroactiva
Sobrevivencia Civil</t>
  </si>
  <si>
    <t>Nómina Deuda Retroactiva
Sobrevivencia Policía Nacional</t>
  </si>
  <si>
    <t>Movimientos en Nómina</t>
  </si>
  <si>
    <t>TOTAL GENERAL</t>
  </si>
  <si>
    <t>Inclusiones</t>
  </si>
  <si>
    <t>Pensiones por Sobrevivencia</t>
  </si>
  <si>
    <t>Reactivaciones &amp; Reinclusiones</t>
  </si>
  <si>
    <t>Ajustes Monto Pensiones</t>
  </si>
  <si>
    <t>Exclusiones</t>
  </si>
  <si>
    <t>Suspensiones</t>
  </si>
  <si>
    <t>Cantidad</t>
  </si>
  <si>
    <t>Tipo Cantidad Porcentaje Monto Porcentaje</t>
  </si>
  <si>
    <t>PENSIÓN</t>
  </si>
  <si>
    <t>CIVIL</t>
  </si>
  <si>
    <t>IDSS</t>
  </si>
  <si>
    <t>GLORIAS</t>
  </si>
  <si>
    <t>DEL</t>
  </si>
  <si>
    <t>DEPORTE</t>
  </si>
  <si>
    <t>PABELLÓN</t>
  </si>
  <si>
    <t>DE</t>
  </si>
  <si>
    <t>LA</t>
  </si>
  <si>
    <t>FAMA</t>
  </si>
  <si>
    <t>PODER</t>
  </si>
  <si>
    <t>LEGISLATIVO</t>
  </si>
  <si>
    <t>EJECUTIVO</t>
  </si>
  <si>
    <t>POLICÍA</t>
  </si>
  <si>
    <t>NACIONAL</t>
  </si>
  <si>
    <t>SOLIDARIA</t>
  </si>
  <si>
    <t>PENSION</t>
  </si>
  <si>
    <t>POR</t>
  </si>
  <si>
    <t>SOBREVIVENCIA</t>
  </si>
  <si>
    <t>Rango</t>
  </si>
  <si>
    <t>Cantidad*</t>
  </si>
  <si>
    <t>Monto*</t>
  </si>
  <si>
    <t>Menos</t>
  </si>
  <si>
    <t>de</t>
  </si>
  <si>
    <t>RD$5117.50</t>
  </si>
  <si>
    <t>Igual</t>
  </si>
  <si>
    <t>a</t>
  </si>
  <si>
    <t>RD$5117.51</t>
  </si>
  <si>
    <t>&gt;=100,000.00</t>
  </si>
  <si>
    <t>18-30</t>
  </si>
  <si>
    <t>30-40</t>
  </si>
  <si>
    <t>40-50</t>
  </si>
  <si>
    <t>50-60</t>
  </si>
  <si>
    <t>60-70</t>
  </si>
  <si>
    <t>70-80</t>
  </si>
  <si>
    <t>80-90</t>
  </si>
  <si>
    <t>90-100</t>
  </si>
  <si>
    <t>con</t>
  </si>
  <si>
    <t>Nacimiento</t>
  </si>
  <si>
    <t>Trimestre Abril-Junio
Al 30 de Junio 2021</t>
  </si>
  <si>
    <t xml:space="preserve">Cantidad </t>
  </si>
  <si>
    <t xml:space="preserve">Tipo de Pensión </t>
  </si>
  <si>
    <t xml:space="preserve">Tipo  </t>
  </si>
  <si>
    <t>Cantidad 
 Absoluta</t>
  </si>
  <si>
    <t>Porcentual</t>
  </si>
  <si>
    <t>Monto
 Absoluto</t>
  </si>
  <si>
    <t xml:space="preserve"> Porcentual</t>
  </si>
  <si>
    <t>PENSIÓN CIVIL</t>
  </si>
  <si>
    <t>GLORIAS DEL DEPORTE</t>
  </si>
  <si>
    <t>PABELLÓN DE LA FAMA</t>
  </si>
  <si>
    <t>PODER LEGISLATIVO</t>
  </si>
  <si>
    <t>PODER EJECUTIVO</t>
  </si>
  <si>
    <t>POLICÍA NACIONAL</t>
  </si>
  <si>
    <t>PENSIÓN SOLIDARIA</t>
  </si>
  <si>
    <t>PENSION POR SOBREVIVENCIA</t>
  </si>
  <si>
    <t>TOTALES:</t>
  </si>
  <si>
    <t>Pensiones por Monto</t>
  </si>
  <si>
    <t>Por %</t>
  </si>
  <si>
    <t>Cantidad 
(Var Absoluta)</t>
  </si>
  <si>
    <t>Porcentaje
(Var Porcentual)</t>
  </si>
  <si>
    <t>Monto
(Var Absoluta)</t>
  </si>
  <si>
    <t>Menos de RD$5117.50</t>
  </si>
  <si>
    <t>Igual a RD$5117.51</t>
  </si>
  <si>
    <t>5,117.50 - 10,000.00</t>
  </si>
  <si>
    <t>10,000.00 - 20,000.00</t>
  </si>
  <si>
    <t>20,000.00 - 30,000.00</t>
  </si>
  <si>
    <t>30,000.00 - 40,000.00</t>
  </si>
  <si>
    <t>40,000.00 - 50,000.00</t>
  </si>
  <si>
    <t>50,000.00 - 60,000.00</t>
  </si>
  <si>
    <t>60,000.00 - 70,000.00</t>
  </si>
  <si>
    <t>70,000.00 - 80,000.00</t>
  </si>
  <si>
    <t>80,000.00 - 90,000.00</t>
  </si>
  <si>
    <t>90,000.00 - 100,000.00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</si>
  <si>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No incluye los pensionados de la Policía Nacional </t>
    </r>
  </si>
  <si>
    <t>Pensiones por Edad</t>
  </si>
  <si>
    <t>Monto
 Absoluta</t>
  </si>
  <si>
    <t>Menos 18 años</t>
  </si>
  <si>
    <t>0-18</t>
  </si>
  <si>
    <t>Sin fecha de nacimiento</t>
  </si>
  <si>
    <r>
      <rPr>
        <b/>
        <sz val="8"/>
        <color rgb="FF000000"/>
        <rFont val="Calibri"/>
        <family val="2"/>
        <scheme val="minor"/>
      </rPr>
      <t>Nota 1:</t>
    </r>
    <r>
      <rPr>
        <sz val="8"/>
        <color rgb="FF000000"/>
        <rFont val="Calibri"/>
        <family val="2"/>
        <scheme val="minor"/>
      </rPr>
      <t xml:space="preserve"> No incluye los pensionados de la Policía Nacional ni los pensionados por pensión solidaria.</t>
    </r>
  </si>
  <si>
    <t>Modalidad de Pago</t>
  </si>
  <si>
    <t>Electrónico</t>
  </si>
  <si>
    <t>Cheque</t>
  </si>
  <si>
    <t xml:space="preserve">Electrónico </t>
  </si>
  <si>
    <t>Total Monto</t>
  </si>
  <si>
    <t>Cantidad de Pensiones</t>
  </si>
  <si>
    <t>Cantidad  Pensiones</t>
  </si>
  <si>
    <t>Cantidad Electrónico</t>
  </si>
  <si>
    <t>Cantidad Cheque</t>
  </si>
  <si>
    <t>Electrónico Cheque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</si>
  <si>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SIJUPEN</t>
    </r>
  </si>
  <si>
    <t>Pago de Retroactivos</t>
  </si>
  <si>
    <t>Cantidad 
Pensionados</t>
  </si>
  <si>
    <t>Cantidad 
Pensiones</t>
  </si>
  <si>
    <t>Regalia</t>
  </si>
  <si>
    <t>Diciembre**</t>
  </si>
  <si>
    <t xml:space="preserve"> **Estos totales incluyen las nóminas adicionales de regalía de pensionados inactivos.</t>
  </si>
  <si>
    <t>Direccion General de Jubilaciones y Pensiones a Cargo del Estado</t>
  </si>
  <si>
    <t>Reintegro de Cheques</t>
  </si>
  <si>
    <t>Estadíticas Trimestre Abril-Junio</t>
  </si>
  <si>
    <t>Año 2021</t>
  </si>
  <si>
    <t>DGJP</t>
  </si>
  <si>
    <t>Cantidad 
de Cheques</t>
  </si>
  <si>
    <t xml:space="preserve"> *Estos totales incluyen las nóminas adicionales de regalía de pensionados inactivos.</t>
  </si>
  <si>
    <t>Fuente: SIJUPEN</t>
  </si>
  <si>
    <t>Créditos Rechazados</t>
  </si>
  <si>
    <t>Estadíticas Trimestre Enero-Marzo</t>
  </si>
  <si>
    <t xml:space="preserve">Cantidad 
</t>
  </si>
  <si>
    <t>Recuperación de Fondos</t>
  </si>
  <si>
    <t>Cantidad 
Solicitudes</t>
  </si>
  <si>
    <t>Monto 
Solicitado</t>
  </si>
  <si>
    <t>Monto Recuperado 
Años Anteriores</t>
  </si>
  <si>
    <t>Monto Recuperado 
Año en Curso</t>
  </si>
  <si>
    <t>Total 
Recuperado</t>
  </si>
  <si>
    <t>% Recuperado</t>
  </si>
  <si>
    <t>Dirección de Servicios y Trámite de Pensiones</t>
  </si>
  <si>
    <t>Gestión de Servicios a Pensionados</t>
  </si>
  <si>
    <t>Solicitudes Recibidas</t>
  </si>
  <si>
    <t xml:space="preserve">Descripción </t>
  </si>
  <si>
    <t>Recibidas</t>
  </si>
  <si>
    <t>Procesadas</t>
  </si>
  <si>
    <t>% Eficiencia</t>
  </si>
  <si>
    <t>Modificación Datos Críticos</t>
  </si>
  <si>
    <t>Pensión por sobrevivencia</t>
  </si>
  <si>
    <t>Registro de Poderes</t>
  </si>
  <si>
    <t>Solicitud Aplicación/Suspensión de Descuento 2%</t>
  </si>
  <si>
    <t>Solicitud Pago Único Compensatorio</t>
  </si>
  <si>
    <t>Solicitud Pensión</t>
  </si>
  <si>
    <t>Solicitud Traspaso</t>
  </si>
  <si>
    <t>Solicitud de Exclusión</t>
  </si>
  <si>
    <t>Solicitud de Inclusión a Nómina</t>
  </si>
  <si>
    <t>Solicitud de Reajuste de Pensión</t>
  </si>
  <si>
    <t>Solicitud de Reclamación de Deuda</t>
  </si>
  <si>
    <t>Solicitud de actualización de datos  Pensionados</t>
  </si>
  <si>
    <t>Total:</t>
  </si>
  <si>
    <t>Cantidad de Tramites Procesados</t>
  </si>
  <si>
    <t>Pensión por Sobrevivencia Concubin@</t>
  </si>
  <si>
    <t>Pensión por Sobrevivencia Menor</t>
  </si>
  <si>
    <t>Pensión por Sobrevivencia Padre/Madre</t>
  </si>
  <si>
    <t>Pensión por Sobrevivencia Estudiante PN</t>
  </si>
  <si>
    <t>Pensión por Sobrevivencia Hijo Discapacitado PN</t>
  </si>
  <si>
    <t>Reactivación</t>
  </si>
  <si>
    <t xml:space="preserve">Retroactivo </t>
  </si>
  <si>
    <t>Retroactivo Interno</t>
  </si>
  <si>
    <t>Solicitud Inclusión a Nómina</t>
  </si>
  <si>
    <t>Solicitud Modificación Monto Pensión</t>
  </si>
  <si>
    <t xml:space="preserve">IDSS </t>
  </si>
  <si>
    <t>Convenio España-RD</t>
  </si>
  <si>
    <t xml:space="preserve">Solicitud de Pensión </t>
  </si>
  <si>
    <t>Reajuste de Pensión</t>
  </si>
  <si>
    <t>Solicitudes Recibidas y otorgadas Autoseguro</t>
  </si>
  <si>
    <t>Otorgadas</t>
  </si>
  <si>
    <t>Sobrevivencia Civil</t>
  </si>
  <si>
    <t>Sobrevivencia Policía Nacional</t>
  </si>
  <si>
    <t>Discapacidad Civil</t>
  </si>
  <si>
    <t>Discapacidad Policía Nacional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</si>
  <si>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Departamento de Autoseguro</t>
    </r>
  </si>
  <si>
    <t>Pago Únicos</t>
  </si>
  <si>
    <r>
      <rPr>
        <b/>
        <sz val="7"/>
        <color theme="1"/>
        <rFont val="Calibri"/>
        <family val="2"/>
        <scheme val="minor"/>
      </rPr>
      <t>Nota:</t>
    </r>
    <r>
      <rPr>
        <sz val="7"/>
        <color theme="1"/>
        <rFont val="Calibri"/>
        <family val="2"/>
        <scheme val="minor"/>
      </rPr>
      <t xml:space="preserve"> Estos datos están sujetos a variación de acuerdo con la efectividad de los trámites realizados.</t>
    </r>
  </si>
  <si>
    <t>Estadísticas Trimestre julio-septiembre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</si>
  <si>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Datos  recolectado en la DGJP</t>
    </r>
  </si>
  <si>
    <r>
      <rPr>
        <b/>
        <sz val="8"/>
        <color theme="1"/>
        <rFont val="Calibri"/>
        <family val="2"/>
        <scheme val="minor"/>
      </rPr>
      <t>Realizado:</t>
    </r>
    <r>
      <rPr>
        <sz val="8"/>
        <color theme="1"/>
        <rFont val="Calibri"/>
        <family val="2"/>
        <scheme val="minor"/>
      </rPr>
      <t xml:space="preserve">  Ayde y. Peña D.</t>
    </r>
  </si>
  <si>
    <r>
      <rPr>
        <b/>
        <sz val="8"/>
        <color theme="1"/>
        <rFont val="Calibri"/>
        <family val="2"/>
        <scheme val="minor"/>
      </rPr>
      <t>Revisado:</t>
    </r>
    <r>
      <rPr>
        <sz val="8"/>
        <color theme="1"/>
        <rFont val="Calibri"/>
        <family val="2"/>
        <scheme val="minor"/>
      </rPr>
      <t xml:space="preserve"> Lic. Nina </t>
    </r>
  </si>
  <si>
    <t>Afiliados Policía Nacional</t>
  </si>
  <si>
    <t>Promedio      3er Trimestre</t>
  </si>
  <si>
    <t>Trimestre Julio-Septiembre
Al 30 de Septiembre 2022</t>
  </si>
  <si>
    <t>Trimestre julio-septiembre
Al 30 de septiembre 2023</t>
  </si>
  <si>
    <t>Reembolso - RE</t>
  </si>
  <si>
    <t>Solicitud Reactivación/Re-inclusión Pensión</t>
  </si>
  <si>
    <t>Solicitud de aplicación de Descuento ADL</t>
  </si>
  <si>
    <t>Solicitud de Suspensión de Descuento SDL</t>
  </si>
  <si>
    <t>Pensión por Sobrevivencia Cónyuge</t>
  </si>
  <si>
    <t>Re inclusión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</si>
  <si>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SIJUPEN, Departamento de Gestión Financiera de Pensiones</t>
    </r>
  </si>
  <si>
    <r>
      <rPr>
        <b/>
        <sz val="8"/>
        <rFont val="Calibri"/>
        <family val="2"/>
        <scheme val="minor"/>
      </rPr>
      <t>Nota 2</t>
    </r>
    <r>
      <rPr>
        <sz val="8"/>
        <rFont val="Calibri"/>
        <family val="2"/>
        <scheme val="minor"/>
      </rPr>
      <t>: El monto de ajuste de partidas devengadas, corresponde a los rechazos en transferencia, reintegro de cheques, recuperaciones y devoluciones de pensiones de las diferentes nominas (civil, policía, solidaria y adicionales)</t>
    </r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</si>
  <si>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 xml:space="preserve">Meta Base del SJP,  Dep. Trámite de Pensiones, </t>
    </r>
  </si>
  <si>
    <r>
      <rPr>
        <b/>
        <sz val="8"/>
        <rFont val="Calibri"/>
        <family val="2"/>
        <scheme val="minor"/>
      </rPr>
      <t>Notas:</t>
    </r>
    <r>
      <rPr>
        <sz val="8"/>
        <rFont val="Calibri"/>
        <family val="2"/>
        <scheme val="minor"/>
      </rPr>
      <t xml:space="preserve"> Para el cálculo de las variaciones de</t>
    </r>
    <r>
      <rPr>
        <sz val="8"/>
        <color theme="1"/>
        <rFont val="Calibri"/>
        <family val="2"/>
        <scheme val="minor"/>
      </rPr>
      <t xml:space="preserve"> julio</t>
    </r>
    <r>
      <rPr>
        <sz val="8"/>
        <rFont val="Calibri"/>
        <family val="2"/>
        <scheme val="minor"/>
      </rPr>
      <t xml:space="preserve"> se utilizó la cantidad de aportes del mes de junio 29,563; para las variaciones del trimestre el total de aportes correspondientes al Trimestre abril-junio 90,738. 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</si>
  <si>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EasyNómina, Departamento de Gestión Financiera de Pensiones</t>
    </r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</si>
  <si>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SIJUPEN, Dpto. De Gestión Financiera de Pensiones</t>
    </r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</si>
  <si>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SIJUPEN, Departamento de Gestión Financiera de Pensiones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</si>
  <si>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Meta Base del SJP, División de Atención al Público</t>
    </r>
  </si>
  <si>
    <t>Fuente: Unipago, Dpto. De Gestión Financiera de Pensiones</t>
  </si>
  <si>
    <r>
      <rPr>
        <b/>
        <sz val="8"/>
        <color theme="1"/>
        <rFont val="Calibri"/>
        <family val="2"/>
        <scheme val="minor"/>
      </rPr>
      <t>Nota 1</t>
    </r>
    <r>
      <rPr>
        <sz val="8"/>
        <color theme="1"/>
        <rFont val="Calibri"/>
        <family val="2"/>
        <scheme val="minor"/>
      </rPr>
      <t>: Se presenta la información en base a los trámites gestionados dentro del mes por las distintas divisiones del departamento de Gestión Financiera. Estos datos pueden sufrir modificados en la medida en que el pago se haga efectivo.</t>
    </r>
  </si>
  <si>
    <t>Cantidad
Beneficiarios</t>
  </si>
  <si>
    <r>
      <rPr>
        <b/>
        <sz val="8"/>
        <color rgb="FF000000"/>
        <rFont val="Calibri"/>
        <family val="2"/>
        <scheme val="minor"/>
      </rPr>
      <t>Nota 2:</t>
    </r>
    <r>
      <rPr>
        <sz val="8"/>
        <color rgb="FF000000"/>
        <rFont val="Calibri"/>
        <family val="2"/>
        <scheme val="minor"/>
      </rPr>
      <t xml:space="preserve"> Existe una diferencia de 1 pensionado y RD$60,000.00 en el monto, debido a problemas con la sincronización de sistemas.</t>
    </r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</si>
  <si>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diferencia en la cantidad de solicitudes tramitadas por la División de Atención al Público y las recibidas por el Departamento de Trámites de Pensiones se debe a los diferentes estatus de solicitudes que manejan ambas unidades dentro del SJP. Se está al pendiente de su corrección conforme avence el desarrollo del sistema.</t>
    </r>
  </si>
  <si>
    <r>
      <rPr>
        <b/>
        <sz val="8"/>
        <color theme="1"/>
        <rFont val="Calibri"/>
        <family val="2"/>
        <scheme val="minor"/>
      </rPr>
      <t xml:space="preserve">Nota: </t>
    </r>
    <r>
      <rPr>
        <sz val="8"/>
        <color theme="1"/>
        <rFont val="Calibri"/>
        <family val="2"/>
        <scheme val="minor"/>
      </rPr>
      <t>La diferencia entre la cantidad de solicitudes recibidas y otorgadas se debe a que se incluyen otorgamientos pendientes de periodos anteriores.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</si>
</sst>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RD$&quot;#,##0.00"/>
    <numFmt numFmtId="167" formatCode="&quot;$&quot;#,##0.00"/>
    <numFmt numFmtId="168" formatCode="_(* #,##0.0_);_(* \(#,##0.0\);_(* &quot;-&quot;??_);_(@_)"/>
    <numFmt numFmtId="169" formatCode="#,##0.0_);\(#,##0.0\)"/>
    <numFmt numFmtId="170" formatCode="0.0000%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i/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699">
    <xf numFmtId="0" fontId="0" fillId="0" borderId="0" xfId="0"/>
    <xf numFmtId="0" fontId="0" fillId="0" borderId="0" xfId="0" applyProtection="1">
      <protection locked="0"/>
    </xf>
    <xf numFmtId="9" fontId="5" fillId="0" borderId="0" xfId="0" applyNumberFormat="1" applyFont="1" applyAlignment="1">
      <alignment horizontal="center" vertical="center"/>
    </xf>
    <xf numFmtId="9" fontId="7" fillId="7" borderId="0" xfId="0" applyNumberFormat="1" applyFont="1" applyFill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3" fillId="7" borderId="0" xfId="0" applyNumberFormat="1" applyFont="1" applyFill="1" applyAlignment="1">
      <alignment horizontal="center" vertical="center"/>
    </xf>
    <xf numFmtId="9" fontId="3" fillId="10" borderId="0" xfId="0" applyNumberFormat="1" applyFont="1" applyFill="1" applyAlignment="1">
      <alignment horizontal="center" vertical="center"/>
    </xf>
    <xf numFmtId="9" fontId="7" fillId="10" borderId="0" xfId="0" applyNumberFormat="1" applyFont="1" applyFill="1" applyAlignment="1">
      <alignment horizontal="center" vertical="center"/>
    </xf>
    <xf numFmtId="3" fontId="6" fillId="7" borderId="0" xfId="0" applyNumberFormat="1" applyFont="1" applyFill="1" applyAlignment="1">
      <alignment horizontal="center" vertical="center"/>
    </xf>
    <xf numFmtId="165" fontId="6" fillId="7" borderId="0" xfId="2" applyNumberFormat="1" applyFont="1" applyFill="1" applyBorder="1" applyAlignment="1" applyProtection="1">
      <alignment horizontal="center" vertical="center"/>
    </xf>
    <xf numFmtId="3" fontId="6" fillId="10" borderId="0" xfId="0" applyNumberFormat="1" applyFont="1" applyFill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 vertical="center"/>
    </xf>
    <xf numFmtId="0" fontId="6" fillId="7" borderId="0" xfId="0" applyFont="1" applyFill="1" applyAlignment="1" applyProtection="1">
      <alignment horizontal="left" vertical="center"/>
      <protection locked="0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9" fontId="6" fillId="7" borderId="0" xfId="1" applyFont="1" applyFill="1" applyBorder="1" applyAlignment="1" applyProtection="1">
      <alignment horizontal="center" vertical="center"/>
    </xf>
    <xf numFmtId="9" fontId="6" fillId="10" borderId="0" xfId="1" applyFont="1" applyFill="1" applyBorder="1" applyAlignment="1" applyProtection="1">
      <alignment horizontal="center" vertical="center"/>
    </xf>
    <xf numFmtId="9" fontId="0" fillId="0" borderId="0" xfId="1" applyFont="1" applyProtection="1">
      <protection locked="0"/>
    </xf>
    <xf numFmtId="3" fontId="2" fillId="0" borderId="0" xfId="0" applyNumberFormat="1" applyFont="1" applyAlignment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3" fillId="0" borderId="0" xfId="0" applyNumberFormat="1" applyFont="1" applyAlignment="1">
      <alignment horizontal="center"/>
    </xf>
    <xf numFmtId="0" fontId="6" fillId="7" borderId="0" xfId="0" applyFont="1" applyFill="1" applyAlignment="1">
      <alignment horizontal="left" vertical="center"/>
    </xf>
    <xf numFmtId="0" fontId="6" fillId="10" borderId="0" xfId="0" applyFont="1" applyFill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165" fontId="4" fillId="0" borderId="0" xfId="2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>
      <alignment horizontal="center" vertical="center"/>
    </xf>
    <xf numFmtId="165" fontId="12" fillId="7" borderId="0" xfId="2" applyNumberFormat="1" applyFont="1" applyFill="1" applyBorder="1" applyAlignment="1" applyProtection="1">
      <alignment horizontal="center"/>
    </xf>
    <xf numFmtId="165" fontId="12" fillId="10" borderId="0" xfId="2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/>
    </xf>
    <xf numFmtId="0" fontId="6" fillId="10" borderId="0" xfId="0" applyFont="1" applyFill="1" applyAlignment="1">
      <alignment horizontal="center" vertical="center"/>
    </xf>
    <xf numFmtId="165" fontId="6" fillId="10" borderId="0" xfId="2" applyNumberFormat="1" applyFont="1" applyFill="1" applyBorder="1" applyAlignment="1" applyProtection="1">
      <alignment horizontal="left" vertical="center"/>
    </xf>
    <xf numFmtId="3" fontId="8" fillId="0" borderId="0" xfId="0" applyNumberFormat="1" applyFont="1" applyAlignment="1" applyProtection="1">
      <alignment horizontal="center" vertical="top"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3" fillId="0" borderId="0" xfId="2" applyFont="1" applyFill="1" applyBorder="1" applyAlignment="1" applyProtection="1">
      <alignment horizontal="center" vertical="center"/>
    </xf>
    <xf numFmtId="43" fontId="4" fillId="0" borderId="0" xfId="2" applyFont="1" applyBorder="1" applyAlignment="1" applyProtection="1">
      <alignment horizontal="center"/>
      <protection locked="0"/>
    </xf>
    <xf numFmtId="0" fontId="6" fillId="10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horizontal="center"/>
      <protection locked="0"/>
    </xf>
    <xf numFmtId="43" fontId="3" fillId="0" borderId="0" xfId="2" applyFont="1" applyFill="1" applyBorder="1" applyAlignment="1" applyProtection="1">
      <alignment horizontal="center"/>
    </xf>
    <xf numFmtId="3" fontId="3" fillId="0" borderId="0" xfId="0" applyNumberFormat="1" applyFont="1"/>
    <xf numFmtId="9" fontId="4" fillId="0" borderId="0" xfId="1" applyFont="1" applyBorder="1" applyAlignment="1" applyProtection="1">
      <alignment horizontal="center"/>
    </xf>
    <xf numFmtId="165" fontId="3" fillId="0" borderId="0" xfId="2" applyNumberFormat="1" applyFont="1" applyBorder="1" applyAlignment="1" applyProtection="1"/>
    <xf numFmtId="3" fontId="6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6" fillId="10" borderId="0" xfId="0" applyFont="1" applyFill="1" applyAlignment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43" fontId="6" fillId="7" borderId="0" xfId="2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 vertical="top"/>
    </xf>
    <xf numFmtId="164" fontId="8" fillId="0" borderId="0" xfId="1" applyNumberFormat="1" applyFont="1" applyBorder="1" applyAlignment="1" applyProtection="1">
      <alignment horizontal="center" vertical="top"/>
    </xf>
    <xf numFmtId="3" fontId="16" fillId="0" borderId="0" xfId="0" applyNumberFormat="1" applyFont="1" applyAlignment="1">
      <alignment horizontal="center" vertical="center"/>
    </xf>
    <xf numFmtId="3" fontId="17" fillId="7" borderId="0" xfId="0" applyNumberFormat="1" applyFont="1" applyFill="1" applyAlignment="1">
      <alignment horizontal="center" vertical="center"/>
    </xf>
    <xf numFmtId="165" fontId="0" fillId="12" borderId="0" xfId="0" applyNumberFormat="1" applyFill="1" applyProtection="1">
      <protection locked="0"/>
    </xf>
    <xf numFmtId="10" fontId="0" fillId="0" borderId="0" xfId="1" applyNumberFormat="1" applyFont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3" fillId="5" borderId="0" xfId="0" applyFont="1" applyFill="1" applyAlignment="1">
      <alignment horizontal="left" vertical="center"/>
    </xf>
    <xf numFmtId="3" fontId="8" fillId="0" borderId="4" xfId="0" applyNumberFormat="1" applyFont="1" applyBorder="1" applyAlignment="1" applyProtection="1">
      <alignment horizontal="center" vertical="top"/>
      <protection locked="0"/>
    </xf>
    <xf numFmtId="9" fontId="0" fillId="0" borderId="5" xfId="1" applyFont="1" applyBorder="1" applyAlignment="1" applyProtection="1">
      <alignment horizontal="center"/>
    </xf>
    <xf numFmtId="164" fontId="0" fillId="0" borderId="5" xfId="1" applyNumberFormat="1" applyFont="1" applyBorder="1" applyAlignment="1" applyProtection="1">
      <alignment horizontal="center"/>
    </xf>
    <xf numFmtId="3" fontId="6" fillId="7" borderId="6" xfId="0" applyNumberFormat="1" applyFont="1" applyFill="1" applyBorder="1" applyAlignment="1">
      <alignment horizontal="center" vertical="center"/>
    </xf>
    <xf numFmtId="9" fontId="6" fillId="7" borderId="7" xfId="1" applyFont="1" applyFill="1" applyBorder="1" applyAlignment="1" applyProtection="1">
      <alignment horizontal="center" vertical="center"/>
    </xf>
    <xf numFmtId="3" fontId="6" fillId="7" borderId="7" xfId="0" applyNumberFormat="1" applyFont="1" applyFill="1" applyBorder="1" applyAlignment="1">
      <alignment horizontal="center" vertical="center"/>
    </xf>
    <xf numFmtId="9" fontId="6" fillId="7" borderId="8" xfId="1" applyFont="1" applyFill="1" applyBorder="1" applyAlignment="1" applyProtection="1">
      <alignment horizontal="center" vertical="center"/>
    </xf>
    <xf numFmtId="9" fontId="0" fillId="0" borderId="0" xfId="0" applyNumberFormat="1"/>
    <xf numFmtId="10" fontId="0" fillId="0" borderId="0" xfId="0" applyNumberFormat="1"/>
    <xf numFmtId="4" fontId="0" fillId="0" borderId="0" xfId="0" applyNumberFormat="1"/>
    <xf numFmtId="14" fontId="0" fillId="0" borderId="0" xfId="0" applyNumberFormat="1"/>
    <xf numFmtId="167" fontId="0" fillId="0" borderId="0" xfId="0" applyNumberForma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43" fontId="0" fillId="0" borderId="0" xfId="2" applyFont="1" applyProtection="1">
      <protection locked="0"/>
    </xf>
    <xf numFmtId="165" fontId="4" fillId="0" borderId="0" xfId="2" applyNumberFormat="1" applyFont="1" applyBorder="1" applyAlignment="1" applyProtection="1">
      <alignment horizontal="center"/>
    </xf>
    <xf numFmtId="165" fontId="22" fillId="0" borderId="0" xfId="2" applyNumberFormat="1" applyFont="1" applyFill="1" applyBorder="1" applyAlignment="1" applyProtection="1">
      <alignment horizontal="center" vertical="center"/>
    </xf>
    <xf numFmtId="165" fontId="16" fillId="0" borderId="0" xfId="2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168" fontId="5" fillId="0" borderId="0" xfId="2" applyNumberFormat="1" applyFont="1" applyFill="1" applyBorder="1" applyAlignment="1" applyProtection="1">
      <alignment vertical="center"/>
    </xf>
    <xf numFmtId="0" fontId="6" fillId="7" borderId="0" xfId="0" applyFont="1" applyFill="1" applyAlignment="1">
      <alignment vertic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43" fontId="5" fillId="0" borderId="0" xfId="2" applyFont="1" applyFill="1" applyBorder="1" applyAlignment="1" applyProtection="1">
      <alignment horizontal="center" vertical="center"/>
    </xf>
    <xf numFmtId="0" fontId="6" fillId="10" borderId="0" xfId="0" applyFont="1" applyFill="1" applyAlignment="1">
      <alignment vertical="center"/>
    </xf>
    <xf numFmtId="0" fontId="25" fillId="0" borderId="0" xfId="0" applyFont="1"/>
    <xf numFmtId="0" fontId="14" fillId="0" borderId="0" xfId="0" applyFont="1"/>
    <xf numFmtId="3" fontId="0" fillId="0" borderId="0" xfId="0" applyNumberFormat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2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9" fontId="0" fillId="0" borderId="0" xfId="1" applyFont="1" applyProtection="1"/>
    <xf numFmtId="0" fontId="20" fillId="0" borderId="0" xfId="0" applyFont="1"/>
    <xf numFmtId="10" fontId="0" fillId="0" borderId="0" xfId="1" applyNumberFormat="1" applyFont="1" applyAlignment="1" applyProtection="1">
      <alignment horizontal="center" vertical="center"/>
    </xf>
    <xf numFmtId="43" fontId="0" fillId="0" borderId="0" xfId="2" applyFont="1" applyBorder="1" applyAlignment="1" applyProtection="1">
      <alignment horizontal="center"/>
    </xf>
    <xf numFmtId="0" fontId="0" fillId="0" borderId="0" xfId="0" applyAlignment="1">
      <alignment horizontal="center"/>
    </xf>
    <xf numFmtId="3" fontId="24" fillId="0" borderId="0" xfId="0" applyNumberFormat="1" applyFont="1" applyAlignment="1">
      <alignment horizontal="center"/>
    </xf>
    <xf numFmtId="165" fontId="4" fillId="0" borderId="0" xfId="2" applyNumberFormat="1" applyFont="1" applyBorder="1" applyAlignment="1" applyProtection="1"/>
    <xf numFmtId="165" fontId="4" fillId="0" borderId="0" xfId="2" applyNumberFormat="1" applyFont="1" applyBorder="1" applyAlignment="1" applyProtection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9" fontId="4" fillId="0" borderId="0" xfId="2" applyNumberFormat="1" applyFont="1" applyBorder="1" applyAlignment="1" applyProtection="1">
      <alignment horizontal="center" vertical="center"/>
    </xf>
    <xf numFmtId="43" fontId="4" fillId="0" borderId="0" xfId="2" applyFont="1" applyBorder="1" applyAlignment="1" applyProtection="1">
      <alignment horizontal="center" vertical="center"/>
    </xf>
    <xf numFmtId="165" fontId="0" fillId="0" borderId="0" xfId="0" applyNumberFormat="1"/>
    <xf numFmtId="0" fontId="4" fillId="0" borderId="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3" fontId="4" fillId="0" borderId="0" xfId="2" applyNumberFormat="1" applyFont="1" applyBorder="1" applyAlignment="1" applyProtection="1"/>
    <xf numFmtId="0" fontId="9" fillId="5" borderId="0" xfId="0" applyFont="1" applyFill="1"/>
    <xf numFmtId="0" fontId="26" fillId="14" borderId="0" xfId="0" applyFont="1" applyFill="1" applyProtection="1">
      <protection locked="0"/>
    </xf>
    <xf numFmtId="165" fontId="4" fillId="0" borderId="0" xfId="2" applyNumberFormat="1" applyFont="1" applyBorder="1" applyAlignment="1" applyProtection="1">
      <alignment horizontal="center" vertical="center"/>
      <protection locked="0"/>
    </xf>
    <xf numFmtId="165" fontId="4" fillId="0" borderId="0" xfId="2" applyNumberFormat="1" applyFont="1" applyBorder="1" applyAlignment="1" applyProtection="1">
      <alignment horizontal="right"/>
      <protection locked="0"/>
    </xf>
    <xf numFmtId="165" fontId="3" fillId="0" borderId="0" xfId="2" applyNumberFormat="1" applyFont="1" applyBorder="1" applyAlignment="1" applyProtection="1">
      <alignment vertical="center"/>
    </xf>
    <xf numFmtId="3" fontId="6" fillId="7" borderId="0" xfId="0" applyNumberFormat="1" applyFont="1" applyFill="1" applyAlignment="1">
      <alignment vertical="center"/>
    </xf>
    <xf numFmtId="0" fontId="4" fillId="14" borderId="0" xfId="0" applyFont="1" applyFill="1" applyAlignment="1">
      <alignment horizontal="left" vertical="center"/>
    </xf>
    <xf numFmtId="165" fontId="3" fillId="14" borderId="0" xfId="0" applyNumberFormat="1" applyFont="1" applyFill="1" applyAlignment="1">
      <alignment horizontal="center" vertical="center" wrapText="1"/>
    </xf>
    <xf numFmtId="43" fontId="3" fillId="14" borderId="0" xfId="0" applyNumberFormat="1" applyFont="1" applyFill="1" applyAlignment="1">
      <alignment horizontal="center" vertical="center" wrapText="1"/>
    </xf>
    <xf numFmtId="3" fontId="0" fillId="0" borderId="0" xfId="0" applyNumberFormat="1" applyAlignment="1" applyProtection="1">
      <alignment horizontal="center" vertical="center"/>
      <protection locked="0"/>
    </xf>
    <xf numFmtId="165" fontId="5" fillId="0" borderId="0" xfId="2" applyNumberFormat="1" applyFont="1" applyFill="1" applyBorder="1" applyAlignment="1" applyProtection="1">
      <alignment horizontal="left" vertical="center"/>
    </xf>
    <xf numFmtId="165" fontId="17" fillId="7" borderId="0" xfId="2" applyNumberFormat="1" applyFont="1" applyFill="1" applyBorder="1" applyAlignment="1" applyProtection="1">
      <alignment horizontal="left" vertical="center"/>
    </xf>
    <xf numFmtId="9" fontId="0" fillId="0" borderId="0" xfId="0" applyNumberFormat="1" applyProtection="1">
      <protection locked="0"/>
    </xf>
    <xf numFmtId="0" fontId="0" fillId="14" borderId="0" xfId="0" applyFill="1"/>
    <xf numFmtId="3" fontId="4" fillId="0" borderId="0" xfId="2" applyNumberFormat="1" applyFont="1" applyBorder="1" applyAlignment="1" applyProtection="1">
      <alignment horizontal="right"/>
      <protection locked="0"/>
    </xf>
    <xf numFmtId="0" fontId="4" fillId="14" borderId="0" xfId="0" applyFont="1" applyFill="1"/>
    <xf numFmtId="0" fontId="14" fillId="14" borderId="0" xfId="0" applyFont="1" applyFill="1"/>
    <xf numFmtId="3" fontId="4" fillId="0" borderId="0" xfId="2" applyNumberFormat="1" applyFont="1" applyBorder="1" applyAlignment="1" applyProtection="1">
      <alignment horizontal="right"/>
    </xf>
    <xf numFmtId="3" fontId="17" fillId="7" borderId="0" xfId="0" applyNumberFormat="1" applyFont="1" applyFill="1" applyAlignment="1">
      <alignment horizontal="right"/>
    </xf>
    <xf numFmtId="0" fontId="21" fillId="14" borderId="0" xfId="0" applyFont="1" applyFill="1"/>
    <xf numFmtId="0" fontId="3" fillId="0" borderId="0" xfId="0" applyFont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 vertical="center"/>
    </xf>
    <xf numFmtId="3" fontId="0" fillId="0" borderId="0" xfId="0" applyNumberFormat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Protection="1">
      <protection locked="0"/>
    </xf>
    <xf numFmtId="0" fontId="27" fillId="7" borderId="0" xfId="0" applyFont="1" applyFill="1" applyAlignment="1">
      <alignment horizontal="left" vertical="center" wrapText="1"/>
    </xf>
    <xf numFmtId="165" fontId="4" fillId="0" borderId="0" xfId="2" applyNumberFormat="1" applyFont="1" applyBorder="1" applyAlignment="1" applyProtection="1">
      <protection locked="0"/>
    </xf>
    <xf numFmtId="3" fontId="4" fillId="0" borderId="0" xfId="2" applyNumberFormat="1" applyFont="1" applyBorder="1" applyAlignment="1" applyProtection="1">
      <alignment horizontal="center"/>
      <protection locked="0"/>
    </xf>
    <xf numFmtId="0" fontId="29" fillId="0" borderId="0" xfId="0" applyFont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6" fillId="7" borderId="0" xfId="2" applyNumberFormat="1" applyFont="1" applyFill="1" applyAlignment="1">
      <alignment horizontal="right" vertical="center"/>
    </xf>
    <xf numFmtId="9" fontId="17" fillId="7" borderId="0" xfId="1" applyFont="1" applyFill="1" applyBorder="1" applyAlignment="1" applyProtection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164" fontId="7" fillId="7" borderId="0" xfId="0" applyNumberFormat="1" applyFont="1" applyFill="1" applyAlignment="1">
      <alignment horizontal="center" vertical="center"/>
    </xf>
    <xf numFmtId="0" fontId="2" fillId="14" borderId="0" xfId="0" applyFont="1" applyFill="1" applyAlignment="1">
      <alignment horizontal="left"/>
    </xf>
    <xf numFmtId="3" fontId="0" fillId="14" borderId="0" xfId="0" applyNumberFormat="1" applyFill="1" applyAlignment="1">
      <alignment horizontal="center"/>
    </xf>
    <xf numFmtId="164" fontId="0" fillId="14" borderId="0" xfId="1" applyNumberFormat="1" applyFont="1" applyFill="1" applyBorder="1" applyAlignment="1" applyProtection="1">
      <alignment horizontal="center"/>
    </xf>
    <xf numFmtId="164" fontId="0" fillId="0" borderId="0" xfId="1" applyNumberFormat="1" applyFont="1" applyFill="1" applyBorder="1" applyAlignment="1" applyProtection="1">
      <alignment horizontal="center"/>
    </xf>
    <xf numFmtId="0" fontId="10" fillId="0" borderId="0" xfId="0" applyFont="1"/>
    <xf numFmtId="0" fontId="21" fillId="0" borderId="0" xfId="0" applyFont="1" applyAlignment="1">
      <alignment wrapText="1"/>
    </xf>
    <xf numFmtId="1" fontId="4" fillId="0" borderId="0" xfId="2" applyNumberFormat="1" applyFont="1" applyBorder="1" applyAlignment="1" applyProtection="1">
      <alignment horizontal="center"/>
      <protection locked="0"/>
    </xf>
    <xf numFmtId="3" fontId="0" fillId="0" borderId="0" xfId="0" applyNumberFormat="1" applyAlignment="1">
      <alignment horizontal="right" vertical="center"/>
    </xf>
    <xf numFmtId="9" fontId="0" fillId="0" borderId="0" xfId="1" applyFont="1" applyFill="1" applyBorder="1" applyAlignment="1" applyProtection="1">
      <alignment horizontal="right" vertical="center"/>
    </xf>
    <xf numFmtId="165" fontId="3" fillId="0" borderId="0" xfId="2" applyNumberFormat="1" applyFont="1" applyFill="1" applyAlignment="1">
      <alignment horizontal="right" vertical="center" wrapText="1"/>
    </xf>
    <xf numFmtId="3" fontId="24" fillId="0" borderId="0" xfId="0" applyNumberFormat="1" applyFont="1" applyAlignment="1">
      <alignment horizontal="right" vertical="center"/>
    </xf>
    <xf numFmtId="3" fontId="16" fillId="7" borderId="0" xfId="0" applyNumberFormat="1" applyFont="1" applyFill="1" applyAlignment="1">
      <alignment horizontal="right" vertical="center"/>
    </xf>
    <xf numFmtId="9" fontId="16" fillId="7" borderId="0" xfId="1" applyFont="1" applyFill="1" applyBorder="1" applyAlignment="1" applyProtection="1">
      <alignment horizontal="right" vertical="center"/>
    </xf>
    <xf numFmtId="3" fontId="32" fillId="7" borderId="0" xfId="0" applyNumberFormat="1" applyFont="1" applyFill="1" applyAlignment="1">
      <alignment horizontal="center" vertical="center"/>
    </xf>
    <xf numFmtId="9" fontId="35" fillId="7" borderId="0" xfId="1" applyFont="1" applyFill="1" applyBorder="1" applyAlignment="1" applyProtection="1">
      <alignment horizontal="center" vertical="center"/>
    </xf>
    <xf numFmtId="43" fontId="0" fillId="0" borderId="0" xfId="2" applyFont="1"/>
    <xf numFmtId="0" fontId="35" fillId="7" borderId="0" xfId="0" applyFont="1" applyFill="1" applyAlignment="1">
      <alignment horizontal="left" vertical="center"/>
    </xf>
    <xf numFmtId="0" fontId="35" fillId="15" borderId="0" xfId="0" applyFont="1" applyFill="1" applyAlignment="1">
      <alignment horizontal="center" vertical="center" wrapText="1"/>
    </xf>
    <xf numFmtId="165" fontId="1" fillId="0" borderId="0" xfId="2" applyNumberFormat="1" applyFont="1" applyAlignment="1" applyProtection="1">
      <alignment horizontal="right" vertical="center"/>
      <protection locked="0"/>
    </xf>
    <xf numFmtId="0" fontId="6" fillId="15" borderId="0" xfId="0" applyFont="1" applyFill="1" applyAlignment="1">
      <alignment horizontal="left" vertical="center" wrapText="1"/>
    </xf>
    <xf numFmtId="3" fontId="2" fillId="15" borderId="0" xfId="0" applyNumberFormat="1" applyFont="1" applyFill="1" applyAlignment="1">
      <alignment horizontal="center"/>
    </xf>
    <xf numFmtId="165" fontId="2" fillId="15" borderId="0" xfId="0" applyNumberFormat="1" applyFont="1" applyFill="1"/>
    <xf numFmtId="43" fontId="0" fillId="0" borderId="0" xfId="0" applyNumberFormat="1"/>
    <xf numFmtId="10" fontId="0" fillId="0" borderId="0" xfId="1" applyNumberFormat="1" applyFont="1"/>
    <xf numFmtId="1" fontId="4" fillId="0" borderId="0" xfId="2" applyNumberFormat="1" applyFont="1" applyBorder="1" applyAlignment="1" applyProtection="1">
      <protection locked="0"/>
    </xf>
    <xf numFmtId="1" fontId="4" fillId="0" borderId="0" xfId="2" applyNumberFormat="1" applyFont="1" applyBorder="1" applyAlignment="1" applyProtection="1">
      <alignment vertical="center"/>
      <protection locked="0"/>
    </xf>
    <xf numFmtId="0" fontId="3" fillId="5" borderId="0" xfId="0" applyFont="1" applyFill="1" applyAlignment="1">
      <alignment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12" fillId="14" borderId="0" xfId="0" applyNumberFormat="1" applyFont="1" applyFill="1" applyAlignment="1" applyProtection="1">
      <alignment horizontal="center" vertical="center"/>
      <protection locked="0"/>
    </xf>
    <xf numFmtId="3" fontId="12" fillId="7" borderId="0" xfId="0" applyNumberFormat="1" applyFont="1" applyFill="1" applyAlignment="1" applyProtection="1">
      <alignment horizontal="center" vertical="center"/>
      <protection locked="0"/>
    </xf>
    <xf numFmtId="3" fontId="12" fillId="7" borderId="0" xfId="0" applyNumberFormat="1" applyFont="1" applyFill="1" applyAlignment="1" applyProtection="1">
      <alignment vertical="center"/>
      <protection locked="0"/>
    </xf>
    <xf numFmtId="37" fontId="4" fillId="0" borderId="0" xfId="2" applyNumberFormat="1" applyFont="1" applyBorder="1" applyAlignment="1" applyProtection="1">
      <alignment horizontal="center"/>
      <protection locked="0"/>
    </xf>
    <xf numFmtId="37" fontId="3" fillId="0" borderId="0" xfId="2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vertical="center"/>
    </xf>
    <xf numFmtId="3" fontId="35" fillId="0" borderId="0" xfId="0" applyNumberFormat="1" applyFont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21" fillId="14" borderId="0" xfId="0" applyFont="1" applyFill="1" applyAlignment="1">
      <alignment horizontal="center" vertical="center" wrapText="1"/>
    </xf>
    <xf numFmtId="165" fontId="21" fillId="0" borderId="0" xfId="2" applyNumberFormat="1" applyFont="1" applyBorder="1" applyAlignment="1" applyProtection="1">
      <alignment horizontal="center"/>
      <protection locked="0"/>
    </xf>
    <xf numFmtId="165" fontId="37" fillId="0" borderId="0" xfId="2" applyNumberFormat="1" applyFont="1" applyBorder="1" applyAlignment="1" applyProtection="1">
      <alignment horizontal="center"/>
      <protection locked="0"/>
    </xf>
    <xf numFmtId="165" fontId="23" fillId="14" borderId="0" xfId="0" applyNumberFormat="1" applyFont="1" applyFill="1" applyAlignment="1">
      <alignment horizontal="center" vertical="center" wrapText="1"/>
    </xf>
    <xf numFmtId="165" fontId="14" fillId="0" borderId="0" xfId="2" applyNumberFormat="1" applyFont="1" applyBorder="1" applyAlignment="1" applyProtection="1">
      <protection locked="0"/>
    </xf>
    <xf numFmtId="165" fontId="14" fillId="0" borderId="0" xfId="2" applyNumberFormat="1" applyFont="1" applyBorder="1" applyAlignment="1" applyProtection="1">
      <alignment horizontal="center"/>
      <protection locked="0"/>
    </xf>
    <xf numFmtId="43" fontId="37" fillId="0" borderId="0" xfId="2" applyFont="1" applyBorder="1" applyAlignment="1" applyProtection="1">
      <alignment horizontal="center"/>
      <protection locked="0"/>
    </xf>
    <xf numFmtId="165" fontId="15" fillId="0" borderId="0" xfId="2" applyNumberFormat="1" applyFont="1" applyFill="1" applyBorder="1" applyAlignment="1" applyProtection="1">
      <alignment horizontal="center"/>
    </xf>
    <xf numFmtId="165" fontId="15" fillId="0" borderId="0" xfId="2" applyNumberFormat="1" applyFont="1" applyFill="1" applyBorder="1" applyAlignment="1" applyProtection="1">
      <alignment horizontal="center" vertical="center"/>
    </xf>
    <xf numFmtId="165" fontId="14" fillId="0" borderId="0" xfId="2" applyNumberFormat="1" applyFont="1" applyBorder="1" applyAlignment="1" applyProtection="1">
      <alignment horizontal="center" vertical="center"/>
      <protection locked="0"/>
    </xf>
    <xf numFmtId="165" fontId="23" fillId="0" borderId="0" xfId="2" applyNumberFormat="1" applyFont="1" applyFill="1" applyBorder="1" applyAlignment="1" applyProtection="1">
      <alignment horizontal="center"/>
    </xf>
    <xf numFmtId="0" fontId="38" fillId="7" borderId="0" xfId="0" applyFont="1" applyFill="1" applyAlignment="1">
      <alignment horizontal="left" vertical="center"/>
    </xf>
    <xf numFmtId="165" fontId="36" fillId="7" borderId="0" xfId="2" applyNumberFormat="1" applyFont="1" applyFill="1" applyBorder="1" applyAlignment="1" applyProtection="1">
      <alignment horizontal="center"/>
    </xf>
    <xf numFmtId="165" fontId="39" fillId="7" borderId="0" xfId="2" applyNumberFormat="1" applyFont="1" applyFill="1" applyBorder="1" applyAlignment="1" applyProtection="1">
      <alignment horizontal="center"/>
    </xf>
    <xf numFmtId="165" fontId="14" fillId="0" borderId="0" xfId="2" applyNumberFormat="1" applyFont="1" applyBorder="1" applyAlignment="1" applyProtection="1"/>
    <xf numFmtId="165" fontId="14" fillId="0" borderId="0" xfId="2" applyNumberFormat="1" applyFont="1" applyBorder="1" applyAlignment="1" applyProtection="1">
      <alignment horizontal="center"/>
    </xf>
    <xf numFmtId="165" fontId="14" fillId="0" borderId="0" xfId="2" applyNumberFormat="1" applyFont="1" applyBorder="1" applyAlignment="1" applyProtection="1">
      <alignment horizontal="center" vertical="center"/>
    </xf>
    <xf numFmtId="165" fontId="36" fillId="7" borderId="0" xfId="2" applyNumberFormat="1" applyFont="1" applyFill="1" applyBorder="1" applyAlignment="1" applyProtection="1">
      <alignment horizontal="center" vertical="center"/>
    </xf>
    <xf numFmtId="0" fontId="38" fillId="10" borderId="0" xfId="0" applyFont="1" applyFill="1" applyAlignment="1">
      <alignment horizontal="left" vertical="center" wrapText="1"/>
    </xf>
    <xf numFmtId="165" fontId="36" fillId="10" borderId="0" xfId="2" applyNumberFormat="1" applyFont="1" applyFill="1" applyBorder="1" applyAlignment="1" applyProtection="1">
      <alignment horizontal="center"/>
    </xf>
    <xf numFmtId="165" fontId="36" fillId="10" borderId="0" xfId="2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9" fontId="15" fillId="0" borderId="0" xfId="1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43" fontId="14" fillId="0" borderId="0" xfId="2" applyFont="1" applyBorder="1" applyAlignment="1" applyProtection="1">
      <alignment horizontal="center" vertical="center"/>
    </xf>
    <xf numFmtId="10" fontId="45" fillId="12" borderId="0" xfId="1" applyNumberFormat="1" applyFont="1" applyFill="1" applyBorder="1" applyAlignment="1" applyProtection="1">
      <alignment horizontal="center" vertical="top"/>
    </xf>
    <xf numFmtId="10" fontId="34" fillId="0" borderId="0" xfId="1" applyNumberFormat="1" applyFont="1" applyBorder="1" applyAlignment="1" applyProtection="1">
      <alignment horizontal="center"/>
    </xf>
    <xf numFmtId="0" fontId="47" fillId="0" borderId="0" xfId="0" applyFont="1"/>
    <xf numFmtId="165" fontId="48" fillId="0" borderId="0" xfId="2" applyNumberFormat="1" applyFont="1" applyAlignment="1">
      <alignment horizontal="center" vertical="center" wrapText="1"/>
    </xf>
    <xf numFmtId="165" fontId="4" fillId="0" borderId="0" xfId="2" applyNumberFormat="1" applyFont="1" applyAlignment="1">
      <alignment horizontal="center" vertical="center" wrapText="1"/>
    </xf>
    <xf numFmtId="165" fontId="3" fillId="14" borderId="0" xfId="2" applyNumberFormat="1" applyFont="1" applyFill="1" applyAlignment="1">
      <alignment horizontal="center" vertical="center" wrapText="1"/>
    </xf>
    <xf numFmtId="0" fontId="15" fillId="0" borderId="0" xfId="0" applyFont="1" applyProtection="1">
      <protection locked="0"/>
    </xf>
    <xf numFmtId="3" fontId="14" fillId="0" borderId="0" xfId="2" applyNumberFormat="1" applyFont="1" applyBorder="1" applyAlignment="1" applyProtection="1">
      <alignment horizontal="center"/>
      <protection locked="0"/>
    </xf>
    <xf numFmtId="3" fontId="20" fillId="0" borderId="0" xfId="2" applyNumberFormat="1" applyFont="1" applyBorder="1" applyAlignment="1" applyProtection="1">
      <alignment horizontal="center"/>
      <protection locked="0"/>
    </xf>
    <xf numFmtId="3" fontId="36" fillId="14" borderId="0" xfId="0" applyNumberFormat="1" applyFont="1" applyFill="1" applyAlignment="1" applyProtection="1">
      <alignment horizontal="center" vertical="center"/>
      <protection locked="0"/>
    </xf>
    <xf numFmtId="3" fontId="36" fillId="7" borderId="0" xfId="0" applyNumberFormat="1" applyFont="1" applyFill="1" applyAlignment="1" applyProtection="1">
      <alignment horizontal="center" vertical="center"/>
      <protection locked="0"/>
    </xf>
    <xf numFmtId="3" fontId="36" fillId="7" borderId="0" xfId="0" applyNumberFormat="1" applyFont="1" applyFill="1" applyAlignment="1">
      <alignment horizontal="center" vertical="center"/>
    </xf>
    <xf numFmtId="3" fontId="50" fillId="7" borderId="0" xfId="0" applyNumberFormat="1" applyFont="1" applyFill="1" applyAlignment="1" applyProtection="1">
      <alignment horizontal="center" vertical="center"/>
      <protection locked="0"/>
    </xf>
    <xf numFmtId="9" fontId="15" fillId="12" borderId="0" xfId="1" applyFont="1" applyFill="1" applyBorder="1" applyAlignment="1" applyProtection="1">
      <alignment horizontal="center" vertical="center"/>
      <protection locked="0"/>
    </xf>
    <xf numFmtId="0" fontId="42" fillId="0" borderId="0" xfId="0" applyFont="1"/>
    <xf numFmtId="0" fontId="2" fillId="0" borderId="0" xfId="0" applyFont="1" applyAlignment="1" applyProtection="1">
      <alignment vertical="center"/>
      <protection locked="0"/>
    </xf>
    <xf numFmtId="43" fontId="5" fillId="0" borderId="0" xfId="1" applyNumberFormat="1" applyFont="1" applyBorder="1" applyAlignment="1">
      <alignment horizontal="center" vertical="center"/>
    </xf>
    <xf numFmtId="9" fontId="34" fillId="12" borderId="0" xfId="1" applyFont="1" applyFill="1" applyBorder="1" applyAlignment="1" applyProtection="1">
      <alignment horizontal="center"/>
    </xf>
    <xf numFmtId="169" fontId="15" fillId="0" borderId="0" xfId="2" applyNumberFormat="1" applyFont="1" applyFill="1" applyBorder="1" applyAlignment="1" applyProtection="1">
      <alignment horizontal="right" vertical="center"/>
      <protection locked="0"/>
    </xf>
    <xf numFmtId="164" fontId="34" fillId="0" borderId="0" xfId="1" applyNumberFormat="1" applyFont="1" applyFill="1" applyBorder="1" applyAlignment="1" applyProtection="1">
      <alignment horizontal="center"/>
    </xf>
    <xf numFmtId="43" fontId="4" fillId="0" borderId="0" xfId="2" applyFont="1" applyBorder="1" applyAlignment="1" applyProtection="1">
      <alignment horizontal="right"/>
      <protection locked="0"/>
    </xf>
    <xf numFmtId="43" fontId="12" fillId="10" borderId="0" xfId="2" applyFont="1" applyFill="1" applyBorder="1" applyAlignment="1" applyProtection="1">
      <alignment horizontal="right"/>
    </xf>
    <xf numFmtId="37" fontId="12" fillId="10" borderId="0" xfId="2" applyNumberFormat="1" applyFont="1" applyFill="1" applyBorder="1" applyAlignment="1" applyProtection="1">
      <alignment horizontal="center"/>
    </xf>
    <xf numFmtId="43" fontId="3" fillId="0" borderId="0" xfId="2" applyFont="1" applyFill="1" applyBorder="1" applyAlignment="1" applyProtection="1">
      <alignment horizontal="right"/>
    </xf>
    <xf numFmtId="37" fontId="3" fillId="0" borderId="0" xfId="2" applyNumberFormat="1" applyFont="1" applyFill="1" applyBorder="1" applyAlignment="1" applyProtection="1">
      <alignment horizontal="center"/>
    </xf>
    <xf numFmtId="43" fontId="4" fillId="0" borderId="0" xfId="2" applyFont="1" applyBorder="1" applyAlignment="1" applyProtection="1">
      <alignment horizontal="right"/>
    </xf>
    <xf numFmtId="37" fontId="4" fillId="0" borderId="0" xfId="2" applyNumberFormat="1" applyFont="1" applyBorder="1" applyAlignment="1" applyProtection="1">
      <alignment horizontal="center"/>
    </xf>
    <xf numFmtId="9" fontId="18" fillId="19" borderId="0" xfId="1" applyFont="1" applyFill="1" applyBorder="1" applyAlignment="1" applyProtection="1">
      <alignment horizontal="center" vertical="center"/>
    </xf>
    <xf numFmtId="3" fontId="7" fillId="22" borderId="0" xfId="0" applyNumberFormat="1" applyFont="1" applyFill="1" applyAlignment="1">
      <alignment horizontal="center" vertical="center"/>
    </xf>
    <xf numFmtId="0" fontId="7" fillId="22" borderId="0" xfId="0" applyFont="1" applyFill="1" applyAlignment="1">
      <alignment vertical="center"/>
    </xf>
    <xf numFmtId="3" fontId="35" fillId="22" borderId="0" xfId="0" applyNumberFormat="1" applyFont="1" applyFill="1" applyAlignment="1">
      <alignment horizontal="center" vertical="center"/>
    </xf>
    <xf numFmtId="0" fontId="7" fillId="22" borderId="0" xfId="0" applyFont="1" applyFill="1" applyAlignment="1">
      <alignment horizontal="center" vertical="center"/>
    </xf>
    <xf numFmtId="0" fontId="35" fillId="22" borderId="0" xfId="0" applyFont="1" applyFill="1" applyAlignment="1">
      <alignment horizontal="center" vertical="center"/>
    </xf>
    <xf numFmtId="0" fontId="2" fillId="0" borderId="0" xfId="0" applyFont="1"/>
    <xf numFmtId="37" fontId="0" fillId="0" borderId="0" xfId="0" applyNumberFormat="1"/>
    <xf numFmtId="0" fontId="15" fillId="0" borderId="0" xfId="0" applyFont="1"/>
    <xf numFmtId="168" fontId="48" fillId="0" borderId="0" xfId="2" applyNumberFormat="1" applyFont="1" applyBorder="1" applyAlignment="1" applyProtection="1">
      <alignment horizontal="center"/>
      <protection locked="0"/>
    </xf>
    <xf numFmtId="3" fontId="51" fillId="22" borderId="0" xfId="2" applyNumberFormat="1" applyFont="1" applyFill="1" applyBorder="1" applyAlignment="1" applyProtection="1">
      <alignment horizontal="center"/>
    </xf>
    <xf numFmtId="168" fontId="51" fillId="22" borderId="0" xfId="2" applyNumberFormat="1" applyFont="1" applyFill="1" applyBorder="1" applyAlignment="1" applyProtection="1">
      <alignment horizontal="center"/>
    </xf>
    <xf numFmtId="165" fontId="20" fillId="0" borderId="0" xfId="2" applyNumberFormat="1" applyFont="1" applyBorder="1" applyAlignment="1" applyProtection="1">
      <alignment horizontal="center" vertical="center"/>
      <protection locked="0"/>
    </xf>
    <xf numFmtId="165" fontId="20" fillId="0" borderId="0" xfId="2" applyNumberFormat="1" applyFont="1" applyBorder="1" applyAlignment="1" applyProtection="1">
      <alignment horizontal="center" vertical="center"/>
    </xf>
    <xf numFmtId="165" fontId="50" fillId="7" borderId="0" xfId="2" applyNumberFormat="1" applyFont="1" applyFill="1" applyBorder="1" applyAlignment="1" applyProtection="1">
      <alignment vertical="center"/>
    </xf>
    <xf numFmtId="165" fontId="50" fillId="10" borderId="0" xfId="2" applyNumberFormat="1" applyFont="1" applyFill="1" applyBorder="1" applyAlignment="1" applyProtection="1">
      <alignment vertical="center"/>
    </xf>
    <xf numFmtId="9" fontId="49" fillId="9" borderId="0" xfId="1" applyFont="1" applyFill="1" applyBorder="1" applyAlignment="1" applyProtection="1">
      <alignment horizontal="center"/>
    </xf>
    <xf numFmtId="165" fontId="48" fillId="0" borderId="0" xfId="2" applyNumberFormat="1" applyFont="1" applyBorder="1" applyAlignment="1" applyProtection="1"/>
    <xf numFmtId="43" fontId="48" fillId="0" borderId="0" xfId="2" applyFont="1" applyBorder="1" applyAlignment="1" applyProtection="1">
      <alignment horizontal="center"/>
    </xf>
    <xf numFmtId="165" fontId="48" fillId="0" borderId="0" xfId="2" applyNumberFormat="1" applyFont="1" applyBorder="1" applyAlignment="1" applyProtection="1">
      <alignment horizontal="center"/>
    </xf>
    <xf numFmtId="165" fontId="51" fillId="0" borderId="0" xfId="2" applyNumberFormat="1" applyFont="1" applyFill="1" applyBorder="1" applyAlignment="1" applyProtection="1">
      <alignment horizontal="center" vertical="center"/>
    </xf>
    <xf numFmtId="165" fontId="52" fillId="7" borderId="0" xfId="2" applyNumberFormat="1" applyFont="1" applyFill="1" applyBorder="1" applyAlignment="1" applyProtection="1">
      <alignment horizontal="center" vertical="center"/>
    </xf>
    <xf numFmtId="165" fontId="52" fillId="7" borderId="0" xfId="2" applyNumberFormat="1" applyFont="1" applyFill="1" applyBorder="1" applyAlignment="1" applyProtection="1">
      <alignment horizontal="right"/>
    </xf>
    <xf numFmtId="165" fontId="51" fillId="0" borderId="0" xfId="2" applyNumberFormat="1" applyFont="1" applyFill="1" applyBorder="1" applyAlignment="1" applyProtection="1">
      <alignment horizontal="center"/>
    </xf>
    <xf numFmtId="43" fontId="51" fillId="0" borderId="0" xfId="2" applyFont="1" applyFill="1" applyBorder="1" applyAlignment="1" applyProtection="1">
      <alignment horizontal="center"/>
    </xf>
    <xf numFmtId="165" fontId="52" fillId="7" borderId="0" xfId="2" applyNumberFormat="1" applyFont="1" applyFill="1" applyBorder="1" applyAlignment="1" applyProtection="1">
      <alignment horizontal="center"/>
    </xf>
    <xf numFmtId="165" fontId="52" fillId="10" borderId="0" xfId="2" applyNumberFormat="1" applyFont="1" applyFill="1" applyBorder="1" applyAlignment="1" applyProtection="1">
      <alignment horizontal="center"/>
    </xf>
    <xf numFmtId="9" fontId="0" fillId="0" borderId="0" xfId="1" applyFont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5" fillId="22" borderId="0" xfId="0" applyFont="1" applyFill="1" applyAlignment="1">
      <alignment vertical="center"/>
    </xf>
    <xf numFmtId="9" fontId="2" fillId="22" borderId="0" xfId="1" applyFont="1" applyFill="1" applyAlignment="1">
      <alignment horizontal="center" vertical="center"/>
    </xf>
    <xf numFmtId="9" fontId="2" fillId="22" borderId="0" xfId="0" applyNumberFormat="1" applyFont="1" applyFill="1" applyAlignment="1">
      <alignment horizontal="center" vertical="center"/>
    </xf>
    <xf numFmtId="43" fontId="2" fillId="22" borderId="0" xfId="2" applyFont="1" applyFill="1" applyAlignment="1" applyProtection="1">
      <alignment vertical="center" wrapText="1"/>
      <protection locked="0"/>
    </xf>
    <xf numFmtId="9" fontId="2" fillId="22" borderId="0" xfId="1" applyFont="1" applyFill="1" applyAlignment="1" applyProtection="1">
      <alignment horizontal="center" vertical="center" wrapText="1"/>
      <protection locked="0"/>
    </xf>
    <xf numFmtId="165" fontId="2" fillId="22" borderId="0" xfId="2" applyNumberFormat="1" applyFont="1" applyFill="1" applyAlignment="1" applyProtection="1">
      <alignment horizontal="center" vertical="center" wrapText="1"/>
      <protection locked="0"/>
    </xf>
    <xf numFmtId="0" fontId="7" fillId="22" borderId="0" xfId="0" applyFont="1" applyFill="1" applyAlignment="1">
      <alignment vertical="center" wrapText="1"/>
    </xf>
    <xf numFmtId="165" fontId="0" fillId="0" borderId="0" xfId="2" applyNumberFormat="1" applyFont="1" applyAlignment="1">
      <alignment horizontal="center" vertical="center"/>
    </xf>
    <xf numFmtId="0" fontId="0" fillId="17" borderId="9" xfId="0" applyFill="1" applyBorder="1" applyProtection="1">
      <protection locked="0"/>
    </xf>
    <xf numFmtId="9" fontId="2" fillId="0" borderId="10" xfId="1" applyFont="1" applyBorder="1" applyProtection="1">
      <protection locked="0"/>
    </xf>
    <xf numFmtId="9" fontId="2" fillId="0" borderId="11" xfId="1" applyFont="1" applyBorder="1" applyProtection="1">
      <protection locked="0"/>
    </xf>
    <xf numFmtId="170" fontId="0" fillId="0" borderId="0" xfId="0" applyNumberFormat="1" applyProtection="1">
      <protection locked="0"/>
    </xf>
    <xf numFmtId="3" fontId="0" fillId="0" borderId="0" xfId="2" applyNumberFormat="1" applyFont="1" applyAlignment="1" applyProtection="1">
      <alignment horizontal="center" vertical="center"/>
      <protection locked="0"/>
    </xf>
    <xf numFmtId="3" fontId="2" fillId="22" borderId="0" xfId="2" applyNumberFormat="1" applyFont="1" applyFill="1" applyAlignment="1">
      <alignment horizontal="center" vertical="center"/>
    </xf>
    <xf numFmtId="4" fontId="19" fillId="0" borderId="0" xfId="0" applyNumberFormat="1" applyFont="1" applyAlignment="1" applyProtection="1">
      <alignment horizontal="center" vertical="center"/>
      <protection locked="0"/>
    </xf>
    <xf numFmtId="3" fontId="1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9" fontId="5" fillId="0" borderId="0" xfId="0" applyNumberFormat="1" applyFont="1" applyAlignment="1" applyProtection="1">
      <alignment horizontal="center" vertical="center"/>
      <protection locked="0"/>
    </xf>
    <xf numFmtId="168" fontId="5" fillId="0" borderId="0" xfId="2" applyNumberFormat="1" applyFont="1" applyFill="1" applyBorder="1" applyAlignment="1" applyProtection="1">
      <alignment horizontal="center" vertical="center"/>
      <protection locked="0"/>
    </xf>
    <xf numFmtId="9" fontId="4" fillId="0" borderId="0" xfId="0" applyNumberFormat="1" applyFont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vertical="center"/>
      <protection locked="0"/>
    </xf>
    <xf numFmtId="4" fontId="6" fillId="7" borderId="0" xfId="0" applyNumberFormat="1" applyFont="1" applyFill="1" applyAlignment="1" applyProtection="1">
      <alignment horizontal="center" vertical="center"/>
      <protection locked="0"/>
    </xf>
    <xf numFmtId="3" fontId="6" fillId="7" borderId="0" xfId="0" applyNumberFormat="1" applyFont="1" applyFill="1" applyAlignment="1" applyProtection="1">
      <alignment horizontal="center" vertical="center"/>
      <protection locked="0"/>
    </xf>
    <xf numFmtId="9" fontId="7" fillId="7" borderId="0" xfId="0" applyNumberFormat="1" applyFont="1" applyFill="1" applyAlignment="1" applyProtection="1">
      <alignment horizontal="center" vertical="center"/>
      <protection locked="0"/>
    </xf>
    <xf numFmtId="165" fontId="6" fillId="7" borderId="0" xfId="2" applyNumberFormat="1" applyFont="1" applyFill="1" applyBorder="1" applyAlignment="1" applyProtection="1">
      <alignment horizontal="center" vertical="center"/>
      <protection locked="0"/>
    </xf>
    <xf numFmtId="9" fontId="3" fillId="7" borderId="0" xfId="0" applyNumberFormat="1" applyFont="1" applyFill="1" applyAlignment="1" applyProtection="1">
      <alignment horizontal="center" vertical="center"/>
      <protection locked="0"/>
    </xf>
    <xf numFmtId="10" fontId="5" fillId="0" borderId="0" xfId="0" applyNumberFormat="1" applyFont="1" applyAlignment="1">
      <alignment horizontal="left" vertic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 vertical="center"/>
    </xf>
    <xf numFmtId="10" fontId="5" fillId="0" borderId="0" xfId="2" applyNumberFormat="1" applyFont="1" applyFill="1" applyBorder="1" applyAlignment="1" applyProtection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6" fillId="10" borderId="0" xfId="0" applyNumberFormat="1" applyFont="1" applyFill="1" applyAlignment="1">
      <alignment vertical="center"/>
    </xf>
    <xf numFmtId="10" fontId="6" fillId="10" borderId="0" xfId="0" applyNumberFormat="1" applyFont="1" applyFill="1" applyAlignment="1">
      <alignment horizontal="center" vertical="center"/>
    </xf>
    <xf numFmtId="10" fontId="6" fillId="10" borderId="0" xfId="1" applyNumberFormat="1" applyFont="1" applyFill="1" applyBorder="1" applyAlignment="1" applyProtection="1">
      <alignment horizontal="center" vertical="center"/>
    </xf>
    <xf numFmtId="10" fontId="6" fillId="10" borderId="0" xfId="2" applyNumberFormat="1" applyFont="1" applyFill="1" applyBorder="1" applyAlignment="1" applyProtection="1">
      <alignment horizontal="center" vertical="center"/>
    </xf>
    <xf numFmtId="10" fontId="0" fillId="0" borderId="0" xfId="0" applyNumberFormat="1" applyProtection="1">
      <protection locked="0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0" fontId="5" fillId="0" borderId="0" xfId="0" applyNumberFormat="1" applyFont="1" applyAlignment="1">
      <alignment horizontal="right" vertical="center"/>
    </xf>
    <xf numFmtId="10" fontId="48" fillId="0" borderId="0" xfId="0" applyNumberFormat="1" applyFont="1" applyAlignment="1">
      <alignment horizontal="center" vertical="center"/>
    </xf>
    <xf numFmtId="0" fontId="6" fillId="19" borderId="0" xfId="0" applyFont="1" applyFill="1" applyAlignment="1">
      <alignment horizontal="left" vertical="center"/>
    </xf>
    <xf numFmtId="4" fontId="6" fillId="19" borderId="0" xfId="0" applyNumberFormat="1" applyFont="1" applyFill="1" applyAlignment="1">
      <alignment horizontal="right" vertical="center"/>
    </xf>
    <xf numFmtId="10" fontId="3" fillId="19" borderId="0" xfId="0" applyNumberFormat="1" applyFont="1" applyFill="1" applyAlignment="1">
      <alignment horizontal="center" vertical="center"/>
    </xf>
    <xf numFmtId="43" fontId="2" fillId="19" borderId="0" xfId="2" applyFont="1" applyFill="1" applyAlignment="1">
      <alignment horizontal="center" vertical="center"/>
    </xf>
    <xf numFmtId="10" fontId="2" fillId="19" borderId="0" xfId="1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3" fontId="2" fillId="19" borderId="0" xfId="0" applyNumberFormat="1" applyFont="1" applyFill="1" applyAlignment="1" applyProtection="1">
      <alignment horizontal="center" vertical="center"/>
      <protection locked="0"/>
    </xf>
    <xf numFmtId="9" fontId="2" fillId="19" borderId="0" xfId="1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37" fontId="54" fillId="0" borderId="0" xfId="2" applyNumberFormat="1" applyFont="1" applyFill="1" applyBorder="1" applyAlignment="1" applyProtection="1">
      <alignment horizontal="center"/>
      <protection locked="0"/>
    </xf>
    <xf numFmtId="43" fontId="54" fillId="0" borderId="0" xfId="2" applyFont="1" applyFill="1" applyBorder="1" applyAlignment="1" applyProtection="1">
      <alignment horizontal="center"/>
      <protection locked="0"/>
    </xf>
    <xf numFmtId="165" fontId="2" fillId="0" borderId="0" xfId="2" applyNumberFormat="1" applyFont="1" applyFill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37" fontId="54" fillId="0" borderId="0" xfId="2" applyNumberFormat="1" applyFont="1" applyFill="1" applyBorder="1" applyAlignment="1" applyProtection="1">
      <alignment horizontal="center" vertical="center"/>
      <protection locked="0"/>
    </xf>
    <xf numFmtId="0" fontId="2" fillId="22" borderId="0" xfId="0" applyFont="1" applyFill="1" applyAlignment="1">
      <alignment vertical="center"/>
    </xf>
    <xf numFmtId="37" fontId="55" fillId="23" borderId="0" xfId="2" applyNumberFormat="1" applyFont="1" applyFill="1" applyBorder="1" applyAlignment="1" applyProtection="1">
      <alignment horizontal="center" vertical="center"/>
      <protection locked="0"/>
    </xf>
    <xf numFmtId="43" fontId="55" fillId="23" borderId="0" xfId="2" applyFont="1" applyFill="1" applyBorder="1" applyAlignment="1" applyProtection="1">
      <alignment horizontal="center" vertical="center"/>
      <protection locked="0"/>
    </xf>
    <xf numFmtId="43" fontId="4" fillId="0" borderId="12" xfId="2" applyFont="1" applyBorder="1" applyAlignment="1" applyProtection="1">
      <alignment horizontal="center"/>
      <protection locked="0"/>
    </xf>
    <xf numFmtId="3" fontId="15" fillId="22" borderId="0" xfId="2" applyNumberFormat="1" applyFont="1" applyFill="1" applyBorder="1" applyAlignment="1" applyProtection="1">
      <alignment horizontal="center" vertical="center"/>
      <protection locked="0"/>
    </xf>
    <xf numFmtId="3" fontId="0" fillId="0" borderId="0" xfId="2" applyNumberFormat="1" applyFont="1" applyBorder="1" applyAlignment="1" applyProtection="1">
      <alignment horizontal="center"/>
      <protection locked="0"/>
    </xf>
    <xf numFmtId="43" fontId="0" fillId="0" borderId="0" xfId="2" applyFont="1" applyBorder="1" applyAlignment="1" applyProtection="1">
      <alignment horizontal="center"/>
      <protection locked="0"/>
    </xf>
    <xf numFmtId="3" fontId="2" fillId="22" borderId="0" xfId="2" applyNumberFormat="1" applyFont="1" applyFill="1" applyBorder="1" applyAlignment="1" applyProtection="1">
      <alignment horizontal="center" vertical="center"/>
      <protection locked="0"/>
    </xf>
    <xf numFmtId="43" fontId="2" fillId="22" borderId="0" xfId="2" applyFont="1" applyFill="1" applyBorder="1" applyAlignment="1" applyProtection="1">
      <alignment horizontal="center"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43" fontId="10" fillId="22" borderId="0" xfId="2" applyFont="1" applyFill="1" applyBorder="1" applyAlignment="1" applyProtection="1">
      <alignment horizontal="center" vertical="center"/>
      <protection locked="0"/>
    </xf>
    <xf numFmtId="3" fontId="13" fillId="0" borderId="0" xfId="2" applyNumberFormat="1" applyFont="1" applyFill="1" applyBorder="1" applyAlignment="1" applyProtection="1">
      <alignment horizontal="center"/>
      <protection locked="0"/>
    </xf>
    <xf numFmtId="43" fontId="13" fillId="0" borderId="0" xfId="2" applyFont="1" applyFill="1" applyBorder="1" applyAlignment="1" applyProtection="1">
      <alignment horizontal="center"/>
      <protection locked="0"/>
    </xf>
    <xf numFmtId="10" fontId="15" fillId="12" borderId="0" xfId="1" applyNumberFormat="1" applyFont="1" applyFill="1" applyBorder="1" applyAlignment="1" applyProtection="1">
      <alignment horizontal="center" vertical="center"/>
      <protection locked="0"/>
    </xf>
    <xf numFmtId="10" fontId="15" fillId="0" borderId="0" xfId="0" applyNumberFormat="1" applyFont="1" applyProtection="1">
      <protection locked="0"/>
    </xf>
    <xf numFmtId="10" fontId="49" fillId="0" borderId="0" xfId="1" applyNumberFormat="1" applyFont="1" applyFill="1" applyBorder="1" applyAlignment="1" applyProtection="1">
      <alignment horizontal="center" vertical="center"/>
      <protection locked="0"/>
    </xf>
    <xf numFmtId="10" fontId="49" fillId="0" borderId="0" xfId="0" applyNumberFormat="1" applyFont="1" applyProtection="1">
      <protection locked="0"/>
    </xf>
    <xf numFmtId="3" fontId="3" fillId="22" borderId="0" xfId="2" applyNumberFormat="1" applyFont="1" applyFill="1" applyBorder="1" applyAlignment="1" applyProtection="1">
      <alignment horizontal="center"/>
    </xf>
    <xf numFmtId="4" fontId="3" fillId="22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4" fontId="4" fillId="0" borderId="0" xfId="2" applyNumberFormat="1" applyFont="1" applyBorder="1" applyAlignment="1" applyProtection="1">
      <alignment horizontal="center" vertical="center"/>
      <protection locked="0"/>
    </xf>
    <xf numFmtId="43" fontId="3" fillId="22" borderId="0" xfId="2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165" fontId="14" fillId="0" borderId="0" xfId="2" applyNumberFormat="1" applyFont="1"/>
    <xf numFmtId="165" fontId="4" fillId="0" borderId="0" xfId="2" applyNumberFormat="1" applyFont="1" applyAlignment="1" applyProtection="1">
      <alignment horizontal="center" vertical="center"/>
      <protection locked="0"/>
    </xf>
    <xf numFmtId="43" fontId="4" fillId="0" borderId="0" xfId="2" applyFont="1" applyBorder="1" applyAlignment="1" applyProtection="1">
      <alignment horizontal="center" vertical="center"/>
      <protection locked="0"/>
    </xf>
    <xf numFmtId="0" fontId="4" fillId="0" borderId="0" xfId="2" applyNumberFormat="1" applyFont="1" applyAlignment="1" applyProtection="1">
      <alignment horizontal="center" vertical="center"/>
      <protection locked="0"/>
    </xf>
    <xf numFmtId="165" fontId="3" fillId="22" borderId="0" xfId="2" applyNumberFormat="1" applyFont="1" applyFill="1" applyAlignment="1">
      <alignment horizontal="center" vertical="center"/>
    </xf>
    <xf numFmtId="43" fontId="3" fillId="22" borderId="0" xfId="2" applyFont="1" applyFill="1" applyAlignment="1">
      <alignment horizontal="center" vertical="center"/>
    </xf>
    <xf numFmtId="0" fontId="3" fillId="22" borderId="0" xfId="2" applyNumberFormat="1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9" fontId="15" fillId="19" borderId="0" xfId="1" applyFont="1" applyFill="1" applyBorder="1" applyAlignment="1" applyProtection="1">
      <alignment horizontal="center" vertical="center"/>
    </xf>
    <xf numFmtId="10" fontId="56" fillId="0" borderId="0" xfId="1" applyNumberFormat="1" applyFont="1" applyBorder="1" applyAlignment="1" applyProtection="1">
      <alignment horizontal="center" vertical="top"/>
    </xf>
    <xf numFmtId="10" fontId="8" fillId="0" borderId="0" xfId="1" applyNumberFormat="1" applyFont="1" applyBorder="1" applyAlignment="1" applyProtection="1">
      <alignment horizontal="center" vertical="top"/>
    </xf>
    <xf numFmtId="0" fontId="1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top"/>
    </xf>
    <xf numFmtId="3" fontId="8" fillId="0" borderId="0" xfId="0" applyNumberFormat="1" applyFont="1" applyAlignment="1">
      <alignment horizontal="center" vertical="top"/>
    </xf>
    <xf numFmtId="10" fontId="0" fillId="0" borderId="0" xfId="1" applyNumberFormat="1" applyFont="1" applyBorder="1" applyAlignment="1" applyProtection="1">
      <alignment horizontal="center"/>
    </xf>
    <xf numFmtId="0" fontId="13" fillId="0" borderId="0" xfId="0" applyFont="1" applyAlignment="1">
      <alignment vertical="top"/>
    </xf>
    <xf numFmtId="0" fontId="18" fillId="19" borderId="0" xfId="0" applyFont="1" applyFill="1" applyAlignment="1">
      <alignment horizontal="center" vertical="center"/>
    </xf>
    <xf numFmtId="3" fontId="15" fillId="19" borderId="0" xfId="0" applyNumberFormat="1" applyFont="1" applyFill="1" applyAlignment="1">
      <alignment horizontal="center" vertical="center"/>
    </xf>
    <xf numFmtId="9" fontId="6" fillId="19" borderId="0" xfId="1" applyFont="1" applyFill="1" applyBorder="1" applyAlignment="1" applyProtection="1">
      <alignment horizontal="center" vertical="center"/>
    </xf>
    <xf numFmtId="10" fontId="6" fillId="19" borderId="0" xfId="1" applyNumberFormat="1" applyFont="1" applyFill="1" applyBorder="1" applyAlignment="1" applyProtection="1">
      <alignment horizontal="center" vertical="center"/>
    </xf>
    <xf numFmtId="43" fontId="0" fillId="0" borderId="0" xfId="2" applyFont="1" applyBorder="1" applyAlignment="1" applyProtection="1">
      <alignment horizontal="center" vertical="center"/>
      <protection locked="0"/>
    </xf>
    <xf numFmtId="165" fontId="8" fillId="0" borderId="0" xfId="2" applyNumberFormat="1" applyFont="1" applyBorder="1" applyAlignment="1">
      <alignment horizontal="center" vertical="top"/>
    </xf>
    <xf numFmtId="165" fontId="17" fillId="19" borderId="0" xfId="2" applyNumberFormat="1" applyFont="1" applyFill="1" applyBorder="1" applyAlignment="1">
      <alignment horizontal="center" vertical="center"/>
    </xf>
    <xf numFmtId="165" fontId="6" fillId="19" borderId="0" xfId="2" applyNumberFormat="1" applyFont="1" applyFill="1" applyBorder="1" applyAlignment="1">
      <alignment horizontal="center" vertical="center"/>
    </xf>
    <xf numFmtId="165" fontId="0" fillId="0" borderId="0" xfId="2" applyNumberFormat="1" applyFont="1" applyBorder="1" applyAlignment="1" applyProtection="1">
      <alignment horizontal="center" vertical="center"/>
      <protection locked="0"/>
    </xf>
    <xf numFmtId="165" fontId="15" fillId="19" borderId="0" xfId="2" applyNumberFormat="1" applyFont="1" applyFill="1" applyBorder="1" applyAlignment="1">
      <alignment horizontal="center" vertical="center"/>
    </xf>
    <xf numFmtId="165" fontId="34" fillId="0" borderId="0" xfId="2" applyNumberFormat="1" applyFont="1" applyBorder="1" applyAlignment="1">
      <alignment horizontal="center"/>
    </xf>
    <xf numFmtId="10" fontId="15" fillId="19" borderId="0" xfId="1" applyNumberFormat="1" applyFont="1" applyFill="1" applyBorder="1" applyAlignment="1" applyProtection="1">
      <alignment horizontal="center" vertical="center"/>
    </xf>
    <xf numFmtId="0" fontId="15" fillId="19" borderId="0" xfId="2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58" fillId="0" borderId="0" xfId="2" applyNumberFormat="1" applyFont="1" applyBorder="1" applyAlignment="1">
      <alignment horizontal="center" vertical="top"/>
    </xf>
    <xf numFmtId="10" fontId="58" fillId="0" borderId="0" xfId="1" applyNumberFormat="1" applyFont="1" applyBorder="1" applyAlignment="1" applyProtection="1">
      <alignment horizontal="center" vertical="top"/>
    </xf>
    <xf numFmtId="3" fontId="58" fillId="0" borderId="0" xfId="0" applyNumberFormat="1" applyFont="1" applyAlignment="1">
      <alignment horizontal="center" vertical="top"/>
    </xf>
    <xf numFmtId="10" fontId="13" fillId="0" borderId="0" xfId="1" applyNumberFormat="1" applyFont="1" applyBorder="1" applyAlignment="1" applyProtection="1">
      <alignment horizontal="center"/>
    </xf>
    <xf numFmtId="10" fontId="13" fillId="19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24" fillId="0" borderId="0" xfId="2" applyNumberFormat="1" applyFont="1" applyBorder="1" applyAlignment="1" applyProtection="1">
      <alignment horizontal="center" vertical="center"/>
      <protection locked="0"/>
    </xf>
    <xf numFmtId="39" fontId="0" fillId="0" borderId="0" xfId="2" applyNumberFormat="1" applyFont="1" applyBorder="1" applyAlignment="1" applyProtection="1">
      <alignment horizontal="center" vertical="center"/>
      <protection locked="0"/>
    </xf>
    <xf numFmtId="165" fontId="0" fillId="0" borderId="0" xfId="2" applyNumberFormat="1" applyFont="1" applyBorder="1" applyAlignment="1" applyProtection="1">
      <alignment horizontal="center" vertical="center"/>
    </xf>
    <xf numFmtId="165" fontId="2" fillId="0" borderId="0" xfId="2" applyNumberFormat="1" applyFont="1" applyFill="1" applyBorder="1" applyAlignment="1" applyProtection="1">
      <alignment horizontal="center" vertical="center"/>
    </xf>
    <xf numFmtId="37" fontId="0" fillId="0" borderId="0" xfId="2" applyNumberFormat="1" applyFont="1" applyBorder="1" applyAlignment="1" applyProtection="1">
      <alignment horizontal="center" vertical="center"/>
      <protection locked="0"/>
    </xf>
    <xf numFmtId="39" fontId="1" fillId="0" borderId="0" xfId="2" applyNumberFormat="1" applyFont="1" applyBorder="1" applyAlignment="1" applyProtection="1">
      <alignment horizontal="right" vertical="center"/>
      <protection locked="0"/>
    </xf>
    <xf numFmtId="37" fontId="1" fillId="0" borderId="0" xfId="2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37" fontId="14" fillId="0" borderId="0" xfId="2" applyNumberFormat="1" applyFont="1" applyBorder="1" applyAlignment="1" applyProtection="1">
      <alignment horizontal="right" vertical="center"/>
      <protection locked="0"/>
    </xf>
    <xf numFmtId="165" fontId="40" fillId="17" borderId="0" xfId="2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Protection="1">
      <protection locked="0"/>
    </xf>
    <xf numFmtId="165" fontId="14" fillId="0" borderId="0" xfId="2" applyNumberFormat="1" applyFont="1" applyBorder="1" applyAlignment="1" applyProtection="1">
      <alignment vertical="center"/>
      <protection locked="0"/>
    </xf>
    <xf numFmtId="165" fontId="36" fillId="7" borderId="0" xfId="2" applyNumberFormat="1" applyFont="1" applyFill="1" applyBorder="1" applyAlignment="1" applyProtection="1">
      <alignment vertical="center"/>
    </xf>
    <xf numFmtId="37" fontId="36" fillId="7" borderId="0" xfId="2" applyNumberFormat="1" applyFont="1" applyFill="1" applyBorder="1" applyAlignment="1" applyProtection="1">
      <alignment horizontal="right" vertical="center"/>
    </xf>
    <xf numFmtId="165" fontId="59" fillId="17" borderId="0" xfId="2" applyNumberFormat="1" applyFont="1" applyFill="1" applyBorder="1" applyAlignment="1" applyProtection="1">
      <alignment vertical="center"/>
    </xf>
    <xf numFmtId="165" fontId="2" fillId="0" borderId="0" xfId="0" applyNumberFormat="1" applyFont="1" applyProtection="1">
      <protection locked="0"/>
    </xf>
    <xf numFmtId="39" fontId="14" fillId="0" borderId="0" xfId="2" applyNumberFormat="1" applyFont="1" applyBorder="1" applyAlignment="1" applyProtection="1">
      <alignment horizontal="center" vertical="center"/>
    </xf>
    <xf numFmtId="43" fontId="40" fillId="17" borderId="0" xfId="2" applyFont="1" applyFill="1" applyBorder="1" applyAlignment="1" applyProtection="1">
      <alignment horizontal="center" vertical="center"/>
    </xf>
    <xf numFmtId="37" fontId="59" fillId="17" borderId="0" xfId="2" applyNumberFormat="1" applyFont="1" applyFill="1" applyBorder="1" applyAlignment="1" applyProtection="1">
      <alignment horizontal="right" vertical="center"/>
    </xf>
    <xf numFmtId="43" fontId="1" fillId="0" borderId="0" xfId="0" applyNumberFormat="1" applyFont="1" applyProtection="1">
      <protection locked="0"/>
    </xf>
    <xf numFmtId="37" fontId="36" fillId="10" borderId="0" xfId="2" applyNumberFormat="1" applyFont="1" applyFill="1" applyBorder="1" applyAlignment="1" applyProtection="1">
      <alignment horizontal="right" vertical="center"/>
    </xf>
    <xf numFmtId="165" fontId="36" fillId="10" borderId="0" xfId="2" applyNumberFormat="1" applyFont="1" applyFill="1" applyBorder="1" applyAlignment="1" applyProtection="1">
      <alignment vertical="center"/>
    </xf>
    <xf numFmtId="9" fontId="15" fillId="9" borderId="0" xfId="1" applyFont="1" applyFill="1" applyBorder="1" applyAlignment="1" applyProtection="1">
      <alignment horizontal="center"/>
    </xf>
    <xf numFmtId="10" fontId="40" fillId="17" borderId="0" xfId="1" applyNumberFormat="1" applyFont="1" applyFill="1" applyBorder="1" applyAlignment="1" applyProtection="1">
      <alignment horizontal="center"/>
    </xf>
    <xf numFmtId="10" fontId="40" fillId="9" borderId="0" xfId="1" applyNumberFormat="1" applyFont="1" applyFill="1" applyBorder="1" applyAlignment="1" applyProtection="1">
      <alignment horizontal="center"/>
    </xf>
    <xf numFmtId="10" fontId="2" fillId="12" borderId="0" xfId="1" applyNumberFormat="1" applyFont="1" applyFill="1" applyAlignment="1" applyProtection="1">
      <alignment horizontal="center"/>
      <protection locked="0"/>
    </xf>
    <xf numFmtId="0" fontId="14" fillId="5" borderId="0" xfId="0" applyFont="1" applyFill="1"/>
    <xf numFmtId="0" fontId="15" fillId="15" borderId="0" xfId="0" applyFont="1" applyFill="1" applyAlignment="1">
      <alignment horizontal="center"/>
    </xf>
    <xf numFmtId="0" fontId="15" fillId="15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wrapText="1"/>
      <protection locked="0"/>
    </xf>
    <xf numFmtId="43" fontId="0" fillId="0" borderId="0" xfId="2" applyFont="1" applyBorder="1" applyAlignment="1" applyProtection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40" fillId="17" borderId="0" xfId="0" applyFont="1" applyFill="1" applyAlignment="1" applyProtection="1">
      <alignment horizontal="center"/>
      <protection locked="0"/>
    </xf>
    <xf numFmtId="0" fontId="38" fillId="7" borderId="0" xfId="0" applyFont="1" applyFill="1" applyAlignment="1">
      <alignment horizontal="center" vertical="center"/>
    </xf>
    <xf numFmtId="165" fontId="40" fillId="17" borderId="0" xfId="0" applyNumberFormat="1" applyFont="1" applyFill="1" applyAlignment="1" applyProtection="1">
      <alignment horizontal="center"/>
      <protection locked="0"/>
    </xf>
    <xf numFmtId="0" fontId="38" fillId="10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left"/>
    </xf>
    <xf numFmtId="0" fontId="15" fillId="9" borderId="0" xfId="0" applyFont="1" applyFill="1"/>
    <xf numFmtId="0" fontId="40" fillId="17" borderId="0" xfId="0" applyFont="1" applyFill="1" applyAlignment="1">
      <alignment horizontal="left"/>
    </xf>
    <xf numFmtId="165" fontId="14" fillId="0" borderId="0" xfId="0" applyNumberFormat="1" applyFont="1"/>
    <xf numFmtId="0" fontId="25" fillId="17" borderId="0" xfId="0" applyFont="1" applyFill="1"/>
    <xf numFmtId="165" fontId="25" fillId="17" borderId="0" xfId="0" applyNumberFormat="1" applyFont="1" applyFill="1"/>
    <xf numFmtId="165" fontId="20" fillId="0" borderId="0" xfId="0" applyNumberFormat="1" applyFont="1" applyProtection="1">
      <protection locked="0"/>
    </xf>
    <xf numFmtId="165" fontId="14" fillId="0" borderId="0" xfId="0" applyNumberFormat="1" applyFont="1" applyProtection="1">
      <protection locked="0"/>
    </xf>
    <xf numFmtId="0" fontId="25" fillId="17" borderId="0" xfId="0" applyFont="1" applyFill="1" applyProtection="1">
      <protection locked="0"/>
    </xf>
    <xf numFmtId="165" fontId="25" fillId="17" borderId="0" xfId="0" applyNumberFormat="1" applyFont="1" applyFill="1" applyProtection="1">
      <protection locked="0"/>
    </xf>
    <xf numFmtId="0" fontId="40" fillId="9" borderId="0" xfId="0" applyFont="1" applyFill="1" applyAlignment="1">
      <alignment horizontal="left"/>
    </xf>
    <xf numFmtId="10" fontId="40" fillId="9" borderId="0" xfId="0" applyNumberFormat="1" applyFont="1" applyFill="1" applyAlignment="1" applyProtection="1">
      <alignment horizontal="center"/>
      <protection locked="0"/>
    </xf>
    <xf numFmtId="0" fontId="42" fillId="0" borderId="0" xfId="0" applyFont="1" applyProtection="1">
      <protection locked="0"/>
    </xf>
    <xf numFmtId="10" fontId="2" fillId="12" borderId="0" xfId="1" applyNumberFormat="1" applyFont="1" applyFill="1" applyBorder="1" applyAlignment="1" applyProtection="1">
      <alignment horizontal="center"/>
      <protection locked="0"/>
    </xf>
    <xf numFmtId="10" fontId="2" fillId="0" borderId="0" xfId="1" applyNumberFormat="1" applyFont="1" applyBorder="1" applyAlignment="1" applyProtection="1">
      <alignment horizontal="center"/>
      <protection locked="0"/>
    </xf>
    <xf numFmtId="9" fontId="2" fillId="12" borderId="0" xfId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40" fillId="17" borderId="0" xfId="2" applyNumberFormat="1" applyFont="1" applyFill="1" applyBorder="1" applyAlignment="1" applyProtection="1">
      <alignment vertical="center"/>
    </xf>
    <xf numFmtId="10" fontId="40" fillId="17" borderId="0" xfId="1" applyNumberFormat="1" applyFont="1" applyFill="1" applyBorder="1" applyAlignment="1" applyProtection="1"/>
    <xf numFmtId="10" fontId="40" fillId="9" borderId="0" xfId="1" applyNumberFormat="1" applyFont="1" applyFill="1" applyBorder="1" applyAlignment="1" applyProtection="1"/>
    <xf numFmtId="10" fontId="2" fillId="0" borderId="0" xfId="1" applyNumberFormat="1" applyFont="1" applyBorder="1" applyAlignment="1" applyProtection="1">
      <protection locked="0"/>
    </xf>
    <xf numFmtId="165" fontId="3" fillId="0" borderId="0" xfId="2" applyNumberFormat="1" applyFont="1" applyFill="1" applyBorder="1" applyAlignment="1" applyProtection="1">
      <alignment vertical="center"/>
    </xf>
    <xf numFmtId="43" fontId="2" fillId="0" borderId="0" xfId="0" applyNumberFormat="1" applyFont="1" applyAlignment="1">
      <alignment horizontal="center" vertical="center"/>
    </xf>
    <xf numFmtId="43" fontId="2" fillId="0" borderId="0" xfId="2" applyFont="1" applyFill="1" applyBorder="1" applyAlignment="1" applyProtection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2" fillId="0" borderId="0" xfId="0" applyNumberFormat="1" applyFont="1" applyAlignment="1" applyProtection="1">
      <alignment horizontal="center"/>
      <protection locked="0"/>
    </xf>
    <xf numFmtId="37" fontId="3" fillId="22" borderId="0" xfId="2" applyNumberFormat="1" applyFont="1" applyFill="1" applyBorder="1" applyAlignment="1" applyProtection="1">
      <alignment horizontal="center"/>
      <protection locked="0"/>
    </xf>
    <xf numFmtId="43" fontId="3" fillId="22" borderId="0" xfId="2" applyFont="1" applyFill="1" applyBorder="1" applyAlignment="1" applyProtection="1">
      <alignment horizontal="center"/>
      <protection locked="0"/>
    </xf>
    <xf numFmtId="10" fontId="2" fillId="12" borderId="0" xfId="1" applyNumberFormat="1" applyFont="1" applyFill="1" applyAlignment="1">
      <alignment horizontal="center"/>
    </xf>
    <xf numFmtId="9" fontId="2" fillId="0" borderId="0" xfId="1" applyFont="1" applyAlignment="1">
      <alignment horizontal="center"/>
    </xf>
    <xf numFmtId="9" fontId="2" fillId="12" borderId="0" xfId="1" applyFont="1" applyFill="1" applyAlignment="1">
      <alignment horizontal="center"/>
    </xf>
    <xf numFmtId="43" fontId="3" fillId="0" borderId="0" xfId="2" applyFont="1" applyFill="1" applyBorder="1" applyAlignment="1" applyProtection="1">
      <alignment horizontal="center"/>
      <protection locked="0"/>
    </xf>
    <xf numFmtId="37" fontId="0" fillId="0" borderId="0" xfId="2" applyNumberFormat="1" applyFont="1" applyBorder="1" applyAlignment="1" applyProtection="1">
      <alignment horizontal="center"/>
      <protection locked="0"/>
    </xf>
    <xf numFmtId="43" fontId="0" fillId="0" borderId="0" xfId="2" applyFont="1" applyBorder="1" applyAlignment="1" applyProtection="1">
      <alignment horizontal="right"/>
      <protection locked="0"/>
    </xf>
    <xf numFmtId="37" fontId="2" fillId="0" borderId="0" xfId="2" applyNumberFormat="1" applyFont="1" applyFill="1" applyBorder="1" applyAlignment="1" applyProtection="1">
      <alignment horizontal="center"/>
      <protection locked="0"/>
    </xf>
    <xf numFmtId="43" fontId="2" fillId="0" borderId="0" xfId="2" applyFont="1" applyFill="1" applyBorder="1" applyAlignment="1" applyProtection="1">
      <alignment horizontal="right"/>
      <protection locked="0"/>
    </xf>
    <xf numFmtId="37" fontId="2" fillId="19" borderId="0" xfId="2" applyNumberFormat="1" applyFont="1" applyFill="1" applyBorder="1" applyAlignment="1" applyProtection="1">
      <alignment horizontal="center"/>
      <protection locked="0"/>
    </xf>
    <xf numFmtId="43" fontId="2" fillId="19" borderId="0" xfId="2" applyFont="1" applyFill="1" applyBorder="1" applyAlignment="1" applyProtection="1">
      <alignment horizontal="right"/>
      <protection locked="0"/>
    </xf>
    <xf numFmtId="0" fontId="60" fillId="10" borderId="0" xfId="0" applyFont="1" applyFill="1" applyAlignment="1">
      <alignment horizontal="left" vertical="center"/>
    </xf>
    <xf numFmtId="37" fontId="60" fillId="10" borderId="0" xfId="2" applyNumberFormat="1" applyFont="1" applyFill="1" applyBorder="1" applyAlignment="1" applyProtection="1">
      <alignment horizontal="center"/>
      <protection locked="0"/>
    </xf>
    <xf numFmtId="43" fontId="60" fillId="10" borderId="0" xfId="2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0" fontId="60" fillId="10" borderId="0" xfId="0" applyFont="1" applyFill="1" applyAlignment="1" applyProtection="1">
      <alignment horizontal="left" vertical="center"/>
      <protection locked="0"/>
    </xf>
    <xf numFmtId="0" fontId="60" fillId="21" borderId="0" xfId="0" applyFont="1" applyFill="1" applyAlignment="1" applyProtection="1">
      <alignment horizontal="left" vertical="center"/>
      <protection locked="0"/>
    </xf>
    <xf numFmtId="37" fontId="60" fillId="21" borderId="0" xfId="2" applyNumberFormat="1" applyFont="1" applyFill="1" applyBorder="1" applyAlignment="1" applyProtection="1">
      <alignment horizontal="center"/>
    </xf>
    <xf numFmtId="43" fontId="60" fillId="21" borderId="0" xfId="2" applyFont="1" applyFill="1" applyBorder="1" applyAlignment="1" applyProtection="1">
      <alignment horizontal="center"/>
    </xf>
    <xf numFmtId="43" fontId="60" fillId="21" borderId="0" xfId="2" applyFont="1" applyFill="1" applyBorder="1" applyAlignment="1" applyProtection="1">
      <alignment horizontal="right"/>
    </xf>
    <xf numFmtId="40" fontId="4" fillId="0" borderId="0" xfId="2" applyNumberFormat="1" applyFont="1" applyBorder="1" applyAlignment="1" applyProtection="1">
      <protection locked="0"/>
    </xf>
    <xf numFmtId="0" fontId="2" fillId="5" borderId="0" xfId="0" applyFont="1" applyFill="1" applyAlignment="1">
      <alignment horizontal="left" vertical="center"/>
    </xf>
    <xf numFmtId="9" fontId="1" fillId="0" borderId="0" xfId="1" applyFont="1" applyBorder="1" applyAlignment="1">
      <alignment horizontal="center"/>
    </xf>
    <xf numFmtId="0" fontId="2" fillId="22" borderId="0" xfId="0" applyFont="1" applyFill="1" applyAlignment="1">
      <alignment horizontal="center" vertical="center"/>
    </xf>
    <xf numFmtId="43" fontId="2" fillId="22" borderId="0" xfId="2" applyFont="1" applyFill="1" applyBorder="1" applyAlignment="1">
      <alignment horizontal="center" vertical="center"/>
    </xf>
    <xf numFmtId="9" fontId="2" fillId="22" borderId="0" xfId="1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66" fontId="13" fillId="12" borderId="0" xfId="0" applyNumberFormat="1" applyFont="1" applyFill="1" applyAlignment="1">
      <alignment vertical="center"/>
    </xf>
    <xf numFmtId="3" fontId="45" fillId="0" borderId="0" xfId="0" applyNumberFormat="1" applyFont="1" applyAlignment="1">
      <alignment horizontal="center" vertical="top"/>
    </xf>
    <xf numFmtId="4" fontId="45" fillId="0" borderId="0" xfId="0" applyNumberFormat="1" applyFont="1" applyAlignment="1">
      <alignment horizontal="center" vertical="top"/>
    </xf>
    <xf numFmtId="166" fontId="13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top"/>
    </xf>
    <xf numFmtId="4" fontId="34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18" fillId="19" borderId="0" xfId="0" applyNumberFormat="1" applyFont="1" applyFill="1" applyAlignment="1">
      <alignment horizontal="center" vertical="center"/>
    </xf>
    <xf numFmtId="4" fontId="15" fillId="19" borderId="0" xfId="0" applyNumberFormat="1" applyFont="1" applyFill="1" applyAlignment="1" applyProtection="1">
      <alignment vertical="center"/>
      <protection locked="0"/>
    </xf>
    <xf numFmtId="9" fontId="35" fillId="19" borderId="0" xfId="1" applyFont="1" applyFill="1" applyBorder="1" applyAlignment="1" applyProtection="1">
      <alignment horizontal="center" vertical="center"/>
    </xf>
    <xf numFmtId="0" fontId="13" fillId="5" borderId="0" xfId="0" applyFont="1" applyFill="1" applyAlignment="1">
      <alignment horizontal="center"/>
    </xf>
    <xf numFmtId="166" fontId="2" fillId="0" borderId="0" xfId="0" applyNumberFormat="1" applyFont="1" applyAlignment="1">
      <alignment horizontal="left" vertical="center"/>
    </xf>
    <xf numFmtId="3" fontId="61" fillId="0" borderId="0" xfId="0" applyNumberFormat="1" applyFont="1" applyAlignment="1">
      <alignment horizontal="center"/>
    </xf>
    <xf numFmtId="10" fontId="61" fillId="0" borderId="0" xfId="1" applyNumberFormat="1" applyFont="1" applyBorder="1" applyAlignment="1" applyProtection="1">
      <alignment horizontal="center" vertical="top"/>
    </xf>
    <xf numFmtId="4" fontId="61" fillId="0" borderId="0" xfId="0" applyNumberFormat="1" applyFont="1" applyAlignment="1">
      <alignment horizontal="center" vertical="top"/>
    </xf>
    <xf numFmtId="3" fontId="61" fillId="0" borderId="0" xfId="0" applyNumberFormat="1" applyFont="1" applyAlignment="1">
      <alignment horizontal="center" vertical="top"/>
    </xf>
    <xf numFmtId="0" fontId="35" fillId="19" borderId="0" xfId="0" applyFont="1" applyFill="1" applyAlignment="1">
      <alignment horizontal="center" vertical="center"/>
    </xf>
    <xf numFmtId="3" fontId="35" fillId="19" borderId="0" xfId="0" applyNumberFormat="1" applyFont="1" applyFill="1" applyAlignment="1">
      <alignment horizontal="center" vertical="center"/>
    </xf>
    <xf numFmtId="3" fontId="62" fillId="0" borderId="0" xfId="0" applyNumberFormat="1" applyFont="1" applyAlignment="1">
      <alignment horizontal="center" vertical="top"/>
    </xf>
    <xf numFmtId="10" fontId="62" fillId="0" borderId="0" xfId="1" applyNumberFormat="1" applyFont="1" applyBorder="1" applyAlignment="1" applyProtection="1">
      <alignment horizontal="center" vertical="top"/>
    </xf>
    <xf numFmtId="4" fontId="58" fillId="0" borderId="0" xfId="0" applyNumberFormat="1" applyFont="1" applyAlignment="1">
      <alignment horizontal="center" vertical="top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165" fontId="14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center"/>
    </xf>
    <xf numFmtId="3" fontId="46" fillId="0" borderId="0" xfId="0" applyNumberFormat="1" applyFont="1" applyAlignment="1" applyProtection="1">
      <alignment horizontal="center" vertical="top"/>
      <protection locked="0"/>
    </xf>
    <xf numFmtId="3" fontId="4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0" fontId="0" fillId="0" borderId="0" xfId="1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Alignment="1">
      <alignment horizontal="center" vertical="center"/>
    </xf>
    <xf numFmtId="10" fontId="8" fillId="0" borderId="0" xfId="1" applyNumberFormat="1" applyFont="1" applyBorder="1" applyAlignment="1">
      <alignment horizontal="center" vertical="center"/>
    </xf>
    <xf numFmtId="4" fontId="0" fillId="0" borderId="0" xfId="0" applyNumberFormat="1" applyAlignment="1" applyProtection="1">
      <alignment horizontal="center" vertical="center"/>
      <protection locked="0"/>
    </xf>
    <xf numFmtId="10" fontId="2" fillId="12" borderId="0" xfId="1" applyNumberFormat="1" applyFont="1" applyFill="1" applyAlignment="1" applyProtection="1">
      <alignment horizontal="center"/>
    </xf>
    <xf numFmtId="0" fontId="0" fillId="13" borderId="0" xfId="0" applyFill="1" applyProtection="1">
      <protection locked="0"/>
    </xf>
    <xf numFmtId="0" fontId="0" fillId="0" borderId="0" xfId="1" applyNumberFormat="1" applyFont="1"/>
    <xf numFmtId="37" fontId="0" fillId="0" borderId="0" xfId="1" applyNumberFormat="1" applyFont="1"/>
    <xf numFmtId="3" fontId="2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Protection="1">
      <protection locked="0"/>
    </xf>
    <xf numFmtId="3" fontId="4" fillId="0" borderId="0" xfId="0" applyNumberFormat="1" applyFont="1"/>
    <xf numFmtId="3" fontId="32" fillId="7" borderId="0" xfId="0" applyNumberFormat="1" applyFont="1" applyFill="1"/>
    <xf numFmtId="3" fontId="6" fillId="7" borderId="0" xfId="0" applyNumberFormat="1" applyFont="1" applyFill="1"/>
    <xf numFmtId="3" fontId="35" fillId="15" borderId="0" xfId="0" applyNumberFormat="1" applyFont="1" applyFill="1" applyAlignment="1">
      <alignment wrapText="1"/>
    </xf>
    <xf numFmtId="9" fontId="2" fillId="12" borderId="0" xfId="1" applyFont="1" applyFill="1" applyAlignment="1" applyProtection="1"/>
    <xf numFmtId="9" fontId="2" fillId="0" borderId="0" xfId="1" applyFont="1" applyFill="1" applyAlignment="1" applyProtection="1"/>
    <xf numFmtId="43" fontId="0" fillId="0" borderId="0" xfId="2" applyFont="1" applyAlignment="1">
      <alignment horizontal="right" vertical="center"/>
    </xf>
    <xf numFmtId="3" fontId="2" fillId="22" borderId="0" xfId="0" applyNumberFormat="1" applyFont="1" applyFill="1" applyAlignment="1">
      <alignment horizontal="center" vertical="center"/>
    </xf>
    <xf numFmtId="43" fontId="2" fillId="22" borderId="0" xfId="2" applyFont="1" applyFill="1" applyAlignment="1">
      <alignment horizontal="right" vertical="center"/>
    </xf>
    <xf numFmtId="10" fontId="0" fillId="14" borderId="0" xfId="1" applyNumberFormat="1" applyFont="1" applyFill="1" applyBorder="1" applyAlignment="1" applyProtection="1">
      <alignment horizontal="center"/>
    </xf>
    <xf numFmtId="9" fontId="13" fillId="22" borderId="0" xfId="1" applyFont="1" applyFill="1" applyBorder="1" applyAlignment="1" applyProtection="1">
      <alignment horizontal="center" vertical="center"/>
    </xf>
    <xf numFmtId="0" fontId="43" fillId="5" borderId="0" xfId="0" applyFont="1" applyFill="1"/>
    <xf numFmtId="0" fontId="13" fillId="5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3" fontId="34" fillId="0" borderId="0" xfId="0" applyNumberFormat="1" applyFont="1" applyAlignment="1">
      <alignment horizontal="center"/>
    </xf>
    <xf numFmtId="9" fontId="34" fillId="0" borderId="0" xfId="1" applyFont="1" applyBorder="1" applyAlignment="1">
      <alignment horizontal="center" vertical="center"/>
    </xf>
    <xf numFmtId="0" fontId="44" fillId="22" borderId="0" xfId="0" applyFont="1" applyFill="1" applyAlignment="1">
      <alignment horizontal="left" vertical="center"/>
    </xf>
    <xf numFmtId="3" fontId="44" fillId="22" borderId="0" xfId="0" applyNumberFormat="1" applyFont="1" applyFill="1" applyAlignment="1">
      <alignment horizontal="center" vertical="center"/>
    </xf>
    <xf numFmtId="3" fontId="13" fillId="2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9" fontId="0" fillId="0" borderId="0" xfId="1" applyFont="1" applyFill="1" applyBorder="1" applyAlignment="1" applyProtection="1">
      <alignment horizontal="center" vertical="center" wrapText="1"/>
    </xf>
    <xf numFmtId="165" fontId="19" fillId="0" borderId="0" xfId="2" applyNumberFormat="1" applyFont="1" applyFill="1" applyBorder="1" applyAlignment="1" applyProtection="1">
      <alignment horizontal="right"/>
    </xf>
    <xf numFmtId="0" fontId="2" fillId="5" borderId="0" xfId="0" applyFont="1" applyFill="1" applyAlignment="1">
      <alignment horizontal="left" vertical="center" wrapText="1"/>
    </xf>
    <xf numFmtId="165" fontId="0" fillId="0" borderId="0" xfId="2" applyNumberFormat="1" applyFont="1" applyFill="1" applyAlignment="1">
      <alignment horizontal="center" vertical="center" wrapText="1"/>
    </xf>
    <xf numFmtId="165" fontId="0" fillId="0" borderId="0" xfId="2" applyNumberFormat="1" applyFont="1" applyProtection="1">
      <protection locked="0"/>
    </xf>
    <xf numFmtId="0" fontId="35" fillId="22" borderId="0" xfId="0" applyFont="1" applyFill="1" applyAlignment="1">
      <alignment vertical="center" wrapText="1"/>
    </xf>
    <xf numFmtId="0" fontId="2" fillId="0" borderId="0" xfId="0" applyFont="1" applyAlignment="1">
      <alignment horizontal="right"/>
    </xf>
    <xf numFmtId="165" fontId="0" fillId="0" borderId="0" xfId="2" applyNumberFormat="1" applyFont="1" applyAlignment="1" applyProtection="1">
      <protection locked="0"/>
    </xf>
    <xf numFmtId="165" fontId="2" fillId="0" borderId="0" xfId="2" applyNumberFormat="1" applyFont="1" applyAlignment="1"/>
    <xf numFmtId="0" fontId="2" fillId="19" borderId="0" xfId="0" applyFont="1" applyFill="1" applyAlignment="1">
      <alignment vertical="center"/>
    </xf>
    <xf numFmtId="165" fontId="2" fillId="19" borderId="0" xfId="2" applyNumberFormat="1" applyFont="1" applyFill="1" applyAlignment="1"/>
    <xf numFmtId="10" fontId="0" fillId="0" borderId="0" xfId="1" applyNumberFormat="1" applyFont="1" applyAlignment="1">
      <alignment horizontal="center" vertical="center"/>
    </xf>
    <xf numFmtId="165" fontId="2" fillId="22" borderId="0" xfId="0" applyNumberFormat="1" applyFont="1" applyFill="1" applyAlignment="1">
      <alignment horizontal="center" vertical="center"/>
    </xf>
    <xf numFmtId="10" fontId="2" fillId="22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>
      <alignment horizontal="center" vertical="center" wrapText="1"/>
    </xf>
    <xf numFmtId="9" fontId="24" fillId="0" borderId="0" xfId="1" applyFont="1" applyFill="1" applyBorder="1" applyAlignment="1" applyProtection="1">
      <alignment horizontal="center" vertical="center" wrapText="1"/>
    </xf>
    <xf numFmtId="10" fontId="19" fillId="0" borderId="0" xfId="0" applyNumberFormat="1" applyFont="1" applyAlignment="1">
      <alignment vertical="center"/>
    </xf>
    <xf numFmtId="43" fontId="0" fillId="0" borderId="0" xfId="2" applyFont="1" applyAlignment="1" applyProtection="1">
      <alignment horizontal="center"/>
      <protection locked="0"/>
    </xf>
    <xf numFmtId="10" fontId="0" fillId="0" borderId="0" xfId="1" applyNumberFormat="1" applyFont="1" applyAlignment="1" applyProtection="1">
      <alignment horizontal="center"/>
      <protection locked="0"/>
    </xf>
    <xf numFmtId="10" fontId="0" fillId="0" borderId="0" xfId="1" applyNumberFormat="1" applyFont="1" applyAlignment="1" applyProtection="1">
      <alignment horizontal="center" vertical="center"/>
      <protection locked="0"/>
    </xf>
    <xf numFmtId="10" fontId="35" fillId="19" borderId="0" xfId="0" applyNumberFormat="1" applyFont="1" applyFill="1" applyAlignment="1">
      <alignment vertical="center"/>
    </xf>
    <xf numFmtId="0" fontId="10" fillId="0" borderId="0" xfId="0" applyFont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63" fillId="0" borderId="0" xfId="0" applyFont="1"/>
    <xf numFmtId="3" fontId="15" fillId="0" borderId="0" xfId="0" applyNumberFormat="1" applyFont="1" applyProtection="1">
      <protection locked="0"/>
    </xf>
    <xf numFmtId="169" fontId="0" fillId="0" borderId="0" xfId="0" applyNumberFormat="1"/>
    <xf numFmtId="169" fontId="1" fillId="0" borderId="0" xfId="0" applyNumberFormat="1" applyFont="1" applyProtection="1">
      <protection locked="0"/>
    </xf>
    <xf numFmtId="40" fontId="0" fillId="0" borderId="0" xfId="0" applyNumberFormat="1"/>
    <xf numFmtId="43" fontId="35" fillId="0" borderId="0" xfId="0" applyNumberFormat="1" applyFont="1" applyAlignment="1">
      <alignment horizontal="center" vertical="center"/>
    </xf>
    <xf numFmtId="3" fontId="2" fillId="19" borderId="0" xfId="0" applyNumberFormat="1" applyFont="1" applyFill="1" applyAlignment="1">
      <alignment vertical="top"/>
    </xf>
    <xf numFmtId="3" fontId="2" fillId="19" borderId="0" xfId="0" applyNumberFormat="1" applyFont="1" applyFill="1" applyAlignment="1">
      <alignment horizontal="center" vertical="center"/>
    </xf>
    <xf numFmtId="0" fontId="48" fillId="0" borderId="0" xfId="0" applyFont="1" applyAlignment="1" applyProtection="1">
      <alignment horizontal="center"/>
      <protection locked="0"/>
    </xf>
    <xf numFmtId="4" fontId="4" fillId="0" borderId="0" xfId="2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43" fontId="3" fillId="0" borderId="0" xfId="0" applyNumberFormat="1" applyFont="1" applyAlignment="1" applyProtection="1">
      <alignment horizontal="center"/>
      <protection locked="0"/>
    </xf>
    <xf numFmtId="0" fontId="48" fillId="22" borderId="0" xfId="0" applyFont="1" applyFill="1" applyProtection="1">
      <protection locked="0"/>
    </xf>
    <xf numFmtId="0" fontId="4" fillId="22" borderId="0" xfId="0" applyFont="1" applyFill="1" applyAlignment="1" applyProtection="1">
      <alignment horizontal="center" vertical="center"/>
      <protection locked="0"/>
    </xf>
    <xf numFmtId="9" fontId="3" fillId="12" borderId="0" xfId="1" applyFont="1" applyFill="1" applyBorder="1" applyAlignment="1" applyProtection="1">
      <alignment horizontal="center"/>
      <protection locked="0"/>
    </xf>
    <xf numFmtId="9" fontId="3" fillId="0" borderId="0" xfId="1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vertical="center"/>
      <protection locked="0"/>
    </xf>
    <xf numFmtId="3" fontId="4" fillId="0" borderId="0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35" fillId="19" borderId="0" xfId="0" applyFont="1" applyFill="1" applyAlignment="1">
      <alignment vertical="center"/>
    </xf>
    <xf numFmtId="37" fontId="2" fillId="19" borderId="0" xfId="2" applyNumberFormat="1" applyFont="1" applyFill="1" applyBorder="1" applyAlignment="1" applyProtection="1">
      <alignment horizontal="center" vertical="center"/>
      <protection locked="0"/>
    </xf>
    <xf numFmtId="169" fontId="2" fillId="19" borderId="0" xfId="2" applyNumberFormat="1" applyFont="1" applyFill="1" applyBorder="1" applyAlignment="1" applyProtection="1">
      <alignment horizontal="right" vertical="center"/>
      <protection locked="0"/>
    </xf>
    <xf numFmtId="165" fontId="2" fillId="19" borderId="0" xfId="2" applyNumberFormat="1" applyFont="1" applyFill="1" applyBorder="1" applyAlignment="1" applyProtection="1">
      <alignment horizontal="right" vertical="center"/>
      <protection locked="0"/>
    </xf>
    <xf numFmtId="43" fontId="2" fillId="19" borderId="0" xfId="2" applyFont="1" applyFill="1" applyBorder="1" applyAlignment="1" applyProtection="1">
      <alignment horizontal="right" vertical="center"/>
      <protection locked="0"/>
    </xf>
    <xf numFmtId="37" fontId="2" fillId="19" borderId="0" xfId="2" applyNumberFormat="1" applyFont="1" applyFill="1" applyBorder="1" applyAlignment="1" applyProtection="1">
      <alignment vertical="center"/>
      <protection locked="0"/>
    </xf>
    <xf numFmtId="3" fontId="34" fillId="0" borderId="0" xfId="0" applyNumberFormat="1" applyFont="1" applyAlignment="1">
      <alignment horizontal="center" vertical="center"/>
    </xf>
    <xf numFmtId="0" fontId="3" fillId="11" borderId="0" xfId="0" applyFont="1" applyFill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9" fontId="2" fillId="0" borderId="0" xfId="1" applyFont="1" applyBorder="1" applyAlignment="1" applyProtection="1">
      <alignment horizontal="center" vertical="center"/>
      <protection locked="0"/>
    </xf>
    <xf numFmtId="0" fontId="15" fillId="11" borderId="0" xfId="0" applyFont="1" applyFill="1" applyAlignment="1">
      <alignment vertical="center" wrapText="1"/>
    </xf>
    <xf numFmtId="0" fontId="15" fillId="16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10" fontId="2" fillId="0" borderId="0" xfId="1" applyNumberFormat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0" fontId="15" fillId="12" borderId="0" xfId="1" applyNumberFormat="1" applyFont="1" applyFill="1" applyBorder="1" applyAlignment="1" applyProtection="1">
      <alignment horizontal="center"/>
    </xf>
    <xf numFmtId="10" fontId="2" fillId="0" borderId="0" xfId="1" applyNumberFormat="1" applyFont="1" applyBorder="1" applyAlignment="1">
      <alignment horizontal="center" vertical="center"/>
    </xf>
    <xf numFmtId="40" fontId="4" fillId="0" borderId="0" xfId="2" applyNumberFormat="1" applyFont="1" applyFill="1" applyBorder="1" applyAlignment="1" applyProtection="1">
      <protection locked="0"/>
    </xf>
    <xf numFmtId="0" fontId="51" fillId="0" borderId="0" xfId="0" applyFont="1" applyAlignment="1">
      <alignment horizontal="center" vertical="center" wrapText="1"/>
    </xf>
    <xf numFmtId="0" fontId="3" fillId="15" borderId="0" xfId="0" applyFont="1" applyFill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 wrapText="1"/>
    </xf>
    <xf numFmtId="10" fontId="34" fillId="14" borderId="0" xfId="1" applyNumberFormat="1" applyFont="1" applyFill="1" applyBorder="1" applyAlignment="1" applyProtection="1">
      <alignment horizontal="center"/>
    </xf>
    <xf numFmtId="10" fontId="13" fillId="22" borderId="0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top" wrapText="1"/>
      <protection locked="0"/>
    </xf>
    <xf numFmtId="0" fontId="31" fillId="14" borderId="0" xfId="0" applyFont="1" applyFill="1" applyAlignment="1">
      <alignment horizontal="left" vertical="center" wrapText="1"/>
    </xf>
    <xf numFmtId="0" fontId="30" fillId="14" borderId="0" xfId="0" applyFont="1" applyFill="1" applyAlignment="1">
      <alignment horizontal="left" vertical="center" wrapText="1"/>
    </xf>
    <xf numFmtId="0" fontId="18" fillId="14" borderId="0" xfId="0" applyFont="1" applyFill="1" applyAlignment="1">
      <alignment horizontal="left" vertical="center" wrapText="1"/>
    </xf>
    <xf numFmtId="0" fontId="21" fillId="14" borderId="0" xfId="0" applyFont="1" applyFill="1" applyAlignment="1">
      <alignment horizontal="left" vertical="center" wrapText="1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10" fontId="14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" fillId="5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15" borderId="0" xfId="0" applyFont="1" applyFill="1" applyAlignment="1">
      <alignment horizontal="center"/>
    </xf>
    <xf numFmtId="0" fontId="15" fillId="11" borderId="0" xfId="0" applyFont="1" applyFill="1" applyAlignment="1">
      <alignment horizontal="center"/>
    </xf>
    <xf numFmtId="0" fontId="14" fillId="14" borderId="0" xfId="0" applyFont="1" applyFill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15" fillId="16" borderId="0" xfId="0" applyFont="1" applyFill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15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15" borderId="0" xfId="0" applyFont="1" applyFill="1" applyAlignment="1">
      <alignment horizontal="center" vertical="center"/>
    </xf>
    <xf numFmtId="0" fontId="41" fillId="20" borderId="0" xfId="0" applyFont="1" applyFill="1" applyAlignment="1">
      <alignment horizontal="center" vertical="center"/>
    </xf>
    <xf numFmtId="0" fontId="15" fillId="19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5" fillId="15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11" borderId="0" xfId="0" applyFont="1" applyFill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57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4" fillId="14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0" fillId="0" borderId="0" xfId="0" applyAlignment="1" applyProtection="1">
      <alignment horizontal="left" vertical="center" wrapText="1"/>
      <protection locked="0"/>
    </xf>
    <xf numFmtId="0" fontId="3" fillId="19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21" borderId="0" xfId="0" applyFont="1" applyFill="1" applyAlignment="1">
      <alignment horizontal="center"/>
    </xf>
    <xf numFmtId="0" fontId="14" fillId="0" borderId="0" xfId="0" applyFont="1" applyAlignment="1" applyProtection="1">
      <alignment horizontal="left" vertical="center" wrapText="1"/>
      <protection locked="0"/>
    </xf>
    <xf numFmtId="0" fontId="13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1" defaultTableStyle="TableStyleMedium2" defaultPivotStyle="PivotStyleLight16">
    <tableStyle name="Invisible" pivot="0" table="0" count="0" xr9:uid="{EB55D738-EBA8-42B6-A2D2-EFAB11F34F90}"/>
  </tableStyles>
  <colors>
    <mruColors>
      <color rgb="FF3366FF"/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15130463804834"/>
          <c:y val="5.1400554097404488E-2"/>
          <c:w val="0.74836611939844222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6F-49E2-B71B-8A084CE8A512}"/>
              </c:ext>
            </c:extLst>
          </c:dPt>
          <c:dLbls>
            <c:dLbl>
              <c:idx val="0"/>
              <c:layout>
                <c:manualLayout>
                  <c:x val="-2.6960416099915951E-3"/>
                  <c:y val="0.429687479881646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6F-49E2-B71B-8A084CE8A512}"/>
                </c:ext>
              </c:extLst>
            </c:dLbl>
            <c:dLbl>
              <c:idx val="1"/>
              <c:layout>
                <c:manualLayout>
                  <c:x val="-1.031542386507586E-3"/>
                  <c:y val="0.180992436786522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F-49E2-B71B-8A084CE8A512}"/>
                </c:ext>
              </c:extLst>
            </c:dLbl>
            <c:dLbl>
              <c:idx val="2"/>
              <c:layout>
                <c:manualLayout>
                  <c:x val="-4.2734695700544483E-3"/>
                  <c:y val="0.291654005515969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Adm.'!$B$14:$B$16</c:f>
            </c:multiLvlStrRef>
          </c:cat>
          <c:val>
            <c:numRef>
              <c:f>'Presupuesto Adm.'!$C$14:$C$16</c:f>
            </c:numRef>
          </c:val>
          <c:extLst>
            <c:ext xmlns:c16="http://schemas.microsoft.com/office/drawing/2014/chart" uri="{C3380CC4-5D6E-409C-BE32-E72D297353CC}">
              <c16:uniqueId val="{00000004-B26F-49E2-B71B-8A084CE8A512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002805669807399E-3"/>
                  <c:y val="0.284275880894194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6F-49E2-B71B-8A084CE8A512}"/>
                </c:ext>
              </c:extLst>
            </c:dLbl>
            <c:dLbl>
              <c:idx val="1"/>
              <c:layout>
                <c:manualLayout>
                  <c:x val="5.9003210707371089E-4"/>
                  <c:y val="0.200349512137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6F-49E2-B71B-8A084CE8A512}"/>
                </c:ext>
              </c:extLst>
            </c:dLbl>
            <c:dLbl>
              <c:idx val="2"/>
              <c:layout>
                <c:manualLayout>
                  <c:x val="-1.6167621514736872E-3"/>
                  <c:y val="0.263278757335956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Adm.'!$B$14:$B$16</c:f>
            </c:multiLvlStrRef>
          </c:cat>
          <c:val>
            <c:numRef>
              <c:f>'Presupuesto Adm.'!$D$14:$D$16</c:f>
            </c:numRef>
          </c:val>
          <c:extLst>
            <c:ext xmlns:c16="http://schemas.microsoft.com/office/drawing/2014/chart" uri="{C3380CC4-5D6E-409C-BE32-E72D297353CC}">
              <c16:uniqueId val="{00000008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64528"/>
        <c:axId val="1578266160"/>
      </c:barChart>
      <c:lineChart>
        <c:grouping val="standard"/>
        <c:varyColors val="0"/>
        <c:ser>
          <c:idx val="2"/>
          <c:order val="2"/>
          <c:tx>
            <c:strRef>
              <c:f>'Presupuesto Adm.'!$E$8</c:f>
              <c:strCache>
                <c:ptCount val="1"/>
                <c:pt idx="0">
                  <c:v>Relativo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8.868388303077307E-2"/>
                  <c:y val="-4.2331913567689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3-488F-AC0F-83F78A7882F5}"/>
                </c:ext>
              </c:extLst>
            </c:dLbl>
            <c:dLbl>
              <c:idx val="1"/>
              <c:layout>
                <c:manualLayout>
                  <c:x val="-6.7514523672266388E-2"/>
                  <c:y val="-4.088049504670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B-4D30-8D34-CD287BDB4B79}"/>
                </c:ext>
              </c:extLst>
            </c:dLbl>
            <c:dLbl>
              <c:idx val="2"/>
              <c:layout>
                <c:manualLayout>
                  <c:x val="-6.111546482263059E-2"/>
                  <c:y val="-0.118553435635430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2-4A65-B098-370A8A17C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Adm.'!$B$10:$E$12</c:f>
              <c:multiLvlStrCache>
                <c:ptCount val="3"/>
                <c:lvl>
                  <c:pt idx="0">
                    <c:v>93%</c:v>
                  </c:pt>
                  <c:pt idx="1">
                    <c:v>98%</c:v>
                  </c:pt>
                  <c:pt idx="2">
                    <c:v>96%</c:v>
                  </c:pt>
                </c:lvl>
                <c:lvl>
                  <c:pt idx="0">
                    <c:v>36,833,200</c:v>
                  </c:pt>
                  <c:pt idx="1">
                    <c:v>41,137,661</c:v>
                  </c:pt>
                  <c:pt idx="2">
                    <c:v>36,968,296</c:v>
                  </c:pt>
                </c:lvl>
                <c:lvl>
                  <c:pt idx="0">
                    <c:v>39,815,559</c:v>
                  </c:pt>
                  <c:pt idx="1">
                    <c:v>41,852,228</c:v>
                  </c:pt>
                  <c:pt idx="2">
                    <c:v>38,332,228</c:v>
                  </c:pt>
                </c:lvl>
                <c:lvl>
                  <c:pt idx="0">
                    <c:v>Septiembre</c:v>
                  </c:pt>
                  <c:pt idx="1">
                    <c:v>Agosto</c:v>
                  </c:pt>
                  <c:pt idx="2">
                    <c:v>Julio </c:v>
                  </c:pt>
                </c:lvl>
              </c:multiLvlStrCache>
            </c:multiLvlStrRef>
          </c:cat>
          <c:val>
            <c:numRef>
              <c:f>'Presupuesto Adm.'!$E$14:$E$16</c:f>
            </c:numRef>
          </c:val>
          <c:smooth val="0"/>
          <c:extLst>
            <c:ext xmlns:c16="http://schemas.microsoft.com/office/drawing/2014/chart" uri="{C3380CC4-5D6E-409C-BE32-E72D297353CC}">
              <c16:uniqueId val="{00000009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70512"/>
        <c:axId val="1578269424"/>
      </c:lineChart>
      <c:catAx>
        <c:axId val="157826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6160"/>
        <c:crosses val="autoZero"/>
        <c:auto val="1"/>
        <c:lblAlgn val="ctr"/>
        <c:lblOffset val="100"/>
        <c:noMultiLvlLbl val="0"/>
      </c:catAx>
      <c:valAx>
        <c:axId val="1578266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64528"/>
        <c:crosses val="autoZero"/>
        <c:crossBetween val="between"/>
      </c:valAx>
      <c:valAx>
        <c:axId val="15782694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578270512"/>
        <c:crosses val="max"/>
        <c:crossBetween val="between"/>
      </c:valAx>
      <c:catAx>
        <c:axId val="157827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694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8018372703412"/>
          <c:y val="3.5109750841474434E-2"/>
          <c:w val="0.6891789151356080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Cotizantes!$C$7</c:f>
              <c:strCache>
                <c:ptCount val="1"/>
                <c:pt idx="0">
                  <c:v>Público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1099146605784E-3"/>
                  <c:y val="0.21687019593026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C0-431D-A784-ADE8732008D2}"/>
                </c:ext>
              </c:extLst>
            </c:dLbl>
            <c:dLbl>
              <c:idx val="1"/>
              <c:layout>
                <c:manualLayout>
                  <c:x val="-2.7770361414853994E-3"/>
                  <c:y val="0.23313546062503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C0-431D-A784-ADE8732008D2}"/>
                </c:ext>
              </c:extLst>
            </c:dLbl>
            <c:dLbl>
              <c:idx val="2"/>
              <c:layout>
                <c:manualLayout>
                  <c:x val="2.7770361414853994E-3"/>
                  <c:y val="0.22229195082852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C0-431D-A784-ADE873200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Cotizantes!$B$12:$B$14</c:f>
            </c:multiLvlStrRef>
          </c:cat>
          <c:val>
            <c:numRef>
              <c:f>Cotizantes!$C$12:$C$14</c:f>
            </c:numRef>
          </c:val>
          <c:extLst>
            <c:ext xmlns:c16="http://schemas.microsoft.com/office/drawing/2014/chart" uri="{C3380CC4-5D6E-409C-BE32-E72D297353CC}">
              <c16:uniqueId val="{00000000-2F8B-4152-BDE9-0C66FFE1287D}"/>
            </c:ext>
          </c:extLst>
        </c:ser>
        <c:ser>
          <c:idx val="1"/>
          <c:order val="1"/>
          <c:tx>
            <c:strRef>
              <c:f>Cotizantes!$D$7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Cotizantes!$B$12:$B$14</c:f>
            </c:multiLvlStrRef>
          </c:cat>
          <c:val>
            <c:numRef>
              <c:f>Cotizantes!$D$12:$D$14</c:f>
            </c:numRef>
          </c:val>
          <c:extLst>
            <c:ext xmlns:c16="http://schemas.microsoft.com/office/drawing/2014/chart" uri="{C3380CC4-5D6E-409C-BE32-E72D297353CC}">
              <c16:uniqueId val="{00000001-2F8B-4152-BDE9-0C66FFE1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3488"/>
        <c:axId val="1667764032"/>
      </c:barChart>
      <c:catAx>
        <c:axId val="16677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4032"/>
        <c:crosses val="autoZero"/>
        <c:auto val="1"/>
        <c:lblAlgn val="ctr"/>
        <c:lblOffset val="100"/>
        <c:noMultiLvlLbl val="0"/>
      </c:catAx>
      <c:valAx>
        <c:axId val="166776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677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2576552930884"/>
          <c:y val="0.41853966170895307"/>
          <c:w val="0.14242979002624673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Porcentaje Cotizantes por Tipo de Empleador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1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FC0-4626-8946-C199BABBAAC4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3FC0-4626-8946-C199BABBAAC4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E83FA5F-D0AB-48CE-96D6-99FDB27CB416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C20B6CD3-A00D-42C3-9725-57F7CEEDB32F}" type="VALU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C0-4626-8946-C199BABBAA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3FC0-4626-8946-C199BABBA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Cotizantes!$F$7:$G$7</c:f>
              <c:strCache>
                <c:ptCount val="2"/>
                <c:pt idx="0">
                  <c:v>% Público</c:v>
                </c:pt>
                <c:pt idx="1">
                  <c:v>% Privado</c:v>
                </c:pt>
              </c:strCache>
            </c:strRef>
          </c:cat>
          <c:val>
            <c:numRef>
              <c:f>Cotizantes!$F$11:$G$11</c:f>
              <c:numCache>
                <c:formatCode>0%</c:formatCode>
                <c:ptCount val="2"/>
                <c:pt idx="0">
                  <c:v>0.81000276054106612</c:v>
                </c:pt>
                <c:pt idx="1">
                  <c:v>0.18999723945893396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0-4626-8946-C199BABBAAC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8018372703412"/>
          <c:y val="3.5109750841474434E-2"/>
          <c:w val="0.6891789151356080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Cotizantes!$C$7</c:f>
              <c:strCache>
                <c:ptCount val="1"/>
                <c:pt idx="0">
                  <c:v>Público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0816347748055E-3"/>
                  <c:y val="2.1482102872461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7E-42F1-A859-3F19AC5D91D9}"/>
                </c:ext>
              </c:extLst>
            </c:dLbl>
            <c:dLbl>
              <c:idx val="1"/>
              <c:layout>
                <c:manualLayout>
                  <c:x val="2.6264958714258413E-6"/>
                  <c:y val="2.1482102872461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7E-42F1-A859-3F19AC5D91D9}"/>
                </c:ext>
              </c:extLst>
            </c:dLbl>
            <c:dLbl>
              <c:idx val="2"/>
              <c:layout>
                <c:manualLayout>
                  <c:x val="2.7770361414853994E-3"/>
                  <c:y val="0.22229195082852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7E-42F1-A859-3F19AC5D91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Cotizantes!$B$8:$B$10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Cotizantes!$C$8:$C$10</c:f>
              <c:numCache>
                <c:formatCode>#,##0</c:formatCode>
                <c:ptCount val="3"/>
                <c:pt idx="0">
                  <c:v>22411</c:v>
                </c:pt>
                <c:pt idx="1">
                  <c:v>22471</c:v>
                </c:pt>
                <c:pt idx="2">
                  <c:v>22605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7E-42F1-A859-3F19AC5D91D9}"/>
            </c:ext>
          </c:extLst>
        </c:ser>
        <c:ser>
          <c:idx val="1"/>
          <c:order val="1"/>
          <c:tx>
            <c:strRef>
              <c:f>Cotizantes!$D$7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Cotizantes!$B$8:$B$10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Cotizantes!$D$8:$D$10</c:f>
              <c:numCache>
                <c:formatCode>#,##0</c:formatCode>
                <c:ptCount val="3"/>
                <c:pt idx="0">
                  <c:v>5257</c:v>
                </c:pt>
                <c:pt idx="1">
                  <c:v>5271</c:v>
                </c:pt>
                <c:pt idx="2">
                  <c:v>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7E-42F1-A859-3F19AC5D9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3488"/>
        <c:axId val="1667764032"/>
      </c:barChart>
      <c:catAx>
        <c:axId val="16677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4032"/>
        <c:crosses val="autoZero"/>
        <c:auto val="1"/>
        <c:lblAlgn val="ctr"/>
        <c:lblOffset val="100"/>
        <c:noMultiLvlLbl val="0"/>
      </c:catAx>
      <c:valAx>
        <c:axId val="166776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677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2576552930884"/>
          <c:y val="0.41853966170895307"/>
          <c:w val="0.14242979002624673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Porcentaje Monto Total Individualizado por Tipo de Empleador</a:t>
            </a:r>
          </a:p>
        </c:rich>
      </c:tx>
      <c:layout>
        <c:manualLayout>
          <c:xMode val="edge"/>
          <c:yMode val="edge"/>
          <c:x val="0.1914858837424373"/>
          <c:y val="5.719489227094346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190878679098392E-2"/>
          <c:y val="0.39971092812218084"/>
          <c:w val="0.9065669985394762"/>
          <c:h val="0.57255937255743716"/>
        </c:manualLayout>
      </c:layout>
      <c:pie3DChart>
        <c:varyColors val="1"/>
        <c:ser>
          <c:idx val="0"/>
          <c:order val="0"/>
          <c:explosion val="27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7F0-4060-96BC-C2830A8E27F4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7F0-4060-96BC-C2830A8E27F4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0539-4A74-82ED-9CB9A8D89848}"/>
              </c:ext>
            </c:extLst>
          </c:dPt>
          <c:dLbls>
            <c:dLbl>
              <c:idx val="0"/>
              <c:layout>
                <c:manualLayout>
                  <c:x val="0.13498109467542085"/>
                  <c:y val="-0.2457902698194796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Pùblico
</a:t>
                    </a:r>
                    <a:fld id="{1E0124BD-4345-4E4A-B14D-12CA58C69878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F0-4060-96BC-C2830A8E27F4}"/>
                </c:ext>
              </c:extLst>
            </c:dLbl>
            <c:dLbl>
              <c:idx val="1"/>
              <c:layout>
                <c:manualLayout>
                  <c:x val="-5.3430016642354125E-2"/>
                  <c:y val="5.02752824630753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Privado
</a:t>
                    </a:r>
                    <a:fld id="{9808AA45-761B-4E95-9508-605747744867}" type="PERCENTAGE">
                      <a:rPr lang="en-US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F0-4060-96BC-C2830A8E27F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0539-4A74-82ED-9CB9A8D898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Empleador!$C$7:$E$7</c:f>
              <c:strCache>
                <c:ptCount val="3"/>
                <c:pt idx="0">
                  <c:v>Público (RD$)</c:v>
                </c:pt>
                <c:pt idx="2">
                  <c:v>Privado (RD$)</c:v>
                </c:pt>
              </c:strCache>
            </c:strRef>
          </c:cat>
          <c:val>
            <c:numRef>
              <c:f>Empleador!$C$29:$E$29</c:f>
              <c:numCache>
                <c:formatCode>0%</c:formatCode>
                <c:ptCount val="3"/>
                <c:pt idx="0">
                  <c:v>0.88</c:v>
                </c:pt>
                <c:pt idx="2">
                  <c:v>0.11999999999999998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F0-4060-96BC-C2830A8E27F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Empleador!$C$7</c:f>
              <c:strCache>
                <c:ptCount val="1"/>
                <c:pt idx="0">
                  <c:v>Público (RD$)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Empleador!$B$8:$B$10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Empleador!$C$8:$C$10</c:f>
              <c:numCache>
                <c:formatCode>_(* #,##0_);_(* \(#,##0\);_(* "-"??_);_(@_)</c:formatCode>
                <c:ptCount val="3"/>
                <c:pt idx="0">
                  <c:v>88568980.689999998</c:v>
                </c:pt>
                <c:pt idx="1">
                  <c:v>88868078.280000001</c:v>
                </c:pt>
                <c:pt idx="2">
                  <c:v>89317010.370000005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1-42CA-BE02-9F1C2FB19D24}"/>
            </c:ext>
          </c:extLst>
        </c:ser>
        <c:ser>
          <c:idx val="1"/>
          <c:order val="1"/>
          <c:tx>
            <c:strRef>
              <c:f>Empleador!$E$7</c:f>
              <c:strCache>
                <c:ptCount val="1"/>
                <c:pt idx="0">
                  <c:v>Privado (RD$)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2076686487180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01-42CA-BE02-9F1C2FB19D24}"/>
                </c:ext>
              </c:extLst>
            </c:dLbl>
            <c:dLbl>
              <c:idx val="1"/>
              <c:layout>
                <c:manualLayout>
                  <c:x val="3.8491316270104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01-42CA-BE02-9F1C2FB19D24}"/>
                </c:ext>
              </c:extLst>
            </c:dLbl>
            <c:dLbl>
              <c:idx val="2"/>
              <c:layout>
                <c:manualLayout>
                  <c:x val="2.88817530996714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01-42CA-BE02-9F1C2FB19D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Empleador!$B$8:$B$10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Empleador!$E$8:$E$10</c:f>
              <c:numCache>
                <c:formatCode>_(* #,##0_);_(* \(#,##0\);_(* "-"??_);_(@_)</c:formatCode>
                <c:ptCount val="3"/>
                <c:pt idx="0">
                  <c:v>12077588.279999999</c:v>
                </c:pt>
                <c:pt idx="1">
                  <c:v>12118374.310000001</c:v>
                </c:pt>
                <c:pt idx="2">
                  <c:v>12179592.32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01-42CA-BE02-9F1C2FB19D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57504"/>
        <c:axId val="1667761312"/>
      </c:barChart>
      <c:catAx>
        <c:axId val="166775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1312"/>
        <c:crosses val="autoZero"/>
        <c:auto val="1"/>
        <c:lblAlgn val="ctr"/>
        <c:lblOffset val="100"/>
        <c:noMultiLvlLbl val="0"/>
      </c:catAx>
      <c:valAx>
        <c:axId val="166776131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775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Distribución de</a:t>
            </a:r>
            <a:r>
              <a:rPr lang="es-ES" sz="800" baseline="0">
                <a:solidFill>
                  <a:schemeClr val="accent1">
                    <a:lumMod val="75000"/>
                  </a:schemeClr>
                </a:solidFill>
              </a:rPr>
              <a:t> Aportes</a:t>
            </a:r>
            <a:endParaRPr lang="es-ES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509152799625716"/>
          <c:y val="1.44177444971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C4-4E72-86CD-26E882354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C4-4E72-86CD-26E8823546DB}"/>
              </c:ext>
            </c:extLst>
          </c:dPt>
          <c:dLbls>
            <c:dLbl>
              <c:idx val="0"/>
              <c:layout>
                <c:manualLayout>
                  <c:x val="-2.7579408140791677E-3"/>
                  <c:y val="0.22776823202861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C4-4E72-86CD-26E8823546DB}"/>
                </c:ext>
              </c:extLst>
            </c:dLbl>
            <c:dLbl>
              <c:idx val="1"/>
              <c:layout>
                <c:manualLayout>
                  <c:x val="3.645867423629125E-3"/>
                  <c:y val="0.2166602744890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4-4E72-86CD-26E8823546DB}"/>
                </c:ext>
              </c:extLst>
            </c:dLbl>
            <c:dLbl>
              <c:idx val="2"/>
              <c:layout>
                <c:manualLayout>
                  <c:x val="6.423616493789394E-3"/>
                  <c:y val="0.20924986738235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4-4E72-86CD-26E882354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Aportes!#REF!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Aportes!#REF!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96C4-4E72-86CD-26E882354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65120"/>
        <c:axId val="1667765664"/>
      </c:barChart>
      <c:catAx>
        <c:axId val="1667765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5664"/>
        <c:crosses val="autoZero"/>
        <c:auto val="1"/>
        <c:lblAlgn val="ctr"/>
        <c:lblOffset val="100"/>
        <c:noMultiLvlLbl val="0"/>
      </c:catAx>
      <c:valAx>
        <c:axId val="166776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7765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Distribución de</a:t>
            </a:r>
            <a:r>
              <a:rPr lang="es-ES" sz="800" baseline="0">
                <a:solidFill>
                  <a:schemeClr val="accent1">
                    <a:lumMod val="75000"/>
                  </a:schemeClr>
                </a:solidFill>
              </a:rPr>
              <a:t> Aportes</a:t>
            </a:r>
            <a:endParaRPr lang="es-ES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509152799625716"/>
          <c:y val="1.44177444971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0F6-4354-94C8-98680B44408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0F6-4354-94C8-98680B44408D}"/>
              </c:ext>
            </c:extLst>
          </c:dPt>
          <c:dLbls>
            <c:dLbl>
              <c:idx val="0"/>
              <c:layout>
                <c:manualLayout>
                  <c:x val="-2.7579408140791677E-3"/>
                  <c:y val="0.22776823202861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F6-4354-94C8-98680B44408D}"/>
                </c:ext>
              </c:extLst>
            </c:dLbl>
            <c:dLbl>
              <c:idx val="1"/>
              <c:layout>
                <c:manualLayout>
                  <c:x val="3.645867423629125E-3"/>
                  <c:y val="0.2166602744890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F6-4354-94C8-98680B44408D}"/>
                </c:ext>
              </c:extLst>
            </c:dLbl>
            <c:dLbl>
              <c:idx val="2"/>
              <c:layout>
                <c:manualLayout>
                  <c:x val="6.423616493789394E-3"/>
                  <c:y val="0.20924986738235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F6-4354-94C8-98680B4440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Aportes!$A$8:$A$10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Aportes!$B$8:$B$10</c:f>
              <c:numCache>
                <c:formatCode>_(* #,##0_);_(* \(#,##0\);_(* "-"??_);_(@_)</c:formatCode>
                <c:ptCount val="3"/>
                <c:pt idx="0">
                  <c:v>29123</c:v>
                </c:pt>
                <c:pt idx="1">
                  <c:v>29304</c:v>
                </c:pt>
                <c:pt idx="2">
                  <c:v>29446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F6-4354-94C8-98680B444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65120"/>
        <c:axId val="1667765664"/>
      </c:barChart>
      <c:catAx>
        <c:axId val="166776512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67765664"/>
        <c:crosses val="autoZero"/>
        <c:auto val="1"/>
        <c:lblAlgn val="ctr"/>
        <c:lblOffset val="100"/>
        <c:noMultiLvlLbl val="0"/>
      </c:catAx>
      <c:valAx>
        <c:axId val="16677656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776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>
                <a:solidFill>
                  <a:schemeClr val="accent1">
                    <a:lumMod val="75000"/>
                  </a:schemeClr>
                </a:solidFill>
              </a:rPr>
              <a:t>Cantidad de Traspasos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16285132106767"/>
          <c:y val="0.18401209406649208"/>
          <c:w val="0.83717921431840892"/>
          <c:h val="0.6161002451489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Traspaso!$C$7</c:f>
              <c:strCache>
                <c:ptCount val="1"/>
                <c:pt idx="0">
                  <c:v>Cedidos (Reparto a SCI)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6036422311119411E-3"/>
                  <c:y val="-3.0142023518689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7-4275-A789-0D686E766E43}"/>
                </c:ext>
              </c:extLst>
            </c:dLbl>
            <c:dLbl>
              <c:idx val="1"/>
              <c:layout>
                <c:manualLayout>
                  <c:x val="-1.1232343215769955E-2"/>
                  <c:y val="-8.5860068226984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1B-4846-AF71-C6243F490D5B}"/>
                </c:ext>
              </c:extLst>
            </c:dLbl>
            <c:dLbl>
              <c:idx val="2"/>
              <c:layout>
                <c:manualLayout>
                  <c:x val="-3.803055620437082E-3"/>
                  <c:y val="-1.0047341172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7-4275-A789-0D686E766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Traspaso!$A$12:$A$14</c:f>
            </c:multiLvlStrRef>
          </c:cat>
          <c:val>
            <c:numRef>
              <c:f>Traspaso!$C$12:$C$14</c:f>
            </c:numRef>
          </c:val>
          <c:extLst>
            <c:ext xmlns:c16="http://schemas.microsoft.com/office/drawing/2014/chart" uri="{C3380CC4-5D6E-409C-BE32-E72D297353CC}">
              <c16:uniqueId val="{00000004-FB1B-4846-AF71-C6243F49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5019632"/>
        <c:axId val="1665020176"/>
      </c:barChart>
      <c:lineChart>
        <c:grouping val="standard"/>
        <c:varyColors val="0"/>
        <c:ser>
          <c:idx val="0"/>
          <c:order val="0"/>
          <c:tx>
            <c:strRef>
              <c:f>Traspaso!$B$7</c:f>
              <c:strCache>
                <c:ptCount val="1"/>
                <c:pt idx="0">
                  <c:v>Recibidos (SCI a Reparto)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6.4523378603867268E-2"/>
                  <c:y val="0.10996696244351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B-4846-AF71-C6243F490D5B}"/>
                </c:ext>
              </c:extLst>
            </c:dLbl>
            <c:dLbl>
              <c:idx val="1"/>
              <c:layout>
                <c:manualLayout>
                  <c:x val="-5.7008464291933403E-2"/>
                  <c:y val="-7.0331388210275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7-4275-A789-0D686E766E43}"/>
                </c:ext>
              </c:extLst>
            </c:dLbl>
            <c:dLbl>
              <c:idx val="2"/>
              <c:layout>
                <c:manualLayout>
                  <c:x val="-1.9955719893408847E-2"/>
                  <c:y val="7.0985652080353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B-4846-AF71-C6243F49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Traspaso!$A$12:$A$14</c:f>
            </c:multiLvlStrRef>
          </c:cat>
          <c:val>
            <c:numRef>
              <c:f>Traspaso!$B$12:$B$14</c:f>
            </c:numRef>
          </c:val>
          <c:smooth val="0"/>
          <c:extLst>
            <c:ext xmlns:c16="http://schemas.microsoft.com/office/drawing/2014/chart" uri="{C3380CC4-5D6E-409C-BE32-E72D297353CC}">
              <c16:uniqueId val="{00000002-FB1B-4846-AF71-C6243F490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2418912"/>
        <c:axId val="1862406848"/>
      </c:lineChart>
      <c:catAx>
        <c:axId val="166501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0176"/>
        <c:crosses val="autoZero"/>
        <c:auto val="1"/>
        <c:lblAlgn val="ctr"/>
        <c:lblOffset val="100"/>
        <c:noMultiLvlLbl val="0"/>
      </c:catAx>
      <c:valAx>
        <c:axId val="166502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5019632"/>
        <c:crosses val="autoZero"/>
        <c:crossBetween val="between"/>
      </c:valAx>
      <c:valAx>
        <c:axId val="1862406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62418912"/>
        <c:crosses val="max"/>
        <c:crossBetween val="between"/>
      </c:valAx>
      <c:catAx>
        <c:axId val="186241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2406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7899037851528927E-2"/>
          <c:y val="0.91418107049277852"/>
          <c:w val="0.97827692204584993"/>
          <c:h val="8.4775034493234272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DO" sz="11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Monto Traspasado</a:t>
            </a:r>
          </a:p>
        </c:rich>
      </c:tx>
      <c:layout>
        <c:manualLayout>
          <c:xMode val="edge"/>
          <c:yMode val="edge"/>
          <c:x val="0.39849932491882706"/>
          <c:y val="3.001875581317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DO" sz="11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Traspaso!$A$12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Traspaso!$D$12</c:f>
            </c:numRef>
          </c:val>
          <c:extLst>
            <c:ext xmlns:c16="http://schemas.microsoft.com/office/drawing/2014/chart" uri="{C3380CC4-5D6E-409C-BE32-E72D297353CC}">
              <c16:uniqueId val="{00000000-3626-45AA-AADE-47CA6C4D53AA}"/>
            </c:ext>
          </c:extLst>
        </c:ser>
        <c:ser>
          <c:idx val="1"/>
          <c:order val="1"/>
          <c:tx>
            <c:strRef>
              <c:f>Traspaso!$A$13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Traspaso!$D$13</c:f>
            </c:numRef>
          </c:val>
          <c:extLst>
            <c:ext xmlns:c16="http://schemas.microsoft.com/office/drawing/2014/chart" uri="{C3380CC4-5D6E-409C-BE32-E72D297353CC}">
              <c16:uniqueId val="{00000001-3626-45AA-AADE-47CA6C4D53AA}"/>
            </c:ext>
          </c:extLst>
        </c:ser>
        <c:ser>
          <c:idx val="2"/>
          <c:order val="2"/>
          <c:tx>
            <c:strRef>
              <c:f>Traspaso!$A$14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Traspaso!$D$14</c:f>
            </c:numRef>
          </c:val>
          <c:extLst>
            <c:ext xmlns:c16="http://schemas.microsoft.com/office/drawing/2014/chart" uri="{C3380CC4-5D6E-409C-BE32-E72D297353CC}">
              <c16:uniqueId val="{00000002-3626-45AA-AADE-47CA6C4D53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719503"/>
        <c:axId val="204723247"/>
      </c:barChart>
      <c:catAx>
        <c:axId val="20471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23247"/>
        <c:crosses val="autoZero"/>
        <c:auto val="1"/>
        <c:lblAlgn val="ctr"/>
        <c:lblOffset val="100"/>
        <c:noMultiLvlLbl val="0"/>
      </c:catAx>
      <c:valAx>
        <c:axId val="204723247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1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52822872449589"/>
          <c:y val="0.88555290254186381"/>
          <c:w val="0.60496527440242809"/>
          <c:h val="8.4428341644956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>
                <a:solidFill>
                  <a:schemeClr val="accent1">
                    <a:lumMod val="75000"/>
                  </a:schemeClr>
                </a:solidFill>
              </a:rPr>
              <a:t>Cantidad de Traspasos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16285132106767"/>
          <c:y val="0.18401209406649208"/>
          <c:w val="0.83717921431840892"/>
          <c:h val="0.6161002451489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Traspaso!$C$7</c:f>
              <c:strCache>
                <c:ptCount val="1"/>
                <c:pt idx="0">
                  <c:v>Cedidos (Reparto a SCI)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6036422311119411E-3"/>
                  <c:y val="-3.0142023518689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91-46B1-9810-07F548C260C8}"/>
                </c:ext>
              </c:extLst>
            </c:dLbl>
            <c:dLbl>
              <c:idx val="1"/>
              <c:layout>
                <c:manualLayout>
                  <c:x val="-3.6196754250803313E-3"/>
                  <c:y val="4.5660023290843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91-46B1-9810-07F548C260C8}"/>
                </c:ext>
              </c:extLst>
            </c:dLbl>
            <c:dLbl>
              <c:idx val="2"/>
              <c:layout>
                <c:manualLayout>
                  <c:x val="-3.803055620437082E-3"/>
                  <c:y val="-1.0047341172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91-46B1-9810-07F548C260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Traspaso!$C$8:$C$10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91-46B1-9810-07F548C2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5019632"/>
        <c:axId val="1665020176"/>
      </c:barChart>
      <c:lineChart>
        <c:grouping val="standard"/>
        <c:varyColors val="0"/>
        <c:ser>
          <c:idx val="0"/>
          <c:order val="0"/>
          <c:tx>
            <c:strRef>
              <c:f>Traspaso!$B$7</c:f>
              <c:strCache>
                <c:ptCount val="1"/>
                <c:pt idx="0">
                  <c:v>Recibidos (SCI a Reparto)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-5.3164570588562464E-2"/>
                  <c:y val="-5.0790496322831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91-46B1-9810-07F548C260C8}"/>
                </c:ext>
              </c:extLst>
            </c:dLbl>
            <c:dLbl>
              <c:idx val="1"/>
              <c:layout>
                <c:manualLayout>
                  <c:x val="-6.4634939127116958E-2"/>
                  <c:y val="-4.929882216680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91-46B1-9810-07F548C260C8}"/>
                </c:ext>
              </c:extLst>
            </c:dLbl>
            <c:dLbl>
              <c:idx val="2"/>
              <c:layout>
                <c:manualLayout>
                  <c:x val="-5.7919096508503423E-2"/>
                  <c:y val="-4.4558771407956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91-46B1-9810-07F548C260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ctr" anchorCtr="0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Traspaso!$A$12:$A$14</c:f>
            </c:multiLvlStrRef>
          </c:cat>
          <c:val>
            <c:numRef>
              <c:f>Traspaso!$B$8:$B$10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91-46B1-9810-07F548C260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2418912"/>
        <c:axId val="1862406848"/>
      </c:lineChart>
      <c:catAx>
        <c:axId val="166501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0176"/>
        <c:crosses val="autoZero"/>
        <c:auto val="1"/>
        <c:lblAlgn val="ctr"/>
        <c:lblOffset val="100"/>
        <c:noMultiLvlLbl val="0"/>
      </c:catAx>
      <c:valAx>
        <c:axId val="166502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5019632"/>
        <c:crosses val="autoZero"/>
        <c:crossBetween val="between"/>
      </c:valAx>
      <c:valAx>
        <c:axId val="1862406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62418912"/>
        <c:crosses val="max"/>
        <c:crossBetween val="between"/>
      </c:valAx>
      <c:catAx>
        <c:axId val="186241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2406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7899037851528927E-2"/>
          <c:y val="0.91418107049277852"/>
          <c:w val="0.97827692204584993"/>
          <c:h val="8.4775034493234272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13268455698977"/>
          <c:y val="4.7312574196489043E-2"/>
          <c:w val="0.74836611939844222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4B-4172-B7C9-5BBC627FD7AE}"/>
              </c:ext>
            </c:extLst>
          </c:dPt>
          <c:dLbls>
            <c:dLbl>
              <c:idx val="0"/>
              <c:layout>
                <c:manualLayout>
                  <c:x val="-1.1465492597870084E-2"/>
                  <c:y val="0.36836673731159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B-4172-B7C9-5BBC627FD7AE}"/>
                </c:ext>
              </c:extLst>
            </c:dLbl>
            <c:dLbl>
              <c:idx val="1"/>
              <c:layout>
                <c:manualLayout>
                  <c:x val="-7.3565061700572041E-3"/>
                  <c:y val="0.315898070440633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4B-4172-B7C9-5BBC627FD7AE}"/>
                </c:ext>
              </c:extLst>
            </c:dLbl>
            <c:dLbl>
              <c:idx val="2"/>
              <c:layout>
                <c:manualLayout>
                  <c:x val="2.4107555768451794E-3"/>
                  <c:y val="0.328446451058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B-4172-B7C9-5BBC627FD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Adm.'!$B$10:$B$12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Adm.'!$C$10:$C$12</c:f>
              <c:numCache>
                <c:formatCode>#,##0</c:formatCode>
                <c:ptCount val="3"/>
                <c:pt idx="0">
                  <c:v>39815559.490000002</c:v>
                </c:pt>
                <c:pt idx="1">
                  <c:v>41852228.189999998</c:v>
                </c:pt>
                <c:pt idx="2">
                  <c:v>38332228.189999998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B-4172-B7C9-5BBC627FD7AE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2977374159101702E-3"/>
                  <c:y val="0.19025074228678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B-4172-B7C9-5BBC627FD7AE}"/>
                </c:ext>
              </c:extLst>
            </c:dLbl>
            <c:dLbl>
              <c:idx val="1"/>
              <c:layout>
                <c:manualLayout>
                  <c:x val="5.8992495825826465E-4"/>
                  <c:y val="0.31481489826872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B-4172-B7C9-5BBC627FD7AE}"/>
                </c:ext>
              </c:extLst>
            </c:dLbl>
            <c:dLbl>
              <c:idx val="2"/>
              <c:layout>
                <c:manualLayout>
                  <c:x val="3.9899649346649109E-3"/>
                  <c:y val="0.234662410803266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B-4172-B7C9-5BBC627FD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Adm.'!$B$10:$B$12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Adm.'!$D$10:$D$12</c:f>
              <c:numCache>
                <c:formatCode>#,##0</c:formatCode>
                <c:ptCount val="3"/>
                <c:pt idx="0">
                  <c:v>36833199.960000001</c:v>
                </c:pt>
                <c:pt idx="1">
                  <c:v>41137661.049999997</c:v>
                </c:pt>
                <c:pt idx="2">
                  <c:v>36968296.219999999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4B-4172-B7C9-5BBC627FD7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64528"/>
        <c:axId val="1578266160"/>
      </c:barChart>
      <c:lineChart>
        <c:grouping val="standard"/>
        <c:varyColors val="0"/>
        <c:ser>
          <c:idx val="2"/>
          <c:order val="2"/>
          <c:tx>
            <c:v>Relativo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5332370149543668E-2"/>
                  <c:y val="-8.3212408614389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B-4172-B7C9-5BBC627FD7AE}"/>
                </c:ext>
              </c:extLst>
            </c:dLbl>
            <c:dLbl>
              <c:idx val="1"/>
              <c:layout>
                <c:manualLayout>
                  <c:x val="-5.5941405461009265E-2"/>
                  <c:y val="-4.4968544551370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4B-4172-B7C9-5BBC627FD7AE}"/>
                </c:ext>
              </c:extLst>
            </c:dLbl>
            <c:dLbl>
              <c:idx val="2"/>
              <c:layout>
                <c:manualLayout>
                  <c:x val="-5.5508524618028562E-2"/>
                  <c:y val="-6.2520762141185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4B-4172-B7C9-5BBC627FD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'Presupuesto Adm.'!$B$24:$B$29</c:f>
            </c:multiLvlStrRef>
          </c:cat>
          <c:val>
            <c:numRef>
              <c:f>'Presupuesto Adm.'!$E$10:$E$12</c:f>
              <c:numCache>
                <c:formatCode>0%</c:formatCode>
                <c:ptCount val="3"/>
                <c:pt idx="0">
                  <c:v>0.92509562672982038</c:v>
                </c:pt>
                <c:pt idx="1">
                  <c:v>0.98292642540425756</c:v>
                </c:pt>
                <c:pt idx="2">
                  <c:v>0.96441814018116956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24B-4172-B7C9-5BBC627FD7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70512"/>
        <c:axId val="1578269424"/>
      </c:lineChart>
      <c:catAx>
        <c:axId val="157826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6160"/>
        <c:crosses val="autoZero"/>
        <c:auto val="1"/>
        <c:lblAlgn val="ctr"/>
        <c:lblOffset val="100"/>
        <c:noMultiLvlLbl val="0"/>
      </c:catAx>
      <c:valAx>
        <c:axId val="1578266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64528"/>
        <c:crosses val="autoZero"/>
        <c:crossBetween val="between"/>
      </c:valAx>
      <c:valAx>
        <c:axId val="15782694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70512"/>
        <c:crosses val="max"/>
        <c:crossBetween val="between"/>
      </c:valAx>
      <c:catAx>
        <c:axId val="157827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694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DO" sz="11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Monto Traspasado</a:t>
            </a:r>
          </a:p>
        </c:rich>
      </c:tx>
      <c:layout>
        <c:manualLayout>
          <c:xMode val="edge"/>
          <c:yMode val="edge"/>
          <c:x val="0.39849932491882706"/>
          <c:y val="3.001875581317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DO" sz="11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6101123359580052"/>
          <c:y val="0.17726075307682398"/>
          <c:w val="0.80965543307086618"/>
          <c:h val="0.60223454575752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Traspaso!$A$8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Traspaso!$D$8</c:f>
              <c:numCache>
                <c:formatCode>_(* #,##0.00_);_(* \(#,##0.00\);_(* "-"??_);_(@_)</c:formatCode>
                <c:ptCount val="1"/>
                <c:pt idx="0">
                  <c:v>7094767.4900000002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5-4C00-A17B-A6FEE811A440}"/>
            </c:ext>
          </c:extLst>
        </c:ser>
        <c:ser>
          <c:idx val="1"/>
          <c:order val="1"/>
          <c:tx>
            <c:strRef>
              <c:f>Traspaso!$A$9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5-4C00-A17B-A6FEE811A440}"/>
            </c:ext>
          </c:extLst>
        </c:ser>
        <c:ser>
          <c:idx val="2"/>
          <c:order val="2"/>
          <c:tx>
            <c:strRef>
              <c:f>Traspaso!$A$10</c:f>
              <c:strCache>
                <c:ptCount val="1"/>
                <c:pt idx="0">
                  <c:v>Julio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Traspaso!$D$7</c:f>
              <c:strCache>
                <c:ptCount val="1"/>
                <c:pt idx="0">
                  <c:v>Monto Traspasado (RD$)</c:v>
                </c:pt>
              </c:strCache>
            </c:strRef>
          </c:cat>
          <c:val>
            <c:numRef>
              <c:f>Traspaso!$D$10</c:f>
              <c:numCache>
                <c:formatCode>_(* #,##0.00_);_(* \(#,##0.00\);_(* "-"??_);_(@_)</c:formatCode>
                <c:ptCount val="1"/>
                <c:pt idx="0">
                  <c:v>211975809.62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D5-4C00-A17B-A6FEE811A4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719503"/>
        <c:axId val="204723247"/>
      </c:barChart>
      <c:catAx>
        <c:axId val="20471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23247"/>
        <c:crosses val="autoZero"/>
        <c:auto val="1"/>
        <c:lblAlgn val="ctr"/>
        <c:lblOffset val="100"/>
        <c:noMultiLvlLbl val="0"/>
      </c:catAx>
      <c:valAx>
        <c:axId val="204723247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71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52822872449589"/>
          <c:y val="0.88555290254186381"/>
          <c:w val="0.60496527440242809"/>
          <c:h val="8.4428341644956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5819451560812"/>
          <c:y val="3.7678261074045018E-2"/>
          <c:w val="0.80939718602822541"/>
          <c:h val="0.795575352246661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92952976606527E-3"/>
                  <c:y val="0.2572575505945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C-42CC-B337-D1674F2E4349}"/>
                </c:ext>
              </c:extLst>
            </c:dLbl>
            <c:dLbl>
              <c:idx val="1"/>
              <c:layout>
                <c:manualLayout>
                  <c:x val="-4.5983469432681785E-3"/>
                  <c:y val="0.30995374323211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C-42CC-B337-D1674F2E4349}"/>
                </c:ext>
              </c:extLst>
            </c:dLbl>
            <c:dLbl>
              <c:idx val="2"/>
              <c:layout>
                <c:manualLayout>
                  <c:x val="-2.5333231539865853E-3"/>
                  <c:y val="0.245984786495415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C-42CC-B337-D1674F2E4349}"/>
                </c:ext>
              </c:extLst>
            </c:dLbl>
            <c:dLbl>
              <c:idx val="3"/>
              <c:layout>
                <c:manualLayout>
                  <c:x val="2.9317585865322399E-3"/>
                  <c:y val="0.30052233598144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Pensiones'!$B$10:$B$13</c:f>
              <c:strCache>
                <c:ptCount val="4"/>
                <c:pt idx="0">
                  <c:v>Regalía</c:v>
                </c:pt>
                <c:pt idx="1">
                  <c:v>Septiembre</c:v>
                </c:pt>
                <c:pt idx="2">
                  <c:v>Agosto</c:v>
                </c:pt>
                <c:pt idx="3">
                  <c:v>Julio </c:v>
                </c:pt>
              </c:strCache>
            </c:strRef>
          </c:cat>
          <c:val>
            <c:numRef>
              <c:f>'Presupuesto de Pensiones'!$E$10:$E$13</c:f>
              <c:numCache>
                <c:formatCode>_(* #,##0.00_);_(* \(#,##0.00\);_(* "-"??_);_(@_)</c:formatCode>
                <c:ptCount val="4"/>
                <c:pt idx="1">
                  <c:v>3301711987.9300003</c:v>
                </c:pt>
                <c:pt idx="2">
                  <c:v>3251320675.2399998</c:v>
                </c:pt>
                <c:pt idx="3">
                  <c:v>3226852365.96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1-44D8-A584-F0F60B69051B}"/>
            </c:ext>
          </c:extLst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8056453866434961E-3"/>
                  <c:y val="0.231493656730287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C-42CC-B337-D1674F2E4349}"/>
                </c:ext>
              </c:extLst>
            </c:dLbl>
            <c:dLbl>
              <c:idx val="1"/>
              <c:layout>
                <c:manualLayout>
                  <c:x val="1.1840428009545826E-3"/>
                  <c:y val="0.2446264955879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C-42CC-B337-D1674F2E4349}"/>
                </c:ext>
              </c:extLst>
            </c:dLbl>
            <c:dLbl>
              <c:idx val="2"/>
              <c:layout>
                <c:manualLayout>
                  <c:x val="-4.5875252105605285E-3"/>
                  <c:y val="0.2355022713597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C-42CC-B337-D1674F2E4349}"/>
                </c:ext>
              </c:extLst>
            </c:dLbl>
            <c:dLbl>
              <c:idx val="3"/>
              <c:layout>
                <c:manualLayout>
                  <c:x val="5.8635171730644798E-3"/>
                  <c:y val="0.22360624759032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Pensiones'!$B$10:$B$13</c:f>
              <c:strCache>
                <c:ptCount val="4"/>
                <c:pt idx="0">
                  <c:v>Regalía</c:v>
                </c:pt>
                <c:pt idx="1">
                  <c:v>Septiembre</c:v>
                </c:pt>
                <c:pt idx="2">
                  <c:v>Agosto</c:v>
                </c:pt>
                <c:pt idx="3">
                  <c:v>Julio </c:v>
                </c:pt>
              </c:strCache>
            </c:strRef>
          </c:cat>
          <c:val>
            <c:numRef>
              <c:f>'Presupuesto de Pensiones'!$F$10:$F$13</c:f>
              <c:numCache>
                <c:formatCode>_(* #,##0.00_);_(* \(#,##0.00\);_(* "-"??_);_(@_)</c:formatCode>
                <c:ptCount val="4"/>
                <c:pt idx="1">
                  <c:v>3292515180.7900004</c:v>
                </c:pt>
                <c:pt idx="2">
                  <c:v>3212371740.3299999</c:v>
                </c:pt>
                <c:pt idx="3">
                  <c:v>3197591807.8100004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1264"/>
        <c:axId val="1665032144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1C01-44D8-A584-F0F60B6905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1C01-44D8-A584-F0F60B69051B}"/>
              </c:ext>
            </c:extLst>
          </c:dPt>
          <c:dLbls>
            <c:dLbl>
              <c:idx val="0"/>
              <c:layout>
                <c:manualLayout>
                  <c:x val="-4.0998519057577787E-2"/>
                  <c:y val="-4.617488796726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9C-42CC-B337-D1674F2E4349}"/>
                </c:ext>
              </c:extLst>
            </c:dLbl>
            <c:dLbl>
              <c:idx val="1"/>
              <c:layout>
                <c:manualLayout>
                  <c:x val="-5.3040869830121101E-2"/>
                  <c:y val="-4.7653574677988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1-44D8-A584-F0F60B69051B}"/>
                </c:ext>
              </c:extLst>
            </c:dLbl>
            <c:dLbl>
              <c:idx val="2"/>
              <c:layout>
                <c:manualLayout>
                  <c:x val="-1.3552070694080872E-2"/>
                  <c:y val="-2.1424258111364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01-44D8-A584-F0F60B69051B}"/>
                </c:ext>
              </c:extLst>
            </c:dLbl>
            <c:dLbl>
              <c:idx val="3"/>
              <c:layout>
                <c:manualLayout>
                  <c:x val="-2.0522310105725677E-2"/>
                  <c:y val="-5.130962083671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9-4B6E-B63A-43C37AF34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Pensiones'!$B$10:$B$13</c:f>
              <c:strCache>
                <c:ptCount val="4"/>
                <c:pt idx="0">
                  <c:v>Regalía</c:v>
                </c:pt>
                <c:pt idx="1">
                  <c:v>Septiembre</c:v>
                </c:pt>
                <c:pt idx="2">
                  <c:v>Agosto</c:v>
                </c:pt>
                <c:pt idx="3">
                  <c:v>Julio </c:v>
                </c:pt>
              </c:strCache>
            </c:strRef>
          </c:cat>
          <c:val>
            <c:numRef>
              <c:f>'Presupuesto de Pensiones'!$G$10:$G$13</c:f>
              <c:numCache>
                <c:formatCode>0.00%</c:formatCode>
                <c:ptCount val="4"/>
                <c:pt idx="0" formatCode="0%">
                  <c:v>0</c:v>
                </c:pt>
                <c:pt idx="1">
                  <c:v>0.99721453380136715</c:v>
                </c:pt>
                <c:pt idx="2">
                  <c:v>0.98802058031168372</c:v>
                </c:pt>
                <c:pt idx="3">
                  <c:v>0.99093216706823384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5032688"/>
        <c:axId val="1665026160"/>
      </c:lineChart>
      <c:catAx>
        <c:axId val="166502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2144"/>
        <c:crosses val="autoZero"/>
        <c:auto val="1"/>
        <c:lblAlgn val="ctr"/>
        <c:lblOffset val="100"/>
        <c:noMultiLvlLbl val="0"/>
      </c:catAx>
      <c:valAx>
        <c:axId val="16650321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1264"/>
        <c:crosses val="autoZero"/>
        <c:crossBetween val="between"/>
        <c:majorUnit val="20000000"/>
      </c:valAx>
      <c:valAx>
        <c:axId val="1665026160"/>
        <c:scaling>
          <c:orientation val="minMax"/>
          <c:max val="1"/>
          <c:min val="0.96000000000000008"/>
        </c:scaling>
        <c:delete val="0"/>
        <c:axPos val="r"/>
        <c:numFmt formatCode="0%" sourceLinked="1"/>
        <c:majorTickMark val="out"/>
        <c:minorTickMark val="none"/>
        <c:tickLblPos val="nextTo"/>
        <c:crossAx val="1665032688"/>
        <c:crosses val="max"/>
        <c:crossBetween val="between"/>
        <c:majorUnit val="1.0000000000000002E-2"/>
        <c:minorUnit val="5.000000000000001E-3"/>
      </c:valAx>
      <c:catAx>
        <c:axId val="166503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0261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Programación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4203618652240498E-3"/>
                  <c:y val="0.518723776035832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28-48E8-89DC-63EB21E79D35}"/>
                </c:ext>
              </c:extLst>
            </c:dLbl>
            <c:dLbl>
              <c:idx val="1"/>
              <c:layout>
                <c:manualLayout>
                  <c:x val="-4.5984315417394866E-3"/>
                  <c:y val="0.481731516000449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28-48E8-89DC-63EB21E79D35}"/>
                </c:ext>
              </c:extLst>
            </c:dLbl>
            <c:dLbl>
              <c:idx val="2"/>
              <c:layout>
                <c:manualLayout>
                  <c:x val="1.4459271171822046E-4"/>
                  <c:y val="0.35835231351984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28-48E8-89DC-63EB21E79D35}"/>
                </c:ext>
              </c:extLst>
            </c:dLbl>
            <c:dLbl>
              <c:idx val="3"/>
              <c:layout>
                <c:manualLayout>
                  <c:x val="2.9317585865322399E-3"/>
                  <c:y val="0.30052233598144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28-48E8-89DC-63EB21E79D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Pensiones'!$B$11:$B$13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de Pensiones'!$E$11:$E$13</c:f>
              <c:numCache>
                <c:formatCode>_(* #,##0.00_);_(* \(#,##0.00\);_(* "-"??_);_(@_)</c:formatCode>
                <c:ptCount val="3"/>
                <c:pt idx="0">
                  <c:v>3301711987.9300003</c:v>
                </c:pt>
                <c:pt idx="1">
                  <c:v>3251320675.2399998</c:v>
                </c:pt>
                <c:pt idx="2">
                  <c:v>3226852365.96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28-48E8-89DC-63EB21E79D35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314169936683725E-3"/>
                  <c:y val="0.492825010089352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28-48E8-89DC-63EB21E79D35}"/>
                </c:ext>
              </c:extLst>
            </c:dLbl>
            <c:dLbl>
              <c:idx val="1"/>
              <c:layout>
                <c:manualLayout>
                  <c:x val="1.1839992299745024E-3"/>
                  <c:y val="0.307456939746006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28-48E8-89DC-63EB21E79D35}"/>
                </c:ext>
              </c:extLst>
            </c:dLbl>
            <c:dLbl>
              <c:idx val="2"/>
              <c:layout>
                <c:manualLayout>
                  <c:x val="-1.8296621194139886E-3"/>
                  <c:y val="0.243067546801086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28-48E8-89DC-63EB21E79D35}"/>
                </c:ext>
              </c:extLst>
            </c:dLbl>
            <c:dLbl>
              <c:idx val="3"/>
              <c:layout>
                <c:manualLayout>
                  <c:x val="5.8635171730644798E-3"/>
                  <c:y val="0.22360624759032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28-48E8-89DC-63EB21E79D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Pensiones'!$B$11:$B$13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de Pensiones'!$F$11:$F$13</c:f>
              <c:numCache>
                <c:formatCode>_(* #,##0.00_);_(* \(#,##0.00\);_(* "-"??_);_(@_)</c:formatCode>
                <c:ptCount val="3"/>
                <c:pt idx="0">
                  <c:v>3292515180.7900004</c:v>
                </c:pt>
                <c:pt idx="1">
                  <c:v>3212371740.3299999</c:v>
                </c:pt>
                <c:pt idx="2">
                  <c:v>3197591807.8100004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A28-48E8-89DC-63EB21E79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1665021264"/>
        <c:axId val="1665032144"/>
      </c:barChart>
      <c:lineChart>
        <c:grouping val="standard"/>
        <c:varyColors val="0"/>
        <c:ser>
          <c:idx val="2"/>
          <c:order val="2"/>
          <c:tx>
            <c:v>% Ejecutado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A-2A28-48E8-89DC-63EB21E79D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B-2A28-48E8-89DC-63EB21E79D35}"/>
              </c:ext>
            </c:extLst>
          </c:dPt>
          <c:dLbls>
            <c:dLbl>
              <c:idx val="0"/>
              <c:layout>
                <c:manualLayout>
                  <c:x val="-5.2036195653992423E-2"/>
                  <c:y val="-7.4616361807109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28-48E8-89DC-63EB21E79D35}"/>
                </c:ext>
              </c:extLst>
            </c:dLbl>
            <c:dLbl>
              <c:idx val="1"/>
              <c:layout>
                <c:manualLayout>
                  <c:x val="-5.3040869830121101E-2"/>
                  <c:y val="-4.7653574677988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28-48E8-89DC-63EB21E79D35}"/>
                </c:ext>
              </c:extLst>
            </c:dLbl>
            <c:dLbl>
              <c:idx val="2"/>
              <c:layout>
                <c:manualLayout>
                  <c:x val="-1.3552070694080872E-2"/>
                  <c:y val="-2.1424258111364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28-48E8-89DC-63EB21E79D35}"/>
                </c:ext>
              </c:extLst>
            </c:dLbl>
            <c:dLbl>
              <c:idx val="3"/>
              <c:layout>
                <c:manualLayout>
                  <c:x val="-2.0522310105725677E-2"/>
                  <c:y val="-5.130962083671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28-48E8-89DC-63EB21E79D3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Pensiones'!$B$11:$B$13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'Presupuesto de Pensiones'!$G$11:$G$13</c:f>
              <c:numCache>
                <c:formatCode>0.00%</c:formatCode>
                <c:ptCount val="3"/>
                <c:pt idx="0">
                  <c:v>0.99721453380136715</c:v>
                </c:pt>
                <c:pt idx="1">
                  <c:v>0.98802058031168372</c:v>
                </c:pt>
                <c:pt idx="2">
                  <c:v>0.99093216706823384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A28-48E8-89DC-63EB21E79D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5032688"/>
        <c:axId val="1665026160"/>
      </c:lineChart>
      <c:catAx>
        <c:axId val="166502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5032144"/>
        <c:crosses val="autoZero"/>
        <c:auto val="1"/>
        <c:lblAlgn val="ctr"/>
        <c:lblOffset val="100"/>
        <c:noMultiLvlLbl val="0"/>
      </c:catAx>
      <c:valAx>
        <c:axId val="166503214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1665021264"/>
        <c:crosses val="autoZero"/>
        <c:crossBetween val="between"/>
      </c:valAx>
      <c:valAx>
        <c:axId val="1665026160"/>
        <c:scaling>
          <c:orientation val="minMax"/>
          <c:max val="1.01"/>
          <c:min val="0.96000000000000008"/>
        </c:scaling>
        <c:delete val="0"/>
        <c:axPos val="r"/>
        <c:numFmt formatCode="0.00%" sourceLinked="1"/>
        <c:majorTickMark val="out"/>
        <c:minorTickMark val="none"/>
        <c:tickLblPos val="nextTo"/>
        <c:crossAx val="1665032688"/>
        <c:crosses val="max"/>
        <c:crossBetween val="between"/>
        <c:majorUnit val="1.0000000000000002E-2"/>
        <c:minorUnit val="5.000000000000001E-3"/>
      </c:valAx>
      <c:catAx>
        <c:axId val="16650326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665026160"/>
        <c:crosses val="max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  <a:effectLst>
      <a:outerShdw blurRad="50800" dist="50800" dir="5400000" algn="ctr" rotWithShape="0">
        <a:srgbClr val="000000">
          <a:alpha val="9000"/>
        </a:srgbClr>
      </a:outerShdw>
    </a:effectLst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71526098266"/>
          <c:y val="0.13154844993940878"/>
          <c:w val="0.82866557875303415"/>
          <c:h val="0.69190263993496037"/>
        </c:manualLayout>
      </c:layout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6166165550448378E-3"/>
                  <c:y val="0.28028695984068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9-494F-9FD7-D7A98F07ECC5}"/>
                </c:ext>
              </c:extLst>
            </c:dLbl>
            <c:dLbl>
              <c:idx val="1"/>
              <c:layout>
                <c:manualLayout>
                  <c:x val="-1.9338092923303063E-4"/>
                  <c:y val="0.2811533092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9-494F-9FD7-D7A98F07ECC5}"/>
                </c:ext>
              </c:extLst>
            </c:dLbl>
            <c:dLbl>
              <c:idx val="2"/>
              <c:layout>
                <c:manualLayout>
                  <c:x val="8.2366115236005497E-3"/>
                  <c:y val="0.2794206104604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Nómina!$B$13:$B$15</c:f>
            </c:numRef>
          </c:val>
          <c:extLst>
            <c:ext xmlns:c16="http://schemas.microsoft.com/office/drawing/2014/chart" uri="{C3380CC4-5D6E-409C-BE32-E72D297353CC}">
              <c16:uniqueId val="{00000003-53D9-494F-9FD7-D7A98F07ECC5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9-494F-9FD7-D7A98F07ECC5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9-494F-9FD7-D7A98F07ECC5}"/>
                </c:ext>
              </c:extLst>
            </c:dLbl>
            <c:dLbl>
              <c:idx val="2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Nómina!$E$13:$E$15</c:f>
            </c:numRef>
          </c:val>
          <c:extLst>
            <c:ext xmlns:c16="http://schemas.microsoft.com/office/drawing/2014/chart" uri="{C3380CC4-5D6E-409C-BE32-E72D297353CC}">
              <c16:uniqueId val="{00000007-53D9-494F-9FD7-D7A98F07ECC5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Nómina!$H$13:$H$15</c:f>
            </c:numRef>
          </c:val>
          <c:extLst>
            <c:ext xmlns:c16="http://schemas.microsoft.com/office/drawing/2014/chart" uri="{C3380CC4-5D6E-409C-BE32-E72D297353CC}">
              <c16:uniqueId val="{00000000-C68F-40C1-B7CC-955B6C378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33232"/>
        <c:axId val="1665027248"/>
      </c:barChart>
      <c:catAx>
        <c:axId val="166503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7248"/>
        <c:crosses val="autoZero"/>
        <c:auto val="1"/>
        <c:lblAlgn val="ctr"/>
        <c:lblOffset val="100"/>
        <c:noMultiLvlLbl val="0"/>
      </c:catAx>
      <c:valAx>
        <c:axId val="16650272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3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5770283434614"/>
          <c:y val="0.93137511312911292"/>
          <c:w val="0.22633816425502665"/>
          <c:h val="6.5109557839156396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8258793274707537E-3"/>
                  <c:y val="0.1828711595114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BD-4A0D-BE09-D21C77B6043E}"/>
                </c:ext>
              </c:extLst>
            </c:dLbl>
            <c:dLbl>
              <c:idx val="1"/>
              <c:layout>
                <c:manualLayout>
                  <c:x val="1.8258793274707537E-3"/>
                  <c:y val="0.18862088526761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0.17824149844191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Nómina!$C$13:$C$15</c:f>
            </c:numRef>
          </c:val>
          <c:extLst>
            <c:ext xmlns:c16="http://schemas.microsoft.com/office/drawing/2014/chart" uri="{C3380CC4-5D6E-409C-BE32-E72D297353CC}">
              <c16:uniqueId val="{00000003-9CBD-4A0D-BE09-D21C77B6043E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BD-4A0D-BE09-D21C77B6043E}"/>
                </c:ext>
              </c:extLst>
            </c:dLbl>
            <c:dLbl>
              <c:idx val="1"/>
              <c:layout>
                <c:manualLayout>
                  <c:x val="1.30405795883616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1.724917726857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Nómina!$F$13:$F$15</c:f>
            </c:numRef>
          </c:val>
          <c:extLst>
            <c:ext xmlns:c16="http://schemas.microsoft.com/office/drawing/2014/chart" uri="{C3380CC4-5D6E-409C-BE32-E72D297353CC}">
              <c16:uniqueId val="{00000007-9CBD-4A0D-BE09-D21C77B6043E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143564425193773E-17"/>
                  <c:y val="5.749725756190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7-42AB-9E5A-58FEC411AE86}"/>
                </c:ext>
              </c:extLst>
            </c:dLbl>
            <c:dLbl>
              <c:idx val="1"/>
              <c:layout>
                <c:manualLayout>
                  <c:x val="0"/>
                  <c:y val="5.74972575619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7-42AB-9E5A-58FEC411AE86}"/>
                </c:ext>
              </c:extLst>
            </c:dLbl>
            <c:dLbl>
              <c:idx val="2"/>
              <c:layout>
                <c:manualLayout>
                  <c:x val="2.5169507716138687E-3"/>
                  <c:y val="1.724917726857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7-42AB-9E5A-58FEC411AE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Nómina!$I$13:$I$15</c:f>
            </c:numRef>
          </c:val>
          <c:extLst>
            <c:ext xmlns:c16="http://schemas.microsoft.com/office/drawing/2014/chart" uri="{C3380CC4-5D6E-409C-BE32-E72D297353CC}">
              <c16:uniqueId val="{00000000-B4C7-4C8F-829E-12F6B5EA66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8880"/>
        <c:axId val="1665018544"/>
      </c:barChart>
      <c:catAx>
        <c:axId val="166502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18544"/>
        <c:crosses val="autoZero"/>
        <c:auto val="1"/>
        <c:lblAlgn val="ctr"/>
        <c:lblOffset val="100"/>
        <c:noMultiLvlLbl val="0"/>
      </c:catAx>
      <c:valAx>
        <c:axId val="16650185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8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4.9402791952599815E-3"/>
                  <c:y val="0.19285649645148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AB-4ACC-9DB2-E039C3656B7D}"/>
                </c:ext>
              </c:extLst>
            </c:dLbl>
            <c:dLbl>
              <c:idx val="1"/>
              <c:layout>
                <c:manualLayout>
                  <c:x val="-5.5544341463445307E-3"/>
                  <c:y val="0.2151374158988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B-4ACC-9DB2-E039C3656B7D}"/>
                </c:ext>
              </c:extLst>
            </c:dLbl>
            <c:dLbl>
              <c:idx val="2"/>
              <c:layout>
                <c:manualLayout>
                  <c:x val="-2.8154707518661961E-3"/>
                  <c:y val="0.2372395171648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B-4ACC-9DB2-E039C365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Nómina!$D$13:$D$15</c:f>
            </c:numRef>
          </c:val>
          <c:extLst>
            <c:ext xmlns:c16="http://schemas.microsoft.com/office/drawing/2014/chart" uri="{C3380CC4-5D6E-409C-BE32-E72D297353CC}">
              <c16:uniqueId val="{00000000-0F53-4019-BFDC-2A350F855EE7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888958688751932E-3"/>
                  <c:y val="1.7881818150175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5C-498E-B306-189846393CDE}"/>
                </c:ext>
              </c:extLst>
            </c:dLbl>
            <c:dLbl>
              <c:idx val="1"/>
              <c:layout>
                <c:manualLayout>
                  <c:x val="9.1129695062634377E-3"/>
                  <c:y val="1.657657594943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C-498E-B306-189846393CDE}"/>
                </c:ext>
              </c:extLst>
            </c:dLbl>
            <c:dLbl>
              <c:idx val="2"/>
              <c:layout>
                <c:manualLayout>
                  <c:x val="6.2974987543972412E-3"/>
                  <c:y val="5.525525316477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Nómina!$A$13:$A$15</c:f>
            </c:multiLvlStrRef>
          </c:cat>
          <c:val>
            <c:numRef>
              <c:f>Nómina!$G$13:$G$15</c:f>
            </c:numRef>
          </c:val>
          <c:extLst>
            <c:ext xmlns:c16="http://schemas.microsoft.com/office/drawing/2014/chart" uri="{C3380CC4-5D6E-409C-BE32-E72D297353CC}">
              <c16:uniqueId val="{00000001-0F53-4019-BFDC-2A350F855EE7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2952385384117803E-3"/>
                  <c:y val="-2.53250318102610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C-498E-B306-189846393CDE}"/>
                </c:ext>
              </c:extLst>
            </c:dLbl>
            <c:dLbl>
              <c:idx val="1"/>
              <c:layout>
                <c:manualLayout>
                  <c:x val="4.6332017197177064E-3"/>
                  <c:y val="5.5255253164777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C-498E-B306-189846393CDE}"/>
                </c:ext>
              </c:extLst>
            </c:dLbl>
            <c:dLbl>
              <c:idx val="2"/>
              <c:layout>
                <c:manualLayout>
                  <c:x val="7.4488820807821271E-3"/>
                  <c:y val="5.525525316477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Nómina!$J$13:$J$15</c:f>
            </c:numRef>
          </c:val>
          <c:extLst>
            <c:ext xmlns:c16="http://schemas.microsoft.com/office/drawing/2014/chart" uri="{C3380CC4-5D6E-409C-BE32-E72D297353CC}">
              <c16:uniqueId val="{00000000-281D-447F-87D6-9DFFE7E60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3984"/>
        <c:axId val="1665028336"/>
      </c:barChart>
      <c:catAx>
        <c:axId val="166502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8336"/>
        <c:crosses val="autoZero"/>
        <c:auto val="1"/>
        <c:lblAlgn val="ctr"/>
        <c:lblOffset val="100"/>
        <c:noMultiLvlLbl val="0"/>
      </c:catAx>
      <c:valAx>
        <c:axId val="166502833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%</a:t>
            </a:r>
            <a:r>
              <a:rPr lang="es-DO" baseline="0"/>
              <a:t> Pagado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658-4F4E-82BB-972C8E917EE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658-4F4E-82BB-972C8E917E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58-4F4E-82BB-972C8E917EE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Civiles </a:t>
                    </a:r>
                    <a:fld id="{0DE1874E-31FB-46E3-8446-6F5D20BDC9B8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658-4F4E-82BB-972C8E917E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Solidarias </a:t>
                    </a:r>
                    <a:fld id="{90257C1E-480E-4FB7-972A-E16E1347AC87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658-4F4E-82BB-972C8E917E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P.N. </a:t>
                    </a:r>
                    <a:fld id="{903306AE-8C9B-491D-BABF-831CD724B3F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58-4F4E-82BB-972C8E917E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(Nómina!$D$32,Nómina!$G$32,Nómina!$J$32)</c:f>
              <c:numCache>
                <c:formatCode>0.00%</c:formatCode>
                <c:ptCount val="3"/>
                <c:pt idx="0">
                  <c:v>0.72162179860908027</c:v>
                </c:pt>
                <c:pt idx="1">
                  <c:v>6.6297480942010933E-2</c:v>
                </c:pt>
                <c:pt idx="2">
                  <c:v>0.21208072044890885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8-4F4E-82BB-972C8E917EE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71526098266"/>
          <c:y val="0.13154844993940878"/>
          <c:w val="0.82866557875303415"/>
          <c:h val="0.69190263993496037"/>
        </c:manualLayout>
      </c:layout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6167004289624389E-3"/>
                  <c:y val="0.461649110325828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E0-4453-855E-B5BA8976592B}"/>
                </c:ext>
              </c:extLst>
            </c:dLbl>
            <c:dLbl>
              <c:idx val="1"/>
              <c:layout>
                <c:manualLayout>
                  <c:x val="-1.9341742336070859E-4"/>
                  <c:y val="0.473507105190047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E0-4453-855E-B5BA8976592B}"/>
                </c:ext>
              </c:extLst>
            </c:dLbl>
            <c:dLbl>
              <c:idx val="2"/>
              <c:layout>
                <c:manualLayout>
                  <c:x val="5.5694137540997848E-3"/>
                  <c:y val="0.477270229171480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E0-4453-855E-B5BA897659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Nómina!$B$9:$B$11</c:f>
              <c:numCache>
                <c:formatCode>#,##0_);\(#,##0\)</c:formatCode>
                <c:ptCount val="3"/>
                <c:pt idx="0">
                  <c:v>137127</c:v>
                </c:pt>
                <c:pt idx="1">
                  <c:v>135821</c:v>
                </c:pt>
                <c:pt idx="2">
                  <c:v>136012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E0-4453-855E-B5BA8976592B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E0-4453-855E-B5BA8976592B}"/>
                </c:ext>
              </c:extLst>
            </c:dLbl>
            <c:dLbl>
              <c:idx val="1"/>
              <c:layout>
                <c:manualLayout>
                  <c:x val="5.99825021284307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E0-4453-855E-B5BA8976592B}"/>
                </c:ext>
              </c:extLst>
            </c:dLbl>
            <c:dLbl>
              <c:idx val="2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E0-4453-855E-B5BA897659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Nómina!$I$9:$I$11</c:f>
              <c:numCache>
                <c:formatCode>#,##0_);\(#,##0\)</c:formatCode>
                <c:ptCount val="3"/>
                <c:pt idx="0">
                  <c:v>25022</c:v>
                </c:pt>
                <c:pt idx="1">
                  <c:v>25029</c:v>
                </c:pt>
                <c:pt idx="2">
                  <c:v>25055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E0-4453-855E-B5BA8976592B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9.7792623615519606E-17"/>
                  <c:y val="2.7479113709870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E0-4453-855E-B5BA897659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Nómina!$E$9:$E$11</c:f>
              <c:numCache>
                <c:formatCode>#,##0_);\(#,##0\)</c:formatCode>
                <c:ptCount val="3"/>
                <c:pt idx="0">
                  <c:v>36486</c:v>
                </c:pt>
                <c:pt idx="1">
                  <c:v>35031</c:v>
                </c:pt>
                <c:pt idx="2">
                  <c:v>34420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E0-4453-855E-B5BA897659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33232"/>
        <c:axId val="1665027248"/>
      </c:barChart>
      <c:catAx>
        <c:axId val="166503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7248"/>
        <c:crosses val="autoZero"/>
        <c:auto val="1"/>
        <c:lblAlgn val="ctr"/>
        <c:lblOffset val="100"/>
        <c:noMultiLvlLbl val="0"/>
      </c:catAx>
      <c:valAx>
        <c:axId val="1665027248"/>
        <c:scaling>
          <c:orientation val="minMax"/>
        </c:scaling>
        <c:delete val="0"/>
        <c:axPos val="l"/>
        <c:numFmt formatCode="#,##0_);\(#,##0\)" sourceLinked="1"/>
        <c:majorTickMark val="none"/>
        <c:minorTickMark val="none"/>
        <c:tickLblPos val="nextTo"/>
        <c:crossAx val="166503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5770283434614"/>
          <c:y val="0.93137511312911292"/>
          <c:w val="0.22633816425502665"/>
          <c:h val="6.5109557839156396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4.9402791952599815E-3"/>
                  <c:y val="0.19285649645148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83-4DF8-8537-624DC2611582}"/>
                </c:ext>
              </c:extLst>
            </c:dLbl>
            <c:dLbl>
              <c:idx val="1"/>
              <c:layout>
                <c:manualLayout>
                  <c:x val="-5.5544341463445307E-3"/>
                  <c:y val="0.2151374158988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83-4DF8-8537-624DC2611582}"/>
                </c:ext>
              </c:extLst>
            </c:dLbl>
            <c:dLbl>
              <c:idx val="2"/>
              <c:layout>
                <c:manualLayout>
                  <c:x val="-2.8154707518661961E-3"/>
                  <c:y val="0.2372395171648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83-4DF8-8537-624DC2611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Nómina!$D$9:$D$11</c:f>
              <c:numCache>
                <c:formatCode>_(* #,##0.00_);_(* \(#,##0.00\);_(* "-"??_);_(@_)</c:formatCode>
                <c:ptCount val="3"/>
                <c:pt idx="0">
                  <c:v>2340502159.2800002</c:v>
                </c:pt>
                <c:pt idx="1">
                  <c:v>2292239272.1599998</c:v>
                </c:pt>
                <c:pt idx="2">
                  <c:v>2285752067.23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83-4DF8-8537-624DC2611582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888958688751932E-3"/>
                  <c:y val="1.7881818150175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83-4DF8-8537-624DC2611582}"/>
                </c:ext>
              </c:extLst>
            </c:dLbl>
            <c:dLbl>
              <c:idx val="1"/>
              <c:layout>
                <c:manualLayout>
                  <c:x val="9.1129695062634377E-3"/>
                  <c:y val="1.657657594943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83-4DF8-8537-624DC2611582}"/>
                </c:ext>
              </c:extLst>
            </c:dLbl>
            <c:dLbl>
              <c:idx val="2"/>
              <c:layout>
                <c:manualLayout>
                  <c:x val="6.2974987543972412E-3"/>
                  <c:y val="5.525525316477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83-4DF8-8537-624DC2611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Nómina!$J$9:$J$11</c:f>
              <c:numCache>
                <c:formatCode>_(* #,##0.00_);_(* \(#,##0.00\);_(* "-"??_);_(@_)</c:formatCode>
                <c:ptCount val="3"/>
                <c:pt idx="0">
                  <c:v>678297485.95000005</c:v>
                </c:pt>
                <c:pt idx="1">
                  <c:v>677831516.33000004</c:v>
                </c:pt>
                <c:pt idx="2">
                  <c:v>677178595.20000005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83-4DF8-8537-624DC2611582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2952385384117803E-3"/>
                  <c:y val="-2.53250318102610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83-4DF8-8537-624DC2611582}"/>
                </c:ext>
              </c:extLst>
            </c:dLbl>
            <c:dLbl>
              <c:idx val="1"/>
              <c:layout>
                <c:manualLayout>
                  <c:x val="4.6332017197177064E-3"/>
                  <c:y val="5.5255253164777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83-4DF8-8537-624DC2611582}"/>
                </c:ext>
              </c:extLst>
            </c:dLbl>
            <c:dLbl>
              <c:idx val="2"/>
              <c:layout>
                <c:manualLayout>
                  <c:x val="7.4488820807821271E-3"/>
                  <c:y val="5.525525316477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83-4DF8-8537-624DC2611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Nómina!$G$9:$G$11</c:f>
              <c:numCache>
                <c:formatCode>_(* #,##0.00_);_(* \(#,##0.00\);_(* "-"??_);_(@_)</c:formatCode>
                <c:ptCount val="3"/>
                <c:pt idx="0">
                  <c:v>218916000</c:v>
                </c:pt>
                <c:pt idx="1">
                  <c:v>210186000</c:v>
                </c:pt>
                <c:pt idx="2">
                  <c:v>206520000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183-4DF8-8537-624DC26115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3984"/>
        <c:axId val="1665028336"/>
      </c:barChart>
      <c:catAx>
        <c:axId val="166502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8336"/>
        <c:crosses val="autoZero"/>
        <c:auto val="1"/>
        <c:lblAlgn val="ctr"/>
        <c:lblOffset val="100"/>
        <c:noMultiLvlLbl val="0"/>
      </c:catAx>
      <c:valAx>
        <c:axId val="166502833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166502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8258793274707537E-3"/>
                  <c:y val="0.1828711595114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5A-434D-9DF3-2CAAB91C7ADC}"/>
                </c:ext>
              </c:extLst>
            </c:dLbl>
            <c:dLbl>
              <c:idx val="1"/>
              <c:layout>
                <c:manualLayout>
                  <c:x val="1.8258793274707537E-3"/>
                  <c:y val="0.18862088526761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5A-434D-9DF3-2CAAB91C7ADC}"/>
                </c:ext>
              </c:extLst>
            </c:dLbl>
            <c:dLbl>
              <c:idx val="2"/>
              <c:layout>
                <c:manualLayout>
                  <c:x val="-9.5208122101056675E-4"/>
                  <c:y val="0.17824149844191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5A-434D-9DF3-2CAAB91C7A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Nómina!$C$9:$C$11</c:f>
              <c:numCache>
                <c:formatCode>#,##0_);\(#,##0\)</c:formatCode>
                <c:ptCount val="3"/>
                <c:pt idx="0">
                  <c:v>149692</c:v>
                </c:pt>
                <c:pt idx="1">
                  <c:v>148356</c:v>
                </c:pt>
                <c:pt idx="2">
                  <c:v>148632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5A-434D-9DF3-2CAAB91C7ADC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5A-434D-9DF3-2CAAB91C7ADC}"/>
                </c:ext>
              </c:extLst>
            </c:dLbl>
            <c:dLbl>
              <c:idx val="1"/>
              <c:layout>
                <c:manualLayout>
                  <c:x val="1.30405795883616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5A-434D-9DF3-2CAAB91C7ADC}"/>
                </c:ext>
              </c:extLst>
            </c:dLbl>
            <c:dLbl>
              <c:idx val="2"/>
              <c:layout>
                <c:manualLayout>
                  <c:x val="-9.5208122101056675E-4"/>
                  <c:y val="1.724917726857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5A-434D-9DF3-2CAAB91C7A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Nómina!$F$9:$F$11</c:f>
              <c:numCache>
                <c:formatCode>#,##0_);\(#,##0\)</c:formatCode>
                <c:ptCount val="3"/>
                <c:pt idx="0">
                  <c:v>36486</c:v>
                </c:pt>
                <c:pt idx="1">
                  <c:v>35031</c:v>
                </c:pt>
                <c:pt idx="2">
                  <c:v>34420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5A-434D-9DF3-2CAAB91C7ADC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143564425193773E-17"/>
                  <c:y val="5.749725756190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5A-434D-9DF3-2CAAB91C7ADC}"/>
                </c:ext>
              </c:extLst>
            </c:dLbl>
            <c:dLbl>
              <c:idx val="1"/>
              <c:layout>
                <c:manualLayout>
                  <c:x val="0"/>
                  <c:y val="5.74972575619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5A-434D-9DF3-2CAAB91C7ADC}"/>
                </c:ext>
              </c:extLst>
            </c:dLbl>
            <c:dLbl>
              <c:idx val="2"/>
              <c:layout>
                <c:manualLayout>
                  <c:x val="2.5169507716138687E-3"/>
                  <c:y val="1.724917726857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5A-434D-9DF3-2CAAB91C7A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Nómina!$A$9:$A$11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Nómina!$F$9:$F$11</c:f>
              <c:numCache>
                <c:formatCode>#,##0_);\(#,##0\)</c:formatCode>
                <c:ptCount val="3"/>
                <c:pt idx="0">
                  <c:v>36486</c:v>
                </c:pt>
                <c:pt idx="1">
                  <c:v>35031</c:v>
                </c:pt>
                <c:pt idx="2">
                  <c:v>34420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5A-434D-9DF3-2CAAB91C7A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8880"/>
        <c:axId val="1665018544"/>
      </c:barChart>
      <c:catAx>
        <c:axId val="166502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18544"/>
        <c:crosses val="autoZero"/>
        <c:auto val="1"/>
        <c:lblAlgn val="ctr"/>
        <c:lblOffset val="100"/>
        <c:noMultiLvlLbl val="0"/>
      </c:catAx>
      <c:valAx>
        <c:axId val="1665018544"/>
        <c:scaling>
          <c:orientation val="minMax"/>
        </c:scaling>
        <c:delete val="0"/>
        <c:axPos val="l"/>
        <c:numFmt formatCode="#,##0_);\(#,##0\)" sourceLinked="1"/>
        <c:majorTickMark val="none"/>
        <c:minorTickMark val="none"/>
        <c:tickLblPos val="nextTo"/>
        <c:crossAx val="1665028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Cotizantes'!$C$6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54-4B02-BE0A-FF69FF46AF7C}"/>
                </c:ext>
              </c:extLst>
            </c:dLbl>
            <c:dLbl>
              <c:idx val="1"/>
              <c:layout>
                <c:manualLayout>
                  <c:x val="-2.5816702227310574E-3"/>
                  <c:y val="0.47755701402459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54-4B02-BE0A-FF69FF46AF7C}"/>
                </c:ext>
              </c:extLst>
            </c:dLbl>
            <c:dLbl>
              <c:idx val="2"/>
              <c:layout>
                <c:manualLayout>
                  <c:x val="0"/>
                  <c:y val="0.238922704380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Cotizantes'!$B$11:$B$13</c:f>
            </c:multiLvlStrRef>
          </c:cat>
          <c:val>
            <c:numRef>
              <c:f>'Afiliados y Cotizantes'!$C$11:$C$13</c:f>
            </c:numRef>
          </c:val>
          <c:extLst>
            <c:ext xmlns:c16="http://schemas.microsoft.com/office/drawing/2014/chart" uri="{C3380CC4-5D6E-409C-BE32-E72D297353CC}">
              <c16:uniqueId val="{00000003-6854-4B02-BE0A-FF69FF46AF7C}"/>
            </c:ext>
          </c:extLst>
        </c:ser>
        <c:ser>
          <c:idx val="1"/>
          <c:order val="1"/>
          <c:tx>
            <c:strRef>
              <c:f>'Afiliados y Cotizantes'!$D$6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75772127423728E-3"/>
                  <c:y val="0.2221491642159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54-4B02-BE0A-FF69FF46AF7C}"/>
                </c:ext>
              </c:extLst>
            </c:dLbl>
            <c:dLbl>
              <c:idx val="1"/>
              <c:layout>
                <c:manualLayout>
                  <c:x val="0"/>
                  <c:y val="0.211532829233089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54-4B02-BE0A-FF69FF46AF7C}"/>
                </c:ext>
              </c:extLst>
            </c:dLbl>
            <c:dLbl>
              <c:idx val="2"/>
              <c:layout>
                <c:manualLayout>
                  <c:x val="2.5859070914124264E-3"/>
                  <c:y val="0.23460799620377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Cotizantes'!$B$11:$B$13</c:f>
            </c:multiLvlStrRef>
          </c:cat>
          <c:val>
            <c:numRef>
              <c:f>'Afiliados y Cotizantes'!$D$11:$D$13</c:f>
            </c:numRef>
          </c:val>
          <c:extLst>
            <c:ext xmlns:c16="http://schemas.microsoft.com/office/drawing/2014/chart" uri="{C3380CC4-5D6E-409C-BE32-E72D297353CC}">
              <c16:uniqueId val="{00000007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71600"/>
        <c:axId val="1578260720"/>
      </c:barChart>
      <c:lineChart>
        <c:grouping val="standard"/>
        <c:varyColors val="0"/>
        <c:ser>
          <c:idx val="2"/>
          <c:order val="2"/>
          <c:tx>
            <c:strRef>
              <c:f>'Afiliados y Cotizantes'!$E$6</c:f>
              <c:strCache>
                <c:ptCount val="1"/>
                <c:pt idx="0">
                  <c:v>%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272093495421197E-3"/>
                  <c:y val="-8.1490126180545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54-4B02-BE0A-FF69FF46AF7C}"/>
                </c:ext>
              </c:extLst>
            </c:dLbl>
            <c:dLbl>
              <c:idx val="1"/>
              <c:layout>
                <c:manualLayout>
                  <c:x val="-2.3235032004579517E-2"/>
                  <c:y val="-0.11373741188374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54-4B02-BE0A-FF69FF46AF7C}"/>
                </c:ext>
              </c:extLst>
            </c:dLbl>
            <c:dLbl>
              <c:idx val="2"/>
              <c:layout>
                <c:manualLayout>
                  <c:x val="-7.7512056028258463E-3"/>
                  <c:y val="-3.9872926910547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47766387117218E-2"/>
                      <c:h val="0.1720519038761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854-4B02-BE0A-FF69FF46A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Cotizantes'!$B$11:$B$13</c:f>
            </c:multiLvlStrRef>
          </c:cat>
          <c:val>
            <c:numRef>
              <c:f>'Afiliados y Cotizantes'!$E$11:$E$13</c:f>
            </c:numRef>
          </c:val>
          <c:smooth val="0"/>
          <c:extLst>
            <c:ext xmlns:c16="http://schemas.microsoft.com/office/drawing/2014/chart" uri="{C3380CC4-5D6E-409C-BE32-E72D297353CC}">
              <c16:uniqueId val="{0000000B-6854-4B02-BE0A-FF69FF46AF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62352"/>
        <c:axId val="1578258544"/>
      </c:lineChart>
      <c:catAx>
        <c:axId val="157827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0720"/>
        <c:crosses val="autoZero"/>
        <c:auto val="1"/>
        <c:lblAlgn val="ctr"/>
        <c:lblOffset val="100"/>
        <c:noMultiLvlLbl val="0"/>
      </c:catAx>
      <c:valAx>
        <c:axId val="1578260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71600"/>
        <c:crosses val="autoZero"/>
        <c:crossBetween val="between"/>
      </c:valAx>
      <c:valAx>
        <c:axId val="1578258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62352"/>
        <c:crosses val="max"/>
        <c:crossBetween val="between"/>
      </c:valAx>
      <c:catAx>
        <c:axId val="157826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58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916666666666668"/>
          <c:y val="0.12069553805774279"/>
          <c:w val="0.81388888888888888"/>
          <c:h val="0.6804833770778652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5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2BB4-48C2-B920-83AABCEC522F}"/>
              </c:ext>
            </c:extLst>
          </c:dPt>
          <c:dPt>
            <c:idx val="1"/>
            <c:bubble3D val="0"/>
            <c:explosion val="2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B4-48C2-B920-83AABCEC522F}"/>
              </c:ext>
            </c:extLst>
          </c:dPt>
          <c:dPt>
            <c:idx val="2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B4-48C2-B920-83AABCEC522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AA5469D-A603-4D61-A435-3B8A5617E1DE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BB4-48C2-B920-83AABCEC522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87ED68-F914-460A-A9F6-CEA2FB6D1B2A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BB4-48C2-B920-83AABCEC522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601CEE-BF2C-45BB-9E62-C0271462023E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BB4-48C2-B920-83AABCEC52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Nómina!$W$33:$Y$33</c:f>
              <c:strCache>
                <c:ptCount val="3"/>
                <c:pt idx="0">
                  <c:v>Pensiones Civiles</c:v>
                </c:pt>
                <c:pt idx="1">
                  <c:v>Pensiones Solidarias</c:v>
                </c:pt>
                <c:pt idx="2">
                  <c:v>PN</c:v>
                </c:pt>
              </c:strCache>
            </c:strRef>
          </c:cat>
          <c:val>
            <c:numRef>
              <c:f>Nómina!$W$34:$Y$34</c:f>
              <c:numCache>
                <c:formatCode>0.00%</c:formatCode>
                <c:ptCount val="3"/>
                <c:pt idx="0">
                  <c:v>0.72162179860908027</c:v>
                </c:pt>
                <c:pt idx="1">
                  <c:v>6.6297480942010933E-2</c:v>
                </c:pt>
                <c:pt idx="2">
                  <c:v>0.21208072044890885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4-48C2-B920-83AABCEC522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04133858267715"/>
          <c:y val="0.8524300087489064"/>
          <c:w val="0.58687108971734603"/>
          <c:h val="7.8075028005719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499975787159442E-2"/>
          <c:y val="0.21857738073056557"/>
          <c:w val="0.91111111111111109"/>
          <c:h val="0.74090879265091869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D1C2-4392-9945-03C5E29E389E}"/>
              </c:ext>
            </c:extLst>
          </c:dPt>
          <c:dPt>
            <c:idx val="1"/>
            <c:bubble3D val="0"/>
            <c:explosion val="39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1C2-4392-9945-03C5E29E389E}"/>
              </c:ext>
            </c:extLst>
          </c:dPt>
          <c:dPt>
            <c:idx val="2"/>
            <c:bubble3D val="0"/>
            <c:explosion val="2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D1C2-4392-9945-03C5E29E389E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1C2-4392-9945-03C5E29E389E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FABD69-A7B2-46EF-805F-71D77996DA37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1C2-4392-9945-03C5E29E389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E9969F5-5862-4A34-886B-E21E71DD1AEC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1C2-4392-9945-03C5E29E389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47100A-DA3B-4EEE-9CA9-E353E3498CEB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1C2-4392-9945-03C5E29E389E}"/>
                </c:ext>
              </c:extLst>
            </c:dLbl>
            <c:dLbl>
              <c:idx val="3"/>
              <c:layout>
                <c:manualLayout>
                  <c:x val="4.9200492004920007E-2"/>
                  <c:y val="-5.91581554408304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B7BEA0-E786-4D46-A78E-3016B0B245E5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1C2-4392-9945-03C5E29E38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Autoseguro!$P$20:$S$20</c:f>
              <c:strCache>
                <c:ptCount val="4"/>
                <c:pt idx="0">
                  <c:v>Nómina Mensual Discapacidad Civil</c:v>
                </c:pt>
                <c:pt idx="1">
                  <c:v>Nómina Mensual Discapacidad Policía Nacional</c:v>
                </c:pt>
                <c:pt idx="2">
                  <c:v>Nómina Mensual Sobrevivencia Civil</c:v>
                </c:pt>
                <c:pt idx="3">
                  <c:v>Nómina Mensual Sobrevivencia Policía</c:v>
                </c:pt>
              </c:strCache>
            </c:strRef>
          </c:cat>
          <c:val>
            <c:numRef>
              <c:f>Autoseguro!$P$21:$S$21</c:f>
              <c:numCache>
                <c:formatCode>0.00%</c:formatCode>
                <c:ptCount val="4"/>
                <c:pt idx="0">
                  <c:v>0.11748512994618371</c:v>
                </c:pt>
                <c:pt idx="1">
                  <c:v>1.2551029752942817E-3</c:v>
                </c:pt>
                <c:pt idx="2">
                  <c:v>0.46202350459221853</c:v>
                </c:pt>
                <c:pt idx="3">
                  <c:v>0.41923626248630347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2-4392-9945-03C5E29E389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4760147601476014E-2"/>
          <c:y val="0.14852996821010567"/>
          <c:w val="0.22915632778375028"/>
          <c:h val="0.832769103318589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7929555976291903"/>
          <c:y val="4.9822059403325264E-2"/>
          <c:w val="0.72070444023708102"/>
          <c:h val="0.95017794059667471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Autoseguro!$F$41:$I$41</c:f>
              <c:strCache>
                <c:ptCount val="4"/>
                <c:pt idx="0">
                  <c:v>Nómina Deuda Retroactiva 
Discapacidad Civil</c:v>
                </c:pt>
                <c:pt idx="1">
                  <c:v>Nómina Mensual Discapacidad Policía Nacional</c:v>
                </c:pt>
                <c:pt idx="2">
                  <c:v>Nómina Deuda Retroactiva
Sobrevivencia Civil</c:v>
                </c:pt>
                <c:pt idx="3">
                  <c:v>Nómina Deuda Retroactiva
Sobrevivencia Policía Nacional</c:v>
                </c:pt>
              </c:strCache>
            </c:strRef>
          </c:cat>
          <c:val>
            <c:numRef>
              <c:f>Autoseguro!$F$42:$I$42</c:f>
            </c:numRef>
          </c:val>
          <c:extLst>
            <c:ext xmlns:c16="http://schemas.microsoft.com/office/drawing/2014/chart" uri="{C3380CC4-5D6E-409C-BE32-E72D297353CC}">
              <c16:uniqueId val="{00000000-5BD4-40AD-BDA0-C1A885E217B7}"/>
            </c:ext>
          </c:extLst>
        </c:ser>
        <c:ser>
          <c:idx val="1"/>
          <c:order val="1"/>
          <c:dPt>
            <c:idx val="0"/>
            <c:bubble3D val="0"/>
            <c:explosion val="21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BD4-40AD-BDA0-C1A885E217B7}"/>
              </c:ext>
            </c:extLst>
          </c:dPt>
          <c:dPt>
            <c:idx val="1"/>
            <c:bubble3D val="0"/>
            <c:explosion val="5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5BD4-40AD-BDA0-C1A885E217B7}"/>
              </c:ext>
            </c:extLst>
          </c:dPt>
          <c:dPt>
            <c:idx val="2"/>
            <c:bubble3D val="0"/>
            <c:explosion val="21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BD4-40AD-BDA0-C1A885E217B7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BD4-40AD-BDA0-C1A885E217B7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137A50-9F14-49CA-A026-FB384335804F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BD4-40AD-BDA0-C1A885E217B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D46535D-3322-4BB7-8772-7E323150368B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BD4-40AD-BDA0-C1A885E217B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CACF084-67A7-4BE1-BC92-1E59CDF9BD42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BD4-40AD-BDA0-C1A885E217B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0958275-F0F3-4333-A3BB-3131A6328530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BD4-40AD-BDA0-C1A885E21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Autoseguro!$F$41:$I$41</c:f>
              <c:strCache>
                <c:ptCount val="4"/>
                <c:pt idx="0">
                  <c:v>Nómina Deuda Retroactiva 
Discapacidad Civil</c:v>
                </c:pt>
                <c:pt idx="1">
                  <c:v>Nómina Mensual Discapacidad Policía Nacional</c:v>
                </c:pt>
                <c:pt idx="2">
                  <c:v>Nómina Deuda Retroactiva
Sobrevivencia Civil</c:v>
                </c:pt>
                <c:pt idx="3">
                  <c:v>Nómina Deuda Retroactiva
Sobrevivencia Policía Nacional</c:v>
                </c:pt>
              </c:strCache>
            </c:strRef>
          </c:cat>
          <c:val>
            <c:numRef>
              <c:f>Autoseguro!$F$43:$I$43</c:f>
              <c:numCache>
                <c:formatCode>0%</c:formatCode>
                <c:ptCount val="4"/>
                <c:pt idx="0">
                  <c:v>0.16646972085924236</c:v>
                </c:pt>
                <c:pt idx="1">
                  <c:v>0</c:v>
                </c:pt>
                <c:pt idx="2">
                  <c:v>0.51066596775887052</c:v>
                </c:pt>
                <c:pt idx="3">
                  <c:v>0.32286431138188704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4-40AD-BDA0-C1A885E217B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342925558041084E-2"/>
          <c:y val="0.10764932070041187"/>
          <c:w val="0.28705474395502856"/>
          <c:h val="0.74733481404668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89688118902578"/>
          <c:y val="5.8190969358527057E-2"/>
          <c:w val="0.55326605273997942"/>
          <c:h val="0.83940945825033841"/>
        </c:manualLayout>
      </c:layout>
      <c:barChart>
        <c:barDir val="bar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Movimientos!$C$10:$C$12</c:f>
              <c:numCache>
                <c:formatCode>_(* #,##0_);_(* \(#,##0\);_(* "-"??_);_(@_)</c:formatCode>
                <c:ptCount val="3"/>
                <c:pt idx="0">
                  <c:v>2790</c:v>
                </c:pt>
                <c:pt idx="1">
                  <c:v>1755</c:v>
                </c:pt>
                <c:pt idx="2">
                  <c:v>4086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033-860E-FF0E9A955014}"/>
            </c:ext>
          </c:extLst>
        </c:ser>
        <c:ser>
          <c:idx val="1"/>
          <c:order val="1"/>
          <c:tx>
            <c:strRef>
              <c:f>Movimientos!$I$7</c:f>
              <c:strCache>
                <c:ptCount val="1"/>
                <c:pt idx="0">
                  <c:v>Ajustes Monto Pensiones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Movimientos!$I$10:$I$12</c:f>
              <c:numCache>
                <c:formatCode>_(* #,##0_);_(* \(#,##0\);_(* "-"??_);_(@_)</c:formatCode>
                <c:ptCount val="3"/>
                <c:pt idx="0">
                  <c:v>37</c:v>
                </c:pt>
                <c:pt idx="1">
                  <c:v>50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2-4033-860E-FF0E9A955014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Movimientos!$K$10:$K$12</c:f>
              <c:numCache>
                <c:formatCode>_(* #,##0_);_(* \(#,##0\);_(* "-"??_);_(@_)</c:formatCode>
                <c:ptCount val="3"/>
                <c:pt idx="0">
                  <c:v>207</c:v>
                </c:pt>
                <c:pt idx="1">
                  <c:v>1624</c:v>
                </c:pt>
                <c:pt idx="2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2-4033-860E-FF0E9A955014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Movimientos!$M$10:$M$12</c:f>
              <c:numCache>
                <c:formatCode>_(* #,##0_);_(* \(#,##0\);_(* "-"??_);_(@_)</c:formatCode>
                <c:ptCount val="3"/>
                <c:pt idx="0">
                  <c:v>107</c:v>
                </c:pt>
                <c:pt idx="1">
                  <c:v>128</c:v>
                </c:pt>
                <c:pt idx="2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2-4033-860E-FF0E9A955014}"/>
            </c:ext>
          </c:extLst>
        </c:ser>
        <c:ser>
          <c:idx val="4"/>
          <c:order val="4"/>
          <c:tx>
            <c:v>Sobrevivencia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Movimientos!$E$10:$E$12</c:f>
              <c:numCache>
                <c:formatCode>General</c:formatCode>
                <c:ptCount val="3"/>
                <c:pt idx="0">
                  <c:v>207</c:v>
                </c:pt>
                <c:pt idx="1">
                  <c:v>179</c:v>
                </c:pt>
                <c:pt idx="2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A-4A3F-8F7B-3DBD08485257}"/>
            </c:ext>
          </c:extLst>
        </c:ser>
        <c:ser>
          <c:idx val="5"/>
          <c:order val="5"/>
          <c:tx>
            <c:v>Reinclusión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Movimientos!$G$10:$G$12</c:f>
              <c:numCache>
                <c:formatCode>General</c:formatCode>
                <c:ptCount val="3"/>
                <c:pt idx="0">
                  <c:v>101</c:v>
                </c:pt>
                <c:pt idx="1">
                  <c:v>127</c:v>
                </c:pt>
                <c:pt idx="2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A-4A3F-8F7B-3DBD084852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2896"/>
        <c:axId val="1665031056"/>
      </c:barChart>
      <c:catAx>
        <c:axId val="1665022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DO"/>
          </a:p>
        </c:txPr>
        <c:crossAx val="1665031056"/>
        <c:crosses val="autoZero"/>
        <c:auto val="1"/>
        <c:lblAlgn val="ctr"/>
        <c:lblOffset val="100"/>
        <c:noMultiLvlLbl val="0"/>
      </c:catAx>
      <c:valAx>
        <c:axId val="1665031056"/>
        <c:scaling>
          <c:logBase val="10"/>
          <c:orientation val="minMax"/>
        </c:scaling>
        <c:delete val="0"/>
        <c:axPos val="b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DO"/>
          </a:p>
        </c:txPr>
        <c:crossAx val="166502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68513998867464"/>
          <c:y val="0.20011754142991611"/>
          <c:w val="0.19159778077425224"/>
          <c:h val="0.61355251239378117"/>
        </c:manualLayout>
      </c:layout>
      <c:overlay val="0"/>
      <c:txPr>
        <a:bodyPr/>
        <a:lstStyle/>
        <a:p>
          <a:pPr>
            <a:defRPr sz="800" b="1"/>
          </a:pPr>
          <a:endParaRPr lang="es-DO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69487959310732"/>
          <c:y val="3.5359234504485644E-2"/>
          <c:w val="0.73694651444513781"/>
          <c:h val="0.83128904392609693"/>
        </c:manualLayout>
      </c:layout>
      <c:barChart>
        <c:barDir val="bar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0.39366242102242716"/>
                  <c:y val="8.12842064954114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2C-4E6B-BB9F-CA473917CEC3}"/>
                </c:ext>
              </c:extLst>
            </c:dLbl>
            <c:dLbl>
              <c:idx val="1"/>
              <c:layout>
                <c:manualLayout>
                  <c:x val="-0.6025040058672922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75-4BF1-96D1-0E5D4CD269C9}"/>
                </c:ext>
              </c:extLst>
            </c:dLbl>
            <c:dLbl>
              <c:idx val="2"/>
              <c:layout>
                <c:manualLayout>
                  <c:x val="-0.6251176930636125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75-4BF1-96D1-0E5D4CD269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Movimientos!$D$10:$D$12</c:f>
              <c:numCache>
                <c:formatCode>_(* #,##0.00_);_(* \(#,##0.00\);_(* "-"??_);_(@_)</c:formatCode>
                <c:ptCount val="3"/>
                <c:pt idx="0">
                  <c:v>57361059.460000001</c:v>
                </c:pt>
                <c:pt idx="1">
                  <c:v>27019155.059999999</c:v>
                </c:pt>
                <c:pt idx="2">
                  <c:v>37272498.729999997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F-4828-BAD6-C3A255569C39}"/>
            </c:ext>
          </c:extLst>
        </c:ser>
        <c:ser>
          <c:idx val="1"/>
          <c:order val="1"/>
          <c:tx>
            <c:strRef>
              <c:f>Movimientos!$I$7</c:f>
              <c:strCache>
                <c:ptCount val="1"/>
                <c:pt idx="0">
                  <c:v>Ajustes Monto Pensiones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Movimientos!$J$10:$J$12</c:f>
              <c:numCache>
                <c:formatCode>_(* #,##0.00_);_(* \(#,##0.00\);_(* "-"??_);_(@_)</c:formatCode>
                <c:ptCount val="3"/>
                <c:pt idx="0">
                  <c:v>627357.32999999996</c:v>
                </c:pt>
                <c:pt idx="1">
                  <c:v>813612.46</c:v>
                </c:pt>
                <c:pt idx="2">
                  <c:v>1696654.95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FF-4828-BAD6-C3A255569C39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0.2147734894882381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2C-4E6B-BB9F-CA473917C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Movimientos!$L$10:$L$12</c:f>
              <c:numCache>
                <c:formatCode>_(* #,##0.00_);_(* \(#,##0.00\);_(* "-"??_);_(@_)</c:formatCode>
                <c:ptCount val="3"/>
                <c:pt idx="0">
                  <c:v>3037657.03</c:v>
                </c:pt>
                <c:pt idx="1">
                  <c:v>19022658.579999998</c:v>
                </c:pt>
                <c:pt idx="2">
                  <c:v>3904932.29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FF-4828-BAD6-C3A255569C39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Movimientos!$N$10:$N$12</c:f>
              <c:numCache>
                <c:formatCode>_(* #,##0.00_);_(* \(#,##0.00\);_(* "-"??_);_(@_)</c:formatCode>
                <c:ptCount val="3"/>
                <c:pt idx="0">
                  <c:v>1467376</c:v>
                </c:pt>
                <c:pt idx="1">
                  <c:v>1661252.0999999999</c:v>
                </c:pt>
                <c:pt idx="2">
                  <c:v>2517260.8199999998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AFF-4828-BAD6-C3A255569C39}"/>
            </c:ext>
          </c:extLst>
        </c:ser>
        <c:ser>
          <c:idx val="4"/>
          <c:order val="4"/>
          <c:tx>
            <c:v>Sobrevivencia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Movimientos!$F$10:$F$12</c:f>
              <c:numCache>
                <c:formatCode>_(* #,##0.00_);_(* \(#,##0.00\);_(* "-"??_);_(@_)</c:formatCode>
                <c:ptCount val="3"/>
                <c:pt idx="0">
                  <c:v>3161552.35</c:v>
                </c:pt>
                <c:pt idx="1">
                  <c:v>2612657.9000000004</c:v>
                </c:pt>
                <c:pt idx="2">
                  <c:v>3207889.95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2-4EF9-8A5D-162C790AA846}"/>
            </c:ext>
          </c:extLst>
        </c:ser>
        <c:ser>
          <c:idx val="5"/>
          <c:order val="5"/>
          <c:tx>
            <c:v>Reinclusión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Movimientos!$B$10:$B$12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Movimientos!$H$10:$H$12</c:f>
              <c:numCache>
                <c:formatCode>_(* #,##0.00_);_(* \(#,##0.00\);_(* "-"??_);_(@_)</c:formatCode>
                <c:ptCount val="3"/>
                <c:pt idx="0">
                  <c:v>813920.63</c:v>
                </c:pt>
                <c:pt idx="1">
                  <c:v>1044611.32</c:v>
                </c:pt>
                <c:pt idx="2">
                  <c:v>1723748.71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2-4EF9-8A5D-162C790AA84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2"/>
        <c:overlap val="-24"/>
        <c:axId val="1665025616"/>
        <c:axId val="1670809952"/>
      </c:barChart>
      <c:catAx>
        <c:axId val="1665025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s-DO"/>
          </a:p>
        </c:txPr>
        <c:crossAx val="1670809952"/>
        <c:crosses val="autoZero"/>
        <c:auto val="1"/>
        <c:lblAlgn val="ctr"/>
        <c:lblOffset val="100"/>
        <c:noMultiLvlLbl val="0"/>
      </c:catAx>
      <c:valAx>
        <c:axId val="1670809952"/>
        <c:scaling>
          <c:logBase val="10"/>
          <c:orientation val="minMax"/>
          <c:min val="50000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effectLst/>
        </c:spPr>
        <c:txPr>
          <a:bodyPr rot="0"/>
          <a:lstStyle/>
          <a:p>
            <a:pPr>
              <a:defRPr b="1"/>
            </a:pPr>
            <a:endParaRPr lang="es-DO"/>
          </a:p>
        </c:txPr>
        <c:crossAx val="166502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68822752419823"/>
          <c:y val="8.5035767716635943E-2"/>
          <c:w val="0.17195035796141289"/>
          <c:h val="0.70824129720308882"/>
        </c:manualLayout>
      </c:layout>
      <c:overlay val="0"/>
      <c:txPr>
        <a:bodyPr/>
        <a:lstStyle/>
        <a:p>
          <a:pPr>
            <a:defRPr sz="800" b="1"/>
          </a:pPr>
          <a:endParaRPr lang="es-DO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Pension'!$C$8:$F$8</c:f>
              <c:strCache>
                <c:ptCount val="1"/>
                <c:pt idx="0">
                  <c:v>Trimestre Julio-Septiembre
Al 30 de Septiembre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Pension'!$B$10:$B$18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Pension'!$C$10:$C$18</c:f>
              <c:numCache>
                <c:formatCode>_(* #,##0_);_(* \(#,##0\);_(* "-"??_);_(@_)</c:formatCode>
                <c:ptCount val="9"/>
                <c:pt idx="0">
                  <c:v>31540</c:v>
                </c:pt>
                <c:pt idx="1">
                  <c:v>63816</c:v>
                </c:pt>
                <c:pt idx="2">
                  <c:v>255</c:v>
                </c:pt>
                <c:pt idx="3">
                  <c:v>153</c:v>
                </c:pt>
                <c:pt idx="4">
                  <c:v>249</c:v>
                </c:pt>
                <c:pt idx="5">
                  <c:v>25099</c:v>
                </c:pt>
                <c:pt idx="6">
                  <c:v>23673</c:v>
                </c:pt>
                <c:pt idx="7">
                  <c:v>19447</c:v>
                </c:pt>
                <c:pt idx="8">
                  <c:v>18651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9-4047-9F40-71C6BD8AD3E7}"/>
            </c:ext>
          </c:extLst>
        </c:ser>
        <c:ser>
          <c:idx val="1"/>
          <c:order val="1"/>
          <c:tx>
            <c:strRef>
              <c:f>'Tipo de Pension'!$G$8:$J$8</c:f>
              <c:strCache>
                <c:ptCount val="1"/>
                <c:pt idx="0">
                  <c:v>Trimestre julio-septiembre
Al 30 de septiembre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Pension'!$B$10:$B$18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Pension'!$G$10:$G$18</c:f>
              <c:numCache>
                <c:formatCode>_(* #,##0_);_(* \(#,##0\);_(* "-"??_);_(@_)</c:formatCode>
                <c:ptCount val="9"/>
                <c:pt idx="0">
                  <c:v>33108</c:v>
                </c:pt>
                <c:pt idx="1">
                  <c:v>65802</c:v>
                </c:pt>
                <c:pt idx="2">
                  <c:v>252</c:v>
                </c:pt>
                <c:pt idx="3">
                  <c:v>168</c:v>
                </c:pt>
                <c:pt idx="4">
                  <c:v>239</c:v>
                </c:pt>
                <c:pt idx="5">
                  <c:v>30628</c:v>
                </c:pt>
                <c:pt idx="6">
                  <c:v>25022</c:v>
                </c:pt>
                <c:pt idx="7">
                  <c:v>36486</c:v>
                </c:pt>
                <c:pt idx="8">
                  <c:v>19495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9-4047-9F40-71C6BD8A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1792"/>
        <c:axId val="1670802336"/>
      </c:barChart>
      <c:catAx>
        <c:axId val="16708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336"/>
        <c:crosses val="autoZero"/>
        <c:auto val="1"/>
        <c:lblAlgn val="ctr"/>
        <c:lblOffset val="100"/>
        <c:noMultiLvlLbl val="0"/>
      </c:catAx>
      <c:valAx>
        <c:axId val="1670802336"/>
        <c:scaling>
          <c:orientation val="minMax"/>
          <c:max val="7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179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97366905261974"/>
          <c:y val="0.8993319686340091"/>
          <c:w val="0.64265757475713148"/>
          <c:h val="6.8292536811192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Pension'!$C$8:$F$8</c:f>
              <c:strCache>
                <c:ptCount val="1"/>
                <c:pt idx="0">
                  <c:v>Trimestre Julio-Septiembre
Al 30 de Septiembre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Pension'!$B$10:$B$18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Pension'!$E$10:$E$18</c:f>
              <c:numCache>
                <c:formatCode>_(* #,##0_);_(* \(#,##0\);_(* "-"??_);_(@_)</c:formatCode>
                <c:ptCount val="9"/>
                <c:pt idx="0">
                  <c:v>1438741068.9300001</c:v>
                </c:pt>
                <c:pt idx="1">
                  <c:v>1966938030.1700001</c:v>
                </c:pt>
                <c:pt idx="2">
                  <c:v>12970378.5</c:v>
                </c:pt>
                <c:pt idx="3">
                  <c:v>13596751.940000001</c:v>
                </c:pt>
                <c:pt idx="4">
                  <c:v>22631800.439999998</c:v>
                </c:pt>
                <c:pt idx="5">
                  <c:v>1966768225.4200001</c:v>
                </c:pt>
                <c:pt idx="6">
                  <c:v>1786142966.5600002</c:v>
                </c:pt>
                <c:pt idx="7">
                  <c:v>343668000</c:v>
                </c:pt>
                <c:pt idx="8">
                  <c:v>684241382.86000001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9-44D0-B52B-F7CCBE23C12D}"/>
            </c:ext>
          </c:extLst>
        </c:ser>
        <c:ser>
          <c:idx val="1"/>
          <c:order val="1"/>
          <c:tx>
            <c:strRef>
              <c:f>'Tipo de Pension'!$G$8:$J$8</c:f>
              <c:strCache>
                <c:ptCount val="1"/>
                <c:pt idx="0">
                  <c:v>Trimestre julio-septiembre
Al 30 de septiembre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Pension'!$B$10:$B$18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Pension'!$I$10:$I$18</c:f>
              <c:numCache>
                <c:formatCode>_(* #,##0_);_(* \(#,##0\);_(* "-"??_);_(@_)</c:formatCode>
                <c:ptCount val="9"/>
                <c:pt idx="0">
                  <c:v>1578707199.1700001</c:v>
                </c:pt>
                <c:pt idx="1">
                  <c:v>2032761091.6600001</c:v>
                </c:pt>
                <c:pt idx="2">
                  <c:v>22734438.75</c:v>
                </c:pt>
                <c:pt idx="3">
                  <c:v>24988068.16</c:v>
                </c:pt>
                <c:pt idx="4">
                  <c:v>22278664.289999999</c:v>
                </c:pt>
                <c:pt idx="5">
                  <c:v>2511304344.4400001</c:v>
                </c:pt>
                <c:pt idx="6">
                  <c:v>2033307597.4800003</c:v>
                </c:pt>
                <c:pt idx="7">
                  <c:v>635622000</c:v>
                </c:pt>
                <c:pt idx="8">
                  <c:v>725719692.20000005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9-44D0-B52B-F7CCBE23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8864"/>
        <c:axId val="1670811040"/>
      </c:barChart>
      <c:catAx>
        <c:axId val="16708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1040"/>
        <c:crosses val="autoZero"/>
        <c:auto val="1"/>
        <c:lblAlgn val="ctr"/>
        <c:lblOffset val="100"/>
        <c:noMultiLvlLbl val="0"/>
      </c:catAx>
      <c:valAx>
        <c:axId val="1670811040"/>
        <c:scaling>
          <c:orientation val="minMax"/>
          <c:max val="2200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8864"/>
        <c:crosses val="autoZero"/>
        <c:crossBetween val="between"/>
        <c:majorUnit val="30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Monto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Pension'!$C$26:$F$26</c:f>
              <c:strCache>
                <c:ptCount val="1"/>
                <c:pt idx="0">
                  <c:v>Trimestre Julio-Septiembre
Al 30 de Septiembre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Pension'!$B$28:$B$40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Pension'!$C$28:$C$40</c:f>
              <c:numCache>
                <c:formatCode>#,##0</c:formatCode>
                <c:ptCount val="13"/>
                <c:pt idx="0">
                  <c:v>38</c:v>
                </c:pt>
                <c:pt idx="1">
                  <c:v>1</c:v>
                </c:pt>
                <c:pt idx="2">
                  <c:v>19467</c:v>
                </c:pt>
                <c:pt idx="3">
                  <c:v>118883</c:v>
                </c:pt>
                <c:pt idx="4">
                  <c:v>8553</c:v>
                </c:pt>
                <c:pt idx="5">
                  <c:v>4653</c:v>
                </c:pt>
                <c:pt idx="6">
                  <c:v>2126</c:v>
                </c:pt>
                <c:pt idx="7">
                  <c:v>2821</c:v>
                </c:pt>
                <c:pt idx="8">
                  <c:v>912</c:v>
                </c:pt>
                <c:pt idx="9">
                  <c:v>462</c:v>
                </c:pt>
                <c:pt idx="10">
                  <c:v>501</c:v>
                </c:pt>
                <c:pt idx="11">
                  <c:v>354</c:v>
                </c:pt>
                <c:pt idx="12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5-4C06-ADE3-C67B6B3CDF6E}"/>
            </c:ext>
          </c:extLst>
        </c:ser>
        <c:ser>
          <c:idx val="1"/>
          <c:order val="1"/>
          <c:tx>
            <c:strRef>
              <c:f>'Tipo de Pension'!$G$26:$J$26</c:f>
              <c:strCache>
                <c:ptCount val="1"/>
                <c:pt idx="0">
                  <c:v>Trimestre julio-septiembre
Al 30 de septiembre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Pension'!$B$28:$B$40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Pension'!$G$28:$G$40</c:f>
              <c:numCache>
                <c:formatCode>General</c:formatCode>
                <c:ptCount val="13"/>
                <c:pt idx="0">
                  <c:v>39</c:v>
                </c:pt>
                <c:pt idx="1">
                  <c:v>0</c:v>
                </c:pt>
                <c:pt idx="2" formatCode="#,##0">
                  <c:v>36499</c:v>
                </c:pt>
                <c:pt idx="3" formatCode="#,##0">
                  <c:v>124310</c:v>
                </c:pt>
                <c:pt idx="4" formatCode="#,##0">
                  <c:v>9346</c:v>
                </c:pt>
                <c:pt idx="5" formatCode="#,##0">
                  <c:v>5510</c:v>
                </c:pt>
                <c:pt idx="6" formatCode="#,##0">
                  <c:v>2619</c:v>
                </c:pt>
                <c:pt idx="7" formatCode="#,##0">
                  <c:v>3965</c:v>
                </c:pt>
                <c:pt idx="8" formatCode="#,##0">
                  <c:v>1117</c:v>
                </c:pt>
                <c:pt idx="9">
                  <c:v>818</c:v>
                </c:pt>
                <c:pt idx="10">
                  <c:v>815</c:v>
                </c:pt>
                <c:pt idx="11">
                  <c:v>523</c:v>
                </c:pt>
                <c:pt idx="12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5-4C06-ADE3-C67B6B3C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"/>
        <c:axId val="1670812128"/>
        <c:axId val="1670796896"/>
      </c:barChart>
      <c:catAx>
        <c:axId val="16708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6896"/>
        <c:crosses val="autoZero"/>
        <c:auto val="1"/>
        <c:lblAlgn val="ctr"/>
        <c:lblOffset val="100"/>
        <c:noMultiLvlLbl val="0"/>
      </c:catAx>
      <c:valAx>
        <c:axId val="1670796896"/>
        <c:scaling>
          <c:orientation val="minMax"/>
          <c:max val="126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2128"/>
        <c:crosses val="autoZero"/>
        <c:crossBetween val="between"/>
        <c:majorUnit val="18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Monto de Pensión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Pension'!$C$26:$F$26</c:f>
              <c:strCache>
                <c:ptCount val="1"/>
                <c:pt idx="0">
                  <c:v>Trimestre Julio-Septiembre
Al 30 de Septiembre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Pension'!$B$28:$B$40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Pension'!$E$28:$E$40</c:f>
              <c:numCache>
                <c:formatCode>#,##0.00</c:formatCode>
                <c:ptCount val="13"/>
                <c:pt idx="0">
                  <c:v>544379.04</c:v>
                </c:pt>
                <c:pt idx="1">
                  <c:v>15352.5</c:v>
                </c:pt>
                <c:pt idx="2">
                  <c:v>344129997.75</c:v>
                </c:pt>
                <c:pt idx="3">
                  <c:v>3686150611.2000003</c:v>
                </c:pt>
                <c:pt idx="4">
                  <c:v>595173463.59000003</c:v>
                </c:pt>
                <c:pt idx="5">
                  <c:v>459487651.31000006</c:v>
                </c:pt>
                <c:pt idx="6">
                  <c:v>270463521.93000001</c:v>
                </c:pt>
                <c:pt idx="7">
                  <c:v>429165665.95000005</c:v>
                </c:pt>
                <c:pt idx="8">
                  <c:v>173412191.73000002</c:v>
                </c:pt>
                <c:pt idx="9">
                  <c:v>97557008.310000002</c:v>
                </c:pt>
                <c:pt idx="10">
                  <c:v>119899270.41000001</c:v>
                </c:pt>
                <c:pt idx="11">
                  <c:v>97722541.780000001</c:v>
                </c:pt>
                <c:pt idx="12">
                  <c:v>175833982.76000002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7-44F1-B06B-1E6FB69EDFA2}"/>
            </c:ext>
          </c:extLst>
        </c:ser>
        <c:ser>
          <c:idx val="1"/>
          <c:order val="1"/>
          <c:tx>
            <c:strRef>
              <c:f>'Tipo de Pension'!$G$26:$J$26</c:f>
              <c:strCache>
                <c:ptCount val="1"/>
                <c:pt idx="0">
                  <c:v>Trimestre julio-septiembre
Al 30 de septiembre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Pension'!$B$28:$B$40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Pension'!$I$28:$I$40</c:f>
              <c:numCache>
                <c:formatCode>#,##0</c:formatCode>
                <c:ptCount val="13"/>
                <c:pt idx="0">
                  <c:v>574379.04</c:v>
                </c:pt>
                <c:pt idx="1">
                  <c:v>0</c:v>
                </c:pt>
                <c:pt idx="2">
                  <c:v>635912612.42999995</c:v>
                </c:pt>
                <c:pt idx="3">
                  <c:v>3864308309.3699999</c:v>
                </c:pt>
                <c:pt idx="4">
                  <c:v>644918634.25999999</c:v>
                </c:pt>
                <c:pt idx="5">
                  <c:v>537102334.09000003</c:v>
                </c:pt>
                <c:pt idx="6">
                  <c:v>321165791.10000002</c:v>
                </c:pt>
                <c:pt idx="7">
                  <c:v>588304841.33999991</c:v>
                </c:pt>
                <c:pt idx="8">
                  <c:v>206785289.81999999</c:v>
                </c:pt>
                <c:pt idx="9">
                  <c:v>174371704.64999998</c:v>
                </c:pt>
                <c:pt idx="10">
                  <c:v>195328957.34</c:v>
                </c:pt>
                <c:pt idx="11">
                  <c:v>143116216.22</c:v>
                </c:pt>
                <c:pt idx="12">
                  <c:v>242226429.00999999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7-44F1-B06B-1E6FB69E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2880"/>
        <c:axId val="1670803968"/>
      </c:barChart>
      <c:catAx>
        <c:axId val="16708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3968"/>
        <c:crosses val="autoZero"/>
        <c:auto val="1"/>
        <c:lblAlgn val="ctr"/>
        <c:lblOffset val="100"/>
        <c:noMultiLvlLbl val="0"/>
      </c:catAx>
      <c:valAx>
        <c:axId val="1670803968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Edad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Pension'!$C$47:$F$47</c:f>
              <c:strCache>
                <c:ptCount val="1"/>
                <c:pt idx="0">
                  <c:v>Trimestre Julio-Septiembre
Al 30 de Septiembre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Pension'!$B$49:$B$60</c:f>
              <c:strCache>
                <c:ptCount val="12"/>
                <c:pt idx="0">
                  <c:v>Menos 18 años</c:v>
                </c:pt>
                <c:pt idx="1">
                  <c:v>0-18</c:v>
                </c:pt>
                <c:pt idx="2">
                  <c:v>18-30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  <c:pt idx="10">
                  <c:v>100</c:v>
                </c:pt>
                <c:pt idx="11">
                  <c:v>Sin fecha de nacimiento</c:v>
                </c:pt>
              </c:strCache>
            </c:strRef>
          </c:cat>
          <c:val>
            <c:numRef>
              <c:f>'Tipo de Pension'!$C$50:$C$60</c:f>
              <c:numCache>
                <c:formatCode>#,##0</c:formatCode>
                <c:ptCount val="11"/>
                <c:pt idx="0">
                  <c:v>1</c:v>
                </c:pt>
                <c:pt idx="1">
                  <c:v>8</c:v>
                </c:pt>
                <c:pt idx="2">
                  <c:v>78</c:v>
                </c:pt>
                <c:pt idx="3">
                  <c:v>570</c:v>
                </c:pt>
                <c:pt idx="4">
                  <c:v>3110</c:v>
                </c:pt>
                <c:pt idx="5">
                  <c:v>42566</c:v>
                </c:pt>
                <c:pt idx="6">
                  <c:v>50488</c:v>
                </c:pt>
                <c:pt idx="7">
                  <c:v>25044</c:v>
                </c:pt>
                <c:pt idx="8">
                  <c:v>5118</c:v>
                </c:pt>
                <c:pt idx="9">
                  <c:v>280</c:v>
                </c:pt>
                <c:pt idx="1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5-4BEB-A242-114DA170D702}"/>
            </c:ext>
          </c:extLst>
        </c:ser>
        <c:ser>
          <c:idx val="1"/>
          <c:order val="1"/>
          <c:tx>
            <c:strRef>
              <c:f>'Tipo de Pension'!$G$47:$J$47</c:f>
              <c:strCache>
                <c:ptCount val="1"/>
                <c:pt idx="0">
                  <c:v>Trimestre julio-septiembre
Al 30 de septiembre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Pension'!$B$49:$B$60</c:f>
              <c:strCache>
                <c:ptCount val="12"/>
                <c:pt idx="0">
                  <c:v>Menos 18 años</c:v>
                </c:pt>
                <c:pt idx="1">
                  <c:v>0-18</c:v>
                </c:pt>
                <c:pt idx="2">
                  <c:v>18-30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  <c:pt idx="10">
                  <c:v>100</c:v>
                </c:pt>
                <c:pt idx="11">
                  <c:v>Sin fecha de nacimiento</c:v>
                </c:pt>
              </c:strCache>
            </c:strRef>
          </c:cat>
          <c:val>
            <c:numRef>
              <c:f>'Tipo de Pension'!$G$50:$G$60</c:f>
              <c:numCache>
                <c:formatCode>General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68</c:v>
                </c:pt>
                <c:pt idx="3">
                  <c:v>538</c:v>
                </c:pt>
                <c:pt idx="4" formatCode="#,##0">
                  <c:v>2964</c:v>
                </c:pt>
                <c:pt idx="5" formatCode="#,##0">
                  <c:v>45717</c:v>
                </c:pt>
                <c:pt idx="6" formatCode="#,##0">
                  <c:v>55131</c:v>
                </c:pt>
                <c:pt idx="7" formatCode="#,##0">
                  <c:v>26827</c:v>
                </c:pt>
                <c:pt idx="8" formatCode="#,##0">
                  <c:v>5497</c:v>
                </c:pt>
                <c:pt idx="9">
                  <c:v>312</c:v>
                </c:pt>
                <c:pt idx="1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5-4BEB-A242-114DA17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0160"/>
        <c:axId val="1670805600"/>
      </c:barChart>
      <c:catAx>
        <c:axId val="16708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5600"/>
        <c:crosses val="autoZero"/>
        <c:auto val="1"/>
        <c:lblAlgn val="ctr"/>
        <c:lblOffset val="100"/>
        <c:noMultiLvlLbl val="0"/>
      </c:catAx>
      <c:valAx>
        <c:axId val="1670805600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0160"/>
        <c:crosses val="autoZero"/>
        <c:crossBetween val="between"/>
        <c:majorUnit val="9000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4892115814746"/>
          <c:y val="0.11479713174635285"/>
          <c:w val="0.78893118039654453"/>
          <c:h val="0.6558637941978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Cotizantes'!$C$6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51368759412862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47233406426224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5C-4406-B71E-65516B4B4A9D}"/>
                </c:ext>
              </c:extLst>
            </c:dLbl>
            <c:dLbl>
              <c:idx val="2"/>
              <c:layout>
                <c:manualLayout>
                  <c:x val="-5.1633404454622094E-3"/>
                  <c:y val="0.4781602658434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Cotizantes'!$B$11:$B$13</c:f>
            </c:multiLvlStrRef>
          </c:cat>
          <c:val>
            <c:numRef>
              <c:f>'Afiliados y Cotizantes'!$C$11:$C$13</c:f>
            </c:numRef>
          </c:val>
          <c:extLst>
            <c:ext xmlns:c16="http://schemas.microsoft.com/office/drawing/2014/chart" uri="{C3380CC4-5D6E-409C-BE32-E72D297353CC}">
              <c16:uniqueId val="{00000003-C75C-4406-B71E-65516B4B4A9D}"/>
            </c:ext>
          </c:extLst>
        </c:ser>
        <c:ser>
          <c:idx val="1"/>
          <c:order val="1"/>
          <c:tx>
            <c:v>No Cotizantes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633404454621149E-3"/>
                  <c:y val="0.39397900754344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5C-4406-B71E-65516B4B4A9D}"/>
                </c:ext>
              </c:extLst>
            </c:dLbl>
            <c:dLbl>
              <c:idx val="1"/>
              <c:layout>
                <c:manualLayout>
                  <c:x val="2.5816702227310574E-3"/>
                  <c:y val="0.39403018411963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5C-4406-B71E-65516B4B4A9D}"/>
                </c:ext>
              </c:extLst>
            </c:dLbl>
            <c:dLbl>
              <c:idx val="2"/>
              <c:layout>
                <c:manualLayout>
                  <c:x val="-2.5816702227310574E-3"/>
                  <c:y val="0.39379964773681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'Afiliados y Cotizantes'!$B$11:$B$13</c:f>
            </c:multiLvlStrRef>
          </c:cat>
          <c:val>
            <c:numRef>
              <c:f>'Afiliados y Cotizantes'!$F$11:$F$13</c:f>
            </c:numRef>
          </c:val>
          <c:extLst>
            <c:ext xmlns:c16="http://schemas.microsoft.com/office/drawing/2014/chart" uri="{C3380CC4-5D6E-409C-BE32-E72D297353CC}">
              <c16:uniqueId val="{00000007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70560"/>
        <c:axId val="1667758048"/>
      </c:barChart>
      <c:lineChart>
        <c:grouping val="standard"/>
        <c:varyColors val="0"/>
        <c:ser>
          <c:idx val="2"/>
          <c:order val="2"/>
          <c:tx>
            <c:strRef>
              <c:f>'Afiliados y Cotizantes'!$G$6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6733893883974762E-2"/>
                  <c:y val="-0.498445838110009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5C-4406-B71E-65516B4B4A9D}"/>
                </c:ext>
              </c:extLst>
            </c:dLbl>
            <c:dLbl>
              <c:idx val="1"/>
              <c:layout>
                <c:manualLayout>
                  <c:x val="-6.9705096013738546E-2"/>
                  <c:y val="-0.13684262931678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5C-4406-B71E-65516B4B4A9D}"/>
                </c:ext>
              </c:extLst>
            </c:dLbl>
            <c:dLbl>
              <c:idx val="2"/>
              <c:layout>
                <c:manualLayout>
                  <c:x val="-4.3888393786427976E-2"/>
                  <c:y val="-0.10299960998457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5C-4406-B71E-65516B4B4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Cotizantes'!$B$11:$B$13</c:f>
            </c:multiLvlStrRef>
          </c:cat>
          <c:val>
            <c:numRef>
              <c:f>'Afiliados y Cotizantes'!$G$11:$G$13</c:f>
            </c:numRef>
          </c:val>
          <c:smooth val="0"/>
          <c:extLst>
            <c:ext xmlns:c16="http://schemas.microsoft.com/office/drawing/2014/chart" uri="{C3380CC4-5D6E-409C-BE32-E72D297353CC}">
              <c16:uniqueId val="{0000000B-C75C-4406-B71E-65516B4B4A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6752"/>
        <c:axId val="1667762944"/>
      </c:lineChart>
      <c:catAx>
        <c:axId val="16677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58048"/>
        <c:crosses val="autoZero"/>
        <c:auto val="1"/>
        <c:lblAlgn val="ctr"/>
        <c:lblOffset val="100"/>
        <c:noMultiLvlLbl val="0"/>
      </c:catAx>
      <c:valAx>
        <c:axId val="16677580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70560"/>
        <c:crosses val="autoZero"/>
        <c:crossBetween val="between"/>
      </c:valAx>
      <c:valAx>
        <c:axId val="1667762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6752"/>
        <c:crosses val="max"/>
        <c:crossBetween val="between"/>
      </c:valAx>
      <c:catAx>
        <c:axId val="166776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2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Edad de Pensionados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'Tipo de Pension'!$C$47:$F$47</c:f>
              <c:strCache>
                <c:ptCount val="1"/>
                <c:pt idx="0">
                  <c:v>Trimestre Julio-Septiembre
Al 30 de Septiembre 2022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Pension'!$B$51:$B$60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Pension'!$E$50:$E$60</c:f>
              <c:numCache>
                <c:formatCode>#,##0.00</c:formatCode>
                <c:ptCount val="11"/>
                <c:pt idx="0">
                  <c:v>30000</c:v>
                </c:pt>
                <c:pt idx="1">
                  <c:v>282922.05000000005</c:v>
                </c:pt>
                <c:pt idx="2">
                  <c:v>4200764.74</c:v>
                </c:pt>
                <c:pt idx="3">
                  <c:v>28421745.25</c:v>
                </c:pt>
                <c:pt idx="4">
                  <c:v>169388469</c:v>
                </c:pt>
                <c:pt idx="5">
                  <c:v>2148405590.1599998</c:v>
                </c:pt>
                <c:pt idx="6">
                  <c:v>2452393963.54</c:v>
                </c:pt>
                <c:pt idx="7">
                  <c:v>1079520524.3099999</c:v>
                </c:pt>
                <c:pt idx="8">
                  <c:v>211317872.5</c:v>
                </c:pt>
                <c:pt idx="9">
                  <c:v>10745280.040000001</c:v>
                </c:pt>
                <c:pt idx="10">
                  <c:v>1180506.67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C2C-B1C5-95C571BD3EF0}"/>
            </c:ext>
          </c:extLst>
        </c:ser>
        <c:ser>
          <c:idx val="1"/>
          <c:order val="1"/>
          <c:tx>
            <c:strRef>
              <c:f>'Tipo de Pension'!$G$47:$J$47</c:f>
              <c:strCache>
                <c:ptCount val="1"/>
                <c:pt idx="0">
                  <c:v>Trimestre julio-septiembre
Al 30 de septiembre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Pension'!$B$51:$B$60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Pension'!$I$50:$I$60</c:f>
              <c:numCache>
                <c:formatCode>#,##0.00</c:formatCode>
                <c:ptCount val="11"/>
                <c:pt idx="0">
                  <c:v>301520.01</c:v>
                </c:pt>
                <c:pt idx="1">
                  <c:v>485422.05000000005</c:v>
                </c:pt>
                <c:pt idx="2">
                  <c:v>3624780.91</c:v>
                </c:pt>
                <c:pt idx="3">
                  <c:v>30178179.849999998</c:v>
                </c:pt>
                <c:pt idx="4">
                  <c:v>177987378.87</c:v>
                </c:pt>
                <c:pt idx="5">
                  <c:v>2481270172.7799997</c:v>
                </c:pt>
                <c:pt idx="6">
                  <c:v>2786621465.4300003</c:v>
                </c:pt>
                <c:pt idx="7">
                  <c:v>1189637634.03</c:v>
                </c:pt>
                <c:pt idx="8">
                  <c:v>232981753.55000001</c:v>
                </c:pt>
                <c:pt idx="9">
                  <c:v>12025593.52</c:v>
                </c:pt>
                <c:pt idx="10">
                  <c:v>3319597.67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4C2C-B1C5-95C571BD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670807232"/>
        <c:axId val="1670799072"/>
      </c:barChart>
      <c:catAx>
        <c:axId val="16708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9072"/>
        <c:crosses val="autoZero"/>
        <c:auto val="1"/>
        <c:lblAlgn val="ctr"/>
        <c:lblOffset val="100"/>
        <c:noMultiLvlLbl val="0"/>
      </c:catAx>
      <c:valAx>
        <c:axId val="1670799072"/>
        <c:scaling>
          <c:orientation val="minMax"/>
          <c:max val="2800000000"/>
          <c:min val="3000000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7232"/>
        <c:crosses val="autoZero"/>
        <c:crossBetween val="between"/>
        <c:majorUnit val="45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accent1"/>
                </a:solidFill>
              </a:rPr>
              <a:t>Porcentaje Modalidad</a:t>
            </a:r>
            <a:r>
              <a:rPr lang="es-ES" sz="1400" baseline="0">
                <a:solidFill>
                  <a:schemeClr val="accent1"/>
                </a:solidFill>
              </a:rPr>
              <a:t> de Pago</a:t>
            </a:r>
            <a:endParaRPr lang="es-ES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24317598335221177"/>
          <c:y val="3.23522372488446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882-47C0-9C20-76A0642EBB7A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882-47C0-9C20-76A0642EBB7A}"/>
              </c:ext>
            </c:extLst>
          </c:dPt>
          <c:dLbls>
            <c:dLbl>
              <c:idx val="0"/>
              <c:layout>
                <c:manualLayout>
                  <c:x val="-1.8055555555555554E-2"/>
                  <c:y val="-0.355324074074074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Electrónico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6A789905-C907-4699-A041-A6FD64461BF5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41666666666666"/>
                      <c:h val="0.210648148148148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82-47C0-9C20-76A0642EBB7A}"/>
                </c:ext>
              </c:extLst>
            </c:dLbl>
            <c:dLbl>
              <c:idx val="1"/>
              <c:layout>
                <c:manualLayout>
                  <c:x val="-4.6721964522656895E-2"/>
                  <c:y val="5.278391640570033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Cheque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928CA2D4-AB57-4300-BD4F-83CC6382AA06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02209762708696"/>
                      <c:h val="0.14416160985114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82-47C0-9C20-76A0642EB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(Modalidad!$O$8,Modalidad!$Q$8)</c:f>
              <c:strCache>
                <c:ptCount val="2"/>
                <c:pt idx="0">
                  <c:v>Monto</c:v>
                </c:pt>
                <c:pt idx="1">
                  <c:v>Monto</c:v>
                </c:pt>
              </c:strCache>
            </c:strRef>
          </c:cat>
          <c:val>
            <c:numRef>
              <c:f>(Modalidad!$O$32,Modalidad!$Q$32)</c:f>
            </c:numRef>
          </c:val>
          <c:extLst>
            <c:ext xmlns:c16="http://schemas.microsoft.com/office/drawing/2014/chart" uri="{C3380CC4-5D6E-409C-BE32-E72D297353CC}">
              <c16:uniqueId val="{00000000-1882-47C0-9C20-76A0642E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5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583-46F5-AB74-1C4B2E8CE063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583-46F5-AB74-1C4B2E8CE063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2DEDD5-F960-4081-A07E-4D04D9667DF9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83-46F5-AB74-1C4B2E8CE06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617DECA-C501-4FD8-AA33-D534CD0CDD6E}" type="VALU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583-46F5-AB74-1C4B2E8CE0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Modalidad!$N$47:$O$47</c:f>
              <c:strCache>
                <c:ptCount val="2"/>
                <c:pt idx="0">
                  <c:v>Electrónico </c:v>
                </c:pt>
                <c:pt idx="1">
                  <c:v>Cheque</c:v>
                </c:pt>
              </c:strCache>
            </c:strRef>
          </c:cat>
          <c:val>
            <c:numRef>
              <c:f>Modalidad!$N$48:$O$48</c:f>
              <c:numCache>
                <c:formatCode>0.00%</c:formatCode>
                <c:ptCount val="2"/>
                <c:pt idx="0">
                  <c:v>0.99567404283256733</c:v>
                </c:pt>
                <c:pt idx="1">
                  <c:v>4.3259571674327101E-3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3-46F5-AB74-1C4B2E8CE06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4501343930274"/>
          <c:y val="4.2299525799253723E-2"/>
          <c:w val="0.65858516691985691"/>
          <c:h val="0.72007785017025605"/>
        </c:manualLayout>
      </c:layout>
      <c:barChart>
        <c:barDir val="col"/>
        <c:grouping val="clustered"/>
        <c:varyColors val="0"/>
        <c:ser>
          <c:idx val="0"/>
          <c:order val="0"/>
          <c:tx>
            <c:v>Pensionados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085745537489802E-3"/>
                  <c:y val="1.8279804924074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3A-4755-84B1-810054927F90}"/>
                </c:ext>
              </c:extLst>
            </c:dLbl>
            <c:dLbl>
              <c:idx val="1"/>
              <c:layout>
                <c:manualLayout>
                  <c:x val="2.788471476716947E-3"/>
                  <c:y val="0.2117624891955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806459726581629E-2"/>
                      <c:h val="0.130912999023211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F3A-4755-84B1-810054927F90}"/>
                </c:ext>
              </c:extLst>
            </c:dLbl>
            <c:dLbl>
              <c:idx val="2"/>
              <c:layout>
                <c:manualLayout>
                  <c:x val="-1.310969913632988E-4"/>
                  <c:y val="0.2193356780953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3A-4755-84B1-810054927F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Retroactivos!$H$9:$H$11</c:f>
              <c:numCache>
                <c:formatCode>#,##0_);\(#,##0\)</c:formatCode>
                <c:ptCount val="3"/>
                <c:pt idx="0">
                  <c:v>859</c:v>
                </c:pt>
                <c:pt idx="1">
                  <c:v>443</c:v>
                </c:pt>
                <c:pt idx="2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3A-4755-84B1-810054927F90}"/>
            </c:ext>
          </c:extLst>
        </c:ser>
        <c:ser>
          <c:idx val="1"/>
          <c:order val="1"/>
          <c:tx>
            <c:v>Pensiones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1302436748680691E-3"/>
                  <c:y val="1.6973625342214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3A-4755-84B1-810054927F90}"/>
                </c:ext>
              </c:extLst>
            </c:dLbl>
            <c:dLbl>
              <c:idx val="1"/>
              <c:layout>
                <c:manualLayout>
                  <c:x val="-1.4313252250930985E-3"/>
                  <c:y val="0.202366024782453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3A-4755-84B1-810054927F90}"/>
                </c:ext>
              </c:extLst>
            </c:dLbl>
            <c:dLbl>
              <c:idx val="2"/>
              <c:layout>
                <c:manualLayout>
                  <c:x val="5.3043320703023114E-4"/>
                  <c:y val="0.28331799048509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3A-4755-84B1-810054927F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Retroactivos!$I$9:$I$11</c:f>
              <c:numCache>
                <c:formatCode>#,##0_);\(#,##0\)</c:formatCode>
                <c:ptCount val="3"/>
                <c:pt idx="0">
                  <c:v>880</c:v>
                </c:pt>
                <c:pt idx="1">
                  <c:v>456</c:v>
                </c:pt>
                <c:pt idx="2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3A-4755-84B1-810054927F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51440"/>
        <c:axId val="1672050896"/>
      </c:barChart>
      <c:lineChart>
        <c:grouping val="standard"/>
        <c:varyColors val="0"/>
        <c:ser>
          <c:idx val="2"/>
          <c:order val="2"/>
          <c:tx>
            <c:strRef>
              <c:f>[1]Retroactivos!$M$7</c:f>
              <c:strCache>
                <c:ptCount val="1"/>
                <c:pt idx="0">
                  <c:v>Monto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F3A-4755-84B1-810054927F90}"/>
              </c:ext>
            </c:extLst>
          </c:dPt>
          <c:dLbls>
            <c:dLbl>
              <c:idx val="0"/>
              <c:layout>
                <c:manualLayout>
                  <c:x val="-8.2359133535238424E-2"/>
                  <c:y val="-9.25415310991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3A-4755-84B1-810054927F90}"/>
                </c:ext>
              </c:extLst>
            </c:dLbl>
            <c:dLbl>
              <c:idx val="1"/>
              <c:layout>
                <c:manualLayout>
                  <c:x val="-7.3136265981191967E-2"/>
                  <c:y val="-0.12839372676612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3A-4755-84B1-810054927F90}"/>
                </c:ext>
              </c:extLst>
            </c:dLbl>
            <c:dLbl>
              <c:idx val="2"/>
              <c:layout>
                <c:manualLayout>
                  <c:x val="-9.4132182203010256E-2"/>
                  <c:y val="-4.827946353906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3A-4755-84B1-810054927F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[1]Retroactivos!$A$9:$A$11</c:f>
              <c:strCache>
                <c:ptCount val="3"/>
                <c:pt idx="0">
                  <c:v>Marzo</c:v>
                </c:pt>
                <c:pt idx="1">
                  <c:v>Febrero</c:v>
                </c:pt>
                <c:pt idx="2">
                  <c:v>Enero</c:v>
                </c:pt>
              </c:strCache>
            </c:strRef>
          </c:cat>
          <c:val>
            <c:numRef>
              <c:f>Retroactivos!$J$9:$J$11</c:f>
              <c:numCache>
                <c:formatCode>_(* #,##0.00_);_(* \(#,##0.00\);_(* "-"??_);_(@_)</c:formatCode>
                <c:ptCount val="3"/>
                <c:pt idx="0">
                  <c:v>53730435.439999998</c:v>
                </c:pt>
                <c:pt idx="1">
                  <c:v>32114951.840000004</c:v>
                </c:pt>
                <c:pt idx="2">
                  <c:v>26437801.379999999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F3A-4755-84B1-810054927F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55792"/>
        <c:axId val="1672053072"/>
      </c:lineChart>
      <c:catAx>
        <c:axId val="167205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0896"/>
        <c:crosses val="autoZero"/>
        <c:auto val="1"/>
        <c:lblAlgn val="ctr"/>
        <c:lblOffset val="100"/>
        <c:noMultiLvlLbl val="0"/>
      </c:catAx>
      <c:valAx>
        <c:axId val="1672050896"/>
        <c:scaling>
          <c:orientation val="minMax"/>
        </c:scaling>
        <c:delete val="0"/>
        <c:axPos val="l"/>
        <c:numFmt formatCode="#,##0_);\(#,##0\)" sourceLinked="1"/>
        <c:majorTickMark val="none"/>
        <c:minorTickMark val="none"/>
        <c:tickLblPos val="nextTo"/>
        <c:crossAx val="1672051440"/>
        <c:crosses val="autoZero"/>
        <c:crossBetween val="between"/>
      </c:valAx>
      <c:valAx>
        <c:axId val="167205307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672055792"/>
        <c:crosses val="max"/>
        <c:crossBetween val="between"/>
      </c:valAx>
      <c:catAx>
        <c:axId val="167205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53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932899446490744"/>
          <c:y val="0.87879252468585134"/>
          <c:w val="0.51212458447537823"/>
          <c:h val="8.4031421083945429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Reintegro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Cheques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Reintegros!$H$7</c:f>
              <c:strCache>
                <c:ptCount val="1"/>
                <c:pt idx="0">
                  <c:v>Cantidad 
de Cheques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80</c:v>
                </c:pt>
                <c:pt idx="2">
                  <c:v>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3-4894-8909-6FB7CBDC635F}"/>
            </c:ext>
          </c:extLst>
        </c:ser>
        <c:ser>
          <c:idx val="1"/>
          <c:order val="1"/>
          <c:tx>
            <c:strRef>
              <c:f>Reintegros!$I$7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797212.89</c:v>
                </c:pt>
                <c:pt idx="2" formatCode="_(* #,##0_);_(* \(#,##0\);_(* &quot;-&quot;??_);_(@_)">
                  <c:v>20744930.620000001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3-4894-8909-6FB7CBDC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088"/>
        <c:axId val="1672050352"/>
      </c:barChart>
      <c:catAx>
        <c:axId val="167204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50352"/>
        <c:crosses val="autoZero"/>
        <c:auto val="1"/>
        <c:lblAlgn val="ctr"/>
        <c:lblOffset val="100"/>
        <c:noMultiLvlLbl val="0"/>
      </c:catAx>
      <c:valAx>
        <c:axId val="167205035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Créditos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Rechazados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'Créditos Rechazados'!$H$7</c:f>
              <c:strCache>
                <c:ptCount val="1"/>
                <c:pt idx="0">
                  <c:v>Cantidad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FB4-B4A2-1D086BEA9BB5}"/>
            </c:ext>
          </c:extLst>
        </c:ser>
        <c:ser>
          <c:idx val="1"/>
          <c:order val="1"/>
          <c:tx>
            <c:strRef>
              <c:f>'Créditos Rechazados'!$I$7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414032.22</c:v>
                </c:pt>
                <c:pt idx="2" formatCode="_(* #,##0_);_(* \(#,##0\);_(* &quot;-&quot;??_);_(@_)">
                  <c:v>1591442.78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FB4-B4A2-1D086BEA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632"/>
        <c:axId val="1672049264"/>
      </c:barChart>
      <c:catAx>
        <c:axId val="167204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9264"/>
        <c:crosses val="autoZero"/>
        <c:auto val="1"/>
        <c:lblAlgn val="ctr"/>
        <c:lblOffset val="100"/>
        <c:noMultiLvlLbl val="0"/>
      </c:catAx>
      <c:valAx>
        <c:axId val="16720492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88692038495189"/>
          <c:y val="5.0925925925925923E-2"/>
          <c:w val="0.78411307961504817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'Pago Único'!$B$6:$D$6</c:f>
              <c:strCache>
                <c:ptCount val="1"/>
                <c:pt idx="0">
                  <c:v>Pensiones Civiles</c:v>
                </c:pt>
              </c:strCache>
            </c:strRef>
          </c:tx>
          <c:spPr>
            <a:solidFill>
              <a:schemeClr val="accent3"/>
            </a:solidFill>
            <a:ln cmpd="dbl">
              <a:solidFill>
                <a:schemeClr val="accent1">
                  <a:alpha val="77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310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A3-437F-9544-984E047C54A8}"/>
                </c:ext>
              </c:extLst>
            </c:dLbl>
            <c:dLbl>
              <c:idx val="1"/>
              <c:layout>
                <c:manualLayout>
                  <c:x val="-5.5555555555556572E-3"/>
                  <c:y val="0.30555555555555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F5-4E95-A93B-37E87C275AAE}"/>
                </c:ext>
              </c:extLst>
            </c:dLbl>
            <c:dLbl>
              <c:idx val="2"/>
              <c:layout>
                <c:manualLayout>
                  <c:x val="0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A3-437F-9544-984E047C54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'Pago Único'!$A$12:$A$14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'Pago Único'!$D$12:$D$14</c:f>
              <c:numCache>
                <c:formatCode>_(* #,##0.00_);_(* \(#,##0.00\);_(* "-"??_);_(@_)</c:formatCode>
                <c:ptCount val="3"/>
                <c:pt idx="0">
                  <c:v>1069100.1200000001</c:v>
                </c:pt>
                <c:pt idx="2">
                  <c:v>1703344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5-4E95-A93B-37E87C275AAE}"/>
            </c:ext>
          </c:extLst>
        </c:ser>
        <c:ser>
          <c:idx val="1"/>
          <c:order val="1"/>
          <c:tx>
            <c:strRef>
              <c:f>'Pago Único'!$E$6:$G$6</c:f>
              <c:strCache>
                <c:ptCount val="1"/>
                <c:pt idx="0">
                  <c:v>PN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'Pago Único'!$A$12:$A$14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'Pago Único'!$G$12:$G$14</c:f>
              <c:numCache>
                <c:formatCode>_(* #,##0.00_);_(* \(#,##0.00\);_(* "-"??_);_(@_)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B9F5-4E95-A93B-37E87C275A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9588303"/>
        <c:axId val="779579983"/>
      </c:barChart>
      <c:catAx>
        <c:axId val="77958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79579983"/>
        <c:crosses val="autoZero"/>
        <c:auto val="1"/>
        <c:lblAlgn val="ctr"/>
        <c:lblOffset val="100"/>
        <c:noMultiLvlLbl val="0"/>
      </c:catAx>
      <c:valAx>
        <c:axId val="779579983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79588303"/>
        <c:crosses val="autoZero"/>
        <c:crossBetween val="between"/>
        <c:majorUnit val="17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6805319017807"/>
          <c:y val="0.1147686611742301"/>
          <c:w val="0.71680195964278259"/>
          <c:h val="0.696257253237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'Recuperación Fondos'!$C$6</c:f>
              <c:strCache>
                <c:ptCount val="1"/>
                <c:pt idx="0">
                  <c:v>Monto 
Solicitado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elete val="1"/>
          </c:dLbls>
          <c:cat>
            <c:strRef>
              <c:f>'Recuperación Fondos'!$A$7:$A$9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'Recuperación Fondos'!$C$7:$C$9</c:f>
              <c:numCache>
                <c:formatCode>#,##0.00_);[Red]\(#,##0.00\)</c:formatCode>
                <c:ptCount val="3"/>
                <c:pt idx="0">
                  <c:v>5637880.9399999985</c:v>
                </c:pt>
                <c:pt idx="1">
                  <c:v>5244891.8199999994</c:v>
                </c:pt>
                <c:pt idx="2">
                  <c:v>7077497.0100000007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88-4E2F-9F0B-5DDC4BE0FCFF}"/>
            </c:ext>
          </c:extLst>
        </c:ser>
        <c:ser>
          <c:idx val="1"/>
          <c:order val="1"/>
          <c:tx>
            <c:strRef>
              <c:f>'Recuperación Fondos'!$F$6</c:f>
              <c:strCache>
                <c:ptCount val="1"/>
                <c:pt idx="0">
                  <c:v>Total 
Recuperado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elete val="1"/>
          </c:dLbls>
          <c:cat>
            <c:strRef>
              <c:f>'Recuperación Fondos'!$A$7:$A$9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'Recuperación Fondos'!$F$7:$F$9</c:f>
              <c:numCache>
                <c:formatCode>#,##0.00_);[Red]\(#,##0.00\)</c:formatCode>
                <c:ptCount val="3"/>
                <c:pt idx="0">
                  <c:v>2146819</c:v>
                </c:pt>
                <c:pt idx="1">
                  <c:v>3994813.17</c:v>
                </c:pt>
                <c:pt idx="2">
                  <c:v>1731865.4999999998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88-4E2F-9F0B-5DDC4BE0FC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48720"/>
        <c:axId val="1672045456"/>
      </c:barChart>
      <c:lineChart>
        <c:grouping val="standard"/>
        <c:varyColors val="0"/>
        <c:ser>
          <c:idx val="2"/>
          <c:order val="2"/>
          <c:tx>
            <c:strRef>
              <c:f>'Recuperación Fondos'!$G$6</c:f>
              <c:strCache>
                <c:ptCount val="1"/>
                <c:pt idx="0">
                  <c:v>% Recuperado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0933590352736595E-2"/>
                  <c:y val="-5.78225820760463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394494495773472E-2"/>
                      <c:h val="6.69247283846203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E88-4E2F-9F0B-5DDC4BE0FCFF}"/>
                </c:ext>
              </c:extLst>
            </c:dLbl>
            <c:dLbl>
              <c:idx val="1"/>
              <c:layout>
                <c:manualLayout>
                  <c:x val="-6.7033747601424207E-2"/>
                  <c:y val="-8.84201950544413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216124612678336E-2"/>
                      <c:h val="5.5657939094280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E88-4E2F-9F0B-5DDC4BE0FCFF}"/>
                </c:ext>
              </c:extLst>
            </c:dLbl>
            <c:dLbl>
              <c:idx val="2"/>
              <c:layout>
                <c:manualLayout>
                  <c:x val="-8.239105442398223E-2"/>
                  <c:y val="-4.244490806170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88-4E2F-9F0B-5DDC4BE0FC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'Recuperación Fondos'!$G$7:$G$9</c:f>
              <c:numCache>
                <c:formatCode>0%</c:formatCode>
                <c:ptCount val="3"/>
                <c:pt idx="0">
                  <c:v>0.38078473505330895</c:v>
                </c:pt>
                <c:pt idx="1">
                  <c:v>0.76165787724483525</c:v>
                </c:pt>
                <c:pt idx="2">
                  <c:v>0.24470027999347746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E88-4E2F-9F0B-5DDC4BE0FC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48176"/>
        <c:axId val="1672052528"/>
      </c:lineChart>
      <c:valAx>
        <c:axId val="1672052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crossAx val="1672048176"/>
        <c:crosses val="max"/>
        <c:crossBetween val="between"/>
      </c:valAx>
      <c:catAx>
        <c:axId val="167204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2528"/>
        <c:crosses val="autoZero"/>
        <c:auto val="1"/>
        <c:lblAlgn val="ctr"/>
        <c:lblOffset val="100"/>
        <c:noMultiLvlLbl val="0"/>
      </c:catAx>
      <c:valAx>
        <c:axId val="1672045456"/>
        <c:scaling>
          <c:orientation val="minMax"/>
          <c:max val="5500000"/>
          <c:min val="0"/>
        </c:scaling>
        <c:delete val="0"/>
        <c:axPos val="l"/>
        <c:numFmt formatCode="#,##0.00_);[Red]\(#,##0.00\)" sourceLinked="1"/>
        <c:majorTickMark val="out"/>
        <c:minorTickMark val="none"/>
        <c:tickLblPos val="nextTo"/>
        <c:crossAx val="1672048720"/>
        <c:crosses val="autoZero"/>
        <c:crossBetween val="between"/>
        <c:majorUnit val="500000"/>
      </c:valAx>
      <c:catAx>
        <c:axId val="167204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545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aseline="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Servicios!$B$11:$B$23</c:f>
              <c:strCache>
                <c:ptCount val="13"/>
                <c:pt idx="0">
                  <c:v>Modificación Datos Críticos</c:v>
                </c:pt>
                <c:pt idx="1">
                  <c:v>Pensión por sobrevivencia</c:v>
                </c:pt>
                <c:pt idx="2">
                  <c:v>Registro de Poderes</c:v>
                </c:pt>
                <c:pt idx="3">
                  <c:v>Solicitud Aplicación/Suspensión de Descuento 2%</c:v>
                </c:pt>
                <c:pt idx="4">
                  <c:v>Solicitud Pago Único Compensatorio</c:v>
                </c:pt>
                <c:pt idx="5">
                  <c:v>Solicitud Pensión</c:v>
                </c:pt>
                <c:pt idx="6">
                  <c:v>Solicitud Reactivación/Re-inclusión Pensión</c:v>
                </c:pt>
                <c:pt idx="7">
                  <c:v>Solicitud Traspaso</c:v>
                </c:pt>
                <c:pt idx="8">
                  <c:v>Solicitud de Exclusión</c:v>
                </c:pt>
                <c:pt idx="9">
                  <c:v>Solicitud de Inclusión a Nómina</c:v>
                </c:pt>
                <c:pt idx="10">
                  <c:v>Solicitud de Reajuste de Pensión</c:v>
                </c:pt>
                <c:pt idx="11">
                  <c:v>Solicitud de Reclamación de Deuda</c:v>
                </c:pt>
                <c:pt idx="12">
                  <c:v>Solicitud de actualización de datos  Pensionados</c:v>
                </c:pt>
              </c:strCache>
            </c:strRef>
          </c:cat>
          <c:val>
            <c:numRef>
              <c:f>Servicios!$L$11:$L$23</c:f>
              <c:numCache>
                <c:formatCode>#,##0</c:formatCode>
                <c:ptCount val="13"/>
                <c:pt idx="0">
                  <c:v>14</c:v>
                </c:pt>
                <c:pt idx="1">
                  <c:v>457</c:v>
                </c:pt>
                <c:pt idx="2">
                  <c:v>19</c:v>
                </c:pt>
                <c:pt idx="3">
                  <c:v>593</c:v>
                </c:pt>
                <c:pt idx="4">
                  <c:v>25</c:v>
                </c:pt>
                <c:pt idx="5">
                  <c:v>346</c:v>
                </c:pt>
                <c:pt idx="6">
                  <c:v>240</c:v>
                </c:pt>
                <c:pt idx="7">
                  <c:v>8</c:v>
                </c:pt>
                <c:pt idx="8">
                  <c:v>1457</c:v>
                </c:pt>
                <c:pt idx="9">
                  <c:v>5969</c:v>
                </c:pt>
                <c:pt idx="10">
                  <c:v>25</c:v>
                </c:pt>
                <c:pt idx="11">
                  <c:v>89</c:v>
                </c:pt>
                <c:pt idx="12">
                  <c:v>12276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C-45A1-A6C8-669D4A3C48EA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Servicios!$B$11:$B$23</c:f>
              <c:strCache>
                <c:ptCount val="13"/>
                <c:pt idx="0">
                  <c:v>Modificación Datos Críticos</c:v>
                </c:pt>
                <c:pt idx="1">
                  <c:v>Pensión por sobrevivencia</c:v>
                </c:pt>
                <c:pt idx="2">
                  <c:v>Registro de Poderes</c:v>
                </c:pt>
                <c:pt idx="3">
                  <c:v>Solicitud Aplicación/Suspensión de Descuento 2%</c:v>
                </c:pt>
                <c:pt idx="4">
                  <c:v>Solicitud Pago Único Compensatorio</c:v>
                </c:pt>
                <c:pt idx="5">
                  <c:v>Solicitud Pensión</c:v>
                </c:pt>
                <c:pt idx="6">
                  <c:v>Solicitud Reactivación/Re-inclusión Pensión</c:v>
                </c:pt>
                <c:pt idx="7">
                  <c:v>Solicitud Traspaso</c:v>
                </c:pt>
                <c:pt idx="8">
                  <c:v>Solicitud de Exclusión</c:v>
                </c:pt>
                <c:pt idx="9">
                  <c:v>Solicitud de Inclusión a Nómina</c:v>
                </c:pt>
                <c:pt idx="10">
                  <c:v>Solicitud de Reajuste de Pensión</c:v>
                </c:pt>
                <c:pt idx="11">
                  <c:v>Solicitud de Reclamación de Deuda</c:v>
                </c:pt>
                <c:pt idx="12">
                  <c:v>Solicitud de actualización de datos  Pensionados</c:v>
                </c:pt>
              </c:strCache>
            </c:strRef>
          </c:cat>
          <c:val>
            <c:numRef>
              <c:f>Servicios!$M$11:$M$23</c:f>
              <c:numCache>
                <c:formatCode>#,##0</c:formatCode>
                <c:ptCount val="13"/>
                <c:pt idx="0">
                  <c:v>13</c:v>
                </c:pt>
                <c:pt idx="1">
                  <c:v>447</c:v>
                </c:pt>
                <c:pt idx="2">
                  <c:v>18</c:v>
                </c:pt>
                <c:pt idx="3">
                  <c:v>587</c:v>
                </c:pt>
                <c:pt idx="4">
                  <c:v>23</c:v>
                </c:pt>
                <c:pt idx="5">
                  <c:v>338</c:v>
                </c:pt>
                <c:pt idx="6">
                  <c:v>237</c:v>
                </c:pt>
                <c:pt idx="7">
                  <c:v>8</c:v>
                </c:pt>
                <c:pt idx="8">
                  <c:v>1440</c:v>
                </c:pt>
                <c:pt idx="9">
                  <c:v>5912</c:v>
                </c:pt>
                <c:pt idx="10">
                  <c:v>25</c:v>
                </c:pt>
                <c:pt idx="11">
                  <c:v>89</c:v>
                </c:pt>
                <c:pt idx="12">
                  <c:v>11949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55248"/>
        <c:axId val="1672041104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Servicios!$B$11:$B$23</c:f>
              <c:strCache>
                <c:ptCount val="13"/>
                <c:pt idx="0">
                  <c:v>Modificación Datos Críticos</c:v>
                </c:pt>
                <c:pt idx="1">
                  <c:v>Pensión por sobrevivencia</c:v>
                </c:pt>
                <c:pt idx="2">
                  <c:v>Registro de Poderes</c:v>
                </c:pt>
                <c:pt idx="3">
                  <c:v>Solicitud Aplicación/Suspensión de Descuento 2%</c:v>
                </c:pt>
                <c:pt idx="4">
                  <c:v>Solicitud Pago Único Compensatorio</c:v>
                </c:pt>
                <c:pt idx="5">
                  <c:v>Solicitud Pensión</c:v>
                </c:pt>
                <c:pt idx="6">
                  <c:v>Solicitud Reactivación/Re-inclusión Pensión</c:v>
                </c:pt>
                <c:pt idx="7">
                  <c:v>Solicitud Traspaso</c:v>
                </c:pt>
                <c:pt idx="8">
                  <c:v>Solicitud de Exclusión</c:v>
                </c:pt>
                <c:pt idx="9">
                  <c:v>Solicitud de Inclusión a Nómina</c:v>
                </c:pt>
                <c:pt idx="10">
                  <c:v>Solicitud de Reajuste de Pensión</c:v>
                </c:pt>
                <c:pt idx="11">
                  <c:v>Solicitud de Reclamación de Deuda</c:v>
                </c:pt>
                <c:pt idx="12">
                  <c:v>Solicitud de actualización de datos  Pensionados</c:v>
                </c:pt>
              </c:strCache>
            </c:strRef>
          </c:cat>
          <c:val>
            <c:numRef>
              <c:f>Servicios!$N$11:$N$23</c:f>
              <c:numCache>
                <c:formatCode>0.00%</c:formatCode>
                <c:ptCount val="13"/>
                <c:pt idx="0">
                  <c:v>0.9285714285714286</c:v>
                </c:pt>
                <c:pt idx="1">
                  <c:v>0.97811816192560175</c:v>
                </c:pt>
                <c:pt idx="2">
                  <c:v>0.94736842105263153</c:v>
                </c:pt>
                <c:pt idx="3">
                  <c:v>0.98988195615514329</c:v>
                </c:pt>
                <c:pt idx="4">
                  <c:v>0.92</c:v>
                </c:pt>
                <c:pt idx="5">
                  <c:v>0.97687861271676302</c:v>
                </c:pt>
                <c:pt idx="6">
                  <c:v>0.98750000000000004</c:v>
                </c:pt>
                <c:pt idx="7">
                  <c:v>1</c:v>
                </c:pt>
                <c:pt idx="8">
                  <c:v>0.98833218943033629</c:v>
                </c:pt>
                <c:pt idx="9">
                  <c:v>0.99045066175238738</c:v>
                </c:pt>
                <c:pt idx="10">
                  <c:v>1</c:v>
                </c:pt>
                <c:pt idx="11">
                  <c:v>1</c:v>
                </c:pt>
                <c:pt idx="12">
                  <c:v>0.97336265884652984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042192"/>
        <c:axId val="1672041648"/>
      </c:lineChart>
      <c:catAx>
        <c:axId val="16720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1104"/>
        <c:crosses val="autoZero"/>
        <c:auto val="1"/>
        <c:lblAlgn val="ctr"/>
        <c:lblOffset val="100"/>
        <c:noMultiLvlLbl val="0"/>
      </c:catAx>
      <c:valAx>
        <c:axId val="1672041104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672055248"/>
        <c:crosses val="autoZero"/>
        <c:crossBetween val="between"/>
      </c:valAx>
      <c:valAx>
        <c:axId val="1672041648"/>
        <c:scaling>
          <c:orientation val="minMax"/>
          <c:max val="1"/>
          <c:min val="0.60000000000000009"/>
        </c:scaling>
        <c:delete val="0"/>
        <c:axPos val="r"/>
        <c:numFmt formatCode="0.00%" sourceLinked="1"/>
        <c:majorTickMark val="out"/>
        <c:minorTickMark val="none"/>
        <c:tickLblPos val="nextTo"/>
        <c:crossAx val="1672042192"/>
        <c:crosses val="max"/>
        <c:crossBetween val="between"/>
        <c:majorUnit val="0.1"/>
        <c:minorUnit val="5.000000000000001E-2"/>
      </c:valAx>
      <c:catAx>
        <c:axId val="167204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1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Servicios!$B$34:$B$52</c:f>
              <c:strCache>
                <c:ptCount val="19"/>
                <c:pt idx="0">
                  <c:v>Solicitud de aplicación de Descuento ADL</c:v>
                </c:pt>
                <c:pt idx="1">
                  <c:v>Solicitud de Suspensión de Descuento SDL</c:v>
                </c:pt>
                <c:pt idx="2">
                  <c:v>Pensión por Sobrevivencia Concubin@</c:v>
                </c:pt>
                <c:pt idx="3">
                  <c:v>Pensión por Sobrevivencia Cónyuge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Pensión por Sobrevivencia Estudiante PN</c:v>
                </c:pt>
                <c:pt idx="7">
                  <c:v>Pensión por Sobrevivencia Hijo Discapacitado PN</c:v>
                </c:pt>
                <c:pt idx="8">
                  <c:v>Reactivación</c:v>
                </c:pt>
                <c:pt idx="9">
                  <c:v>Reembolso - RE</c:v>
                </c:pt>
                <c:pt idx="10">
                  <c:v>Re inclusión</c:v>
                </c:pt>
                <c:pt idx="11">
                  <c:v>Retroactivo </c:v>
                </c:pt>
                <c:pt idx="12">
                  <c:v>Retroactivo Interno</c:v>
                </c:pt>
                <c:pt idx="13">
                  <c:v>Solicitud Inclusión a Nómina</c:v>
                </c:pt>
                <c:pt idx="14">
                  <c:v>Solicitud Modificación Monto Pensión</c:v>
                </c:pt>
                <c:pt idx="15">
                  <c:v>IDSS </c:v>
                </c:pt>
                <c:pt idx="16">
                  <c:v>Convenio España-RD</c:v>
                </c:pt>
                <c:pt idx="17">
                  <c:v>Solicitud de Pensión </c:v>
                </c:pt>
                <c:pt idx="18">
                  <c:v>Reajuste de Pensión</c:v>
                </c:pt>
              </c:strCache>
            </c:strRef>
          </c:cat>
          <c:val>
            <c:numRef>
              <c:f>Servicios!$L$34:$L$52</c:f>
              <c:numCache>
                <c:formatCode>#,##0</c:formatCode>
                <c:ptCount val="19"/>
                <c:pt idx="0">
                  <c:v>12</c:v>
                </c:pt>
                <c:pt idx="1">
                  <c:v>76</c:v>
                </c:pt>
                <c:pt idx="2">
                  <c:v>54</c:v>
                </c:pt>
                <c:pt idx="3">
                  <c:v>323</c:v>
                </c:pt>
                <c:pt idx="4">
                  <c:v>45</c:v>
                </c:pt>
                <c:pt idx="5">
                  <c:v>1</c:v>
                </c:pt>
                <c:pt idx="6">
                  <c:v>10</c:v>
                </c:pt>
                <c:pt idx="7">
                  <c:v>1</c:v>
                </c:pt>
                <c:pt idx="8">
                  <c:v>101</c:v>
                </c:pt>
                <c:pt idx="9">
                  <c:v>14</c:v>
                </c:pt>
                <c:pt idx="10">
                  <c:v>150</c:v>
                </c:pt>
                <c:pt idx="11">
                  <c:v>796</c:v>
                </c:pt>
                <c:pt idx="12">
                  <c:v>388</c:v>
                </c:pt>
                <c:pt idx="13">
                  <c:v>6600</c:v>
                </c:pt>
                <c:pt idx="14">
                  <c:v>479</c:v>
                </c:pt>
                <c:pt idx="15">
                  <c:v>2771</c:v>
                </c:pt>
                <c:pt idx="16">
                  <c:v>2</c:v>
                </c:pt>
                <c:pt idx="17">
                  <c:v>767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EA1-A621-3A7FC20B75EF}"/>
            </c:ext>
          </c:extLst>
        </c:ser>
        <c:ser>
          <c:idx val="22"/>
          <c:order val="1"/>
          <c:tx>
            <c:strRef>
              <c:f>Servicios!$M$10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Servicios!$B$34:$B$52</c:f>
              <c:strCache>
                <c:ptCount val="19"/>
                <c:pt idx="0">
                  <c:v>Solicitud de aplicación de Descuento ADL</c:v>
                </c:pt>
                <c:pt idx="1">
                  <c:v>Solicitud de Suspensión de Descuento SDL</c:v>
                </c:pt>
                <c:pt idx="2">
                  <c:v>Pensión por Sobrevivencia Concubin@</c:v>
                </c:pt>
                <c:pt idx="3">
                  <c:v>Pensión por Sobrevivencia Cónyuge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Pensión por Sobrevivencia Estudiante PN</c:v>
                </c:pt>
                <c:pt idx="7">
                  <c:v>Pensión por Sobrevivencia Hijo Discapacitado PN</c:v>
                </c:pt>
                <c:pt idx="8">
                  <c:v>Reactivación</c:v>
                </c:pt>
                <c:pt idx="9">
                  <c:v>Reembolso - RE</c:v>
                </c:pt>
                <c:pt idx="10">
                  <c:v>Re inclusión</c:v>
                </c:pt>
                <c:pt idx="11">
                  <c:v>Retroactivo </c:v>
                </c:pt>
                <c:pt idx="12">
                  <c:v>Retroactivo Interno</c:v>
                </c:pt>
                <c:pt idx="13">
                  <c:v>Solicitud Inclusión a Nómina</c:v>
                </c:pt>
                <c:pt idx="14">
                  <c:v>Solicitud Modificación Monto Pensión</c:v>
                </c:pt>
                <c:pt idx="15">
                  <c:v>IDSS </c:v>
                </c:pt>
                <c:pt idx="16">
                  <c:v>Convenio España-RD</c:v>
                </c:pt>
                <c:pt idx="17">
                  <c:v>Solicitud de Pensión </c:v>
                </c:pt>
                <c:pt idx="18">
                  <c:v>Reajuste de Pensión</c:v>
                </c:pt>
              </c:strCache>
            </c:strRef>
          </c:cat>
          <c:val>
            <c:numRef>
              <c:f>Servicios!$M$34:$M$52</c:f>
              <c:numCache>
                <c:formatCode>#,##0</c:formatCode>
                <c:ptCount val="19"/>
                <c:pt idx="0">
                  <c:v>12</c:v>
                </c:pt>
                <c:pt idx="1">
                  <c:v>76</c:v>
                </c:pt>
                <c:pt idx="2">
                  <c:v>51</c:v>
                </c:pt>
                <c:pt idx="3">
                  <c:v>318</c:v>
                </c:pt>
                <c:pt idx="4">
                  <c:v>45</c:v>
                </c:pt>
                <c:pt idx="5">
                  <c:v>1</c:v>
                </c:pt>
                <c:pt idx="6">
                  <c:v>10</c:v>
                </c:pt>
                <c:pt idx="7">
                  <c:v>1</c:v>
                </c:pt>
                <c:pt idx="8">
                  <c:v>50</c:v>
                </c:pt>
                <c:pt idx="9">
                  <c:v>10</c:v>
                </c:pt>
                <c:pt idx="10">
                  <c:v>110</c:v>
                </c:pt>
                <c:pt idx="11">
                  <c:v>763</c:v>
                </c:pt>
                <c:pt idx="12">
                  <c:v>353</c:v>
                </c:pt>
                <c:pt idx="13">
                  <c:v>4814</c:v>
                </c:pt>
                <c:pt idx="14">
                  <c:v>479</c:v>
                </c:pt>
                <c:pt idx="15">
                  <c:v>2771</c:v>
                </c:pt>
                <c:pt idx="16">
                  <c:v>2</c:v>
                </c:pt>
                <c:pt idx="17">
                  <c:v>578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43824"/>
        <c:axId val="1672044368"/>
      </c:barChart>
      <c:lineChart>
        <c:grouping val="standard"/>
        <c:varyColors val="0"/>
        <c:ser>
          <c:idx val="23"/>
          <c:order val="2"/>
          <c:tx>
            <c:strRef>
              <c:f>Servicios!$N$10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Servicios!$B$34:$B$52</c:f>
              <c:strCache>
                <c:ptCount val="19"/>
                <c:pt idx="0">
                  <c:v>Solicitud de aplicación de Descuento ADL</c:v>
                </c:pt>
                <c:pt idx="1">
                  <c:v>Solicitud de Suspensión de Descuento SDL</c:v>
                </c:pt>
                <c:pt idx="2">
                  <c:v>Pensión por Sobrevivencia Concubin@</c:v>
                </c:pt>
                <c:pt idx="3">
                  <c:v>Pensión por Sobrevivencia Cónyuge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Pensión por Sobrevivencia Estudiante PN</c:v>
                </c:pt>
                <c:pt idx="7">
                  <c:v>Pensión por Sobrevivencia Hijo Discapacitado PN</c:v>
                </c:pt>
                <c:pt idx="8">
                  <c:v>Reactivación</c:v>
                </c:pt>
                <c:pt idx="9">
                  <c:v>Reembolso - RE</c:v>
                </c:pt>
                <c:pt idx="10">
                  <c:v>Re inclusión</c:v>
                </c:pt>
                <c:pt idx="11">
                  <c:v>Retroactivo </c:v>
                </c:pt>
                <c:pt idx="12">
                  <c:v>Retroactivo Interno</c:v>
                </c:pt>
                <c:pt idx="13">
                  <c:v>Solicitud Inclusión a Nómina</c:v>
                </c:pt>
                <c:pt idx="14">
                  <c:v>Solicitud Modificación Monto Pensión</c:v>
                </c:pt>
                <c:pt idx="15">
                  <c:v>IDSS </c:v>
                </c:pt>
                <c:pt idx="16">
                  <c:v>Convenio España-RD</c:v>
                </c:pt>
                <c:pt idx="17">
                  <c:v>Solicitud de Pensión </c:v>
                </c:pt>
                <c:pt idx="18">
                  <c:v>Reajuste de Pensión</c:v>
                </c:pt>
              </c:strCache>
            </c:strRef>
          </c:cat>
          <c:val>
            <c:numRef>
              <c:f>Servicios!$N$34:$N$52</c:f>
              <c:numCache>
                <c:formatCode>0%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0.94444444444444442</c:v>
                </c:pt>
                <c:pt idx="3">
                  <c:v>0.98452012383900933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0.49504950495049505</c:v>
                </c:pt>
                <c:pt idx="9">
                  <c:v>0.7142857142857143</c:v>
                </c:pt>
                <c:pt idx="10">
                  <c:v>0.73333333333333328</c:v>
                </c:pt>
                <c:pt idx="11">
                  <c:v>0.95854271356783916</c:v>
                </c:pt>
                <c:pt idx="12">
                  <c:v>0.90979381443298968</c:v>
                </c:pt>
                <c:pt idx="13">
                  <c:v>0.72939393939393937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0.75358539765319421</c:v>
                </c:pt>
                <c:pt idx="18">
                  <c:v>0.76923076923076927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377216"/>
        <c:axId val="1672046544"/>
      </c:lineChart>
      <c:catAx>
        <c:axId val="167204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4368"/>
        <c:crosses val="autoZero"/>
        <c:auto val="1"/>
        <c:lblAlgn val="ctr"/>
        <c:lblOffset val="100"/>
        <c:noMultiLvlLbl val="0"/>
      </c:catAx>
      <c:valAx>
        <c:axId val="1672044368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672043824"/>
        <c:crosses val="autoZero"/>
        <c:crossBetween val="between"/>
        <c:majorUnit val="10"/>
      </c:valAx>
      <c:valAx>
        <c:axId val="1672046544"/>
        <c:scaling>
          <c:orientation val="minMax"/>
          <c:max val="1.1000000000000001"/>
        </c:scaling>
        <c:delete val="0"/>
        <c:axPos val="r"/>
        <c:numFmt formatCode="0.00%" sourceLinked="0"/>
        <c:majorTickMark val="out"/>
        <c:minorTickMark val="none"/>
        <c:tickLblPos val="nextTo"/>
        <c:crossAx val="1672377216"/>
        <c:crosses val="max"/>
        <c:crossBetween val="between"/>
        <c:majorUnit val="0.2"/>
      </c:valAx>
      <c:catAx>
        <c:axId val="167237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6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accent1"/>
                </a:solidFill>
              </a:rPr>
              <a:t>Afiliados Policía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Cotizantes'!$H$6</c:f>
              <c:strCache>
                <c:ptCount val="1"/>
                <c:pt idx="0">
                  <c:v>Afiliados Policía Nacional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'Afiliados y Cotizantes'!$B$11:$B$13</c:f>
            </c:multiLvlStrRef>
          </c:cat>
          <c:val>
            <c:numRef>
              <c:f>'Afiliados y Cotizantes'!$H$11:$H$13</c:f>
            </c:numRef>
          </c:val>
          <c:extLst>
            <c:ext xmlns:c16="http://schemas.microsoft.com/office/drawing/2014/chart" uri="{C3380CC4-5D6E-409C-BE32-E72D297353CC}">
              <c16:uniqueId val="{00000000-7C7C-4C5D-AA0A-07EE66F30F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09055728"/>
        <c:axId val="509058352"/>
      </c:barChart>
      <c:catAx>
        <c:axId val="50905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9058352"/>
        <c:crosses val="autoZero"/>
        <c:auto val="1"/>
        <c:lblAlgn val="ctr"/>
        <c:lblOffset val="100"/>
        <c:noMultiLvlLbl val="0"/>
      </c:catAx>
      <c:valAx>
        <c:axId val="509058352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50905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Servicios!$L$65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Servicios!$B$66:$B$69</c:f>
              <c:strCache>
                <c:ptCount val="4"/>
                <c:pt idx="0">
                  <c:v>Sobrevivencia Civil</c:v>
                </c:pt>
                <c:pt idx="1">
                  <c:v>Sobrevivencia Policía Nacional</c:v>
                </c:pt>
                <c:pt idx="2">
                  <c:v>Discapacidad Civil</c:v>
                </c:pt>
                <c:pt idx="3">
                  <c:v>Discapacidad Policía Nacional</c:v>
                </c:pt>
              </c:strCache>
            </c:strRef>
          </c:cat>
          <c:val>
            <c:numRef>
              <c:f>Servicios!$L$66:$L$69</c:f>
              <c:numCache>
                <c:formatCode>#,##0</c:formatCode>
                <c:ptCount val="4"/>
                <c:pt idx="0">
                  <c:v>16</c:v>
                </c:pt>
                <c:pt idx="1">
                  <c:v>20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A-4E09-8178-945075FB79EC}"/>
            </c:ext>
          </c:extLst>
        </c:ser>
        <c:ser>
          <c:idx val="22"/>
          <c:order val="1"/>
          <c:tx>
            <c:strRef>
              <c:f>Servicios!$M$65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Servicios!$B$66:$B$69</c:f>
              <c:strCache>
                <c:ptCount val="4"/>
                <c:pt idx="0">
                  <c:v>Sobrevivencia Civil</c:v>
                </c:pt>
                <c:pt idx="1">
                  <c:v>Sobrevivencia Policía Nacional</c:v>
                </c:pt>
                <c:pt idx="2">
                  <c:v>Discapacidad Civil</c:v>
                </c:pt>
                <c:pt idx="3">
                  <c:v>Discapacidad Policía Nacional</c:v>
                </c:pt>
              </c:strCache>
            </c:strRef>
          </c:cat>
          <c:val>
            <c:numRef>
              <c:f>Servicios!$M$66:$M$69</c:f>
              <c:numCache>
                <c:formatCode>#,##0</c:formatCode>
                <c:ptCount val="4"/>
                <c:pt idx="0">
                  <c:v>18</c:v>
                </c:pt>
                <c:pt idx="1">
                  <c:v>10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E09-8178-945075FB7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2055248"/>
        <c:axId val="1672041104"/>
      </c:barChart>
      <c:catAx>
        <c:axId val="16720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1104"/>
        <c:crosses val="autoZero"/>
        <c:auto val="1"/>
        <c:lblAlgn val="ctr"/>
        <c:lblOffset val="100"/>
        <c:noMultiLvlLbl val="0"/>
      </c:catAx>
      <c:valAx>
        <c:axId val="1672041104"/>
        <c:scaling>
          <c:orientation val="minMax"/>
          <c:max val="3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672055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39987585362427"/>
          <c:y val="6.3241422274927642E-2"/>
          <c:w val="0.74158639446284524"/>
          <c:h val="0.65688157830410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Cotizantes'!$C$6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9749986219490579E-3"/>
                  <c:y val="0.49591560394925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31-4DD5-A172-124F91BB1E3C}"/>
                </c:ext>
              </c:extLst>
            </c:dLbl>
            <c:dLbl>
              <c:idx val="1"/>
              <c:layout>
                <c:manualLayout>
                  <c:x val="4.098818268291683E-4"/>
                  <c:y val="0.488949278856180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31-4DD5-A172-124F91BB1E3C}"/>
                </c:ext>
              </c:extLst>
            </c:dLbl>
            <c:dLbl>
              <c:idx val="2"/>
              <c:layout>
                <c:manualLayout>
                  <c:x val="-2.9916662073163434E-3"/>
                  <c:y val="0.49524866309081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31-4DD5-A172-124F91BB1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Cotizantes'!$B$7:$B$9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'Afiliados y Cotizantes'!$C$7:$C$9</c:f>
              <c:numCache>
                <c:formatCode>_(* #,##0_);_(* \(#,##0\);_(* "-"??_);_(@_)</c:formatCode>
                <c:ptCount val="3"/>
                <c:pt idx="0">
                  <c:v>93533</c:v>
                </c:pt>
                <c:pt idx="1">
                  <c:v>93537</c:v>
                </c:pt>
                <c:pt idx="2">
                  <c:v>93547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31-4DD5-A172-124F91BB1E3C}"/>
            </c:ext>
          </c:extLst>
        </c:ser>
        <c:ser>
          <c:idx val="1"/>
          <c:order val="1"/>
          <c:tx>
            <c:strRef>
              <c:f>'Afiliados y Cotizantes'!$D$6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75772127423728E-3"/>
                  <c:y val="0.2221491642159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31-4DD5-A172-124F91BB1E3C}"/>
                </c:ext>
              </c:extLst>
            </c:dLbl>
            <c:dLbl>
              <c:idx val="1"/>
              <c:layout>
                <c:manualLayout>
                  <c:x val="0"/>
                  <c:y val="0.211532829233089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sz="1050" b="0" baseline="0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31-4DD5-A172-124F91BB1E3C}"/>
                </c:ext>
              </c:extLst>
            </c:dLbl>
            <c:dLbl>
              <c:idx val="2"/>
              <c:layout>
                <c:manualLayout>
                  <c:x val="2.5860245373163326E-3"/>
                  <c:y val="0.200431201709019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31-4DD5-A172-124F91BB1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Cotizantes'!$B$7:$B$9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'Afiliados y Cotizantes'!$D$7:$D$9</c:f>
              <c:numCache>
                <c:formatCode>_(* #,##0_);_(* \(#,##0\);_(* "-"??_);_(@_)</c:formatCode>
                <c:ptCount val="3"/>
                <c:pt idx="0">
                  <c:v>27668</c:v>
                </c:pt>
                <c:pt idx="1">
                  <c:v>27742</c:v>
                </c:pt>
                <c:pt idx="2">
                  <c:v>27907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31-4DD5-A172-124F91BB1E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71600"/>
        <c:axId val="1578260720"/>
      </c:barChart>
      <c:lineChart>
        <c:grouping val="standard"/>
        <c:varyColors val="0"/>
        <c:ser>
          <c:idx val="2"/>
          <c:order val="2"/>
          <c:tx>
            <c:strRef>
              <c:f>'Afiliados y Cotizantes'!$E$6</c:f>
              <c:strCache>
                <c:ptCount val="1"/>
                <c:pt idx="0">
                  <c:v>%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623098054547568E-2"/>
                  <c:y val="-0.115666920675301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31-4DD5-A172-124F91BB1E3C}"/>
                </c:ext>
              </c:extLst>
            </c:dLbl>
            <c:dLbl>
              <c:idx val="1"/>
              <c:layout>
                <c:manualLayout>
                  <c:x val="-5.013923645073378E-2"/>
                  <c:y val="-9.095288222057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31-4DD5-A172-124F91BB1E3C}"/>
                </c:ext>
              </c:extLst>
            </c:dLbl>
            <c:dLbl>
              <c:idx val="2"/>
              <c:layout>
                <c:manualLayout>
                  <c:x val="-4.6592811832957659E-2"/>
                  <c:y val="-7.63855842101415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47766387117218E-2"/>
                      <c:h val="0.1720519038761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A831-4DD5-A172-124F91BB1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Cotizantes'!$B$7:$B$9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'Afiliados y Cotizantes'!$E$7:$E$9</c:f>
              <c:numCache>
                <c:formatCode>0%</c:formatCode>
                <c:ptCount val="3"/>
                <c:pt idx="0">
                  <c:v>0.2958100349609229</c:v>
                </c:pt>
                <c:pt idx="1">
                  <c:v>0.29658851577450634</c:v>
                </c:pt>
                <c:pt idx="2">
                  <c:v>0.29832063027141437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31-4DD5-A172-124F91BB1E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62352"/>
        <c:axId val="1578258544"/>
      </c:lineChart>
      <c:catAx>
        <c:axId val="157827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0720"/>
        <c:crosses val="autoZero"/>
        <c:auto val="1"/>
        <c:lblAlgn val="ctr"/>
        <c:lblOffset val="100"/>
        <c:noMultiLvlLbl val="0"/>
      </c:catAx>
      <c:valAx>
        <c:axId val="157826072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578271600"/>
        <c:crosses val="autoZero"/>
        <c:crossBetween val="between"/>
      </c:valAx>
      <c:valAx>
        <c:axId val="1578258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62352"/>
        <c:crosses val="max"/>
        <c:crossBetween val="between"/>
      </c:valAx>
      <c:catAx>
        <c:axId val="157826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58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4892115814746"/>
          <c:y val="0.11479713174635285"/>
          <c:w val="0.78893118039654453"/>
          <c:h val="0.65586379419781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Cotizantes'!$C$6</c:f>
              <c:strCache>
                <c:ptCount val="1"/>
                <c:pt idx="0">
                  <c:v>Afiliados al Sistema de Reparto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7176332025445854E-3"/>
                  <c:y val="0.519397127250657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2E-43E1-B9A8-BA03370DCA78}"/>
                </c:ext>
              </c:extLst>
            </c:dLbl>
            <c:dLbl>
              <c:idx val="1"/>
              <c:layout>
                <c:manualLayout>
                  <c:x val="-1.3588166012722802E-4"/>
                  <c:y val="0.50088160586238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2E-43E1-B9A8-BA03370DCA78}"/>
                </c:ext>
              </c:extLst>
            </c:dLbl>
            <c:dLbl>
              <c:idx val="2"/>
              <c:layout>
                <c:manualLayout>
                  <c:x val="-5.1633404454622094E-3"/>
                  <c:y val="0.4781602658434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2E-43E1-B9A8-BA03370DCA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Cotizantes'!$B$7:$B$9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'Afiliados y Cotizantes'!$C$7:$C$9</c:f>
              <c:numCache>
                <c:formatCode>_(* #,##0_);_(* \(#,##0\);_(* "-"??_);_(@_)</c:formatCode>
                <c:ptCount val="3"/>
                <c:pt idx="0">
                  <c:v>93533</c:v>
                </c:pt>
                <c:pt idx="1">
                  <c:v>93537</c:v>
                </c:pt>
                <c:pt idx="2">
                  <c:v>93547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2E-43E1-B9A8-BA03370DCA78}"/>
            </c:ext>
          </c:extLst>
        </c:ser>
        <c:ser>
          <c:idx val="1"/>
          <c:order val="1"/>
          <c:tx>
            <c:strRef>
              <c:f>'Afiliados y Cotizantes'!$G$6</c:f>
              <c:strCache>
                <c:ptCount val="1"/>
                <c:pt idx="0">
                  <c:v>% No 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633404454621149E-3"/>
                  <c:y val="0.39397900754344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2E-43E1-B9A8-BA03370DCA78}"/>
                </c:ext>
              </c:extLst>
            </c:dLbl>
            <c:dLbl>
              <c:idx val="1"/>
              <c:layout>
                <c:manualLayout>
                  <c:x val="2.5816702227310574E-3"/>
                  <c:y val="0.39403018411963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2E-43E1-B9A8-BA03370DCA78}"/>
                </c:ext>
              </c:extLst>
            </c:dLbl>
            <c:dLbl>
              <c:idx val="2"/>
              <c:layout>
                <c:manualLayout>
                  <c:x val="-2.5816702227310574E-3"/>
                  <c:y val="0.39379964773681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2E-43E1-B9A8-BA03370DCA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'Afiliados y Cotizantes'!$B$7:$B$9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'Afiliados y Cotizantes'!$F$7:$F$9</c:f>
              <c:numCache>
                <c:formatCode>_(* #,##0_);_(* \(#,##0\);_(* "-"??_);_(@_)</c:formatCode>
                <c:ptCount val="3"/>
                <c:pt idx="0">
                  <c:v>65865</c:v>
                </c:pt>
                <c:pt idx="1">
                  <c:v>65795</c:v>
                </c:pt>
                <c:pt idx="2">
                  <c:v>65640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2E-43E1-B9A8-BA03370D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70560"/>
        <c:axId val="1667758048"/>
      </c:barChart>
      <c:lineChart>
        <c:grouping val="standard"/>
        <c:varyColors val="0"/>
        <c:ser>
          <c:idx val="2"/>
          <c:order val="2"/>
          <c:tx>
            <c:strRef>
              <c:f>'Afiliados y Cotizantes'!$G$6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2097704691276893E-2"/>
                  <c:y val="-0.11590711893362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2E-43E1-B9A8-BA03370DCA78}"/>
                </c:ext>
              </c:extLst>
            </c:dLbl>
            <c:dLbl>
              <c:idx val="1"/>
              <c:layout>
                <c:manualLayout>
                  <c:x val="-5.6116985763881758E-2"/>
                  <c:y val="-0.47370512734057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2E-43E1-B9A8-BA03370DCA78}"/>
                </c:ext>
              </c:extLst>
            </c:dLbl>
            <c:dLbl>
              <c:idx val="2"/>
              <c:layout>
                <c:manualLayout>
                  <c:x val="-4.3888492299896699E-2"/>
                  <c:y val="-0.142966259806235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2E-43E1-B9A8-BA03370DCA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Cotizantes'!$B$7:$B$9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'Afiliados y Cotizantes'!$G$7:$G$9</c:f>
              <c:numCache>
                <c:formatCode>0%</c:formatCode>
                <c:ptCount val="3"/>
                <c:pt idx="0">
                  <c:v>0.70418996503907716</c:v>
                </c:pt>
                <c:pt idx="1">
                  <c:v>0.7034114842254936</c:v>
                </c:pt>
                <c:pt idx="2">
                  <c:v>0.70167936972858558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2E-43E1-B9A8-BA03370D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6752"/>
        <c:axId val="1667762944"/>
      </c:lineChart>
      <c:catAx>
        <c:axId val="16677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58048"/>
        <c:crosses val="autoZero"/>
        <c:auto val="1"/>
        <c:lblAlgn val="ctr"/>
        <c:lblOffset val="100"/>
        <c:noMultiLvlLbl val="0"/>
      </c:catAx>
      <c:valAx>
        <c:axId val="16677580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DO"/>
          </a:p>
        </c:txPr>
        <c:crossAx val="1667770560"/>
        <c:crosses val="autoZero"/>
        <c:crossBetween val="between"/>
      </c:valAx>
      <c:valAx>
        <c:axId val="1667762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DO"/>
          </a:p>
        </c:txPr>
        <c:crossAx val="1667766752"/>
        <c:crosses val="max"/>
        <c:crossBetween val="between"/>
      </c:valAx>
      <c:catAx>
        <c:axId val="166776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29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accent1"/>
                </a:solidFill>
              </a:rPr>
              <a:t>Afiliados Policía Nacional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2158035646521756E-2"/>
          <c:y val="0.15470529868772639"/>
          <c:w val="0.93906540197206523"/>
          <c:h val="0.729362199247099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'Afiliados y Cotizantes'!$H$6</c:f>
              <c:strCache>
                <c:ptCount val="1"/>
                <c:pt idx="0">
                  <c:v>Afiliados Policía Nacional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'Afiliados y Cotizantes'!$B$7:$B$9</c:f>
              <c:strCache>
                <c:ptCount val="3"/>
                <c:pt idx="0">
                  <c:v>Septiembre</c:v>
                </c:pt>
                <c:pt idx="1">
                  <c:v>Agosto</c:v>
                </c:pt>
                <c:pt idx="2">
                  <c:v>Julio </c:v>
                </c:pt>
              </c:strCache>
            </c:strRef>
          </c:cat>
          <c:val>
            <c:numRef>
              <c:f>'Afiliados y Cotizantes'!$H$7:$H$9</c:f>
              <c:numCache>
                <c:formatCode>_(* #,##0_);_(* \(#,##0\);_(* "-"??_);_(@_)</c:formatCode>
                <c:ptCount val="3"/>
                <c:pt idx="0">
                  <c:v>54839</c:v>
                </c:pt>
                <c:pt idx="1">
                  <c:v>54824</c:v>
                </c:pt>
                <c:pt idx="2">
                  <c:v>54684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5-460B-884F-92E62973385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09055728"/>
        <c:axId val="509058352"/>
      </c:barChart>
      <c:catAx>
        <c:axId val="50905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509058352"/>
        <c:crosses val="autoZero"/>
        <c:auto val="1"/>
        <c:lblAlgn val="ctr"/>
        <c:lblOffset val="100"/>
        <c:noMultiLvlLbl val="0"/>
      </c:catAx>
      <c:valAx>
        <c:axId val="509058352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50905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>
                  <a:shade val="7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8DE-4B70-BA73-C7C07DE8AF7D}"/>
              </c:ext>
            </c:extLst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8DE-4B70-BA73-C7C07DE8AF7D}"/>
              </c:ext>
            </c:extLst>
          </c:dPt>
          <c:dLbls>
            <c:dLbl>
              <c:idx val="0"/>
              <c:layout>
                <c:manualLayout>
                  <c:x val="-1.1111111111111212E-2"/>
                  <c:y val="1.85185185185185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5ADBC7-5411-4290-B943-6C66BE3523E4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endParaRPr lang="en-US">
                      <a:solidFill>
                        <a:schemeClr val="tx1"/>
                      </a:solidFill>
                    </a:endParaRP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30%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8DE-4B70-BA73-C7C07DE8AF7D}"/>
                </c:ext>
              </c:extLst>
            </c:dLbl>
            <c:dLbl>
              <c:idx val="1"/>
              <c:layout>
                <c:manualLayout>
                  <c:x val="0"/>
                  <c:y val="-0.50462962962962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CB9E1A-261F-454E-8E34-7C39B60AE95C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endParaRPr lang="en-US">
                      <a:solidFill>
                        <a:schemeClr val="tx1"/>
                      </a:solidFill>
                    </a:endParaRP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70%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37510936132984"/>
                      <c:h val="0.144467774861475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8DE-4B70-BA73-C7C07DE8A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'Afiliados y Cotizantes'!$C$61:$C$62</c:f>
              <c:strCache>
                <c:ptCount val="2"/>
                <c:pt idx="0">
                  <c:v>Cotizantes</c:v>
                </c:pt>
                <c:pt idx="1">
                  <c:v>No Cotizantes</c:v>
                </c:pt>
              </c:strCache>
            </c:strRef>
          </c:cat>
          <c:val>
            <c:numRef>
              <c:f>'Afiliados y Cotizantes'!$D$61:$D$62</c:f>
              <c:numCache>
                <c:formatCode>0%</c:formatCode>
                <c:ptCount val="2"/>
                <c:pt idx="0">
                  <c:v>0.3</c:v>
                </c:pt>
                <c:pt idx="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E-4B70-BA73-C7C07DE8AF7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chart" Target="../charts/chart17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chart" Target="../charts/chart21.xml"/><Relationship Id="rId4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5.xml"/><Relationship Id="rId7" Type="http://schemas.openxmlformats.org/officeDocument/2006/relationships/chart" Target="../charts/chart27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6.xml"/><Relationship Id="rId5" Type="http://schemas.openxmlformats.org/officeDocument/2006/relationships/image" Target="../media/image3.png"/><Relationship Id="rId10" Type="http://schemas.openxmlformats.org/officeDocument/2006/relationships/chart" Target="../charts/chart30.xml"/><Relationship Id="rId4" Type="http://schemas.openxmlformats.org/officeDocument/2006/relationships/image" Target="../media/image1.png"/><Relationship Id="rId9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image" Target="../media/image1.png"/><Relationship Id="rId1" Type="http://schemas.openxmlformats.org/officeDocument/2006/relationships/chart" Target="../charts/chart33.xml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image" Target="../media/image1.png"/><Relationship Id="rId1" Type="http://schemas.openxmlformats.org/officeDocument/2006/relationships/image" Target="../media/image6.png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Relationship Id="rId9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4" Type="http://schemas.openxmlformats.org/officeDocument/2006/relationships/chart" Target="../charts/chart4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4.xml"/><Relationship Id="rId7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image" Target="../media/image3.png"/><Relationship Id="rId9" Type="http://schemas.openxmlformats.org/officeDocument/2006/relationships/chart" Target="../charts/chart9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5" Type="http://schemas.openxmlformats.org/officeDocument/2006/relationships/chart" Target="../charts/chart50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5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674810</xdr:colOff>
      <xdr:row>54</xdr:row>
      <xdr:rowOff>155331</xdr:rowOff>
    </xdr:from>
    <xdr:to>
      <xdr:col>6</xdr:col>
      <xdr:colOff>253512</xdr:colOff>
      <xdr:row>71</xdr:row>
      <xdr:rowOff>23447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293585</xdr:colOff>
      <xdr:row>1</xdr:row>
      <xdr:rowOff>43961</xdr:rowOff>
    </xdr:from>
    <xdr:to>
      <xdr:col>2</xdr:col>
      <xdr:colOff>352391</xdr:colOff>
      <xdr:row>4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585" y="234461"/>
          <a:ext cx="850114" cy="534866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1</xdr:row>
      <xdr:rowOff>19050</xdr:rowOff>
    </xdr:from>
    <xdr:to>
      <xdr:col>7</xdr:col>
      <xdr:colOff>293203</xdr:colOff>
      <xdr:row>4</xdr:row>
      <xdr:rowOff>9525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209550"/>
          <a:ext cx="1657350" cy="561975"/>
        </a:xfrm>
        <a:prstGeom prst="rect">
          <a:avLst/>
        </a:prstGeom>
      </xdr:spPr>
    </xdr:pic>
    <xdr:clientData/>
  </xdr:twoCellAnchor>
  <xdr:twoCellAnchor>
    <xdr:from>
      <xdr:col>2</xdr:col>
      <xdr:colOff>654682</xdr:colOff>
      <xdr:row>33</xdr:row>
      <xdr:rowOff>147832</xdr:rowOff>
    </xdr:from>
    <xdr:to>
      <xdr:col>4</xdr:col>
      <xdr:colOff>19825</xdr:colOff>
      <xdr:row>35</xdr:row>
      <xdr:rowOff>15947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505F560-0670-97A6-6B39-0A52AC835241}"/>
            </a:ext>
          </a:extLst>
        </xdr:cNvPr>
        <xdr:cNvSpPr txBox="1"/>
      </xdr:nvSpPr>
      <xdr:spPr>
        <a:xfrm>
          <a:off x="1920947" y="2557097"/>
          <a:ext cx="1852849" cy="2491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Programado vs Ejecutado</a:t>
          </a:r>
          <a:endParaRPr lang="es-DO">
            <a:solidFill>
              <a:schemeClr val="accent1"/>
            </a:solidFill>
            <a:effectLst/>
          </a:endParaRPr>
        </a:p>
        <a:p>
          <a:endParaRPr lang="es-DO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0</xdr:col>
      <xdr:colOff>455381</xdr:colOff>
      <xdr:row>35</xdr:row>
      <xdr:rowOff>29297</xdr:rowOff>
    </xdr:from>
    <xdr:to>
      <xdr:col>5</xdr:col>
      <xdr:colOff>547967</xdr:colOff>
      <xdr:row>51</xdr:row>
      <xdr:rowOff>87913</xdr:rowOff>
    </xdr:to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1A0C5000-25F2-4CD1-AB0A-115A5C00C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282575</xdr:colOff>
      <xdr:row>48</xdr:row>
      <xdr:rowOff>7082</xdr:rowOff>
    </xdr:from>
    <xdr:to>
      <xdr:col>2</xdr:col>
      <xdr:colOff>1155700</xdr:colOff>
      <xdr:row>61</xdr:row>
      <xdr:rowOff>58614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236294</xdr:colOff>
      <xdr:row>2</xdr:row>
      <xdr:rowOff>28696</xdr:rowOff>
    </xdr:from>
    <xdr:to>
      <xdr:col>0</xdr:col>
      <xdr:colOff>815121</xdr:colOff>
      <xdr:row>4</xdr:row>
      <xdr:rowOff>11876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294" y="409696"/>
          <a:ext cx="578827" cy="364180"/>
        </a:xfrm>
        <a:prstGeom prst="rect">
          <a:avLst/>
        </a:prstGeom>
      </xdr:spPr>
    </xdr:pic>
    <xdr:clientData/>
  </xdr:twoCellAnchor>
  <xdr:twoCellAnchor editAs="oneCell">
    <xdr:from>
      <xdr:col>2</xdr:col>
      <xdr:colOff>1356093</xdr:colOff>
      <xdr:row>1</xdr:row>
      <xdr:rowOff>134327</xdr:rowOff>
    </xdr:from>
    <xdr:to>
      <xdr:col>4</xdr:col>
      <xdr:colOff>145194</xdr:colOff>
      <xdr:row>3</xdr:row>
      <xdr:rowOff>163499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656" y="324827"/>
          <a:ext cx="1646601" cy="410172"/>
        </a:xfrm>
        <a:prstGeom prst="rect">
          <a:avLst/>
        </a:prstGeom>
      </xdr:spPr>
    </xdr:pic>
    <xdr:clientData/>
  </xdr:twoCellAnchor>
  <xdr:twoCellAnchor>
    <xdr:from>
      <xdr:col>3</xdr:col>
      <xdr:colOff>433387</xdr:colOff>
      <xdr:row>48</xdr:row>
      <xdr:rowOff>103188</xdr:rowOff>
    </xdr:from>
    <xdr:to>
      <xdr:col>8</xdr:col>
      <xdr:colOff>652462</xdr:colOff>
      <xdr:row>61</xdr:row>
      <xdr:rowOff>165101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7BBF88E-78EE-4615-A07B-EE21FD664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343442</xdr:colOff>
      <xdr:row>32</xdr:row>
      <xdr:rowOff>0</xdr:rowOff>
    </xdr:from>
    <xdr:to>
      <xdr:col>2</xdr:col>
      <xdr:colOff>1216567</xdr:colOff>
      <xdr:row>45</xdr:row>
      <xdr:rowOff>51532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E1E93BF7-7D2F-4596-A762-57483736C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468149</xdr:colOff>
      <xdr:row>33</xdr:row>
      <xdr:rowOff>10948</xdr:rowOff>
    </xdr:from>
    <xdr:to>
      <xdr:col>8</xdr:col>
      <xdr:colOff>687224</xdr:colOff>
      <xdr:row>62</xdr:row>
      <xdr:rowOff>82386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4A3A4F3-3E2E-4230-9973-1A8352DD6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668032</xdr:colOff>
      <xdr:row>56</xdr:row>
      <xdr:rowOff>148168</xdr:rowOff>
    </xdr:from>
    <xdr:to>
      <xdr:col>8</xdr:col>
      <xdr:colOff>12854</xdr:colOff>
      <xdr:row>76</xdr:row>
      <xdr:rowOff>80432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301325</xdr:colOff>
      <xdr:row>1</xdr:row>
      <xdr:rowOff>109903</xdr:rowOff>
    </xdr:from>
    <xdr:to>
      <xdr:col>2</xdr:col>
      <xdr:colOff>329514</xdr:colOff>
      <xdr:row>4</xdr:row>
      <xdr:rowOff>58615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25" y="300403"/>
          <a:ext cx="826824" cy="520212"/>
        </a:xfrm>
        <a:prstGeom prst="rect">
          <a:avLst/>
        </a:prstGeom>
      </xdr:spPr>
    </xdr:pic>
    <xdr:clientData/>
  </xdr:twoCellAnchor>
  <xdr:twoCellAnchor editAs="oneCell">
    <xdr:from>
      <xdr:col>6</xdr:col>
      <xdr:colOff>696058</xdr:colOff>
      <xdr:row>1</xdr:row>
      <xdr:rowOff>7326</xdr:rowOff>
    </xdr:from>
    <xdr:to>
      <xdr:col>8</xdr:col>
      <xdr:colOff>974343</xdr:colOff>
      <xdr:row>4</xdr:row>
      <xdr:rowOff>2556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077" y="197826"/>
          <a:ext cx="2246436" cy="557938"/>
        </a:xfrm>
        <a:prstGeom prst="rect">
          <a:avLst/>
        </a:prstGeom>
      </xdr:spPr>
    </xdr:pic>
    <xdr:clientData/>
  </xdr:twoCellAnchor>
  <xdr:twoCellAnchor>
    <xdr:from>
      <xdr:col>9</xdr:col>
      <xdr:colOff>1761</xdr:colOff>
      <xdr:row>56</xdr:row>
      <xdr:rowOff>158804</xdr:rowOff>
    </xdr:from>
    <xdr:to>
      <xdr:col>13</xdr:col>
      <xdr:colOff>220960</xdr:colOff>
      <xdr:row>74</xdr:row>
      <xdr:rowOff>171551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F9F111A3-5B70-420B-B6C6-FF837AD88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170498</xdr:colOff>
      <xdr:row>54</xdr:row>
      <xdr:rowOff>128685</xdr:rowOff>
    </xdr:from>
    <xdr:to>
      <xdr:col>5</xdr:col>
      <xdr:colOff>1063376</xdr:colOff>
      <xdr:row>55</xdr:row>
      <xdr:rowOff>152834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8508CB0-2E01-459C-8A10-2C7A8EE58F31}"/>
            </a:ext>
          </a:extLst>
        </xdr:cNvPr>
        <xdr:cNvSpPr txBox="1"/>
      </xdr:nvSpPr>
      <xdr:spPr>
        <a:xfrm>
          <a:off x="3740302" y="3731620"/>
          <a:ext cx="2160117" cy="214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 b="1">
              <a:solidFill>
                <a:schemeClr val="accent1"/>
              </a:solidFill>
            </a:rPr>
            <a:t>Programado Total vs Ejecutado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238781</xdr:colOff>
      <xdr:row>76</xdr:row>
      <xdr:rowOff>75581</xdr:rowOff>
    </xdr:from>
    <xdr:to>
      <xdr:col>6</xdr:col>
      <xdr:colOff>103532</xdr:colOff>
      <xdr:row>88</xdr:row>
      <xdr:rowOff>100427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407987</xdr:colOff>
      <xdr:row>90</xdr:row>
      <xdr:rowOff>18324</xdr:rowOff>
    </xdr:from>
    <xdr:to>
      <xdr:col>6</xdr:col>
      <xdr:colOff>792184</xdr:colOff>
      <xdr:row>101</xdr:row>
      <xdr:rowOff>131625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145981</xdr:colOff>
      <xdr:row>75</xdr:row>
      <xdr:rowOff>108710</xdr:rowOff>
    </xdr:from>
    <xdr:to>
      <xdr:col>13</xdr:col>
      <xdr:colOff>130452</xdr:colOff>
      <xdr:row>87</xdr:row>
      <xdr:rowOff>121134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145359</xdr:colOff>
      <xdr:row>51</xdr:row>
      <xdr:rowOff>136901</xdr:rowOff>
    </xdr:from>
    <xdr:to>
      <xdr:col>3</xdr:col>
      <xdr:colOff>1106887</xdr:colOff>
      <xdr:row>52</xdr:row>
      <xdr:rowOff>155951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455172" y="6994901"/>
          <a:ext cx="961528" cy="209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10</xdr:col>
      <xdr:colOff>451192</xdr:colOff>
      <xdr:row>35</xdr:row>
      <xdr:rowOff>157369</xdr:rowOff>
    </xdr:from>
    <xdr:to>
      <xdr:col>12</xdr:col>
      <xdr:colOff>231914</xdr:colOff>
      <xdr:row>37</xdr:row>
      <xdr:rowOff>91483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7623931" y="3205369"/>
          <a:ext cx="1188766" cy="31511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Monto</a:t>
          </a:r>
        </a:p>
      </xdr:txBody>
    </xdr:sp>
    <xdr:clientData/>
  </xdr:twoCellAnchor>
  <xdr:twoCellAnchor editAs="oneCell">
    <xdr:from>
      <xdr:col>2</xdr:col>
      <xdr:colOff>446942</xdr:colOff>
      <xdr:row>1</xdr:row>
      <xdr:rowOff>36635</xdr:rowOff>
    </xdr:from>
    <xdr:to>
      <xdr:col>3</xdr:col>
      <xdr:colOff>701790</xdr:colOff>
      <xdr:row>4</xdr:row>
      <xdr:rowOff>87923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54115" y="227135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140805</xdr:colOff>
      <xdr:row>0</xdr:row>
      <xdr:rowOff>124240</xdr:rowOff>
    </xdr:from>
    <xdr:to>
      <xdr:col>11</xdr:col>
      <xdr:colOff>715330</xdr:colOff>
      <xdr:row>3</xdr:row>
      <xdr:rowOff>110678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0" y="124240"/>
          <a:ext cx="2246436" cy="557938"/>
        </a:xfrm>
        <a:prstGeom prst="rect">
          <a:avLst/>
        </a:prstGeom>
      </xdr:spPr>
    </xdr:pic>
    <xdr:clientData/>
  </xdr:twoCellAnchor>
  <xdr:twoCellAnchor>
    <xdr:from>
      <xdr:col>7</xdr:col>
      <xdr:colOff>381000</xdr:colOff>
      <xdr:row>87</xdr:row>
      <xdr:rowOff>104774</xdr:rowOff>
    </xdr:from>
    <xdr:to>
      <xdr:col>13</xdr:col>
      <xdr:colOff>185738</xdr:colOff>
      <xdr:row>101</xdr:row>
      <xdr:rowOff>180974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2BF6BF-17CA-41F1-AC5B-7C97748ADB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632585</xdr:colOff>
      <xdr:row>36</xdr:row>
      <xdr:rowOff>38306</xdr:rowOff>
    </xdr:from>
    <xdr:to>
      <xdr:col>6</xdr:col>
      <xdr:colOff>497336</xdr:colOff>
      <xdr:row>48</xdr:row>
      <xdr:rowOff>63152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B8779DCD-71A6-4AD6-B258-C5D46B284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428625</xdr:colOff>
      <xdr:row>37</xdr:row>
      <xdr:rowOff>119062</xdr:rowOff>
    </xdr:from>
    <xdr:to>
      <xdr:col>13</xdr:col>
      <xdr:colOff>413096</xdr:colOff>
      <xdr:row>49</xdr:row>
      <xdr:rowOff>131486</xdr:rowOff>
    </xdr:to>
    <xdr:graphicFrame macro="">
      <xdr:nvGraphicFramePr>
        <xdr:cNvPr id="8" name="3 Gráfico">
          <a:extLst>
            <a:ext uri="{FF2B5EF4-FFF2-40B4-BE49-F238E27FC236}">
              <a16:creationId xmlns:a16="http://schemas.microsoft.com/office/drawing/2014/main" id="{3B93A0B1-E3C2-49F9-B0A0-72EB4066F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452438</xdr:colOff>
      <xdr:row>53</xdr:row>
      <xdr:rowOff>119063</xdr:rowOff>
    </xdr:from>
    <xdr:to>
      <xdr:col>6</xdr:col>
      <xdr:colOff>836635</xdr:colOff>
      <xdr:row>65</xdr:row>
      <xdr:rowOff>41864</xdr:rowOff>
    </xdr:to>
    <xdr:graphicFrame macro="">
      <xdr:nvGraphicFramePr>
        <xdr:cNvPr id="9" name="2 Gráfico">
          <a:extLst>
            <a:ext uri="{FF2B5EF4-FFF2-40B4-BE49-F238E27FC236}">
              <a16:creationId xmlns:a16="http://schemas.microsoft.com/office/drawing/2014/main" id="{CEB296AD-AD40-42C9-B99C-3EE9C7E46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405256</xdr:colOff>
      <xdr:row>50</xdr:row>
      <xdr:rowOff>2721</xdr:rowOff>
    </xdr:from>
    <xdr:to>
      <xdr:col>13</xdr:col>
      <xdr:colOff>340177</xdr:colOff>
      <xdr:row>64</xdr:row>
      <xdr:rowOff>80696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B5A8837D-7DF4-1758-D715-9B6F0AFD42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0.30281</cdr:x>
      <cdr:y>0</cdr:y>
    </cdr:from>
    <cdr:to>
      <cdr:x>0.71115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31919" y="0"/>
          <a:ext cx="2200646" cy="253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Pensionados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0.30281</cdr:x>
      <cdr:y>0</cdr:y>
    </cdr:from>
    <cdr:to>
      <cdr:x>0.71115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31919" y="0"/>
          <a:ext cx="2200646" cy="253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Pensionados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446942</xdr:colOff>
      <xdr:row>1</xdr:row>
      <xdr:rowOff>36635</xdr:rowOff>
    </xdr:from>
    <xdr:to>
      <xdr:col>4</xdr:col>
      <xdr:colOff>553675</xdr:colOff>
      <xdr:row>4</xdr:row>
      <xdr:rowOff>87923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942B9E2-F9D1-4E35-8E7F-20E9BC515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092" y="227135"/>
          <a:ext cx="987658" cy="622788"/>
        </a:xfrm>
        <a:prstGeom prst="rect">
          <a:avLst/>
        </a:prstGeom>
      </xdr:spPr>
    </xdr:pic>
    <xdr:clientData/>
  </xdr:twoCellAnchor>
  <xdr:twoCellAnchor editAs="oneCell">
    <xdr:from>
      <xdr:col>15</xdr:col>
      <xdr:colOff>133350</xdr:colOff>
      <xdr:row>1</xdr:row>
      <xdr:rowOff>9525</xdr:rowOff>
    </xdr:from>
    <xdr:to>
      <xdr:col>17</xdr:col>
      <xdr:colOff>605021</xdr:colOff>
      <xdr:row>4</xdr:row>
      <xdr:rowOff>7169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F0EDD90A-9281-44E9-A447-233166329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200025"/>
          <a:ext cx="2259569" cy="557938"/>
        </a:xfrm>
        <a:prstGeom prst="rect">
          <a:avLst/>
        </a:prstGeom>
      </xdr:spPr>
    </xdr:pic>
    <xdr:clientData/>
  </xdr:twoCellAnchor>
  <xdr:twoCellAnchor>
    <xdr:from>
      <xdr:col>15</xdr:col>
      <xdr:colOff>718457</xdr:colOff>
      <xdr:row>21</xdr:row>
      <xdr:rowOff>144237</xdr:rowOff>
    </xdr:from>
    <xdr:to>
      <xdr:col>21</xdr:col>
      <xdr:colOff>398689</xdr:colOff>
      <xdr:row>39</xdr:row>
      <xdr:rowOff>23133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0992A3-F49D-9706-86F8-D3BB44DEA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449034</xdr:colOff>
      <xdr:row>40</xdr:row>
      <xdr:rowOff>193221</xdr:rowOff>
    </xdr:from>
    <xdr:to>
      <xdr:col>15</xdr:col>
      <xdr:colOff>775606</xdr:colOff>
      <xdr:row>56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8DA0F4F-35B7-3F63-A878-7D84DAC59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34</xdr:row>
      <xdr:rowOff>143915</xdr:rowOff>
    </xdr:from>
    <xdr:to>
      <xdr:col>19</xdr:col>
      <xdr:colOff>646043</xdr:colOff>
      <xdr:row>49</xdr:row>
      <xdr:rowOff>49696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674077</xdr:colOff>
      <xdr:row>2</xdr:row>
      <xdr:rowOff>0</xdr:rowOff>
    </xdr:from>
    <xdr:to>
      <xdr:col>5</xdr:col>
      <xdr:colOff>17341</xdr:colOff>
      <xdr:row>5</xdr:row>
      <xdr:rowOff>51288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077" y="381000"/>
          <a:ext cx="989857" cy="622788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34</xdr:row>
      <xdr:rowOff>102013</xdr:rowOff>
    </xdr:from>
    <xdr:to>
      <xdr:col>9</xdr:col>
      <xdr:colOff>256763</xdr:colOff>
      <xdr:row>49</xdr:row>
      <xdr:rowOff>182218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865187</xdr:colOff>
      <xdr:row>1</xdr:row>
      <xdr:rowOff>119062</xdr:rowOff>
    </xdr:from>
    <xdr:to>
      <xdr:col>14</xdr:col>
      <xdr:colOff>418455</xdr:colOff>
      <xdr:row>4</xdr:row>
      <xdr:rowOff>105500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5" y="309562"/>
          <a:ext cx="2246436" cy="557938"/>
        </a:xfrm>
        <a:prstGeom prst="rect">
          <a:avLst/>
        </a:prstGeom>
      </xdr:spPr>
    </xdr:pic>
    <xdr:clientData/>
  </xdr:twoCellAnchor>
  <xdr:twoCellAnchor>
    <xdr:from>
      <xdr:col>13</xdr:col>
      <xdr:colOff>629479</xdr:colOff>
      <xdr:row>33</xdr:row>
      <xdr:rowOff>67917</xdr:rowOff>
    </xdr:from>
    <xdr:to>
      <xdr:col>15</xdr:col>
      <xdr:colOff>265045</xdr:colOff>
      <xdr:row>34</xdr:row>
      <xdr:rowOff>117613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CE4496F-D8FC-CEEB-BE14-D5023697E9AC}"/>
            </a:ext>
          </a:extLst>
        </xdr:cNvPr>
        <xdr:cNvSpPr txBox="1"/>
      </xdr:nvSpPr>
      <xdr:spPr>
        <a:xfrm>
          <a:off x="8406849" y="3107634"/>
          <a:ext cx="869674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3</xdr:col>
      <xdr:colOff>434009</xdr:colOff>
      <xdr:row>33</xdr:row>
      <xdr:rowOff>36444</xdr:rowOff>
    </xdr:from>
    <xdr:to>
      <xdr:col>4</xdr:col>
      <xdr:colOff>273328</xdr:colOff>
      <xdr:row>34</xdr:row>
      <xdr:rowOff>86140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25675C8-07B1-4698-AACB-19A6DB968645}"/>
            </a:ext>
          </a:extLst>
        </xdr:cNvPr>
        <xdr:cNvSpPr txBox="1"/>
      </xdr:nvSpPr>
      <xdr:spPr>
        <a:xfrm>
          <a:off x="2090531" y="2844248"/>
          <a:ext cx="733840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MONTO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499965</xdr:colOff>
      <xdr:row>3</xdr:row>
      <xdr:rowOff>87429</xdr:rowOff>
    </xdr:from>
    <xdr:to>
      <xdr:col>18</xdr:col>
      <xdr:colOff>965641</xdr:colOff>
      <xdr:row>6</xdr:row>
      <xdr:rowOff>66074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2590" y="658929"/>
          <a:ext cx="2237326" cy="550145"/>
        </a:xfrm>
        <a:prstGeom prst="rect">
          <a:avLst/>
        </a:prstGeom>
      </xdr:spPr>
    </xdr:pic>
    <xdr:clientData/>
  </xdr:twoCellAnchor>
  <xdr:oneCellAnchor>
    <xdr:from>
      <xdr:col>1</xdr:col>
      <xdr:colOff>248479</xdr:colOff>
      <xdr:row>0</xdr:row>
      <xdr:rowOff>157371</xdr:rowOff>
    </xdr:from>
    <xdr:ext cx="989857" cy="622788"/>
    <xdr:pic>
      <xdr:nvPicPr>
        <xdr:cNvPr id="12" name="Picture 9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1" y="157371"/>
          <a:ext cx="989857" cy="622788"/>
        </a:xfrm>
        <a:prstGeom prst="rect">
          <a:avLst/>
        </a:prstGeom>
      </xdr:spPr>
    </xdr:pic>
    <xdr:clientData/>
  </xdr:oneCellAnchor>
  <xdr:twoCellAnchor>
    <xdr:from>
      <xdr:col>15</xdr:col>
      <xdr:colOff>11538</xdr:colOff>
      <xdr:row>7</xdr:row>
      <xdr:rowOff>349234</xdr:rowOff>
    </xdr:from>
    <xdr:to>
      <xdr:col>18</xdr:col>
      <xdr:colOff>876301</xdr:colOff>
      <xdr:row>20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637008</xdr:colOff>
      <xdr:row>7</xdr:row>
      <xdr:rowOff>375728</xdr:rowOff>
    </xdr:from>
    <xdr:to>
      <xdr:col>24</xdr:col>
      <xdr:colOff>152400</xdr:colOff>
      <xdr:row>22</xdr:row>
      <xdr:rowOff>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752257</xdr:colOff>
      <xdr:row>26</xdr:row>
      <xdr:rowOff>234350</xdr:rowOff>
    </xdr:from>
    <xdr:to>
      <xdr:col>19</xdr:col>
      <xdr:colOff>219075</xdr:colOff>
      <xdr:row>42</xdr:row>
      <xdr:rowOff>38100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840441</xdr:colOff>
      <xdr:row>27</xdr:row>
      <xdr:rowOff>5243</xdr:rowOff>
    </xdr:from>
    <xdr:to>
      <xdr:col>25</xdr:col>
      <xdr:colOff>51954</xdr:colOff>
      <xdr:row>43</xdr:row>
      <xdr:rowOff>138546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32644</xdr:colOff>
      <xdr:row>45</xdr:row>
      <xdr:rowOff>169061</xdr:rowOff>
    </xdr:from>
    <xdr:to>
      <xdr:col>19</xdr:col>
      <xdr:colOff>695325</xdr:colOff>
      <xdr:row>61</xdr:row>
      <xdr:rowOff>171449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165562</xdr:colOff>
      <xdr:row>46</xdr:row>
      <xdr:rowOff>43432</xdr:rowOff>
    </xdr:from>
    <xdr:to>
      <xdr:col>26</xdr:col>
      <xdr:colOff>221591</xdr:colOff>
      <xdr:row>61</xdr:row>
      <xdr:rowOff>78219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21</xdr:col>
      <xdr:colOff>744862</xdr:colOff>
      <xdr:row>3</xdr:row>
      <xdr:rowOff>37177</xdr:rowOff>
    </xdr:from>
    <xdr:to>
      <xdr:col>23</xdr:col>
      <xdr:colOff>897569</xdr:colOff>
      <xdr:row>6</xdr:row>
      <xdr:rowOff>15822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B8825771-E97A-4C02-BE46-B46CB479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23362" y="608677"/>
          <a:ext cx="2229157" cy="550145"/>
        </a:xfrm>
        <a:prstGeom prst="rect">
          <a:avLst/>
        </a:prstGeom>
      </xdr:spPr>
    </xdr:pic>
    <xdr:clientData/>
  </xdr:twoCellAnchor>
  <xdr:twoCellAnchor editAs="oneCell">
    <xdr:from>
      <xdr:col>9</xdr:col>
      <xdr:colOff>530173</xdr:colOff>
      <xdr:row>0</xdr:row>
      <xdr:rowOff>0</xdr:rowOff>
    </xdr:from>
    <xdr:to>
      <xdr:col>12</xdr:col>
      <xdr:colOff>37827</xdr:colOff>
      <xdr:row>2</xdr:row>
      <xdr:rowOff>170826</xdr:rowOff>
    </xdr:to>
    <xdr:pic>
      <xdr:nvPicPr>
        <xdr:cNvPr id="13" name="Picture 10">
          <a:extLst>
            <a:ext uri="{FF2B5EF4-FFF2-40B4-BE49-F238E27FC236}">
              <a16:creationId xmlns:a16="http://schemas.microsoft.com/office/drawing/2014/main" id="{25D078B7-007D-43F3-B3A7-90E4A374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055" y="0"/>
          <a:ext cx="2236206" cy="55182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109904</xdr:colOff>
      <xdr:row>1</xdr:row>
      <xdr:rowOff>73270</xdr:rowOff>
    </xdr:from>
    <xdr:to>
      <xdr:col>4</xdr:col>
      <xdr:colOff>495612</xdr:colOff>
      <xdr:row>4</xdr:row>
      <xdr:rowOff>124558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289" y="263770"/>
          <a:ext cx="989857" cy="622788"/>
        </a:xfrm>
        <a:prstGeom prst="rect">
          <a:avLst/>
        </a:prstGeom>
      </xdr:spPr>
    </xdr:pic>
    <xdr:clientData/>
  </xdr:twoCellAnchor>
  <xdr:twoCellAnchor>
    <xdr:from>
      <xdr:col>19</xdr:col>
      <xdr:colOff>932041</xdr:colOff>
      <xdr:row>2</xdr:row>
      <xdr:rowOff>151890</xdr:rowOff>
    </xdr:from>
    <xdr:to>
      <xdr:col>25</xdr:col>
      <xdr:colOff>21343</xdr:colOff>
      <xdr:row>36</xdr:row>
      <xdr:rowOff>48337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476250</xdr:colOff>
      <xdr:row>1</xdr:row>
      <xdr:rowOff>38100</xdr:rowOff>
    </xdr:from>
    <xdr:to>
      <xdr:col>14</xdr:col>
      <xdr:colOff>662710</xdr:colOff>
      <xdr:row>4</xdr:row>
      <xdr:rowOff>24538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228600"/>
          <a:ext cx="2246436" cy="557938"/>
        </a:xfrm>
        <a:prstGeom prst="rect">
          <a:avLst/>
        </a:prstGeom>
      </xdr:spPr>
    </xdr:pic>
    <xdr:clientData/>
  </xdr:twoCellAnchor>
  <xdr:twoCellAnchor>
    <xdr:from>
      <xdr:col>6</xdr:col>
      <xdr:colOff>894670</xdr:colOff>
      <xdr:row>37</xdr:row>
      <xdr:rowOff>61912</xdr:rowOff>
    </xdr:from>
    <xdr:to>
      <xdr:col>12</xdr:col>
      <xdr:colOff>672193</xdr:colOff>
      <xdr:row>52</xdr:row>
      <xdr:rowOff>117021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C2B17BC-CA5A-C42B-5A7E-C25EE7F629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712610</xdr:colOff>
      <xdr:row>33</xdr:row>
      <xdr:rowOff>157621</xdr:rowOff>
    </xdr:from>
    <xdr:to>
      <xdr:col>6</xdr:col>
      <xdr:colOff>451004</xdr:colOff>
      <xdr:row>35</xdr:row>
      <xdr:rowOff>40390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474610" y="3160797"/>
          <a:ext cx="3963012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Pago de Retroactivos</a:t>
          </a:r>
        </a:p>
      </xdr:txBody>
    </xdr:sp>
    <xdr:clientData/>
  </xdr:twoCellAnchor>
  <xdr:twoCellAnchor editAs="oneCell">
    <xdr:from>
      <xdr:col>1</xdr:col>
      <xdr:colOff>718038</xdr:colOff>
      <xdr:row>1</xdr:row>
      <xdr:rowOff>65942</xdr:rowOff>
    </xdr:from>
    <xdr:to>
      <xdr:col>3</xdr:col>
      <xdr:colOff>255253</xdr:colOff>
      <xdr:row>4</xdr:row>
      <xdr:rowOff>117230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0038" y="256442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0</xdr:row>
      <xdr:rowOff>157370</xdr:rowOff>
    </xdr:from>
    <xdr:to>
      <xdr:col>8</xdr:col>
      <xdr:colOff>575298</xdr:colOff>
      <xdr:row>3</xdr:row>
      <xdr:rowOff>143808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0718" y="157370"/>
          <a:ext cx="2246436" cy="557938"/>
        </a:xfrm>
        <a:prstGeom prst="rect">
          <a:avLst/>
        </a:prstGeom>
      </xdr:spPr>
    </xdr:pic>
    <xdr:clientData/>
  </xdr:twoCellAnchor>
  <xdr:twoCellAnchor>
    <xdr:from>
      <xdr:col>0</xdr:col>
      <xdr:colOff>728382</xdr:colOff>
      <xdr:row>35</xdr:row>
      <xdr:rowOff>22412</xdr:rowOff>
    </xdr:from>
    <xdr:to>
      <xdr:col>7</xdr:col>
      <xdr:colOff>659925</xdr:colOff>
      <xdr:row>49</xdr:row>
      <xdr:rowOff>187335</xdr:rowOff>
    </xdr:to>
    <xdr:graphicFrame macro="">
      <xdr:nvGraphicFramePr>
        <xdr:cNvPr id="15" name="6 Gráfico">
          <a:extLst>
            <a:ext uri="{FF2B5EF4-FFF2-40B4-BE49-F238E27FC236}">
              <a16:creationId xmlns:a16="http://schemas.microsoft.com/office/drawing/2014/main" id="{5764D4A6-A412-4894-B9AB-770947AF7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418632</xdr:colOff>
      <xdr:row>45</xdr:row>
      <xdr:rowOff>108284</xdr:rowOff>
    </xdr:from>
    <xdr:to>
      <xdr:col>6</xdr:col>
      <xdr:colOff>505888</xdr:colOff>
      <xdr:row>57</xdr:row>
      <xdr:rowOff>51867</xdr:rowOff>
    </xdr:to>
    <xdr:graphicFrame macro="">
      <xdr:nvGraphicFramePr>
        <xdr:cNvPr id="2" name="10 Gráfico">
          <a:extLst>
            <a:ext uri="{FF2B5EF4-FFF2-40B4-BE49-F238E27FC236}">
              <a16:creationId xmlns:a16="http://schemas.microsoft.com/office/drawing/2014/main" id="{7412F171-EEEB-49E2-966D-2F1CACD4A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266242</xdr:colOff>
      <xdr:row>28</xdr:row>
      <xdr:rowOff>4587</xdr:rowOff>
    </xdr:from>
    <xdr:to>
      <xdr:col>10</xdr:col>
      <xdr:colOff>612806</xdr:colOff>
      <xdr:row>29</xdr:row>
      <xdr:rowOff>80787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1641605F-E6E2-484F-A7BE-C823C39B7978}"/>
            </a:ext>
          </a:extLst>
        </xdr:cNvPr>
        <xdr:cNvSpPr txBox="1"/>
      </xdr:nvSpPr>
      <xdr:spPr>
        <a:xfrm>
          <a:off x="6389456" y="2834873"/>
          <a:ext cx="187056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Afiliados/No Cotizantes</a:t>
          </a:r>
        </a:p>
      </xdr:txBody>
    </xdr:sp>
    <xdr:clientData/>
  </xdr:twoCellAnchor>
  <xdr:oneCellAnchor>
    <xdr:from>
      <xdr:col>1</xdr:col>
      <xdr:colOff>270708</xdr:colOff>
      <xdr:row>1</xdr:row>
      <xdr:rowOff>65942</xdr:rowOff>
    </xdr:from>
    <xdr:ext cx="871814" cy="549520"/>
    <xdr:pic>
      <xdr:nvPicPr>
        <xdr:cNvPr id="5" name="Picture 8">
          <a:extLst>
            <a:ext uri="{FF2B5EF4-FFF2-40B4-BE49-F238E27FC236}">
              <a16:creationId xmlns:a16="http://schemas.microsoft.com/office/drawing/2014/main" id="{4DD5A5D0-8A9D-405C-BF51-D9919A664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708" y="256442"/>
          <a:ext cx="871814" cy="549520"/>
        </a:xfrm>
        <a:prstGeom prst="rect">
          <a:avLst/>
        </a:prstGeom>
      </xdr:spPr>
    </xdr:pic>
    <xdr:clientData/>
  </xdr:oneCellAnchor>
  <xdr:twoCellAnchor>
    <xdr:from>
      <xdr:col>6</xdr:col>
      <xdr:colOff>860287</xdr:colOff>
      <xdr:row>44</xdr:row>
      <xdr:rowOff>127302</xdr:rowOff>
    </xdr:from>
    <xdr:to>
      <xdr:col>12</xdr:col>
      <xdr:colOff>663298</xdr:colOff>
      <xdr:row>56</xdr:row>
      <xdr:rowOff>65652</xdr:rowOff>
    </xdr:to>
    <xdr:graphicFrame macro="">
      <xdr:nvGraphicFramePr>
        <xdr:cNvPr id="6" name="10 Gráfico">
          <a:extLst>
            <a:ext uri="{FF2B5EF4-FFF2-40B4-BE49-F238E27FC236}">
              <a16:creationId xmlns:a16="http://schemas.microsoft.com/office/drawing/2014/main" id="{3C96AE7C-3C81-42F8-9061-2945E252F7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769328</xdr:colOff>
      <xdr:row>1</xdr:row>
      <xdr:rowOff>14654</xdr:rowOff>
    </xdr:from>
    <xdr:ext cx="2232100" cy="557938"/>
    <xdr:pic>
      <xdr:nvPicPr>
        <xdr:cNvPr id="8" name="Picture 9">
          <a:extLst>
            <a:ext uri="{FF2B5EF4-FFF2-40B4-BE49-F238E27FC236}">
              <a16:creationId xmlns:a16="http://schemas.microsoft.com/office/drawing/2014/main" id="{F8AF9267-88C4-44C4-A567-EB0184EBA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803" y="205154"/>
          <a:ext cx="2232100" cy="557938"/>
        </a:xfrm>
        <a:prstGeom prst="rect">
          <a:avLst/>
        </a:prstGeom>
      </xdr:spPr>
    </xdr:pic>
    <xdr:clientData/>
  </xdr:oneCellAnchor>
  <xdr:twoCellAnchor>
    <xdr:from>
      <xdr:col>2</xdr:col>
      <xdr:colOff>457200</xdr:colOff>
      <xdr:row>27</xdr:row>
      <xdr:rowOff>185837</xdr:rowOff>
    </xdr:from>
    <xdr:to>
      <xdr:col>4</xdr:col>
      <xdr:colOff>449874</xdr:colOff>
      <xdr:row>29</xdr:row>
      <xdr:rowOff>71537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53C8BA23-7508-4CB1-81D8-368BB9F6EE14}"/>
            </a:ext>
          </a:extLst>
        </xdr:cNvPr>
        <xdr:cNvSpPr txBox="1"/>
      </xdr:nvSpPr>
      <xdr:spPr>
        <a:xfrm>
          <a:off x="1266825" y="3824387"/>
          <a:ext cx="163097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13</xdr:col>
      <xdr:colOff>634403</xdr:colOff>
      <xdr:row>42</xdr:row>
      <xdr:rowOff>101870</xdr:rowOff>
    </xdr:from>
    <xdr:to>
      <xdr:col>19</xdr:col>
      <xdr:colOff>652740</xdr:colOff>
      <xdr:row>56</xdr:row>
      <xdr:rowOff>179191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FB5FE624-4100-C68A-BE51-0D04822C9B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333375</xdr:colOff>
      <xdr:row>30</xdr:row>
      <xdr:rowOff>19050</xdr:rowOff>
    </xdr:from>
    <xdr:to>
      <xdr:col>6</xdr:col>
      <xdr:colOff>420631</xdr:colOff>
      <xdr:row>41</xdr:row>
      <xdr:rowOff>153133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3553C151-FF51-4B48-A33C-0BB739263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809625</xdr:colOff>
      <xdr:row>29</xdr:row>
      <xdr:rowOff>123825</xdr:rowOff>
    </xdr:from>
    <xdr:to>
      <xdr:col>12</xdr:col>
      <xdr:colOff>612636</xdr:colOff>
      <xdr:row>41</xdr:row>
      <xdr:rowOff>62175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1B634670-15A7-498B-83C9-A2BD7941B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688652</xdr:colOff>
      <xdr:row>26</xdr:row>
      <xdr:rowOff>27505</xdr:rowOff>
    </xdr:from>
    <xdr:to>
      <xdr:col>19</xdr:col>
      <xdr:colOff>701896</xdr:colOff>
      <xdr:row>40</xdr:row>
      <xdr:rowOff>149650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2B384E77-B361-4F9B-B8B4-CD24BB733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182486</xdr:colOff>
      <xdr:row>59</xdr:row>
      <xdr:rowOff>52945</xdr:rowOff>
    </xdr:from>
    <xdr:to>
      <xdr:col>10</xdr:col>
      <xdr:colOff>533006</xdr:colOff>
      <xdr:row>73</xdr:row>
      <xdr:rowOff>129145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BBE4448-8128-68B7-F833-1805DCF9C2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222738</xdr:colOff>
      <xdr:row>1</xdr:row>
      <xdr:rowOff>46892</xdr:rowOff>
    </xdr:from>
    <xdr:to>
      <xdr:col>2</xdr:col>
      <xdr:colOff>677730</xdr:colOff>
      <xdr:row>4</xdr:row>
      <xdr:rowOff>98180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738" y="237392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219808</xdr:colOff>
      <xdr:row>1</xdr:row>
      <xdr:rowOff>14654</xdr:rowOff>
    </xdr:from>
    <xdr:to>
      <xdr:col>9</xdr:col>
      <xdr:colOff>261573</xdr:colOff>
      <xdr:row>4</xdr:row>
      <xdr:rowOff>1092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233" y="205154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247650</xdr:colOff>
      <xdr:row>1</xdr:row>
      <xdr:rowOff>185737</xdr:rowOff>
    </xdr:from>
    <xdr:to>
      <xdr:col>14</xdr:col>
      <xdr:colOff>971550</xdr:colOff>
      <xdr:row>29</xdr:row>
      <xdr:rowOff>14287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498230</xdr:colOff>
      <xdr:row>2</xdr:row>
      <xdr:rowOff>109903</xdr:rowOff>
    </xdr:from>
    <xdr:to>
      <xdr:col>13</xdr:col>
      <xdr:colOff>747345</xdr:colOff>
      <xdr:row>3</xdr:row>
      <xdr:rowOff>183172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137530" y="490903"/>
          <a:ext cx="1792165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Créditos</a:t>
          </a:r>
          <a:r>
            <a:rPr lang="es-DO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 Rechazados</a:t>
          </a:r>
          <a:endParaRPr lang="es-DO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365613</xdr:colOff>
      <xdr:row>0</xdr:row>
      <xdr:rowOff>189767</xdr:rowOff>
    </xdr:from>
    <xdr:to>
      <xdr:col>2</xdr:col>
      <xdr:colOff>820605</xdr:colOff>
      <xdr:row>4</xdr:row>
      <xdr:rowOff>50555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13" y="189767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43962</xdr:rowOff>
    </xdr:from>
    <xdr:to>
      <xdr:col>8</xdr:col>
      <xdr:colOff>908540</xdr:colOff>
      <xdr:row>4</xdr:row>
      <xdr:rowOff>30400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34462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285750</xdr:colOff>
      <xdr:row>2</xdr:row>
      <xdr:rowOff>119062</xdr:rowOff>
    </xdr:from>
    <xdr:to>
      <xdr:col>14</xdr:col>
      <xdr:colOff>1009650</xdr:colOff>
      <xdr:row>28</xdr:row>
      <xdr:rowOff>138112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461962</xdr:colOff>
      <xdr:row>27</xdr:row>
      <xdr:rowOff>138112</xdr:rowOff>
    </xdr:from>
    <xdr:to>
      <xdr:col>6</xdr:col>
      <xdr:colOff>223837</xdr:colOff>
      <xdr:row>42</xdr:row>
      <xdr:rowOff>23812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BE6937C-253B-6451-9888-793AAD2A5F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373674</xdr:colOff>
      <xdr:row>1</xdr:row>
      <xdr:rowOff>87923</xdr:rowOff>
    </xdr:from>
    <xdr:ext cx="989857" cy="62278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674" y="7193573"/>
          <a:ext cx="989857" cy="622788"/>
        </a:xfrm>
        <a:prstGeom prst="rect">
          <a:avLst/>
        </a:prstGeom>
      </xdr:spPr>
    </xdr:pic>
    <xdr:clientData/>
  </xdr:oneCellAnchor>
  <xdr:twoCellAnchor editAs="oneCell">
    <xdr:from>
      <xdr:col>4</xdr:col>
      <xdr:colOff>571501</xdr:colOff>
      <xdr:row>0</xdr:row>
      <xdr:rowOff>153865</xdr:rowOff>
    </xdr:from>
    <xdr:to>
      <xdr:col>7</xdr:col>
      <xdr:colOff>92322</xdr:colOff>
      <xdr:row>3</xdr:row>
      <xdr:rowOff>140303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53865"/>
          <a:ext cx="2246436" cy="557938"/>
        </a:xfrm>
        <a:prstGeom prst="rect">
          <a:avLst/>
        </a:prstGeom>
      </xdr:spPr>
    </xdr:pic>
    <xdr:clientData/>
  </xdr:twoCellAnchor>
  <xdr:twoCellAnchor>
    <xdr:from>
      <xdr:col>2</xdr:col>
      <xdr:colOff>560319</xdr:colOff>
      <xdr:row>39</xdr:row>
      <xdr:rowOff>76169</xdr:rowOff>
    </xdr:from>
    <xdr:to>
      <xdr:col>5</xdr:col>
      <xdr:colOff>691184</xdr:colOff>
      <xdr:row>41</xdr:row>
      <xdr:rowOff>150712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3CF2A34-922B-238A-7CE5-F0C850928E51}"/>
            </a:ext>
          </a:extLst>
        </xdr:cNvPr>
        <xdr:cNvSpPr txBox="1"/>
      </xdr:nvSpPr>
      <xdr:spPr>
        <a:xfrm>
          <a:off x="2318781" y="2860400"/>
          <a:ext cx="2981038" cy="4555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Recuperación de Fondos</a:t>
          </a:r>
          <a:endParaRPr lang="es-DO">
            <a:solidFill>
              <a:schemeClr val="accent1"/>
            </a:solidFill>
            <a:effectLst/>
          </a:endParaRPr>
        </a:p>
        <a:p>
          <a:pPr algn="ctr" rtl="0"/>
          <a:r>
            <a:rPr lang="es-ES" sz="1100" b="1" i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Monto solicitado / Total Recuperado</a:t>
          </a:r>
          <a:endParaRPr lang="es-DO">
            <a:solidFill>
              <a:schemeClr val="accent1"/>
            </a:solidFill>
            <a:effectLst/>
          </a:endParaRPr>
        </a:p>
        <a:p>
          <a:pPr algn="ctr"/>
          <a:endParaRPr lang="es-DO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238125</xdr:colOff>
      <xdr:row>41</xdr:row>
      <xdr:rowOff>152400</xdr:rowOff>
    </xdr:from>
    <xdr:to>
      <xdr:col>6</xdr:col>
      <xdr:colOff>466725</xdr:colOff>
      <xdr:row>59</xdr:row>
      <xdr:rowOff>66675</xdr:rowOff>
    </xdr:to>
    <xdr:graphicFrame macro="">
      <xdr:nvGraphicFramePr>
        <xdr:cNvPr id="6" name="7 Gráfico">
          <a:extLst>
            <a:ext uri="{FF2B5EF4-FFF2-40B4-BE49-F238E27FC236}">
              <a16:creationId xmlns:a16="http://schemas.microsoft.com/office/drawing/2014/main" id="{39409961-1378-4CF9-BE55-0452D2CF9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556770</xdr:colOff>
      <xdr:row>7</xdr:row>
      <xdr:rowOff>185683</xdr:rowOff>
    </xdr:from>
    <xdr:to>
      <xdr:col>24</xdr:col>
      <xdr:colOff>214299</xdr:colOff>
      <xdr:row>29</xdr:row>
      <xdr:rowOff>135310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577922</xdr:colOff>
      <xdr:row>32</xdr:row>
      <xdr:rowOff>83911</xdr:rowOff>
    </xdr:from>
    <xdr:to>
      <xdr:col>25</xdr:col>
      <xdr:colOff>21403</xdr:colOff>
      <xdr:row>55</xdr:row>
      <xdr:rowOff>21405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3</xdr:row>
      <xdr:rowOff>0</xdr:rowOff>
    </xdr:from>
    <xdr:to>
      <xdr:col>1</xdr:col>
      <xdr:colOff>1113682</xdr:colOff>
      <xdr:row>6</xdr:row>
      <xdr:rowOff>51288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5" y="571500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12</xdr:col>
      <xdr:colOff>301869</xdr:colOff>
      <xdr:row>2</xdr:row>
      <xdr:rowOff>169984</xdr:rowOff>
    </xdr:from>
    <xdr:to>
      <xdr:col>14</xdr:col>
      <xdr:colOff>767130</xdr:colOff>
      <xdr:row>5</xdr:row>
      <xdr:rowOff>156422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1984" y="550984"/>
          <a:ext cx="2245703" cy="557938"/>
        </a:xfrm>
        <a:prstGeom prst="rect">
          <a:avLst/>
        </a:prstGeom>
      </xdr:spPr>
    </xdr:pic>
    <xdr:clientData/>
  </xdr:twoCellAnchor>
  <xdr:twoCellAnchor>
    <xdr:from>
      <xdr:col>14</xdr:col>
      <xdr:colOff>232787</xdr:colOff>
      <xdr:row>62</xdr:row>
      <xdr:rowOff>36993</xdr:rowOff>
    </xdr:from>
    <xdr:to>
      <xdr:col>19</xdr:col>
      <xdr:colOff>588352</xdr:colOff>
      <xdr:row>75</xdr:row>
      <xdr:rowOff>27110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DA6E1867-A5C0-43B4-8F05-07CBBFBFD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248479</xdr:colOff>
      <xdr:row>49</xdr:row>
      <xdr:rowOff>47595</xdr:rowOff>
    </xdr:from>
    <xdr:to>
      <xdr:col>6</xdr:col>
      <xdr:colOff>740604</xdr:colOff>
      <xdr:row>61</xdr:row>
      <xdr:rowOff>104010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141832</xdr:colOff>
      <xdr:row>1</xdr:row>
      <xdr:rowOff>87924</xdr:rowOff>
    </xdr:from>
    <xdr:to>
      <xdr:col>2</xdr:col>
      <xdr:colOff>206650</xdr:colOff>
      <xdr:row>4</xdr:row>
      <xdr:rowOff>80596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832" y="278424"/>
          <a:ext cx="896694" cy="564172"/>
        </a:xfrm>
        <a:prstGeom prst="rect">
          <a:avLst/>
        </a:prstGeom>
      </xdr:spPr>
    </xdr:pic>
    <xdr:clientData/>
  </xdr:twoCellAnchor>
  <xdr:twoCellAnchor>
    <xdr:from>
      <xdr:col>7</xdr:col>
      <xdr:colOff>604278</xdr:colOff>
      <xdr:row>30</xdr:row>
      <xdr:rowOff>50311</xdr:rowOff>
    </xdr:from>
    <xdr:to>
      <xdr:col>12</xdr:col>
      <xdr:colOff>397564</xdr:colOff>
      <xdr:row>42</xdr:row>
      <xdr:rowOff>6626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534866</xdr:colOff>
      <xdr:row>1</xdr:row>
      <xdr:rowOff>58616</xdr:rowOff>
    </xdr:from>
    <xdr:to>
      <xdr:col>7</xdr:col>
      <xdr:colOff>495302</xdr:colOff>
      <xdr:row>4</xdr:row>
      <xdr:rowOff>45054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962" y="249116"/>
          <a:ext cx="2246436" cy="557938"/>
        </a:xfrm>
        <a:prstGeom prst="rect">
          <a:avLst/>
        </a:prstGeom>
      </xdr:spPr>
    </xdr:pic>
    <xdr:clientData/>
  </xdr:twoCellAnchor>
  <xdr:oneCellAnchor>
    <xdr:from>
      <xdr:col>3</xdr:col>
      <xdr:colOff>720588</xdr:colOff>
      <xdr:row>29</xdr:row>
      <xdr:rowOff>66261</xdr:rowOff>
    </xdr:from>
    <xdr:ext cx="2898914" cy="298174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08D513B-E3E0-7594-8479-50134A15EED6}"/>
            </a:ext>
          </a:extLst>
        </xdr:cNvPr>
        <xdr:cNvSpPr txBox="1"/>
      </xdr:nvSpPr>
      <xdr:spPr>
        <a:xfrm>
          <a:off x="2509631" y="3544957"/>
          <a:ext cx="2898914" cy="2981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/>
          <a:r>
            <a:rPr lang="es-E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Cantidad de cotizantes por tipo de empleador</a:t>
          </a:r>
          <a:endParaRPr lang="es-DO">
            <a:solidFill>
              <a:srgbClr val="0070C0"/>
            </a:solidFill>
            <a:effectLst/>
          </a:endParaRPr>
        </a:p>
        <a:p>
          <a:endParaRPr lang="es-DO" sz="1100"/>
        </a:p>
      </xdr:txBody>
    </xdr:sp>
    <xdr:clientData/>
  </xdr:oneCellAnchor>
  <xdr:twoCellAnchor>
    <xdr:from>
      <xdr:col>1</xdr:col>
      <xdr:colOff>66262</xdr:colOff>
      <xdr:row>30</xdr:row>
      <xdr:rowOff>173935</xdr:rowOff>
    </xdr:from>
    <xdr:to>
      <xdr:col>6</xdr:col>
      <xdr:colOff>558387</xdr:colOff>
      <xdr:row>43</xdr:row>
      <xdr:rowOff>39850</xdr:rowOff>
    </xdr:to>
    <xdr:graphicFrame macro="">
      <xdr:nvGraphicFramePr>
        <xdr:cNvPr id="7" name="3 Gráfico">
          <a:extLst>
            <a:ext uri="{FF2B5EF4-FFF2-40B4-BE49-F238E27FC236}">
              <a16:creationId xmlns:a16="http://schemas.microsoft.com/office/drawing/2014/main" id="{4F17FD6F-61F5-4855-BE0D-C283BD563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80597</xdr:colOff>
      <xdr:row>2</xdr:row>
      <xdr:rowOff>36634</xdr:rowOff>
    </xdr:from>
    <xdr:to>
      <xdr:col>1</xdr:col>
      <xdr:colOff>639575</xdr:colOff>
      <xdr:row>4</xdr:row>
      <xdr:rowOff>7326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97" y="608134"/>
          <a:ext cx="558978" cy="351692"/>
        </a:xfrm>
        <a:prstGeom prst="rect">
          <a:avLst/>
        </a:prstGeom>
      </xdr:spPr>
    </xdr:pic>
    <xdr:clientData/>
  </xdr:twoCellAnchor>
  <xdr:twoCellAnchor>
    <xdr:from>
      <xdr:col>6</xdr:col>
      <xdr:colOff>720078</xdr:colOff>
      <xdr:row>28</xdr:row>
      <xdr:rowOff>241114</xdr:rowOff>
    </xdr:from>
    <xdr:to>
      <xdr:col>13</xdr:col>
      <xdr:colOff>48039</xdr:colOff>
      <xdr:row>39</xdr:row>
      <xdr:rowOff>175592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1215029</xdr:colOff>
      <xdr:row>1</xdr:row>
      <xdr:rowOff>171554</xdr:rowOff>
    </xdr:from>
    <xdr:to>
      <xdr:col>6</xdr:col>
      <xdr:colOff>532189</xdr:colOff>
      <xdr:row>4</xdr:row>
      <xdr:rowOff>10226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181" y="362054"/>
          <a:ext cx="1652441" cy="410172"/>
        </a:xfrm>
        <a:prstGeom prst="rect">
          <a:avLst/>
        </a:prstGeom>
      </xdr:spPr>
    </xdr:pic>
    <xdr:clientData/>
  </xdr:twoCellAnchor>
  <xdr:oneCellAnchor>
    <xdr:from>
      <xdr:col>2</xdr:col>
      <xdr:colOff>612913</xdr:colOff>
      <xdr:row>30</xdr:row>
      <xdr:rowOff>149087</xdr:rowOff>
    </xdr:from>
    <xdr:ext cx="2319131" cy="2332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39AD29-2384-4E02-BB57-597CDEA51294}"/>
            </a:ext>
          </a:extLst>
        </xdr:cNvPr>
        <xdr:cNvSpPr txBox="1"/>
      </xdr:nvSpPr>
      <xdr:spPr>
        <a:xfrm>
          <a:off x="1391478" y="2816087"/>
          <a:ext cx="23191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900" b="1">
              <a:solidFill>
                <a:schemeClr val="accent1"/>
              </a:solidFill>
            </a:rPr>
            <a:t>Aportes por empleador Público Vs Privado</a:t>
          </a:r>
        </a:p>
      </xdr:txBody>
    </xdr:sp>
    <xdr:clientData/>
  </xdr:oneCellAnchor>
  <xdr:twoCellAnchor>
    <xdr:from>
      <xdr:col>1</xdr:col>
      <xdr:colOff>248478</xdr:colOff>
      <xdr:row>32</xdr:row>
      <xdr:rowOff>157370</xdr:rowOff>
    </xdr:from>
    <xdr:to>
      <xdr:col>6</xdr:col>
      <xdr:colOff>624594</xdr:colOff>
      <xdr:row>42</xdr:row>
      <xdr:rowOff>151510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4051458B-5699-4FA4-9F6F-034B73DDB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446942</xdr:colOff>
      <xdr:row>32</xdr:row>
      <xdr:rowOff>109987</xdr:rowOff>
    </xdr:from>
    <xdr:to>
      <xdr:col>3</xdr:col>
      <xdr:colOff>47069</xdr:colOff>
      <xdr:row>44</xdr:row>
      <xdr:rowOff>109904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432289</xdr:colOff>
      <xdr:row>1</xdr:row>
      <xdr:rowOff>131885</xdr:rowOff>
    </xdr:from>
    <xdr:to>
      <xdr:col>0</xdr:col>
      <xdr:colOff>1317338</xdr:colOff>
      <xdr:row>4</xdr:row>
      <xdr:rowOff>117231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289" y="322385"/>
          <a:ext cx="885049" cy="556846"/>
        </a:xfrm>
        <a:prstGeom prst="rect">
          <a:avLst/>
        </a:prstGeom>
      </xdr:spPr>
    </xdr:pic>
    <xdr:clientData/>
  </xdr:twoCellAnchor>
  <xdr:twoCellAnchor editAs="oneCell">
    <xdr:from>
      <xdr:col>2</xdr:col>
      <xdr:colOff>461596</xdr:colOff>
      <xdr:row>1</xdr:row>
      <xdr:rowOff>7327</xdr:rowOff>
    </xdr:from>
    <xdr:to>
      <xdr:col>4</xdr:col>
      <xdr:colOff>187571</xdr:colOff>
      <xdr:row>4</xdr:row>
      <xdr:rowOff>2557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23" y="197827"/>
          <a:ext cx="2246436" cy="557938"/>
        </a:xfrm>
        <a:prstGeom prst="rect">
          <a:avLst/>
        </a:prstGeom>
      </xdr:spPr>
    </xdr:pic>
    <xdr:clientData/>
  </xdr:twoCellAnchor>
  <xdr:twoCellAnchor>
    <xdr:from>
      <xdr:col>0</xdr:col>
      <xdr:colOff>385460</xdr:colOff>
      <xdr:row>18</xdr:row>
      <xdr:rowOff>139211</xdr:rowOff>
    </xdr:from>
    <xdr:to>
      <xdr:col>3</xdr:col>
      <xdr:colOff>282883</xdr:colOff>
      <xdr:row>30</xdr:row>
      <xdr:rowOff>146538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DB91C356-1ADB-40D5-9708-86727D3A8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/7.%20Estad&#237;sticas/Bolet&#237;n%20Estad&#237;stico%202023/T1/Matriz%20Estad&#237;stica%20Boleti&#769;n%20Trimestral%20OAI%20T1%20Prelimin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Adm."/>
      <sheetName val="Afiliados y Cotizantes"/>
      <sheetName val="Cotizantes"/>
      <sheetName val="Empleador"/>
      <sheetName val="Aportes"/>
      <sheetName val="Traspaso"/>
      <sheetName val="Presupuesto de Pensiones"/>
      <sheetName val="Nómina"/>
      <sheetName val="Autoseguro"/>
      <sheetName val="Movimientos"/>
      <sheetName val="Hoja1"/>
      <sheetName val="Tipo de Pension"/>
      <sheetName val="Modalidad"/>
      <sheetName val="Retroactivos"/>
      <sheetName val="Reintegros"/>
      <sheetName val="Créditos Rechazados"/>
      <sheetName val="Recuperación Fondos"/>
      <sheetName val="Servi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M7" t="str">
            <v>Monto</v>
          </cell>
        </row>
        <row r="9">
          <cell r="A9" t="str">
            <v>Marzo</v>
          </cell>
        </row>
        <row r="10">
          <cell r="A10" t="str">
            <v>Febrero</v>
          </cell>
        </row>
        <row r="11">
          <cell r="A11" t="str">
            <v>Enero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O71"/>
  <sheetViews>
    <sheetView showGridLines="0" zoomScale="85" zoomScaleNormal="85" workbookViewId="0">
      <selection activeCell="E74" sqref="E74"/>
    </sheetView>
  </sheetViews>
  <sheetFormatPr baseColWidth="10" defaultColWidth="11.42578125" defaultRowHeight="15" x14ac:dyDescent="0.25"/>
  <cols>
    <col min="1" max="1" width="7.28515625" style="1" customWidth="1"/>
    <col min="2" max="2" width="11.7109375" style="1" customWidth="1"/>
    <col min="3" max="3" width="21" style="1" bestFit="1" customWidth="1"/>
    <col min="4" max="4" width="16.28515625" style="1" bestFit="1" customWidth="1"/>
    <col min="5" max="5" width="11.5703125" style="1" bestFit="1" customWidth="1"/>
    <col min="6" max="6" width="15" style="1" bestFit="1" customWidth="1"/>
    <col min="7" max="7" width="11.42578125" style="1" bestFit="1" customWidth="1"/>
    <col min="8" max="10" width="11.42578125" style="1"/>
    <col min="11" max="12" width="13.85546875" style="1" bestFit="1" customWidth="1"/>
    <col min="13" max="13" width="11.42578125" style="1"/>
    <col min="14" max="14" width="12.7109375" style="1" bestFit="1" customWidth="1"/>
    <col min="15" max="16384" width="11.42578125" style="1"/>
  </cols>
  <sheetData>
    <row r="1" spans="2:15" x14ac:dyDescent="0.25">
      <c r="B1" s="639" t="s">
        <v>0</v>
      </c>
      <c r="C1" s="639"/>
      <c r="D1" s="639"/>
      <c r="E1" s="639"/>
      <c r="F1" s="639"/>
      <c r="G1" s="639"/>
    </row>
    <row r="2" spans="2:15" x14ac:dyDescent="0.25">
      <c r="B2" s="639" t="s">
        <v>1</v>
      </c>
      <c r="C2" s="639"/>
      <c r="D2" s="639"/>
      <c r="E2" s="639"/>
      <c r="F2" s="639"/>
      <c r="G2" s="639"/>
    </row>
    <row r="3" spans="2:15" x14ac:dyDescent="0.25">
      <c r="B3" s="639" t="s">
        <v>2</v>
      </c>
      <c r="C3" s="639"/>
      <c r="D3" s="639"/>
      <c r="E3" s="639"/>
      <c r="F3" s="639"/>
      <c r="G3" s="639"/>
    </row>
    <row r="4" spans="2:15" x14ac:dyDescent="0.25">
      <c r="B4" s="639" t="s">
        <v>275</v>
      </c>
      <c r="C4" s="639"/>
      <c r="D4" s="639"/>
      <c r="E4" s="639"/>
      <c r="F4" s="639"/>
      <c r="G4" s="639"/>
    </row>
    <row r="5" spans="2:15" x14ac:dyDescent="0.25">
      <c r="B5" s="639" t="s">
        <v>3</v>
      </c>
      <c r="C5" s="639"/>
      <c r="D5" s="639"/>
      <c r="E5" s="639"/>
      <c r="F5" s="639"/>
      <c r="G5" s="639"/>
    </row>
    <row r="6" spans="2:15" x14ac:dyDescent="0.25">
      <c r="B6" s="638" t="s">
        <v>4</v>
      </c>
      <c r="C6" s="638" t="s">
        <v>5</v>
      </c>
      <c r="D6" s="638" t="s">
        <v>6</v>
      </c>
      <c r="E6" s="638"/>
      <c r="F6" s="638" t="s">
        <v>7</v>
      </c>
      <c r="G6" s="638"/>
    </row>
    <row r="7" spans="2:15" ht="11.25" customHeight="1" x14ac:dyDescent="0.25">
      <c r="B7" s="638"/>
      <c r="C7" s="638"/>
      <c r="D7" s="638"/>
      <c r="E7" s="638"/>
      <c r="F7" s="638"/>
      <c r="G7" s="638"/>
    </row>
    <row r="8" spans="2:15" ht="14.25" customHeight="1" x14ac:dyDescent="0.25">
      <c r="B8" s="455"/>
      <c r="C8" s="398" t="s">
        <v>8</v>
      </c>
      <c r="D8" s="398" t="s">
        <v>9</v>
      </c>
      <c r="E8" s="398" t="s">
        <v>10</v>
      </c>
      <c r="F8" s="558" t="s">
        <v>9</v>
      </c>
      <c r="G8" s="398" t="s">
        <v>10</v>
      </c>
      <c r="H8"/>
      <c r="I8"/>
    </row>
    <row r="9" spans="2:15" ht="14.25" hidden="1" customHeight="1" x14ac:dyDescent="0.25">
      <c r="B9" s="559" t="s">
        <v>11</v>
      </c>
      <c r="C9" s="95"/>
      <c r="D9" s="95"/>
      <c r="E9" s="560" t="e">
        <f>D9/C9</f>
        <v>#DIV/0!</v>
      </c>
      <c r="F9" s="561">
        <f>C9-D9</f>
        <v>0</v>
      </c>
      <c r="G9" s="560" t="e">
        <f>F9/C9</f>
        <v>#DIV/0!</v>
      </c>
      <c r="H9"/>
      <c r="I9"/>
    </row>
    <row r="10" spans="2:15" ht="14.25" customHeight="1" x14ac:dyDescent="0.25">
      <c r="B10" s="283" t="s">
        <v>22</v>
      </c>
      <c r="C10" s="299">
        <v>39815559.490000002</v>
      </c>
      <c r="D10" s="296">
        <v>36833199.960000001</v>
      </c>
      <c r="E10" s="282">
        <v>0.92509562672982038</v>
      </c>
      <c r="F10" s="296">
        <v>2982359.5300000012</v>
      </c>
      <c r="G10" s="282">
        <v>7.4904373270179583E-2</v>
      </c>
      <c r="H10"/>
      <c r="I10"/>
      <c r="J10"/>
      <c r="K10"/>
      <c r="L10"/>
      <c r="M10"/>
      <c r="N10"/>
      <c r="O10"/>
    </row>
    <row r="11" spans="2:15" ht="14.25" customHeight="1" x14ac:dyDescent="0.25">
      <c r="B11" s="283" t="s">
        <v>21</v>
      </c>
      <c r="C11" s="296">
        <v>41852228.189999998</v>
      </c>
      <c r="D11" s="296">
        <v>41137661.049999997</v>
      </c>
      <c r="E11" s="282">
        <v>0.98292642540425756</v>
      </c>
      <c r="F11" s="296">
        <v>714567.1400000006</v>
      </c>
      <c r="G11" s="282">
        <v>1.7073574595742463E-2</v>
      </c>
      <c r="H11"/>
      <c r="I11"/>
      <c r="J11"/>
      <c r="K11"/>
      <c r="L11"/>
      <c r="M11"/>
      <c r="N11"/>
      <c r="O11"/>
    </row>
    <row r="12" spans="2:15" ht="14.25" customHeight="1" x14ac:dyDescent="0.25">
      <c r="B12" s="283" t="s">
        <v>20</v>
      </c>
      <c r="C12" s="296">
        <v>38332228.189999998</v>
      </c>
      <c r="D12" s="296">
        <v>36968296.219999999</v>
      </c>
      <c r="E12" s="282">
        <v>0.96441814018116956</v>
      </c>
      <c r="F12" s="296">
        <v>1363931.9699999988</v>
      </c>
      <c r="G12" s="282">
        <v>3.55818598188304E-2</v>
      </c>
      <c r="H12"/>
      <c r="I12"/>
      <c r="J12"/>
      <c r="K12"/>
      <c r="L12"/>
      <c r="M12"/>
      <c r="N12"/>
      <c r="O12"/>
    </row>
    <row r="13" spans="2:15" ht="19.5" customHeight="1" x14ac:dyDescent="0.25">
      <c r="B13" s="284" t="s">
        <v>23</v>
      </c>
      <c r="C13" s="297">
        <f>SUM(C10:C12)</f>
        <v>120000015.87</v>
      </c>
      <c r="D13" s="297">
        <f>SUM(D10:D12)</f>
        <v>114939157.22999999</v>
      </c>
      <c r="E13" s="285">
        <f>(D13/C13)</f>
        <v>0.95782618357748706</v>
      </c>
      <c r="F13" s="297">
        <f>SUM(F10:F12)</f>
        <v>5060858.6400000006</v>
      </c>
      <c r="G13" s="286">
        <f>(F13/C13)</f>
        <v>4.2173816422512785E-2</v>
      </c>
      <c r="H13" s="61"/>
      <c r="I13"/>
      <c r="J13"/>
      <c r="K13"/>
      <c r="L13"/>
      <c r="M13"/>
      <c r="N13"/>
      <c r="O13"/>
    </row>
    <row r="14" spans="2:15" ht="14.25" hidden="1" customHeight="1" x14ac:dyDescent="0.25">
      <c r="B14" s="70" t="s">
        <v>16</v>
      </c>
      <c r="C14" s="104">
        <v>37653391.100000001</v>
      </c>
      <c r="D14" s="104">
        <v>38913006.759999998</v>
      </c>
      <c r="E14" s="159">
        <f>+D14/C14</f>
        <v>1.0334529141520004</v>
      </c>
      <c r="F14" s="137">
        <f>+C14-D14</f>
        <v>-1259615.6599999964</v>
      </c>
      <c r="G14" s="4">
        <f>(F14/C14)</f>
        <v>-3.3452914152000413E-2</v>
      </c>
      <c r="H14"/>
      <c r="I14"/>
      <c r="J14" s="300" t="s">
        <v>20</v>
      </c>
      <c r="K14" s="298">
        <v>38332228.189999998</v>
      </c>
      <c r="L14" s="299">
        <v>36968296.219999999</v>
      </c>
      <c r="M14" s="301">
        <f t="shared" ref="M14:M32" si="0">+L14/K14</f>
        <v>0.96441814018116956</v>
      </c>
      <c r="N14" s="302">
        <f t="shared" ref="N14:N32" si="1">+K14-L14</f>
        <v>1363931.9699999988</v>
      </c>
      <c r="O14" s="303">
        <f>(N14/K14)</f>
        <v>3.55818598188304E-2</v>
      </c>
    </row>
    <row r="15" spans="2:15" ht="14.25" hidden="1" customHeight="1" x14ac:dyDescent="0.25">
      <c r="B15" s="70" t="s">
        <v>17</v>
      </c>
      <c r="C15" s="104">
        <v>33544691.100000001</v>
      </c>
      <c r="D15" s="104">
        <v>33205275.879999999</v>
      </c>
      <c r="E15" s="159">
        <f>+D15/C15</f>
        <v>0.9898817008334293</v>
      </c>
      <c r="F15" s="137">
        <f>+C15-D15</f>
        <v>339415.22000000253</v>
      </c>
      <c r="G15" s="4">
        <f>(F15/C15)</f>
        <v>1.0118299166570728E-2</v>
      </c>
      <c r="H15"/>
      <c r="I15"/>
      <c r="J15" s="300" t="s">
        <v>21</v>
      </c>
      <c r="K15" s="298">
        <v>41852228.189999998</v>
      </c>
      <c r="L15" s="62">
        <v>41137661.049999997</v>
      </c>
      <c r="M15" s="301">
        <f>+L15/K15</f>
        <v>0.98292642540425756</v>
      </c>
      <c r="N15" s="302">
        <f t="shared" si="1"/>
        <v>714567.1400000006</v>
      </c>
      <c r="O15" s="303">
        <f t="shared" ref="O15:O32" si="2">(N15/K15)</f>
        <v>1.7073574595742463E-2</v>
      </c>
    </row>
    <row r="16" spans="2:15" ht="14.25" hidden="1" customHeight="1" x14ac:dyDescent="0.25">
      <c r="B16" s="70" t="s">
        <v>18</v>
      </c>
      <c r="C16" s="104">
        <v>33294691.100000001</v>
      </c>
      <c r="D16" s="104">
        <v>32763928.640000001</v>
      </c>
      <c r="E16" s="159">
        <f>+D16/C16</f>
        <v>0.98405864591427306</v>
      </c>
      <c r="F16" s="137">
        <f>+C16-D16</f>
        <v>530762.46000000089</v>
      </c>
      <c r="G16" s="4">
        <f>(F16/C16)</f>
        <v>1.5941354085726923E-2</v>
      </c>
      <c r="H16"/>
      <c r="I16"/>
      <c r="J16" s="300" t="s">
        <v>22</v>
      </c>
      <c r="K16" s="298">
        <v>39815559.490000002</v>
      </c>
      <c r="L16" s="62">
        <v>36833199.960000001</v>
      </c>
      <c r="M16" s="301">
        <f t="shared" si="0"/>
        <v>0.92509562672982038</v>
      </c>
      <c r="N16" s="302">
        <f t="shared" si="1"/>
        <v>2982359.5300000012</v>
      </c>
      <c r="O16" s="303">
        <f t="shared" si="2"/>
        <v>7.4904373270179583E-2</v>
      </c>
    </row>
    <row r="17" spans="2:15" hidden="1" x14ac:dyDescent="0.25">
      <c r="B17" s="97" t="s">
        <v>19</v>
      </c>
      <c r="C17" s="8">
        <f>SUM(C9:C16)</f>
        <v>344492805.04000008</v>
      </c>
      <c r="D17" s="8">
        <f>SUM(D9:D16)</f>
        <v>334760525.73999995</v>
      </c>
      <c r="E17" s="164">
        <f>(D17/C17)</f>
        <v>0.97174896207521644</v>
      </c>
      <c r="F17" s="138">
        <f>SUM(F9:F16)</f>
        <v>9732279.3000000082</v>
      </c>
      <c r="G17" s="163">
        <f>(F17/C17)</f>
        <v>2.825103792478326E-2</v>
      </c>
      <c r="H17"/>
      <c r="I17"/>
      <c r="J17" s="304" t="s">
        <v>23</v>
      </c>
      <c r="K17" s="305">
        <f>SUM(K14:K16)</f>
        <v>120000015.87</v>
      </c>
      <c r="L17" s="306">
        <f>SUM(L14:L16)</f>
        <v>114939157.22999999</v>
      </c>
      <c r="M17" s="307">
        <f>(L17/K17)</f>
        <v>0.95782618357748706</v>
      </c>
      <c r="N17" s="308">
        <f>SUM(N14:N16)</f>
        <v>5060858.6400000006</v>
      </c>
      <c r="O17" s="309">
        <f>(N17/K17)</f>
        <v>4.2173816422512785E-2</v>
      </c>
    </row>
    <row r="18" spans="2:15" hidden="1" x14ac:dyDescent="0.25">
      <c r="B18" s="70" t="s">
        <v>14</v>
      </c>
      <c r="C18" s="98"/>
      <c r="D18" s="99"/>
      <c r="E18" s="2" t="e">
        <f t="shared" ref="E18:E29" si="3">+D18/C18</f>
        <v>#DIV/0!</v>
      </c>
      <c r="F18" s="100"/>
      <c r="G18" s="4" t="e">
        <f t="shared" ref="G18:G29" si="4">(F18/C18)</f>
        <v>#DIV/0!</v>
      </c>
      <c r="H18"/>
      <c r="I18"/>
      <c r="J18" s="300" t="s">
        <v>20</v>
      </c>
      <c r="K18" s="298">
        <v>38332228.189999998</v>
      </c>
      <c r="L18" s="299">
        <v>36968296.219999999</v>
      </c>
      <c r="M18" s="301">
        <f t="shared" si="0"/>
        <v>0.96441814018116956</v>
      </c>
      <c r="N18" s="302">
        <f t="shared" si="1"/>
        <v>1363931.9699999988</v>
      </c>
      <c r="O18" s="303">
        <f>(N18/K18)</f>
        <v>3.55818598188304E-2</v>
      </c>
    </row>
    <row r="19" spans="2:15" hidden="1" x14ac:dyDescent="0.25">
      <c r="B19" s="70" t="s">
        <v>13</v>
      </c>
      <c r="C19" s="98"/>
      <c r="D19" s="99"/>
      <c r="E19" s="2" t="e">
        <f t="shared" si="3"/>
        <v>#DIV/0!</v>
      </c>
      <c r="F19" s="100"/>
      <c r="G19" s="4" t="e">
        <f t="shared" si="4"/>
        <v>#DIV/0!</v>
      </c>
      <c r="H19"/>
      <c r="I19"/>
      <c r="J19" s="300" t="s">
        <v>21</v>
      </c>
      <c r="K19" s="298">
        <v>41852228.189999998</v>
      </c>
      <c r="L19" s="62">
        <v>41137661.049999997</v>
      </c>
      <c r="M19" s="301">
        <f>+L19/K19</f>
        <v>0.98292642540425756</v>
      </c>
      <c r="N19" s="302">
        <f t="shared" si="1"/>
        <v>714567.1400000006</v>
      </c>
      <c r="O19" s="303">
        <f t="shared" si="2"/>
        <v>1.7073574595742463E-2</v>
      </c>
    </row>
    <row r="20" spans="2:15" hidden="1" x14ac:dyDescent="0.25">
      <c r="B20" s="70" t="s">
        <v>12</v>
      </c>
      <c r="C20" s="98"/>
      <c r="D20" s="99"/>
      <c r="E20" s="2" t="e">
        <f t="shared" si="3"/>
        <v>#DIV/0!</v>
      </c>
      <c r="F20" s="100"/>
      <c r="G20" s="4" t="e">
        <f t="shared" si="4"/>
        <v>#DIV/0!</v>
      </c>
      <c r="H20"/>
      <c r="I20"/>
      <c r="J20" s="300" t="s">
        <v>22</v>
      </c>
      <c r="K20" s="298">
        <v>39815559.490000002</v>
      </c>
      <c r="L20" s="62">
        <v>36833199.960000001</v>
      </c>
      <c r="M20" s="301">
        <f t="shared" si="0"/>
        <v>0.92509562672982038</v>
      </c>
      <c r="N20" s="302">
        <f t="shared" si="1"/>
        <v>2982359.5300000012</v>
      </c>
      <c r="O20" s="303">
        <f t="shared" si="2"/>
        <v>7.4904373270179583E-2</v>
      </c>
    </row>
    <row r="21" spans="2:15" hidden="1" x14ac:dyDescent="0.25">
      <c r="B21" s="97" t="s">
        <v>15</v>
      </c>
      <c r="C21" s="8">
        <f>SUM(C18:C20)</f>
        <v>0</v>
      </c>
      <c r="D21" s="8">
        <f>SUM(D18:D20)</f>
        <v>0</v>
      </c>
      <c r="E21" s="3" t="e">
        <f>(D21/C21)</f>
        <v>#DIV/0!</v>
      </c>
      <c r="F21" s="9">
        <f>SUM(F18:F20)</f>
        <v>0</v>
      </c>
      <c r="G21" s="5" t="e">
        <f>(F21/C21)</f>
        <v>#DIV/0!</v>
      </c>
      <c r="H21"/>
      <c r="I21"/>
      <c r="J21" s="304" t="s">
        <v>23</v>
      </c>
      <c r="K21" s="305">
        <f>SUM(K18:K20)</f>
        <v>120000015.87</v>
      </c>
      <c r="L21" s="306">
        <f>SUM(L18:L20)</f>
        <v>114939157.22999999</v>
      </c>
      <c r="M21" s="307">
        <f>(L21/K21)</f>
        <v>0.95782618357748706</v>
      </c>
      <c r="N21" s="308">
        <f>SUM(N18:N20)</f>
        <v>5060858.6400000006</v>
      </c>
      <c r="O21" s="309">
        <f>(N21/K21)</f>
        <v>4.2173816422512785E-2</v>
      </c>
    </row>
    <row r="22" spans="2:15" hidden="1" x14ac:dyDescent="0.25">
      <c r="B22" s="70" t="s">
        <v>20</v>
      </c>
      <c r="C22" s="98"/>
      <c r="D22" s="99"/>
      <c r="E22" s="2" t="e">
        <f t="shared" si="3"/>
        <v>#DIV/0!</v>
      </c>
      <c r="F22" s="100"/>
      <c r="G22" s="4" t="e">
        <f t="shared" si="4"/>
        <v>#DIV/0!</v>
      </c>
      <c r="H22"/>
      <c r="I22"/>
      <c r="J22" s="300" t="s">
        <v>20</v>
      </c>
      <c r="K22" s="298">
        <v>38332228.189999998</v>
      </c>
      <c r="L22" s="299">
        <v>36968296.219999999</v>
      </c>
      <c r="M22" s="301">
        <f t="shared" si="0"/>
        <v>0.96441814018116956</v>
      </c>
      <c r="N22" s="302">
        <f t="shared" si="1"/>
        <v>1363931.9699999988</v>
      </c>
      <c r="O22" s="303">
        <f>(N22/K22)</f>
        <v>3.55818598188304E-2</v>
      </c>
    </row>
    <row r="23" spans="2:15" hidden="1" x14ac:dyDescent="0.25">
      <c r="B23" s="70" t="s">
        <v>21</v>
      </c>
      <c r="C23" s="98"/>
      <c r="D23" s="99"/>
      <c r="E23" s="2" t="e">
        <f t="shared" si="3"/>
        <v>#DIV/0!</v>
      </c>
      <c r="F23" s="100"/>
      <c r="G23" s="4" t="e">
        <f t="shared" si="4"/>
        <v>#DIV/0!</v>
      </c>
      <c r="H23"/>
      <c r="I23"/>
      <c r="J23" s="300" t="s">
        <v>21</v>
      </c>
      <c r="K23" s="298">
        <v>41852228.189999998</v>
      </c>
      <c r="L23" s="62">
        <v>41137661.049999997</v>
      </c>
      <c r="M23" s="301">
        <f>+L23/K23</f>
        <v>0.98292642540425756</v>
      </c>
      <c r="N23" s="302">
        <f t="shared" si="1"/>
        <v>714567.1400000006</v>
      </c>
      <c r="O23" s="303">
        <f t="shared" si="2"/>
        <v>1.7073574595742463E-2</v>
      </c>
    </row>
    <row r="24" spans="2:15" hidden="1" x14ac:dyDescent="0.25">
      <c r="B24" s="70" t="s">
        <v>22</v>
      </c>
      <c r="C24" s="98"/>
      <c r="D24" s="99"/>
      <c r="E24" s="2" t="e">
        <f t="shared" si="3"/>
        <v>#DIV/0!</v>
      </c>
      <c r="F24" s="100"/>
      <c r="G24" s="4" t="e">
        <f t="shared" si="4"/>
        <v>#DIV/0!</v>
      </c>
      <c r="H24"/>
      <c r="I24"/>
      <c r="J24" s="300" t="s">
        <v>22</v>
      </c>
      <c r="K24" s="298">
        <v>39815559.490000002</v>
      </c>
      <c r="L24" s="62">
        <v>36833199.960000001</v>
      </c>
      <c r="M24" s="301">
        <f t="shared" si="0"/>
        <v>0.92509562672982038</v>
      </c>
      <c r="N24" s="302">
        <f t="shared" si="1"/>
        <v>2982359.5300000012</v>
      </c>
      <c r="O24" s="303">
        <f t="shared" si="2"/>
        <v>7.4904373270179583E-2</v>
      </c>
    </row>
    <row r="25" spans="2:15" hidden="1" x14ac:dyDescent="0.25">
      <c r="B25" s="97" t="s">
        <v>23</v>
      </c>
      <c r="C25" s="8">
        <f>SUM(C22:C24)</f>
        <v>0</v>
      </c>
      <c r="D25" s="8">
        <f>SUM(D22:D24)</f>
        <v>0</v>
      </c>
      <c r="E25" s="3" t="e">
        <f>(D25/C25)</f>
        <v>#DIV/0!</v>
      </c>
      <c r="F25" s="9">
        <f>SUM(F22:F24)</f>
        <v>0</v>
      </c>
      <c r="G25" s="5" t="e">
        <f>(F25/C25)</f>
        <v>#DIV/0!</v>
      </c>
      <c r="H25"/>
      <c r="I25"/>
      <c r="J25" s="304" t="s">
        <v>23</v>
      </c>
      <c r="K25" s="305">
        <f>SUM(K22:K24)</f>
        <v>120000015.87</v>
      </c>
      <c r="L25" s="306">
        <f>SUM(L22:L24)</f>
        <v>114939157.22999999</v>
      </c>
      <c r="M25" s="307">
        <f>(L25/K25)</f>
        <v>0.95782618357748706</v>
      </c>
      <c r="N25" s="308">
        <f>SUM(N22:N24)</f>
        <v>5060858.6400000006</v>
      </c>
      <c r="O25" s="309">
        <f>(N25/K25)</f>
        <v>4.2173816422512785E-2</v>
      </c>
    </row>
    <row r="26" spans="2:15" hidden="1" x14ac:dyDescent="0.25">
      <c r="B26" s="70" t="s">
        <v>24</v>
      </c>
      <c r="C26" s="98"/>
      <c r="D26" s="99"/>
      <c r="E26" s="2" t="e">
        <f t="shared" si="3"/>
        <v>#DIV/0!</v>
      </c>
      <c r="F26" s="100"/>
      <c r="G26" s="4" t="e">
        <f t="shared" si="4"/>
        <v>#DIV/0!</v>
      </c>
      <c r="H26"/>
      <c r="I26"/>
      <c r="J26" s="300" t="s">
        <v>20</v>
      </c>
      <c r="K26" s="298">
        <v>38332228.189999998</v>
      </c>
      <c r="L26" s="299">
        <v>36968296.219999999</v>
      </c>
      <c r="M26" s="301">
        <f t="shared" si="0"/>
        <v>0.96441814018116956</v>
      </c>
      <c r="N26" s="302">
        <f t="shared" si="1"/>
        <v>1363931.9699999988</v>
      </c>
      <c r="O26" s="303">
        <f>(N26/K26)</f>
        <v>3.55818598188304E-2</v>
      </c>
    </row>
    <row r="27" spans="2:15" hidden="1" x14ac:dyDescent="0.25">
      <c r="B27" s="70" t="s">
        <v>25</v>
      </c>
      <c r="C27" s="98"/>
      <c r="D27" s="99"/>
      <c r="E27" s="2" t="e">
        <f t="shared" si="3"/>
        <v>#DIV/0!</v>
      </c>
      <c r="F27" s="100"/>
      <c r="G27" s="4" t="e">
        <f t="shared" si="4"/>
        <v>#DIV/0!</v>
      </c>
      <c r="H27"/>
      <c r="I27"/>
      <c r="J27" s="300" t="s">
        <v>21</v>
      </c>
      <c r="K27" s="298">
        <v>41852228.189999998</v>
      </c>
      <c r="L27" s="62">
        <v>41137661.049999997</v>
      </c>
      <c r="M27" s="301">
        <f>+L27/K27</f>
        <v>0.98292642540425756</v>
      </c>
      <c r="N27" s="302">
        <f t="shared" si="1"/>
        <v>714567.1400000006</v>
      </c>
      <c r="O27" s="303">
        <f t="shared" si="2"/>
        <v>1.7073574595742463E-2</v>
      </c>
    </row>
    <row r="28" spans="2:15" hidden="1" x14ac:dyDescent="0.25">
      <c r="B28" s="70" t="s">
        <v>26</v>
      </c>
      <c r="C28" s="98"/>
      <c r="D28" s="99"/>
      <c r="E28" s="2" t="e">
        <f t="shared" si="3"/>
        <v>#DIV/0!</v>
      </c>
      <c r="F28" s="100"/>
      <c r="G28" s="4" t="e">
        <f t="shared" si="4"/>
        <v>#DIV/0!</v>
      </c>
      <c r="H28"/>
      <c r="I28"/>
      <c r="J28" s="300" t="s">
        <v>22</v>
      </c>
      <c r="K28" s="298">
        <v>39815559.490000002</v>
      </c>
      <c r="L28" s="62">
        <v>36833199.960000001</v>
      </c>
      <c r="M28" s="301">
        <f t="shared" si="0"/>
        <v>0.92509562672982038</v>
      </c>
      <c r="N28" s="302">
        <f t="shared" si="1"/>
        <v>2982359.5300000012</v>
      </c>
      <c r="O28" s="303">
        <f t="shared" si="2"/>
        <v>7.4904373270179583E-2</v>
      </c>
    </row>
    <row r="29" spans="2:15" hidden="1" x14ac:dyDescent="0.25">
      <c r="B29" s="70" t="s">
        <v>11</v>
      </c>
      <c r="C29" s="98"/>
      <c r="D29" s="99"/>
      <c r="E29" s="2" t="e">
        <f t="shared" si="3"/>
        <v>#DIV/0!</v>
      </c>
      <c r="F29" s="100"/>
      <c r="G29" s="4" t="e">
        <f t="shared" si="4"/>
        <v>#DIV/0!</v>
      </c>
      <c r="H29"/>
      <c r="I29"/>
      <c r="J29" s="304" t="s">
        <v>23</v>
      </c>
      <c r="K29" s="305">
        <f>SUM(K26:K28)</f>
        <v>120000015.87</v>
      </c>
      <c r="L29" s="306">
        <f>SUM(L26:L28)</f>
        <v>114939157.22999999</v>
      </c>
      <c r="M29" s="307">
        <f>(L29/K29)</f>
        <v>0.95782618357748706</v>
      </c>
      <c r="N29" s="308">
        <f>SUM(N26:N28)</f>
        <v>5060858.6400000006</v>
      </c>
      <c r="O29" s="309">
        <f>(N29/K29)</f>
        <v>4.2173816422512785E-2</v>
      </c>
    </row>
    <row r="30" spans="2:15" hidden="1" x14ac:dyDescent="0.25">
      <c r="B30" s="97" t="s">
        <v>27</v>
      </c>
      <c r="C30" s="8">
        <f>SUM(C26:C29)</f>
        <v>0</v>
      </c>
      <c r="D30" s="8">
        <f>SUM(D26:D29)</f>
        <v>0</v>
      </c>
      <c r="E30" s="3" t="e">
        <f>(D30/C30)</f>
        <v>#DIV/0!</v>
      </c>
      <c r="F30" s="9">
        <f>SUM(F26:F29)</f>
        <v>0</v>
      </c>
      <c r="G30" s="5" t="e">
        <f>(F30/C30)</f>
        <v>#DIV/0!</v>
      </c>
      <c r="H30"/>
      <c r="I30"/>
      <c r="J30" s="300" t="s">
        <v>20</v>
      </c>
      <c r="K30" s="298">
        <v>38332228.189999998</v>
      </c>
      <c r="L30" s="299">
        <v>36968296.219999999</v>
      </c>
      <c r="M30" s="301">
        <f t="shared" si="0"/>
        <v>0.96441814018116956</v>
      </c>
      <c r="N30" s="302">
        <f t="shared" si="1"/>
        <v>1363931.9699999988</v>
      </c>
      <c r="O30" s="303">
        <f>(N30/K30)</f>
        <v>3.55818598188304E-2</v>
      </c>
    </row>
    <row r="31" spans="2:15" hidden="1" x14ac:dyDescent="0.25">
      <c r="B31" s="101" t="s">
        <v>28</v>
      </c>
      <c r="C31" s="10">
        <f>+C17+C21+C25+C30</f>
        <v>344492805.04000008</v>
      </c>
      <c r="D31" s="10">
        <f>+D17+D21+D25+D30</f>
        <v>334760525.73999995</v>
      </c>
      <c r="E31" s="7">
        <f>(D31/C31)</f>
        <v>0.97174896207521644</v>
      </c>
      <c r="F31" s="11">
        <f>+F17+F21+F25+F30</f>
        <v>9732279.3000000082</v>
      </c>
      <c r="G31" s="6">
        <f>(F31/C31)</f>
        <v>2.825103792478326E-2</v>
      </c>
      <c r="H31"/>
      <c r="I31"/>
      <c r="J31" s="300" t="s">
        <v>21</v>
      </c>
      <c r="K31" s="298">
        <v>41852228.189999998</v>
      </c>
      <c r="L31" s="62">
        <v>41137661.049999997</v>
      </c>
      <c r="M31" s="301">
        <f>+L31/K31</f>
        <v>0.98292642540425756</v>
      </c>
      <c r="N31" s="302">
        <f t="shared" si="1"/>
        <v>714567.1400000006</v>
      </c>
      <c r="O31" s="303">
        <f t="shared" si="2"/>
        <v>1.7073574595742463E-2</v>
      </c>
    </row>
    <row r="32" spans="2:15" ht="15.75" hidden="1" customHeight="1" x14ac:dyDescent="0.25">
      <c r="B32" s="634"/>
      <c r="C32" s="635"/>
      <c r="D32" s="635"/>
      <c r="E32" s="635"/>
      <c r="F32" s="635"/>
      <c r="G32" s="635"/>
      <c r="H32"/>
      <c r="I32"/>
      <c r="J32" s="300" t="s">
        <v>22</v>
      </c>
      <c r="K32" s="298">
        <v>39815559.490000002</v>
      </c>
      <c r="L32" s="62">
        <v>36833199.960000001</v>
      </c>
      <c r="M32" s="301">
        <f t="shared" si="0"/>
        <v>0.92509562672982038</v>
      </c>
      <c r="N32" s="302">
        <f t="shared" si="1"/>
        <v>2982359.5300000012</v>
      </c>
      <c r="O32" s="303">
        <f t="shared" si="2"/>
        <v>7.4904373270179583E-2</v>
      </c>
    </row>
    <row r="33" spans="2:9" ht="12.75" customHeight="1" x14ac:dyDescent="0.25">
      <c r="B33" s="636" t="s">
        <v>29</v>
      </c>
      <c r="C33" s="637"/>
      <c r="D33" s="637"/>
      <c r="E33" s="637"/>
      <c r="F33" s="637"/>
      <c r="G33" s="637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3" spans="2:9" x14ac:dyDescent="0.25">
      <c r="B53" s="70"/>
      <c r="C53" s="95"/>
      <c r="D53" s="95"/>
      <c r="E53" s="2"/>
      <c r="F53" s="96"/>
      <c r="G53" s="4"/>
    </row>
    <row r="54" spans="2:9" ht="2.25" customHeight="1" x14ac:dyDescent="0.25"/>
    <row r="55" spans="2:9" hidden="1" x14ac:dyDescent="0.25"/>
    <row r="56" spans="2:9" hidden="1" x14ac:dyDescent="0.25"/>
    <row r="57" spans="2:9" hidden="1" x14ac:dyDescent="0.25"/>
    <row r="58" spans="2:9" hidden="1" x14ac:dyDescent="0.25"/>
    <row r="59" spans="2:9" hidden="1" x14ac:dyDescent="0.25"/>
    <row r="60" spans="2:9" hidden="1" x14ac:dyDescent="0.25"/>
    <row r="61" spans="2:9" hidden="1" x14ac:dyDescent="0.25"/>
    <row r="62" spans="2:9" hidden="1" x14ac:dyDescent="0.25"/>
    <row r="63" spans="2:9" hidden="1" x14ac:dyDescent="0.25"/>
    <row r="64" spans="2:9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mergeCells count="11">
    <mergeCell ref="B32:G32"/>
    <mergeCell ref="B33:G33"/>
    <mergeCell ref="C6:C7"/>
    <mergeCell ref="B6:B7"/>
    <mergeCell ref="B1:G1"/>
    <mergeCell ref="B2:G2"/>
    <mergeCell ref="B3:G3"/>
    <mergeCell ref="B5:G5"/>
    <mergeCell ref="D6:E7"/>
    <mergeCell ref="F6:G7"/>
    <mergeCell ref="B4:G4"/>
  </mergeCells>
  <pageMargins left="0.7" right="0.7" top="0.75" bottom="0.75" header="0.3" footer="0.3"/>
  <pageSetup paperSize="9" scale="97" orientation="portrait" r:id="rId1"/>
  <ignoredErrors>
    <ignoredError sqref="F15" unlockedFormula="1"/>
    <ignoredError sqref="E1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B1:R61"/>
  <sheetViews>
    <sheetView showGridLines="0" zoomScale="85" zoomScaleNormal="85" workbookViewId="0">
      <selection activeCell="D55" sqref="D55"/>
    </sheetView>
  </sheetViews>
  <sheetFormatPr baseColWidth="10" defaultColWidth="11.42578125" defaultRowHeight="15" x14ac:dyDescent="0.25"/>
  <cols>
    <col min="1" max="1" width="11.42578125" style="1"/>
    <col min="2" max="2" width="12.28515625" style="1" bestFit="1" customWidth="1"/>
    <col min="3" max="3" width="7.28515625" style="1" customWidth="1"/>
    <col min="4" max="4" width="17.42578125" style="1" bestFit="1" customWidth="1"/>
    <col min="5" max="5" width="7.42578125" style="1" customWidth="1"/>
    <col min="6" max="6" width="12.42578125" style="1" bestFit="1" customWidth="1"/>
    <col min="7" max="7" width="7.140625" style="1" customWidth="1"/>
    <col min="8" max="8" width="12.42578125" style="1" bestFit="1" customWidth="1"/>
    <col min="9" max="9" width="11" style="1" bestFit="1" customWidth="1"/>
    <col min="10" max="10" width="15.85546875" style="1" bestFit="1" customWidth="1"/>
    <col min="11" max="11" width="7.28515625" style="1" customWidth="1"/>
    <col min="12" max="12" width="17.42578125" style="1" bestFit="1" customWidth="1"/>
    <col min="13" max="13" width="6.5703125" style="1" customWidth="1"/>
    <col min="14" max="14" width="16.28515625" style="1" bestFit="1" customWidth="1"/>
    <col min="15" max="15" width="8" style="1" customWidth="1"/>
    <col min="16" max="16" width="18.28515625" style="1" bestFit="1" customWidth="1"/>
    <col min="17" max="16384" width="11.42578125" style="1"/>
  </cols>
  <sheetData>
    <row r="1" spans="2:18" x14ac:dyDescent="0.25">
      <c r="B1" s="639" t="s">
        <v>0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2:18" x14ac:dyDescent="0.25">
      <c r="B2" s="639" t="s">
        <v>69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2:18" x14ac:dyDescent="0.25">
      <c r="B3" s="639" t="s">
        <v>106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</row>
    <row r="4" spans="2:18" x14ac:dyDescent="0.25">
      <c r="B4" s="639" t="s">
        <v>275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21"/>
      <c r="R4" s="21"/>
    </row>
    <row r="5" spans="2:18" x14ac:dyDescent="0.25">
      <c r="B5" s="639" t="s">
        <v>3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</row>
    <row r="6" spans="2:18" x14ac:dyDescent="0.25">
      <c r="B6" s="639" t="s">
        <v>107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</row>
    <row r="7" spans="2:18" ht="22.5" customHeight="1" x14ac:dyDescent="0.25">
      <c r="B7" s="103"/>
      <c r="C7" s="671" t="s">
        <v>108</v>
      </c>
      <c r="D7" s="671"/>
      <c r="E7" s="668" t="s">
        <v>109</v>
      </c>
      <c r="F7" s="668"/>
      <c r="G7" s="669" t="s">
        <v>110</v>
      </c>
      <c r="H7" s="669"/>
      <c r="I7" s="672" t="s">
        <v>111</v>
      </c>
      <c r="J7" s="672"/>
      <c r="K7" s="673" t="s">
        <v>112</v>
      </c>
      <c r="L7" s="673"/>
      <c r="M7" s="674" t="s">
        <v>113</v>
      </c>
      <c r="N7" s="674"/>
      <c r="O7" s="667" t="s">
        <v>28</v>
      </c>
      <c r="P7" s="667"/>
      <c r="Q7"/>
      <c r="R7"/>
    </row>
    <row r="8" spans="2:18" ht="12.75" customHeight="1" x14ac:dyDescent="0.25">
      <c r="B8" s="108" t="s">
        <v>4</v>
      </c>
      <c r="C8" s="108" t="s">
        <v>114</v>
      </c>
      <c r="D8" s="108" t="s">
        <v>8</v>
      </c>
      <c r="E8" s="108" t="s">
        <v>114</v>
      </c>
      <c r="F8" s="108" t="s">
        <v>8</v>
      </c>
      <c r="G8" s="108" t="s">
        <v>114</v>
      </c>
      <c r="H8" s="108" t="s">
        <v>8</v>
      </c>
      <c r="I8" s="108" t="s">
        <v>114</v>
      </c>
      <c r="J8" s="108" t="s">
        <v>8</v>
      </c>
      <c r="K8" s="108" t="s">
        <v>114</v>
      </c>
      <c r="L8" s="108" t="s">
        <v>8</v>
      </c>
      <c r="M8" s="108" t="s">
        <v>114</v>
      </c>
      <c r="N8" s="108" t="s">
        <v>8</v>
      </c>
      <c r="O8" s="108" t="s">
        <v>114</v>
      </c>
      <c r="P8" s="108" t="s">
        <v>8</v>
      </c>
      <c r="Q8"/>
      <c r="R8"/>
    </row>
    <row r="9" spans="2:18" ht="1.5" customHeight="1" x14ac:dyDescent="0.25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/>
      <c r="R9"/>
    </row>
    <row r="10" spans="2:18" x14ac:dyDescent="0.25">
      <c r="B10" s="70" t="s">
        <v>22</v>
      </c>
      <c r="C10" s="363">
        <v>2790</v>
      </c>
      <c r="D10" s="364">
        <v>57361059.460000001</v>
      </c>
      <c r="E10" s="365">
        <v>207</v>
      </c>
      <c r="F10" s="364">
        <v>3161552.35</v>
      </c>
      <c r="G10" s="365">
        <v>101</v>
      </c>
      <c r="H10" s="364">
        <v>813920.63</v>
      </c>
      <c r="I10" s="363">
        <v>37</v>
      </c>
      <c r="J10" s="364">
        <v>627357.32999999996</v>
      </c>
      <c r="K10" s="363">
        <v>207</v>
      </c>
      <c r="L10" s="364">
        <v>3037657.03</v>
      </c>
      <c r="M10" s="363">
        <v>107</v>
      </c>
      <c r="N10" s="364">
        <v>1467376</v>
      </c>
      <c r="O10" s="363">
        <f>+(C10+E10+G10)-(K10+M10)</f>
        <v>2784</v>
      </c>
      <c r="P10" s="364">
        <f>+(D10+J10+F10+H10)-(L10+N10)</f>
        <v>57458856.740000002</v>
      </c>
      <c r="Q10"/>
      <c r="R10"/>
    </row>
    <row r="11" spans="2:18" x14ac:dyDescent="0.25">
      <c r="B11" s="70" t="s">
        <v>21</v>
      </c>
      <c r="C11" s="363">
        <v>1755</v>
      </c>
      <c r="D11" s="364">
        <v>27019155.059999999</v>
      </c>
      <c r="E11" s="365">
        <v>179</v>
      </c>
      <c r="F11" s="364">
        <v>2612657.9000000004</v>
      </c>
      <c r="G11" s="365">
        <v>127</v>
      </c>
      <c r="H11" s="364">
        <v>1044611.32</v>
      </c>
      <c r="I11" s="363">
        <v>50</v>
      </c>
      <c r="J11" s="364">
        <v>813612.46</v>
      </c>
      <c r="K11" s="363">
        <v>1624</v>
      </c>
      <c r="L11" s="364">
        <v>19022658.579999998</v>
      </c>
      <c r="M11" s="363">
        <v>128</v>
      </c>
      <c r="N11" s="364">
        <v>1661252.0999999999</v>
      </c>
      <c r="O11" s="363">
        <f>+(C11+E11+G11)-(K11+M11)</f>
        <v>309</v>
      </c>
      <c r="P11" s="364">
        <f t="shared" ref="P11:P12" si="0">+(D11+J11+F11+H11)-(L11+N11)</f>
        <v>10806126.060000002</v>
      </c>
      <c r="Q11"/>
      <c r="R11"/>
    </row>
    <row r="12" spans="2:18" x14ac:dyDescent="0.25">
      <c r="B12" s="70" t="s">
        <v>20</v>
      </c>
      <c r="C12" s="363">
        <v>4086</v>
      </c>
      <c r="D12" s="364">
        <v>37272498.729999997</v>
      </c>
      <c r="E12" s="365">
        <v>218</v>
      </c>
      <c r="F12" s="364">
        <v>3207889.95</v>
      </c>
      <c r="G12" s="365">
        <v>218</v>
      </c>
      <c r="H12" s="364">
        <v>1723748.71</v>
      </c>
      <c r="I12" s="363">
        <v>72</v>
      </c>
      <c r="J12" s="364">
        <v>1696654.95</v>
      </c>
      <c r="K12" s="363">
        <v>280</v>
      </c>
      <c r="L12" s="364">
        <v>3904932.29</v>
      </c>
      <c r="M12" s="363">
        <v>168</v>
      </c>
      <c r="N12" s="364">
        <v>2517260.8199999998</v>
      </c>
      <c r="O12" s="363">
        <f t="shared" ref="O12" si="1">+(C12+E12+G12)-(K12+M12)</f>
        <v>4074</v>
      </c>
      <c r="P12" s="364">
        <f t="shared" si="0"/>
        <v>37478599.230000004</v>
      </c>
      <c r="Q12"/>
      <c r="R12"/>
    </row>
    <row r="13" spans="2:18" ht="28.5" customHeight="1" x14ac:dyDescent="0.25">
      <c r="B13" s="257" t="s">
        <v>23</v>
      </c>
      <c r="C13" s="366">
        <f>SUM(C10:C12)</f>
        <v>8631</v>
      </c>
      <c r="D13" s="367">
        <f>SUM(D10:D12)</f>
        <v>121652713.25</v>
      </c>
      <c r="E13" s="368">
        <f>SUM(E10:E12)</f>
        <v>604</v>
      </c>
      <c r="F13" s="367">
        <f>SUM(F10:F12)</f>
        <v>8982100.1999999993</v>
      </c>
      <c r="G13" s="368">
        <f t="shared" ref="G13:I13" si="2">SUM(G10:G12)</f>
        <v>446</v>
      </c>
      <c r="H13" s="367">
        <f>SUM(H10:H12)</f>
        <v>3582280.66</v>
      </c>
      <c r="I13" s="366">
        <f t="shared" si="2"/>
        <v>159</v>
      </c>
      <c r="J13" s="367">
        <f>SUM(J10:J12)</f>
        <v>3137624.74</v>
      </c>
      <c r="K13" s="366">
        <f>SUM(K10:K12)</f>
        <v>2111</v>
      </c>
      <c r="L13" s="367">
        <f>SUM(L10:L12)</f>
        <v>25965247.899999999</v>
      </c>
      <c r="M13" s="366">
        <f>SUM(M10:M12)</f>
        <v>403</v>
      </c>
      <c r="N13" s="367">
        <f>SUM(N10:N12)</f>
        <v>5645888.9199999999</v>
      </c>
      <c r="O13" s="366">
        <f>+SUM(O10:O12)</f>
        <v>7167</v>
      </c>
      <c r="P13" s="367">
        <f>+SUM(P10:P12)</f>
        <v>105743582.03000002</v>
      </c>
      <c r="Q13"/>
      <c r="R13"/>
    </row>
    <row r="14" spans="2:18" ht="0.75" customHeight="1" x14ac:dyDescent="0.25">
      <c r="B14" s="57"/>
      <c r="C14" s="118">
        <v>4170</v>
      </c>
      <c r="D14" s="118">
        <v>50828036.170000002</v>
      </c>
      <c r="E14" s="118">
        <v>115</v>
      </c>
      <c r="F14" s="118">
        <v>1643022.84</v>
      </c>
      <c r="G14" s="118">
        <v>161</v>
      </c>
      <c r="H14" s="118">
        <v>1326574.19</v>
      </c>
      <c r="I14" s="118">
        <v>105</v>
      </c>
      <c r="J14" s="118">
        <v>592026.82000000007</v>
      </c>
      <c r="K14" s="118">
        <v>1167</v>
      </c>
      <c r="L14" s="118">
        <v>9906559.9699999988</v>
      </c>
      <c r="M14" s="118">
        <v>96</v>
      </c>
      <c r="N14" s="118">
        <v>1304139.3399999999</v>
      </c>
      <c r="O14" s="38">
        <f>(C14+E14+G14)-(K14+M14)</f>
        <v>3183</v>
      </c>
      <c r="P14" s="66">
        <f>(D14+F14+H14+J14)-(L14+N14)</f>
        <v>43178960.710000008</v>
      </c>
      <c r="Q14"/>
      <c r="R14"/>
    </row>
    <row r="15" spans="2:18" hidden="1" x14ac:dyDescent="0.25">
      <c r="B15" s="57" t="s">
        <v>17</v>
      </c>
      <c r="C15" s="118">
        <v>2656</v>
      </c>
      <c r="D15" s="118">
        <v>32971327.190000001</v>
      </c>
      <c r="E15" s="118">
        <v>102</v>
      </c>
      <c r="F15" s="118">
        <v>1345011.23</v>
      </c>
      <c r="G15" s="118">
        <v>50</v>
      </c>
      <c r="H15" s="118">
        <v>869098.40999999992</v>
      </c>
      <c r="I15" s="118">
        <v>56</v>
      </c>
      <c r="J15" s="118">
        <v>1275175.6599999999</v>
      </c>
      <c r="K15" s="118">
        <v>321</v>
      </c>
      <c r="L15" s="118">
        <v>5011235.95</v>
      </c>
      <c r="M15" s="118">
        <v>79</v>
      </c>
      <c r="N15" s="118">
        <v>1355049.0699999998</v>
      </c>
      <c r="O15" s="38">
        <f>(C15+E15+G15)-(K15+M15)</f>
        <v>2408</v>
      </c>
      <c r="P15" s="66">
        <f>(D15+F15+H15+J15)-(L15+N15)</f>
        <v>30094327.469999995</v>
      </c>
      <c r="Q15"/>
      <c r="R15"/>
    </row>
    <row r="16" spans="2:18" hidden="1" x14ac:dyDescent="0.25">
      <c r="B16" s="57" t="s">
        <v>18</v>
      </c>
      <c r="C16" s="118">
        <v>2977</v>
      </c>
      <c r="D16" s="118">
        <v>36676179.780000001</v>
      </c>
      <c r="E16" s="118">
        <v>196</v>
      </c>
      <c r="F16" s="118">
        <v>2687023.4899999998</v>
      </c>
      <c r="G16" s="118">
        <v>77</v>
      </c>
      <c r="H16" s="118">
        <v>956119.84</v>
      </c>
      <c r="I16" s="118">
        <v>63</v>
      </c>
      <c r="J16" s="118">
        <v>1237774.3700000001</v>
      </c>
      <c r="K16" s="118">
        <v>1520</v>
      </c>
      <c r="L16" s="118">
        <v>16109575.07</v>
      </c>
      <c r="M16" s="118">
        <v>404</v>
      </c>
      <c r="N16" s="118">
        <v>4798913.2299999995</v>
      </c>
      <c r="O16" s="38">
        <f>(C16+E16+G16)-(K16+M16)</f>
        <v>1326</v>
      </c>
      <c r="P16" s="66">
        <f>(D16+F16+H16+J16)-(L16+N16)</f>
        <v>20648609.180000003</v>
      </c>
      <c r="Q16"/>
      <c r="R16"/>
    </row>
    <row r="17" spans="2:18" hidden="1" x14ac:dyDescent="0.25">
      <c r="B17" s="37" t="s">
        <v>19</v>
      </c>
      <c r="C17" s="8">
        <f t="shared" ref="C17:J17" si="3">SUM(C14:C16)</f>
        <v>9803</v>
      </c>
      <c r="D17" s="8">
        <f t="shared" si="3"/>
        <v>120475543.14</v>
      </c>
      <c r="E17" s="8">
        <f t="shared" si="3"/>
        <v>413</v>
      </c>
      <c r="F17" s="8">
        <f t="shared" si="3"/>
        <v>5675057.5600000005</v>
      </c>
      <c r="G17" s="8">
        <f t="shared" si="3"/>
        <v>288</v>
      </c>
      <c r="H17" s="8">
        <f t="shared" si="3"/>
        <v>3151792.4399999995</v>
      </c>
      <c r="I17" s="8">
        <f t="shared" si="3"/>
        <v>224</v>
      </c>
      <c r="J17" s="8">
        <f t="shared" si="3"/>
        <v>3104976.85</v>
      </c>
      <c r="K17" s="8">
        <f t="shared" ref="K17:P17" si="4">SUM(K14:K16)</f>
        <v>3008</v>
      </c>
      <c r="L17" s="8">
        <f t="shared" si="4"/>
        <v>31027370.989999998</v>
      </c>
      <c r="M17" s="8">
        <f t="shared" si="4"/>
        <v>579</v>
      </c>
      <c r="N17" s="8">
        <f t="shared" si="4"/>
        <v>7458101.6399999987</v>
      </c>
      <c r="O17" s="8">
        <f t="shared" si="4"/>
        <v>6917</v>
      </c>
      <c r="P17" s="67">
        <f t="shared" si="4"/>
        <v>93921897.360000014</v>
      </c>
      <c r="Q17"/>
      <c r="R17"/>
    </row>
    <row r="18" spans="2:18" hidden="1" x14ac:dyDescent="0.25">
      <c r="B18" s="57" t="s">
        <v>14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38">
        <f t="shared" ref="O18:O28" si="5">+C18-(K18+M18)</f>
        <v>0</v>
      </c>
      <c r="P18" s="38">
        <f t="shared" ref="P18:P28" si="6">+L18+N18+J18+D18</f>
        <v>0</v>
      </c>
      <c r="Q18"/>
      <c r="R18"/>
    </row>
    <row r="19" spans="2:18" hidden="1" x14ac:dyDescent="0.25">
      <c r="B19" s="57" t="s">
        <v>13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38">
        <f t="shared" si="5"/>
        <v>0</v>
      </c>
      <c r="P19" s="38">
        <f t="shared" si="6"/>
        <v>0</v>
      </c>
      <c r="Q19"/>
      <c r="R19"/>
    </row>
    <row r="20" spans="2:18" hidden="1" x14ac:dyDescent="0.25">
      <c r="B20" s="57" t="s">
        <v>12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38">
        <f t="shared" si="5"/>
        <v>0</v>
      </c>
      <c r="P20" s="38">
        <f t="shared" si="6"/>
        <v>0</v>
      </c>
      <c r="Q20"/>
      <c r="R20"/>
    </row>
    <row r="21" spans="2:18" hidden="1" x14ac:dyDescent="0.25">
      <c r="B21" s="37" t="s">
        <v>15</v>
      </c>
      <c r="C21" s="8">
        <f t="shared" ref="C21:P21" si="7">SUM(C18:C20)</f>
        <v>0</v>
      </c>
      <c r="D21" s="8">
        <f t="shared" si="7"/>
        <v>0</v>
      </c>
      <c r="E21" s="8"/>
      <c r="F21" s="8"/>
      <c r="G21" s="8"/>
      <c r="H21" s="8"/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/>
      <c r="R21"/>
    </row>
    <row r="22" spans="2:18" hidden="1" x14ac:dyDescent="0.25">
      <c r="B22" s="57" t="s">
        <v>39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38">
        <f t="shared" si="5"/>
        <v>0</v>
      </c>
      <c r="P22" s="38">
        <f t="shared" si="6"/>
        <v>0</v>
      </c>
      <c r="Q22"/>
      <c r="R22"/>
    </row>
    <row r="23" spans="2:18" hidden="1" x14ac:dyDescent="0.25">
      <c r="B23" s="57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38">
        <f t="shared" si="5"/>
        <v>0</v>
      </c>
      <c r="P23" s="38">
        <f t="shared" si="6"/>
        <v>0</v>
      </c>
      <c r="Q23"/>
      <c r="R23"/>
    </row>
    <row r="24" spans="2:18" hidden="1" x14ac:dyDescent="0.25">
      <c r="B24" s="57" t="s">
        <v>22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38">
        <f t="shared" si="5"/>
        <v>0</v>
      </c>
      <c r="P24" s="38">
        <f t="shared" si="6"/>
        <v>0</v>
      </c>
      <c r="Q24"/>
      <c r="R24"/>
    </row>
    <row r="25" spans="2:18" hidden="1" x14ac:dyDescent="0.25">
      <c r="B25" s="37" t="s">
        <v>23</v>
      </c>
      <c r="C25" s="8">
        <f t="shared" ref="C25:P25" si="8">SUM(C22:C24)</f>
        <v>0</v>
      </c>
      <c r="D25" s="8">
        <f t="shared" si="8"/>
        <v>0</v>
      </c>
      <c r="E25" s="8"/>
      <c r="F25" s="8"/>
      <c r="G25" s="8"/>
      <c r="H25" s="8"/>
      <c r="I25" s="8">
        <f t="shared" si="8"/>
        <v>0</v>
      </c>
      <c r="J25" s="8">
        <f t="shared" si="8"/>
        <v>0</v>
      </c>
      <c r="K25" s="8">
        <f t="shared" si="8"/>
        <v>0</v>
      </c>
      <c r="L25" s="8">
        <f t="shared" si="8"/>
        <v>0</v>
      </c>
      <c r="M25" s="8">
        <f t="shared" si="8"/>
        <v>0</v>
      </c>
      <c r="N25" s="8">
        <f t="shared" si="8"/>
        <v>0</v>
      </c>
      <c r="O25" s="8">
        <f t="shared" si="8"/>
        <v>0</v>
      </c>
      <c r="P25" s="8">
        <f t="shared" si="8"/>
        <v>0</v>
      </c>
      <c r="Q25"/>
      <c r="R25"/>
    </row>
    <row r="26" spans="2:18" hidden="1" x14ac:dyDescent="0.25">
      <c r="B26" s="57" t="s">
        <v>24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38">
        <f t="shared" si="5"/>
        <v>0</v>
      </c>
      <c r="P26" s="38">
        <f t="shared" si="6"/>
        <v>0</v>
      </c>
      <c r="Q26"/>
      <c r="R26"/>
    </row>
    <row r="27" spans="2:18" hidden="1" x14ac:dyDescent="0.25">
      <c r="B27" s="57" t="s">
        <v>25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38">
        <f t="shared" si="5"/>
        <v>0</v>
      </c>
      <c r="P27" s="38">
        <f t="shared" si="6"/>
        <v>0</v>
      </c>
      <c r="Q27"/>
      <c r="R27"/>
    </row>
    <row r="28" spans="2:18" hidden="1" x14ac:dyDescent="0.25">
      <c r="B28" s="57" t="s">
        <v>26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38">
        <f t="shared" si="5"/>
        <v>0</v>
      </c>
      <c r="P28" s="38">
        <f t="shared" si="6"/>
        <v>0</v>
      </c>
      <c r="Q28"/>
      <c r="R28"/>
    </row>
    <row r="29" spans="2:18" hidden="1" x14ac:dyDescent="0.25">
      <c r="B29" s="37" t="s">
        <v>27</v>
      </c>
      <c r="C29" s="8">
        <f t="shared" ref="C29:P29" si="9">SUM(C26:C28)</f>
        <v>0</v>
      </c>
      <c r="D29" s="8">
        <f t="shared" si="9"/>
        <v>0</v>
      </c>
      <c r="E29" s="8"/>
      <c r="F29" s="8"/>
      <c r="G29" s="8"/>
      <c r="H29" s="8"/>
      <c r="I29" s="8">
        <f t="shared" si="9"/>
        <v>0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>
        <f t="shared" si="9"/>
        <v>0</v>
      </c>
      <c r="N29" s="8">
        <f t="shared" si="9"/>
        <v>0</v>
      </c>
      <c r="O29" s="8">
        <f t="shared" si="9"/>
        <v>0</v>
      </c>
      <c r="P29" s="8">
        <f t="shared" si="9"/>
        <v>0</v>
      </c>
      <c r="Q29"/>
      <c r="R29"/>
    </row>
    <row r="30" spans="2:18" ht="27" hidden="1" customHeight="1" x14ac:dyDescent="0.25">
      <c r="B30" s="40" t="s">
        <v>28</v>
      </c>
      <c r="C30" s="41">
        <f>+C17+C21+C25+C29</f>
        <v>9803</v>
      </c>
      <c r="D30" s="39">
        <f t="shared" ref="D30:P30" si="10">+D17+D21+D25+D29</f>
        <v>120475543.14</v>
      </c>
      <c r="E30" s="39"/>
      <c r="F30" s="39"/>
      <c r="G30" s="39"/>
      <c r="H30" s="39"/>
      <c r="I30" s="39">
        <f t="shared" si="10"/>
        <v>224</v>
      </c>
      <c r="J30" s="39">
        <f t="shared" si="10"/>
        <v>3104976.85</v>
      </c>
      <c r="K30" s="39">
        <f t="shared" si="10"/>
        <v>3008</v>
      </c>
      <c r="L30" s="39">
        <f t="shared" si="10"/>
        <v>31027370.989999998</v>
      </c>
      <c r="M30" s="39">
        <f t="shared" si="10"/>
        <v>579</v>
      </c>
      <c r="N30" s="39">
        <f t="shared" si="10"/>
        <v>7458101.6399999987</v>
      </c>
      <c r="O30" s="39">
        <f t="shared" si="10"/>
        <v>6917</v>
      </c>
      <c r="P30" s="39">
        <f t="shared" si="10"/>
        <v>93921897.360000014</v>
      </c>
      <c r="Q30"/>
      <c r="R30"/>
    </row>
    <row r="31" spans="2:18" x14ac:dyDescent="0.25">
      <c r="B31" s="670" t="s">
        <v>289</v>
      </c>
      <c r="C31" s="670"/>
      <c r="D31" s="670"/>
      <c r="E31" s="670"/>
      <c r="F31" s="670"/>
      <c r="G31" s="670"/>
      <c r="H31" s="670"/>
      <c r="I31" s="670"/>
      <c r="J31" s="670"/>
      <c r="K31" s="180"/>
      <c r="L31" s="180"/>
      <c r="M31" s="180"/>
      <c r="N31" s="180"/>
      <c r="O31" s="362"/>
      <c r="P31" s="180"/>
      <c r="Q31"/>
      <c r="R31"/>
    </row>
    <row r="32" spans="2:18" s="14" customFormat="1" ht="9" customHeight="1" x14ac:dyDescent="0.2">
      <c r="B32" s="146"/>
      <c r="C32" s="106"/>
      <c r="D32" s="106"/>
      <c r="E32" s="106"/>
      <c r="F32" s="106"/>
      <c r="G32" s="106"/>
      <c r="H32" s="106"/>
      <c r="I32" s="106"/>
      <c r="J32" s="106"/>
      <c r="K32" s="103"/>
      <c r="L32" s="103"/>
      <c r="M32" s="103"/>
      <c r="N32" s="103"/>
      <c r="O32" s="103"/>
      <c r="P32" s="103"/>
      <c r="Q32" s="103"/>
      <c r="R32" s="103"/>
    </row>
    <row r="33" spans="2:18" ht="13.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x14ac:dyDescent="0.25">
      <c r="B34"/>
      <c r="C34"/>
      <c r="D34"/>
      <c r="E34"/>
      <c r="F34"/>
      <c r="G34"/>
      <c r="H34" s="242"/>
      <c r="I34"/>
      <c r="J34"/>
      <c r="K34"/>
      <c r="L34"/>
      <c r="M34"/>
      <c r="N34"/>
      <c r="O34"/>
      <c r="P34"/>
      <c r="Q34"/>
      <c r="R34"/>
    </row>
    <row r="35" spans="2:18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7" spans="2:18" x14ac:dyDescent="0.25">
      <c r="C47" s="57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38"/>
      <c r="Q47" s="66"/>
    </row>
    <row r="49" spans="3:17" x14ac:dyDescent="0.25">
      <c r="C49" s="5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38"/>
      <c r="Q49" s="66"/>
    </row>
    <row r="52" spans="3:17" ht="6" customHeight="1" x14ac:dyDescent="0.25"/>
    <row r="55" spans="3:17" customFormat="1" x14ac:dyDescent="0.25"/>
    <row r="56" spans="3:17" customFormat="1" x14ac:dyDescent="0.25"/>
    <row r="57" spans="3:17" customFormat="1" x14ac:dyDescent="0.25"/>
    <row r="58" spans="3:17" customFormat="1" x14ac:dyDescent="0.25"/>
    <row r="59" spans="3:17" customFormat="1" x14ac:dyDescent="0.25"/>
    <row r="60" spans="3:17" customFormat="1" x14ac:dyDescent="0.25"/>
    <row r="61" spans="3:17" customFormat="1" x14ac:dyDescent="0.25"/>
  </sheetData>
  <mergeCells count="14">
    <mergeCell ref="B31:J31"/>
    <mergeCell ref="C7:D7"/>
    <mergeCell ref="I7:J7"/>
    <mergeCell ref="K7:L7"/>
    <mergeCell ref="M7:N7"/>
    <mergeCell ref="O7:P7"/>
    <mergeCell ref="E7:F7"/>
    <mergeCell ref="G7:H7"/>
    <mergeCell ref="B6:P6"/>
    <mergeCell ref="B1:P1"/>
    <mergeCell ref="B2:P2"/>
    <mergeCell ref="B3:P3"/>
    <mergeCell ref="B5:P5"/>
    <mergeCell ref="B4:P4"/>
  </mergeCells>
  <pageMargins left="0.7" right="0.7" top="0.75" bottom="0.75" header="0.3" footer="0.3"/>
  <pageSetup paperSize="9" scale="55" orientation="portrait" r:id="rId1"/>
  <ignoredErrors>
    <ignoredError sqref="O17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5:H72"/>
  <sheetViews>
    <sheetView topLeftCell="A10" workbookViewId="0">
      <selection activeCell="H23" sqref="H23"/>
    </sheetView>
  </sheetViews>
  <sheetFormatPr baseColWidth="10" defaultColWidth="11.42578125" defaultRowHeight="15" x14ac:dyDescent="0.25"/>
  <cols>
    <col min="1" max="1" width="18.42578125" customWidth="1"/>
    <col min="3" max="3" width="18.140625" customWidth="1"/>
    <col min="6" max="6" width="13.7109375" bestFit="1" customWidth="1"/>
  </cols>
  <sheetData>
    <row r="5" spans="1:8" x14ac:dyDescent="0.25">
      <c r="A5" t="s">
        <v>115</v>
      </c>
    </row>
    <row r="6" spans="1:8" x14ac:dyDescent="0.25">
      <c r="A6" t="s">
        <v>116</v>
      </c>
      <c r="B6" t="s">
        <v>117</v>
      </c>
      <c r="C6" s="61">
        <v>31310</v>
      </c>
      <c r="D6" s="81">
        <v>0.2</v>
      </c>
      <c r="E6" s="61">
        <v>391848281</v>
      </c>
      <c r="F6" s="81">
        <v>0.19</v>
      </c>
    </row>
    <row r="7" spans="1:8" x14ac:dyDescent="0.25">
      <c r="A7" t="s">
        <v>118</v>
      </c>
      <c r="B7" s="61">
        <v>58606</v>
      </c>
      <c r="C7" s="81">
        <v>0.37</v>
      </c>
      <c r="D7" s="61">
        <v>502596251</v>
      </c>
      <c r="E7" s="81">
        <v>0.25</v>
      </c>
    </row>
    <row r="8" spans="1:8" x14ac:dyDescent="0.25">
      <c r="A8" t="s">
        <v>119</v>
      </c>
      <c r="B8" t="s">
        <v>120</v>
      </c>
      <c r="C8" t="s">
        <v>121</v>
      </c>
      <c r="D8">
        <v>280</v>
      </c>
      <c r="E8" s="82">
        <v>2E-3</v>
      </c>
      <c r="F8" s="61">
        <v>4723136</v>
      </c>
      <c r="G8" s="82">
        <v>2E-3</v>
      </c>
    </row>
    <row r="9" spans="1:8" x14ac:dyDescent="0.25">
      <c r="A9" t="s">
        <v>122</v>
      </c>
      <c r="B9" t="s">
        <v>123</v>
      </c>
      <c r="C9" t="s">
        <v>124</v>
      </c>
      <c r="D9" t="s">
        <v>125</v>
      </c>
      <c r="E9">
        <v>164</v>
      </c>
      <c r="F9" s="82">
        <v>1E-3</v>
      </c>
      <c r="G9" s="61">
        <v>4627394</v>
      </c>
      <c r="H9" s="82">
        <v>2E-3</v>
      </c>
    </row>
    <row r="10" spans="1:8" x14ac:dyDescent="0.25">
      <c r="A10" t="s">
        <v>126</v>
      </c>
      <c r="B10" t="s">
        <v>127</v>
      </c>
      <c r="C10">
        <v>311</v>
      </c>
      <c r="D10" s="82">
        <v>2E-3</v>
      </c>
      <c r="E10" s="61">
        <v>8307901</v>
      </c>
      <c r="F10" s="82">
        <v>4.0000000000000001E-3</v>
      </c>
    </row>
    <row r="11" spans="1:8" x14ac:dyDescent="0.25">
      <c r="A11" t="s">
        <v>126</v>
      </c>
      <c r="B11" t="s">
        <v>128</v>
      </c>
      <c r="C11" s="61">
        <v>19019</v>
      </c>
      <c r="D11" s="81">
        <v>0.12</v>
      </c>
      <c r="E11" s="61">
        <v>425653300</v>
      </c>
      <c r="F11" s="81">
        <v>0.21</v>
      </c>
    </row>
    <row r="12" spans="1:8" x14ac:dyDescent="0.25">
      <c r="A12" t="s">
        <v>129</v>
      </c>
      <c r="B12" t="s">
        <v>130</v>
      </c>
      <c r="C12" s="61">
        <v>21131</v>
      </c>
      <c r="D12" s="81">
        <v>0.13</v>
      </c>
      <c r="E12" s="61">
        <v>448771667</v>
      </c>
      <c r="F12" s="81">
        <v>0.22</v>
      </c>
    </row>
    <row r="13" spans="1:8" x14ac:dyDescent="0.25">
      <c r="A13" t="s">
        <v>116</v>
      </c>
      <c r="B13" t="s">
        <v>131</v>
      </c>
      <c r="C13" s="61">
        <v>10163</v>
      </c>
      <c r="D13" s="81">
        <v>0.06</v>
      </c>
      <c r="E13" s="61">
        <v>60978000</v>
      </c>
      <c r="F13" s="81">
        <v>0.03</v>
      </c>
    </row>
    <row r="14" spans="1:8" x14ac:dyDescent="0.25">
      <c r="A14" t="s">
        <v>132</v>
      </c>
      <c r="B14" t="s">
        <v>133</v>
      </c>
      <c r="C14" t="s">
        <v>134</v>
      </c>
      <c r="D14" s="61">
        <v>16719</v>
      </c>
      <c r="E14" s="81">
        <v>0.11</v>
      </c>
      <c r="F14" s="61">
        <v>171659274</v>
      </c>
      <c r="G14" s="81">
        <v>0.09</v>
      </c>
    </row>
    <row r="17" spans="1:7" x14ac:dyDescent="0.25">
      <c r="A17" t="s">
        <v>135</v>
      </c>
      <c r="B17" t="s">
        <v>136</v>
      </c>
      <c r="C17" t="s">
        <v>56</v>
      </c>
      <c r="D17" t="s">
        <v>137</v>
      </c>
      <c r="E17" t="s">
        <v>56</v>
      </c>
    </row>
    <row r="18" spans="1:7" x14ac:dyDescent="0.25">
      <c r="A18" t="s">
        <v>138</v>
      </c>
      <c r="B18" t="s">
        <v>139</v>
      </c>
      <c r="C18" t="s">
        <v>140</v>
      </c>
      <c r="D18">
        <v>42</v>
      </c>
      <c r="E18" s="82">
        <v>2.9999999999999997E-4</v>
      </c>
      <c r="F18" s="83">
        <v>167356.85</v>
      </c>
      <c r="G18" s="81">
        <v>0</v>
      </c>
    </row>
    <row r="19" spans="1:7" x14ac:dyDescent="0.25">
      <c r="A19" t="s">
        <v>141</v>
      </c>
      <c r="B19" t="s">
        <v>142</v>
      </c>
      <c r="C19" t="s">
        <v>143</v>
      </c>
      <c r="D19">
        <v>1</v>
      </c>
      <c r="E19" s="82">
        <v>0</v>
      </c>
      <c r="F19" s="83">
        <v>5117.5</v>
      </c>
      <c r="G19" s="81">
        <v>0</v>
      </c>
    </row>
    <row r="20" spans="1:7" x14ac:dyDescent="0.25">
      <c r="A20" s="83">
        <v>5117.5</v>
      </c>
      <c r="B20" t="s">
        <v>102</v>
      </c>
      <c r="C20" s="83">
        <v>10000</v>
      </c>
      <c r="D20" s="61">
        <v>93522</v>
      </c>
      <c r="E20" s="82">
        <v>0.73980000000000001</v>
      </c>
      <c r="F20" s="83">
        <v>750253033.45000005</v>
      </c>
      <c r="G20" s="81">
        <v>0.5</v>
      </c>
    </row>
    <row r="21" spans="1:7" x14ac:dyDescent="0.25">
      <c r="A21" s="83">
        <v>10000</v>
      </c>
      <c r="B21" t="s">
        <v>102</v>
      </c>
      <c r="C21" s="83">
        <v>20000</v>
      </c>
      <c r="D21" s="61">
        <v>18138</v>
      </c>
      <c r="E21" s="82">
        <v>0.14349999999999999</v>
      </c>
      <c r="F21" s="83">
        <v>227429836.90000001</v>
      </c>
      <c r="G21" s="81">
        <v>0.15</v>
      </c>
    </row>
    <row r="22" spans="1:7" x14ac:dyDescent="0.25">
      <c r="A22" s="83">
        <v>20000</v>
      </c>
      <c r="B22" t="s">
        <v>102</v>
      </c>
      <c r="C22" s="83">
        <v>30000</v>
      </c>
      <c r="D22" s="61">
        <v>6578</v>
      </c>
      <c r="E22" s="82">
        <v>5.1999999999999998E-2</v>
      </c>
      <c r="F22" s="83">
        <v>161421192.27000001</v>
      </c>
      <c r="G22" s="81">
        <v>0.11</v>
      </c>
    </row>
    <row r="23" spans="1:7" x14ac:dyDescent="0.25">
      <c r="A23" s="83">
        <v>30000</v>
      </c>
      <c r="B23" t="s">
        <v>102</v>
      </c>
      <c r="C23" s="83">
        <v>40000</v>
      </c>
      <c r="D23" s="61">
        <v>3651</v>
      </c>
      <c r="E23" s="82">
        <v>2.8899999999999999E-2</v>
      </c>
      <c r="F23" s="83">
        <v>122505219.92</v>
      </c>
      <c r="G23" s="81">
        <v>0.08</v>
      </c>
    </row>
    <row r="24" spans="1:7" x14ac:dyDescent="0.25">
      <c r="A24" s="83">
        <v>40000</v>
      </c>
      <c r="B24" t="s">
        <v>102</v>
      </c>
      <c r="C24" s="83">
        <v>50000</v>
      </c>
      <c r="D24" s="61">
        <v>2228</v>
      </c>
      <c r="E24" s="82">
        <v>1.7600000000000001E-2</v>
      </c>
      <c r="F24" s="83">
        <v>96897867.079999998</v>
      </c>
      <c r="G24" s="81">
        <v>0.06</v>
      </c>
    </row>
    <row r="25" spans="1:7" x14ac:dyDescent="0.25">
      <c r="A25" s="83">
        <v>50000</v>
      </c>
      <c r="B25" t="s">
        <v>102</v>
      </c>
      <c r="C25" s="83">
        <v>60000</v>
      </c>
      <c r="D25" s="61">
        <v>1212</v>
      </c>
      <c r="E25" s="82">
        <v>9.5999999999999992E-3</v>
      </c>
      <c r="F25" s="83">
        <v>63870772.049999997</v>
      </c>
      <c r="G25" s="81">
        <v>0.04</v>
      </c>
    </row>
    <row r="26" spans="1:7" x14ac:dyDescent="0.25">
      <c r="A26" s="83">
        <v>60000</v>
      </c>
      <c r="B26" t="s">
        <v>102</v>
      </c>
      <c r="C26" s="83">
        <v>70000</v>
      </c>
      <c r="D26">
        <v>256</v>
      </c>
      <c r="E26" s="82">
        <v>2E-3</v>
      </c>
      <c r="F26" s="83">
        <v>15987935.460000001</v>
      </c>
      <c r="G26" s="81">
        <v>0.01</v>
      </c>
    </row>
    <row r="27" spans="1:7" x14ac:dyDescent="0.25">
      <c r="A27" s="83">
        <v>70000</v>
      </c>
      <c r="B27" t="s">
        <v>102</v>
      </c>
      <c r="C27" s="83">
        <v>80000</v>
      </c>
      <c r="D27">
        <v>185</v>
      </c>
      <c r="E27" s="82">
        <v>1.5E-3</v>
      </c>
      <c r="F27" s="83">
        <v>13603340.310000001</v>
      </c>
      <c r="G27" s="81">
        <v>0.01</v>
      </c>
    </row>
    <row r="28" spans="1:7" x14ac:dyDescent="0.25">
      <c r="A28" s="83">
        <v>80000</v>
      </c>
      <c r="B28" t="s">
        <v>102</v>
      </c>
      <c r="C28" s="83">
        <v>90000</v>
      </c>
      <c r="D28">
        <v>246</v>
      </c>
      <c r="E28" s="82">
        <v>1.9E-3</v>
      </c>
      <c r="F28" s="83">
        <v>20637258.829999998</v>
      </c>
      <c r="G28" s="81">
        <v>0.01</v>
      </c>
    </row>
    <row r="29" spans="1:7" x14ac:dyDescent="0.25">
      <c r="A29" s="83">
        <v>90000</v>
      </c>
      <c r="B29" t="s">
        <v>102</v>
      </c>
      <c r="C29" s="83">
        <v>100000</v>
      </c>
      <c r="D29">
        <v>300</v>
      </c>
      <c r="E29" s="82">
        <v>2.3999999999999998E-3</v>
      </c>
      <c r="F29" s="83">
        <v>28790914.350000001</v>
      </c>
      <c r="G29" s="81">
        <v>0.02</v>
      </c>
    </row>
    <row r="30" spans="1:7" x14ac:dyDescent="0.25">
      <c r="A30" t="s">
        <v>144</v>
      </c>
      <c r="B30">
        <v>50</v>
      </c>
      <c r="C30" s="82">
        <v>4.0000000000000002E-4</v>
      </c>
      <c r="D30" s="83">
        <v>7845693.5999999996</v>
      </c>
      <c r="E30" s="81">
        <v>0.01</v>
      </c>
    </row>
    <row r="32" spans="1:7" x14ac:dyDescent="0.25">
      <c r="A32" t="s">
        <v>135</v>
      </c>
      <c r="B32" t="s">
        <v>136</v>
      </c>
      <c r="C32" t="s">
        <v>56</v>
      </c>
      <c r="D32" t="s">
        <v>137</v>
      </c>
      <c r="E32" t="s">
        <v>56</v>
      </c>
    </row>
    <row r="33" spans="1:7" x14ac:dyDescent="0.25">
      <c r="A33" t="s">
        <v>145</v>
      </c>
      <c r="B33">
        <v>8</v>
      </c>
      <c r="C33" s="82">
        <v>1E-4</v>
      </c>
      <c r="D33" s="61">
        <v>120807</v>
      </c>
      <c r="E33" s="82">
        <v>1E-4</v>
      </c>
    </row>
    <row r="34" spans="1:7" x14ac:dyDescent="0.25">
      <c r="A34" t="s">
        <v>146</v>
      </c>
      <c r="B34">
        <v>105</v>
      </c>
      <c r="C34" s="82">
        <v>8.9999999999999998E-4</v>
      </c>
      <c r="D34" s="61">
        <v>1623898</v>
      </c>
      <c r="E34" s="82">
        <v>1.1000000000000001E-3</v>
      </c>
    </row>
    <row r="35" spans="1:7" x14ac:dyDescent="0.25">
      <c r="A35" t="s">
        <v>147</v>
      </c>
      <c r="B35">
        <v>662</v>
      </c>
      <c r="C35" s="82">
        <v>5.7999999999999996E-3</v>
      </c>
      <c r="D35" s="61">
        <v>8844351</v>
      </c>
      <c r="E35" s="82">
        <v>5.8999999999999999E-3</v>
      </c>
    </row>
    <row r="36" spans="1:7" x14ac:dyDescent="0.25">
      <c r="A36" t="s">
        <v>148</v>
      </c>
      <c r="B36" s="61">
        <v>3613</v>
      </c>
      <c r="C36" s="82">
        <v>3.1699999999999999E-2</v>
      </c>
      <c r="D36" s="61">
        <v>58835635</v>
      </c>
      <c r="E36" s="82">
        <v>3.9E-2</v>
      </c>
    </row>
    <row r="37" spans="1:7" x14ac:dyDescent="0.25">
      <c r="A37" t="s">
        <v>149</v>
      </c>
      <c r="B37" s="61">
        <v>37680</v>
      </c>
      <c r="C37" s="82">
        <v>0.3306</v>
      </c>
      <c r="D37" s="61">
        <v>525796423</v>
      </c>
      <c r="E37" s="82">
        <v>0.3483</v>
      </c>
    </row>
    <row r="38" spans="1:7" x14ac:dyDescent="0.25">
      <c r="A38" t="s">
        <v>150</v>
      </c>
      <c r="B38" s="61">
        <v>44491</v>
      </c>
      <c r="C38" s="82">
        <v>0.39040000000000002</v>
      </c>
      <c r="D38" s="61">
        <v>593494378</v>
      </c>
      <c r="E38" s="82">
        <v>0.39319999999999999</v>
      </c>
    </row>
    <row r="39" spans="1:7" x14ac:dyDescent="0.25">
      <c r="A39" t="s">
        <v>151</v>
      </c>
      <c r="B39" s="61">
        <v>22199</v>
      </c>
      <c r="C39" s="82">
        <v>0.1948</v>
      </c>
      <c r="D39" s="61">
        <v>263071212</v>
      </c>
      <c r="E39" s="82">
        <v>0.17430000000000001</v>
      </c>
    </row>
    <row r="40" spans="1:7" x14ac:dyDescent="0.25">
      <c r="A40" t="s">
        <v>152</v>
      </c>
      <c r="B40" s="61">
        <v>4787</v>
      </c>
      <c r="C40" s="82">
        <v>4.2000000000000003E-2</v>
      </c>
      <c r="D40" s="61">
        <v>53293459</v>
      </c>
      <c r="E40" s="82">
        <v>3.5299999999999998E-2</v>
      </c>
    </row>
    <row r="41" spans="1:7" x14ac:dyDescent="0.25">
      <c r="A41">
        <v>100</v>
      </c>
      <c r="B41">
        <v>273</v>
      </c>
      <c r="C41" s="82">
        <v>2.3999999999999998E-3</v>
      </c>
      <c r="D41" s="61">
        <v>3036509</v>
      </c>
      <c r="E41" s="82">
        <v>2E-3</v>
      </c>
    </row>
    <row r="42" spans="1:7" x14ac:dyDescent="0.25">
      <c r="A42">
        <v>0</v>
      </c>
      <c r="B42">
        <v>148</v>
      </c>
      <c r="C42" s="82">
        <v>1.2999999999999999E-3</v>
      </c>
      <c r="D42" s="61">
        <v>1202867</v>
      </c>
      <c r="E42" s="82">
        <v>8.0000000000000004E-4</v>
      </c>
    </row>
    <row r="43" spans="1:7" x14ac:dyDescent="0.25">
      <c r="A43" t="s">
        <v>153</v>
      </c>
      <c r="B43" t="s">
        <v>154</v>
      </c>
      <c r="C43" s="84">
        <v>1</v>
      </c>
      <c r="D43">
        <v>11</v>
      </c>
      <c r="E43" s="82">
        <v>1E-4</v>
      </c>
      <c r="F43" s="61">
        <v>96000</v>
      </c>
      <c r="G43" s="82">
        <v>1E-4</v>
      </c>
    </row>
    <row r="60" spans="1:4" ht="1.5" customHeight="1" thickBot="1" x14ac:dyDescent="0.3"/>
    <row r="61" spans="1:4" ht="31.5" customHeight="1" x14ac:dyDescent="0.25">
      <c r="A61" s="675" t="s">
        <v>155</v>
      </c>
      <c r="B61" s="676"/>
      <c r="C61" s="676"/>
      <c r="D61" s="677"/>
    </row>
    <row r="62" spans="1:4" x14ac:dyDescent="0.25">
      <c r="A62" s="86" t="s">
        <v>156</v>
      </c>
      <c r="B62" s="87" t="s">
        <v>56</v>
      </c>
      <c r="C62" s="88" t="s">
        <v>8</v>
      </c>
      <c r="D62" s="89" t="s">
        <v>56</v>
      </c>
    </row>
    <row r="63" spans="1:4" x14ac:dyDescent="0.25">
      <c r="A63" s="74">
        <v>31137</v>
      </c>
      <c r="B63" s="64">
        <f>A63/$F$18</f>
        <v>0.18605154195959114</v>
      </c>
      <c r="C63" s="42">
        <v>395798200.03000003</v>
      </c>
      <c r="D63" s="75">
        <f>C63/C72</f>
        <v>0.19391687100775967</v>
      </c>
    </row>
    <row r="64" spans="1:4" x14ac:dyDescent="0.25">
      <c r="A64" s="74">
        <v>59538</v>
      </c>
      <c r="B64" s="64">
        <f t="shared" ref="B64:B71" si="0">A64/$F$18</f>
        <v>0.35575478386453857</v>
      </c>
      <c r="C64" s="42">
        <v>514655292.12</v>
      </c>
      <c r="D64" s="75">
        <f>C64/C72</f>
        <v>0.25214956482351464</v>
      </c>
    </row>
    <row r="65" spans="1:4" x14ac:dyDescent="0.25">
      <c r="A65" s="74">
        <v>272</v>
      </c>
      <c r="B65" s="65">
        <f t="shared" si="0"/>
        <v>1.6252695960756909E-3</v>
      </c>
      <c r="C65" s="42">
        <v>4588034.25</v>
      </c>
      <c r="D65" s="76">
        <f>C65/C72</f>
        <v>2.2478557147783836E-3</v>
      </c>
    </row>
    <row r="66" spans="1:4" x14ac:dyDescent="0.25">
      <c r="A66" s="74">
        <v>165</v>
      </c>
      <c r="B66" s="65">
        <f t="shared" si="0"/>
        <v>9.8591721820768022E-4</v>
      </c>
      <c r="C66" s="42">
        <v>4769926.3500000006</v>
      </c>
      <c r="D66" s="76">
        <f>C66/C72</f>
        <v>2.3369717008802837E-3</v>
      </c>
    </row>
    <row r="67" spans="1:4" x14ac:dyDescent="0.25">
      <c r="A67" s="74">
        <v>291</v>
      </c>
      <c r="B67" s="65">
        <f t="shared" si="0"/>
        <v>1.7387994575662723E-3</v>
      </c>
      <c r="C67" s="42">
        <v>7859081.6799999997</v>
      </c>
      <c r="D67" s="76">
        <f>C67/C72</f>
        <v>3.8504685677309622E-3</v>
      </c>
    </row>
    <row r="68" spans="1:4" x14ac:dyDescent="0.25">
      <c r="A68" s="74">
        <v>18719</v>
      </c>
      <c r="B68" s="64">
        <f t="shared" si="0"/>
        <v>0.11185081459169433</v>
      </c>
      <c r="C68" s="42">
        <v>422264407.25999999</v>
      </c>
      <c r="D68" s="75">
        <f>C68/C72</f>
        <v>0.20688369120324193</v>
      </c>
    </row>
    <row r="69" spans="1:4" x14ac:dyDescent="0.25">
      <c r="A69" s="74">
        <v>21144</v>
      </c>
      <c r="B69" s="64">
        <f t="shared" si="0"/>
        <v>0.12634081007141326</v>
      </c>
      <c r="C69" s="42">
        <v>451598843.05000001</v>
      </c>
      <c r="D69" s="75">
        <f>C69/C72</f>
        <v>0.22125576768247726</v>
      </c>
    </row>
    <row r="70" spans="1:4" x14ac:dyDescent="0.25">
      <c r="A70" s="74">
        <v>9753</v>
      </c>
      <c r="B70" s="64">
        <f t="shared" si="0"/>
        <v>5.8276670479875788E-2</v>
      </c>
      <c r="C70" s="42">
        <v>58518000</v>
      </c>
      <c r="D70" s="75">
        <f>C70/C72</f>
        <v>2.8670235126819606E-2</v>
      </c>
    </row>
    <row r="71" spans="1:4" x14ac:dyDescent="0.25">
      <c r="A71" s="74">
        <v>17481</v>
      </c>
      <c r="B71" s="64">
        <f t="shared" si="0"/>
        <v>0.10445344782720277</v>
      </c>
      <c r="C71" s="42">
        <v>181019721.69</v>
      </c>
      <c r="D71" s="75">
        <f>C71/C72</f>
        <v>8.8688574172797213E-2</v>
      </c>
    </row>
    <row r="72" spans="1:4" ht="15.75" thickBot="1" x14ac:dyDescent="0.3">
      <c r="A72" s="77">
        <f>SUM(A63:A71)</f>
        <v>158500</v>
      </c>
      <c r="B72" s="78">
        <f>SUM(B63:B71)</f>
        <v>0.9470780550661656</v>
      </c>
      <c r="C72" s="79">
        <f>SUM(C63:C71)</f>
        <v>2041071506.4300001</v>
      </c>
      <c r="D72" s="80">
        <f>SUM(D63:D71)</f>
        <v>0.99999999999999989</v>
      </c>
    </row>
  </sheetData>
  <mergeCells count="1">
    <mergeCell ref="A61:D6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AB87"/>
  <sheetViews>
    <sheetView showGridLines="0" topLeftCell="A46" zoomScale="85" zoomScaleNormal="85" workbookViewId="0">
      <selection activeCell="D66" sqref="D66"/>
    </sheetView>
  </sheetViews>
  <sheetFormatPr baseColWidth="10" defaultColWidth="11.42578125" defaultRowHeight="15" x14ac:dyDescent="0.25"/>
  <cols>
    <col min="1" max="1" width="8" style="517" customWidth="1"/>
    <col min="2" max="2" width="30.5703125" style="1" customWidth="1"/>
    <col min="3" max="3" width="10.7109375" style="1" bestFit="1" customWidth="1"/>
    <col min="4" max="4" width="12.28515625" style="1" bestFit="1" customWidth="1"/>
    <col min="5" max="5" width="17.42578125" style="1" bestFit="1" customWidth="1"/>
    <col min="6" max="6" width="11.7109375" style="1" bestFit="1" customWidth="1"/>
    <col min="7" max="7" width="12.28515625" style="1" bestFit="1" customWidth="1"/>
    <col min="8" max="8" width="13.7109375" style="1" bestFit="1" customWidth="1"/>
    <col min="9" max="9" width="19.5703125" style="1" bestFit="1" customWidth="1"/>
    <col min="10" max="10" width="11.7109375" style="1" bestFit="1" customWidth="1"/>
    <col min="11" max="11" width="16" style="1" bestFit="1" customWidth="1"/>
    <col min="12" max="12" width="14.85546875" style="1" bestFit="1" customWidth="1"/>
    <col min="13" max="13" width="17.85546875" style="1" bestFit="1" customWidth="1"/>
    <col min="14" max="14" width="11.28515625" style="1" customWidth="1"/>
    <col min="15" max="15" width="16" style="1" customWidth="1"/>
    <col min="16" max="16" width="12.140625" style="1" customWidth="1"/>
    <col min="17" max="17" width="15.140625" style="1" customWidth="1"/>
    <col min="18" max="18" width="11.42578125" style="1" customWidth="1"/>
    <col min="19" max="20" width="15.7109375" style="1" customWidth="1"/>
    <col min="21" max="21" width="18.42578125" style="1" bestFit="1" customWidth="1"/>
    <col min="22" max="22" width="19.7109375" style="1" customWidth="1"/>
    <col min="23" max="23" width="11.42578125" style="1"/>
    <col min="24" max="24" width="13.7109375" style="1" bestFit="1" customWidth="1"/>
    <col min="25" max="16384" width="11.42578125" style="1"/>
  </cols>
  <sheetData>
    <row r="1" spans="1:28" x14ac:dyDescent="0.25">
      <c r="B1" s="639" t="s">
        <v>0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x14ac:dyDescent="0.25">
      <c r="B2" s="639" t="s">
        <v>69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243" customFormat="1" x14ac:dyDescent="0.25">
      <c r="A3" s="518"/>
      <c r="E3" s="678" t="s">
        <v>275</v>
      </c>
      <c r="F3" s="678"/>
      <c r="G3" s="678"/>
      <c r="H3" s="678"/>
      <c r="I3" s="678"/>
      <c r="J3" s="678"/>
    </row>
    <row r="4" spans="1:28" s="21" customFormat="1" x14ac:dyDescent="0.25">
      <c r="A4" s="518"/>
      <c r="E4" s="639" t="s">
        <v>3</v>
      </c>
      <c r="F4" s="639"/>
      <c r="G4" s="639"/>
      <c r="H4" s="639"/>
      <c r="I4" s="639"/>
      <c r="J4" s="639"/>
    </row>
    <row r="5" spans="1:28" x14ac:dyDescent="0.25"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</row>
    <row r="6" spans="1:28" x14ac:dyDescent="0.25"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</row>
    <row r="7" spans="1:28" ht="15.75" customHeight="1" x14ac:dyDescent="0.25">
      <c r="B7" s="681" t="s">
        <v>157</v>
      </c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519"/>
      <c r="P7" s="519"/>
      <c r="Q7" s="519"/>
      <c r="R7"/>
      <c r="S7"/>
      <c r="T7"/>
    </row>
    <row r="8" spans="1:28" ht="31.5" customHeight="1" x14ac:dyDescent="0.25">
      <c r="B8" s="493"/>
      <c r="C8" s="680" t="s">
        <v>281</v>
      </c>
      <c r="D8" s="680"/>
      <c r="E8" s="680"/>
      <c r="F8" s="680"/>
      <c r="G8" s="680" t="s">
        <v>282</v>
      </c>
      <c r="H8" s="680"/>
      <c r="I8" s="680"/>
      <c r="J8" s="680"/>
      <c r="K8" s="680" t="s">
        <v>87</v>
      </c>
      <c r="L8" s="680"/>
      <c r="M8" s="680"/>
      <c r="N8" s="680"/>
      <c r="O8" s="358"/>
      <c r="P8" s="358"/>
      <c r="Q8" s="358"/>
      <c r="R8"/>
      <c r="S8"/>
      <c r="T8"/>
    </row>
    <row r="9" spans="1:28" ht="24" x14ac:dyDescent="0.25">
      <c r="B9" s="373" t="s">
        <v>158</v>
      </c>
      <c r="C9" s="374" t="s">
        <v>156</v>
      </c>
      <c r="D9" s="374" t="s">
        <v>56</v>
      </c>
      <c r="E9" s="374" t="s">
        <v>8</v>
      </c>
      <c r="F9" s="374" t="s">
        <v>56</v>
      </c>
      <c r="G9" s="373" t="s">
        <v>156</v>
      </c>
      <c r="H9" s="373" t="s">
        <v>56</v>
      </c>
      <c r="I9" s="373" t="s">
        <v>8</v>
      </c>
      <c r="J9" s="373" t="s">
        <v>56</v>
      </c>
      <c r="K9" s="392" t="s">
        <v>159</v>
      </c>
      <c r="L9" s="392" t="s">
        <v>160</v>
      </c>
      <c r="M9" s="392" t="s">
        <v>161</v>
      </c>
      <c r="N9" s="392" t="s">
        <v>162</v>
      </c>
      <c r="O9"/>
      <c r="P9"/>
      <c r="Q9"/>
      <c r="R9"/>
      <c r="S9"/>
      <c r="T9"/>
    </row>
    <row r="10" spans="1:28" x14ac:dyDescent="0.25">
      <c r="B10" s="375" t="s">
        <v>163</v>
      </c>
      <c r="C10" s="384">
        <v>31540</v>
      </c>
      <c r="D10" s="372">
        <v>0.17</v>
      </c>
      <c r="E10" s="384">
        <v>1438741068.9300001</v>
      </c>
      <c r="F10" s="377">
        <f>E10/E19</f>
        <v>0.17469569224983134</v>
      </c>
      <c r="G10" s="387">
        <v>33108</v>
      </c>
      <c r="H10" s="371">
        <f t="shared" ref="H10:H18" si="0">+G10/$G$19</f>
        <v>0.15676136363636364</v>
      </c>
      <c r="I10" s="389">
        <f t="shared" ref="I10:I18" si="1">+D77+H77+L78</f>
        <v>1578707199.1700001</v>
      </c>
      <c r="J10" s="229">
        <f t="shared" ref="J10:J18" si="2">+I10/$I$19</f>
        <v>0.16466439243762568</v>
      </c>
      <c r="K10" s="393">
        <f t="shared" ref="K10:K18" si="3">+G10-C10</f>
        <v>1568</v>
      </c>
      <c r="L10" s="394">
        <f>+(G10-C10)/C10</f>
        <v>4.9714648065948004E-2</v>
      </c>
      <c r="M10" s="395">
        <f>+I10-E10</f>
        <v>139966130.24000001</v>
      </c>
      <c r="N10" s="396">
        <f>+(I10-E10)/E10</f>
        <v>9.7283752624156075E-2</v>
      </c>
      <c r="O10"/>
      <c r="P10"/>
      <c r="Q10"/>
      <c r="R10"/>
      <c r="S10"/>
      <c r="T10"/>
    </row>
    <row r="11" spans="1:28" x14ac:dyDescent="0.25">
      <c r="B11" s="378" t="s">
        <v>118</v>
      </c>
      <c r="C11" s="384">
        <v>63816</v>
      </c>
      <c r="D11" s="372">
        <v>0.35</v>
      </c>
      <c r="E11" s="384">
        <v>1966938030.1700001</v>
      </c>
      <c r="F11" s="377">
        <f>E11/E19</f>
        <v>0.2388307446096723</v>
      </c>
      <c r="G11" s="387">
        <v>65802</v>
      </c>
      <c r="H11" s="371">
        <f t="shared" si="0"/>
        <v>0.31156250000000002</v>
      </c>
      <c r="I11" s="389">
        <f t="shared" si="1"/>
        <v>2032761091.6600001</v>
      </c>
      <c r="J11" s="229">
        <f t="shared" si="2"/>
        <v>0.21202371808085649</v>
      </c>
      <c r="K11" s="393">
        <f t="shared" si="3"/>
        <v>1986</v>
      </c>
      <c r="L11" s="394">
        <f t="shared" ref="L11:L18" si="4">+(G11-C11)/C11</f>
        <v>3.1120722075968409E-2</v>
      </c>
      <c r="M11" s="395">
        <f t="shared" ref="M11:M18" si="5">+I11-E11</f>
        <v>65823061.49000001</v>
      </c>
      <c r="N11" s="396">
        <f>+(I11-E11)/E11</f>
        <v>3.3464735787487418E-2</v>
      </c>
      <c r="O11"/>
      <c r="P11"/>
      <c r="Q11"/>
      <c r="R11"/>
      <c r="S11"/>
      <c r="T11"/>
    </row>
    <row r="12" spans="1:28" x14ac:dyDescent="0.25">
      <c r="B12" s="378" t="s">
        <v>164</v>
      </c>
      <c r="C12" s="384">
        <v>255</v>
      </c>
      <c r="D12" s="372">
        <v>1.3943340824461542E-3</v>
      </c>
      <c r="E12" s="384">
        <v>12970378.5</v>
      </c>
      <c r="F12" s="377">
        <f>E12/E19</f>
        <v>1.574897179021218E-3</v>
      </c>
      <c r="G12" s="387">
        <v>252</v>
      </c>
      <c r="H12" s="371">
        <f t="shared" si="0"/>
        <v>1.1931818181818183E-3</v>
      </c>
      <c r="I12" s="389">
        <f t="shared" si="1"/>
        <v>22734438.75</v>
      </c>
      <c r="J12" s="229">
        <f t="shared" si="2"/>
        <v>2.3712772996457633E-3</v>
      </c>
      <c r="K12" s="393">
        <f t="shared" si="3"/>
        <v>-3</v>
      </c>
      <c r="L12" s="394">
        <f t="shared" si="4"/>
        <v>-1.1764705882352941E-2</v>
      </c>
      <c r="M12" s="395">
        <f t="shared" si="5"/>
        <v>9764060.25</v>
      </c>
      <c r="N12" s="396">
        <f t="shared" ref="N12:N19" si="6">+(I12-E12)/E12</f>
        <v>0.75279686325267992</v>
      </c>
      <c r="O12"/>
      <c r="P12"/>
      <c r="Q12"/>
      <c r="R12"/>
      <c r="S12"/>
      <c r="T12"/>
    </row>
    <row r="13" spans="1:28" x14ac:dyDescent="0.25">
      <c r="B13" s="378" t="s">
        <v>165</v>
      </c>
      <c r="C13" s="384">
        <v>153</v>
      </c>
      <c r="D13" s="372">
        <v>8.3660044946769251E-4</v>
      </c>
      <c r="E13" s="384">
        <v>13596751.940000001</v>
      </c>
      <c r="F13" s="377">
        <f>E13/E19</f>
        <v>1.6509530754370257E-3</v>
      </c>
      <c r="G13" s="387">
        <v>168</v>
      </c>
      <c r="H13" s="371">
        <f t="shared" si="0"/>
        <v>7.9545454545454548E-4</v>
      </c>
      <c r="I13" s="389">
        <f t="shared" si="1"/>
        <v>24988068.16</v>
      </c>
      <c r="J13" s="229">
        <f t="shared" si="2"/>
        <v>2.6063383152491099E-3</v>
      </c>
      <c r="K13" s="393">
        <f t="shared" si="3"/>
        <v>15</v>
      </c>
      <c r="L13" s="394">
        <f t="shared" si="4"/>
        <v>9.8039215686274508E-2</v>
      </c>
      <c r="M13" s="395">
        <f t="shared" si="5"/>
        <v>11391316.219999999</v>
      </c>
      <c r="N13" s="396">
        <f t="shared" si="6"/>
        <v>0.83779687018398286</v>
      </c>
      <c r="O13"/>
      <c r="P13"/>
      <c r="Q13"/>
      <c r="R13"/>
      <c r="S13"/>
      <c r="T13"/>
    </row>
    <row r="14" spans="1:28" x14ac:dyDescent="0.25">
      <c r="B14" s="378" t="s">
        <v>166</v>
      </c>
      <c r="C14" s="384">
        <v>249</v>
      </c>
      <c r="D14" s="372">
        <v>1.3615262216827152E-3</v>
      </c>
      <c r="E14" s="384">
        <v>22631800.439999998</v>
      </c>
      <c r="F14" s="377">
        <f>E14/E19</f>
        <v>2.7480122240940894E-3</v>
      </c>
      <c r="G14" s="387">
        <v>239</v>
      </c>
      <c r="H14" s="371">
        <f t="shared" si="0"/>
        <v>1.1316287878787878E-3</v>
      </c>
      <c r="I14" s="389">
        <f t="shared" si="1"/>
        <v>22278664.289999999</v>
      </c>
      <c r="J14" s="229">
        <f t="shared" si="2"/>
        <v>2.3237385131095745E-3</v>
      </c>
      <c r="K14" s="393">
        <f t="shared" si="3"/>
        <v>-10</v>
      </c>
      <c r="L14" s="394">
        <f t="shared" si="4"/>
        <v>-4.0160642570281124E-2</v>
      </c>
      <c r="M14" s="395">
        <f t="shared" si="5"/>
        <v>-353136.14999999851</v>
      </c>
      <c r="N14" s="396">
        <f t="shared" si="6"/>
        <v>-1.5603537638828638E-2</v>
      </c>
      <c r="O14"/>
      <c r="P14"/>
      <c r="Q14"/>
      <c r="R14"/>
      <c r="S14"/>
      <c r="T14"/>
    </row>
    <row r="15" spans="1:28" x14ac:dyDescent="0.25">
      <c r="B15" s="378" t="s">
        <v>167</v>
      </c>
      <c r="C15" s="384">
        <v>25099</v>
      </c>
      <c r="D15" s="372">
        <v>0.13724074955025892</v>
      </c>
      <c r="E15" s="384">
        <v>1966768225.4200001</v>
      </c>
      <c r="F15" s="377">
        <f>E15/E19</f>
        <v>0.23881012647414454</v>
      </c>
      <c r="G15" s="387">
        <v>30628</v>
      </c>
      <c r="H15" s="371">
        <f t="shared" si="0"/>
        <v>0.14501893939393939</v>
      </c>
      <c r="I15" s="389">
        <f t="shared" si="1"/>
        <v>2511304344.4400001</v>
      </c>
      <c r="J15" s="229">
        <f t="shared" si="2"/>
        <v>0.26193736515586324</v>
      </c>
      <c r="K15" s="393">
        <f t="shared" si="3"/>
        <v>5529</v>
      </c>
      <c r="L15" s="394">
        <f t="shared" si="4"/>
        <v>0.2202876608629826</v>
      </c>
      <c r="M15" s="395">
        <f t="shared" si="5"/>
        <v>544536119.01999998</v>
      </c>
      <c r="N15" s="396">
        <f t="shared" si="6"/>
        <v>0.27686847488280691</v>
      </c>
      <c r="O15"/>
      <c r="P15"/>
      <c r="Q15"/>
      <c r="R15"/>
      <c r="S15"/>
      <c r="T15"/>
    </row>
    <row r="16" spans="1:28" x14ac:dyDescent="0.25">
      <c r="B16" s="378" t="s">
        <v>168</v>
      </c>
      <c r="C16" s="384">
        <v>23673</v>
      </c>
      <c r="D16" s="372">
        <v>0.12944341464214826</v>
      </c>
      <c r="E16" s="384">
        <v>1786142966.5600002</v>
      </c>
      <c r="F16" s="377">
        <f>E16/E19</f>
        <v>0.2168781365450464</v>
      </c>
      <c r="G16" s="387">
        <v>25022</v>
      </c>
      <c r="H16" s="371">
        <f t="shared" si="0"/>
        <v>0.11847537878787878</v>
      </c>
      <c r="I16" s="389">
        <f t="shared" si="1"/>
        <v>2033307597.4800003</v>
      </c>
      <c r="J16" s="229">
        <f t="shared" si="2"/>
        <v>0.2120807204489088</v>
      </c>
      <c r="K16" s="393">
        <f t="shared" si="3"/>
        <v>1349</v>
      </c>
      <c r="L16" s="394">
        <f t="shared" si="4"/>
        <v>5.6984750559709377E-2</v>
      </c>
      <c r="M16" s="395">
        <f t="shared" si="5"/>
        <v>247164630.92000008</v>
      </c>
      <c r="N16" s="396">
        <f t="shared" si="6"/>
        <v>0.13837897388249035</v>
      </c>
      <c r="O16"/>
      <c r="P16"/>
      <c r="Q16"/>
      <c r="R16"/>
      <c r="S16"/>
      <c r="T16"/>
    </row>
    <row r="17" spans="1:28" x14ac:dyDescent="0.25">
      <c r="B17" s="378" t="s">
        <v>169</v>
      </c>
      <c r="C17" s="384">
        <v>19447</v>
      </c>
      <c r="D17" s="372">
        <v>0.10633574471109945</v>
      </c>
      <c r="E17" s="384">
        <v>343668000</v>
      </c>
      <c r="F17" s="377">
        <f>E17/E19</f>
        <v>4.1729064708471222E-2</v>
      </c>
      <c r="G17" s="387">
        <v>36486</v>
      </c>
      <c r="H17" s="371">
        <f t="shared" si="0"/>
        <v>0.17275568181818182</v>
      </c>
      <c r="I17" s="389">
        <f t="shared" si="1"/>
        <v>635622000</v>
      </c>
      <c r="J17" s="229">
        <f t="shared" si="2"/>
        <v>6.629748094201092E-2</v>
      </c>
      <c r="K17" s="393">
        <f t="shared" si="3"/>
        <v>17039</v>
      </c>
      <c r="L17" s="394">
        <f t="shared" si="4"/>
        <v>0.87617627397542042</v>
      </c>
      <c r="M17" s="395">
        <f t="shared" si="5"/>
        <v>291954000</v>
      </c>
      <c r="N17" s="396">
        <f t="shared" si="6"/>
        <v>0.84952337721289151</v>
      </c>
      <c r="O17"/>
      <c r="P17"/>
      <c r="Q17"/>
      <c r="R17"/>
      <c r="S17"/>
      <c r="T17"/>
    </row>
    <row r="18" spans="1:28" x14ac:dyDescent="0.25">
      <c r="B18" s="378" t="s">
        <v>170</v>
      </c>
      <c r="C18" s="384">
        <v>18651</v>
      </c>
      <c r="D18" s="372">
        <v>0.10198323518314989</v>
      </c>
      <c r="E18" s="384">
        <v>684241382.86000001</v>
      </c>
      <c r="F18" s="377">
        <f>E18/E19</f>
        <v>8.3082372934281848E-2</v>
      </c>
      <c r="G18" s="387">
        <v>19495</v>
      </c>
      <c r="H18" s="371">
        <f t="shared" si="0"/>
        <v>9.2305871212121207E-2</v>
      </c>
      <c r="I18" s="389">
        <f t="shared" si="1"/>
        <v>725719692.20000005</v>
      </c>
      <c r="J18" s="229">
        <f t="shared" si="2"/>
        <v>7.5694968806730309E-2</v>
      </c>
      <c r="K18" s="393">
        <f t="shared" si="3"/>
        <v>844</v>
      </c>
      <c r="L18" s="394">
        <f t="shared" si="4"/>
        <v>4.5252265294086109E-2</v>
      </c>
      <c r="M18" s="395">
        <f t="shared" si="5"/>
        <v>41478309.340000033</v>
      </c>
      <c r="N18" s="396">
        <f t="shared" si="6"/>
        <v>6.0619410604235188E-2</v>
      </c>
      <c r="O18"/>
      <c r="P18"/>
      <c r="Q18"/>
      <c r="R18"/>
      <c r="S18"/>
      <c r="T18"/>
    </row>
    <row r="19" spans="1:28" x14ac:dyDescent="0.25">
      <c r="B19" s="379" t="s">
        <v>171</v>
      </c>
      <c r="C19" s="386">
        <f t="shared" ref="C19" si="7">SUM(C10:C18)</f>
        <v>182883</v>
      </c>
      <c r="D19" s="381">
        <f>+SUM(D10:D18)</f>
        <v>0.998595604840253</v>
      </c>
      <c r="E19" s="385">
        <f t="shared" ref="E19:F19" si="8">SUM(E10:E18)</f>
        <v>8235698604.8200006</v>
      </c>
      <c r="F19" s="382">
        <f t="shared" si="8"/>
        <v>1</v>
      </c>
      <c r="G19" s="388">
        <f>SUM(G10:G18)</f>
        <v>211200</v>
      </c>
      <c r="H19" s="370">
        <f t="shared" ref="H19" si="9">SUM(H10:H18)</f>
        <v>1.0000000000000002</v>
      </c>
      <c r="I19" s="388">
        <f>SUM(I10:I18)</f>
        <v>9587423096.1500015</v>
      </c>
      <c r="J19" s="370">
        <f>SUM(J10:J18)</f>
        <v>0.99999999999999989</v>
      </c>
      <c r="K19" s="391">
        <f>+SUM(K10:K18)</f>
        <v>28317</v>
      </c>
      <c r="L19" s="390">
        <f>+(G19-C19)/C19</f>
        <v>0.15483669887304999</v>
      </c>
      <c r="M19" s="380">
        <f>+SUM(M10:M18)</f>
        <v>1351724491.3299999</v>
      </c>
      <c r="N19" s="397">
        <f t="shared" si="6"/>
        <v>0.16412991249326372</v>
      </c>
      <c r="O19"/>
      <c r="P19"/>
      <c r="Q19"/>
      <c r="R19"/>
      <c r="S19"/>
      <c r="T19"/>
    </row>
    <row r="20" spans="1:28" ht="14.25" customHeight="1" x14ac:dyDescent="0.25">
      <c r="B20" s="670" t="s">
        <v>289</v>
      </c>
      <c r="C20" s="670"/>
      <c r="D20" s="670"/>
      <c r="E20" s="670"/>
      <c r="F20" s="670"/>
      <c r="G20" s="670"/>
      <c r="H20" s="670"/>
      <c r="I20" s="670"/>
      <c r="J20" s="670"/>
      <c r="K20" s="520"/>
      <c r="L20" s="520"/>
      <c r="M20" s="521"/>
      <c r="N20" s="520"/>
      <c r="O20" s="520"/>
      <c r="P20" s="520"/>
      <c r="Q20" s="520"/>
      <c r="R20" s="520"/>
      <c r="S20" s="520"/>
      <c r="T20" s="520"/>
      <c r="U20" s="520"/>
      <c r="V20" s="520"/>
      <c r="W20"/>
      <c r="X20"/>
      <c r="Y20"/>
      <c r="Z20"/>
      <c r="AA20"/>
      <c r="AB20"/>
    </row>
    <row r="21" spans="1:28" x14ac:dyDescent="0.25">
      <c r="B21" s="103"/>
      <c r="C21"/>
      <c r="D21"/>
      <c r="E21"/>
      <c r="F21"/>
      <c r="G21" s="121"/>
      <c r="H21"/>
      <c r="I21" s="83"/>
      <c r="J21"/>
      <c r="K21"/>
      <c r="L21" s="8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8.25" customHeight="1" x14ac:dyDescent="0.25">
      <c r="B22"/>
      <c r="C22" s="522"/>
      <c r="D22"/>
      <c r="E22" s="83"/>
      <c r="F22"/>
      <c r="G22" s="523"/>
      <c r="H22"/>
      <c r="I22" s="18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x14ac:dyDescent="0.25">
      <c r="B23"/>
      <c r="C23"/>
      <c r="D23"/>
      <c r="E23"/>
      <c r="F23"/>
      <c r="G23" s="121"/>
      <c r="H23" s="121"/>
      <c r="I23" s="6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x14ac:dyDescent="0.25">
      <c r="B25" s="681" t="s">
        <v>172</v>
      </c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/>
      <c r="P25"/>
      <c r="Q25"/>
      <c r="R25"/>
      <c r="S25"/>
    </row>
    <row r="26" spans="1:28" ht="34.5" customHeight="1" x14ac:dyDescent="0.25">
      <c r="B26" s="493"/>
      <c r="C26" s="680" t="s">
        <v>281</v>
      </c>
      <c r="D26" s="680"/>
      <c r="E26" s="680"/>
      <c r="F26" s="680"/>
      <c r="G26" s="680" t="s">
        <v>282</v>
      </c>
      <c r="H26" s="680"/>
      <c r="I26" s="680"/>
      <c r="J26" s="680"/>
      <c r="K26" s="680" t="s">
        <v>87</v>
      </c>
      <c r="L26" s="680"/>
      <c r="M26" s="680"/>
      <c r="N26" s="680"/>
      <c r="O26"/>
      <c r="P26"/>
      <c r="Q26"/>
      <c r="R26"/>
      <c r="S26"/>
      <c r="T26"/>
    </row>
    <row r="27" spans="1:28" ht="36" x14ac:dyDescent="0.25">
      <c r="B27" s="373" t="s">
        <v>135</v>
      </c>
      <c r="C27" s="506" t="s">
        <v>156</v>
      </c>
      <c r="D27" s="373" t="s">
        <v>173</v>
      </c>
      <c r="E27" s="506" t="s">
        <v>8</v>
      </c>
      <c r="F27" s="373" t="s">
        <v>173</v>
      </c>
      <c r="G27" s="506" t="s">
        <v>156</v>
      </c>
      <c r="H27" s="506" t="s">
        <v>56</v>
      </c>
      <c r="I27" s="373" t="s">
        <v>8</v>
      </c>
      <c r="J27" s="373" t="s">
        <v>173</v>
      </c>
      <c r="K27" s="392" t="s">
        <v>174</v>
      </c>
      <c r="L27" s="392" t="s">
        <v>175</v>
      </c>
      <c r="M27" s="392" t="s">
        <v>176</v>
      </c>
      <c r="N27" s="392" t="s">
        <v>175</v>
      </c>
      <c r="O27"/>
      <c r="P27"/>
      <c r="Q27"/>
      <c r="R27"/>
      <c r="S27"/>
      <c r="T27"/>
    </row>
    <row r="28" spans="1:28" ht="16.5" customHeight="1" x14ac:dyDescent="0.25">
      <c r="A28" s="517">
        <v>1</v>
      </c>
      <c r="B28" s="507" t="s">
        <v>177</v>
      </c>
      <c r="C28" s="508">
        <v>38</v>
      </c>
      <c r="D28" s="509">
        <v>2.386784749701652E-4</v>
      </c>
      <c r="E28" s="510">
        <v>544379.04</v>
      </c>
      <c r="F28" s="509">
        <v>8.4405666147081401E-5</v>
      </c>
      <c r="G28" s="604">
        <v>39</v>
      </c>
      <c r="H28" s="509">
        <f>+G28/$G$41</f>
        <v>2.0947695216405805E-4</v>
      </c>
      <c r="I28" s="511">
        <v>574379.04</v>
      </c>
      <c r="J28" s="377">
        <f>+I28/$I$41</f>
        <v>7.6035247290185968E-5</v>
      </c>
      <c r="K28" s="514">
        <f>+G28-C28</f>
        <v>1</v>
      </c>
      <c r="L28" s="515">
        <f>+K28/$K$41</f>
        <v>3.7080984870958175E-5</v>
      </c>
      <c r="M28" s="514">
        <f>+I28-E28</f>
        <v>30000</v>
      </c>
      <c r="N28" s="515">
        <f>+M28/$M$41</f>
        <v>2.7160139595208871E-5</v>
      </c>
      <c r="O28"/>
      <c r="P28"/>
      <c r="Q28"/>
      <c r="R28"/>
      <c r="S28"/>
      <c r="T28"/>
    </row>
    <row r="29" spans="1:28" ht="16.5" customHeight="1" x14ac:dyDescent="0.25">
      <c r="A29" s="517">
        <v>2</v>
      </c>
      <c r="B29" s="507" t="s">
        <v>178</v>
      </c>
      <c r="C29" s="508">
        <v>1</v>
      </c>
      <c r="D29" s="509">
        <v>6.2810124992148738E-6</v>
      </c>
      <c r="E29" s="510">
        <v>15352.5</v>
      </c>
      <c r="F29" s="509">
        <v>2.3803965514966688E-6</v>
      </c>
      <c r="G29" s="604">
        <v>0</v>
      </c>
      <c r="H29" s="509">
        <f t="shared" ref="H29:H40" si="10">+G29/$G$41</f>
        <v>0</v>
      </c>
      <c r="I29" s="511">
        <v>0</v>
      </c>
      <c r="J29" s="377">
        <f t="shared" ref="J29:J40" si="11">+I29/$I$41</f>
        <v>0</v>
      </c>
      <c r="K29" s="514">
        <f>+G29-C29</f>
        <v>-1</v>
      </c>
      <c r="L29" s="515">
        <f t="shared" ref="L29:L40" si="12">+K29/$K$41</f>
        <v>-3.7080984870958175E-5</v>
      </c>
      <c r="M29" s="514">
        <f t="shared" ref="M29:M40" si="13">+I29-E29</f>
        <v>-15352.5</v>
      </c>
      <c r="N29" s="515">
        <f t="shared" ref="N29:N40" si="14">+M29/$M$41</f>
        <v>-1.3899201437848139E-5</v>
      </c>
      <c r="O29"/>
      <c r="P29"/>
      <c r="Q29"/>
      <c r="R29"/>
      <c r="S29"/>
      <c r="T29"/>
    </row>
    <row r="30" spans="1:28" ht="16.5" customHeight="1" x14ac:dyDescent="0.25">
      <c r="A30" s="517">
        <v>3</v>
      </c>
      <c r="B30" s="429" t="s">
        <v>179</v>
      </c>
      <c r="C30" s="508">
        <v>19467</v>
      </c>
      <c r="D30" s="509">
        <v>0.12227247032221594</v>
      </c>
      <c r="E30" s="510">
        <v>344129997.75</v>
      </c>
      <c r="F30" s="509">
        <v>5.3357163973988361E-2</v>
      </c>
      <c r="G30" s="605">
        <v>36499</v>
      </c>
      <c r="H30" s="509">
        <f t="shared" si="10"/>
        <v>0.19604357120605012</v>
      </c>
      <c r="I30" s="511">
        <v>635912612.42999995</v>
      </c>
      <c r="J30" s="377">
        <f t="shared" si="11"/>
        <v>8.4180949118657311E-2</v>
      </c>
      <c r="K30" s="514">
        <f>+G30-C30</f>
        <v>17032</v>
      </c>
      <c r="L30" s="515">
        <f>+K30/$K$41</f>
        <v>0.63156333432215961</v>
      </c>
      <c r="M30" s="514">
        <f t="shared" si="13"/>
        <v>291782614.67999995</v>
      </c>
      <c r="N30" s="515">
        <f t="shared" si="14"/>
        <v>0.26416188487212799</v>
      </c>
      <c r="O30"/>
      <c r="P30"/>
      <c r="Q30"/>
      <c r="R30"/>
      <c r="S30"/>
      <c r="T30"/>
    </row>
    <row r="31" spans="1:28" ht="16.5" customHeight="1" x14ac:dyDescent="0.25">
      <c r="A31" s="517">
        <v>4</v>
      </c>
      <c r="B31" s="429" t="s">
        <v>180</v>
      </c>
      <c r="C31" s="508">
        <v>118883</v>
      </c>
      <c r="D31" s="509">
        <v>0.74670560894416182</v>
      </c>
      <c r="E31" s="510">
        <v>3686150611.2000003</v>
      </c>
      <c r="F31" s="509">
        <v>0.57153559375983176</v>
      </c>
      <c r="G31" s="605">
        <v>124310</v>
      </c>
      <c r="H31" s="509">
        <f t="shared" si="10"/>
        <v>0.66769435701318092</v>
      </c>
      <c r="I31" s="511">
        <v>3864308309.3699999</v>
      </c>
      <c r="J31" s="377">
        <f t="shared" si="11"/>
        <v>0.51155006963427563</v>
      </c>
      <c r="K31" s="514">
        <f t="shared" ref="K31:K40" si="15">+G31-C31</f>
        <v>5427</v>
      </c>
      <c r="L31" s="515">
        <f t="shared" si="12"/>
        <v>0.20123850489469</v>
      </c>
      <c r="M31" s="514">
        <f t="shared" si="13"/>
        <v>178157698.1699996</v>
      </c>
      <c r="N31" s="515">
        <f t="shared" si="14"/>
        <v>0.16129293174194256</v>
      </c>
      <c r="O31"/>
      <c r="P31"/>
      <c r="Q31"/>
      <c r="R31"/>
      <c r="S31"/>
      <c r="T31"/>
    </row>
    <row r="32" spans="1:28" ht="16.5" customHeight="1" x14ac:dyDescent="0.25">
      <c r="A32" s="517">
        <v>5</v>
      </c>
      <c r="B32" s="429" t="s">
        <v>181</v>
      </c>
      <c r="C32" s="508">
        <v>8553</v>
      </c>
      <c r="D32" s="509">
        <v>5.3721499905784814E-2</v>
      </c>
      <c r="E32" s="510">
        <v>595173463.59000003</v>
      </c>
      <c r="F32" s="509">
        <v>9.2281313158896872E-2</v>
      </c>
      <c r="G32" s="605">
        <v>9346</v>
      </c>
      <c r="H32" s="509">
        <f t="shared" si="10"/>
        <v>5.0199271664750938E-2</v>
      </c>
      <c r="I32" s="511">
        <v>644918634.25999999</v>
      </c>
      <c r="J32" s="377">
        <f t="shared" si="11"/>
        <v>8.5373149824562011E-2</v>
      </c>
      <c r="K32" s="514">
        <f t="shared" si="15"/>
        <v>793</v>
      </c>
      <c r="L32" s="515">
        <f t="shared" si="12"/>
        <v>2.9405221002669832E-2</v>
      </c>
      <c r="M32" s="514">
        <f t="shared" si="13"/>
        <v>49745170.669999957</v>
      </c>
      <c r="N32" s="515">
        <f t="shared" si="14"/>
        <v>4.5036192652822958E-2</v>
      </c>
      <c r="O32"/>
      <c r="P32"/>
      <c r="Q32"/>
      <c r="R32"/>
      <c r="S32"/>
      <c r="T32"/>
    </row>
    <row r="33" spans="1:28" ht="16.5" customHeight="1" x14ac:dyDescent="0.25">
      <c r="A33" s="517">
        <v>6</v>
      </c>
      <c r="B33" s="429" t="s">
        <v>182</v>
      </c>
      <c r="C33" s="508">
        <v>4653</v>
      </c>
      <c r="D33" s="509">
        <v>2.9225551158846806E-2</v>
      </c>
      <c r="E33" s="510">
        <v>459487651.31000006</v>
      </c>
      <c r="F33" s="509">
        <v>7.1243303737738337E-2</v>
      </c>
      <c r="G33" s="605">
        <v>5510</v>
      </c>
      <c r="H33" s="509">
        <f t="shared" si="10"/>
        <v>2.9595333498050252E-2</v>
      </c>
      <c r="I33" s="511">
        <v>537102334.09000003</v>
      </c>
      <c r="J33" s="377">
        <f t="shared" si="11"/>
        <v>7.1100625107540893E-2</v>
      </c>
      <c r="K33" s="514">
        <f t="shared" si="15"/>
        <v>857</v>
      </c>
      <c r="L33" s="515">
        <f t="shared" si="12"/>
        <v>3.1778404034411151E-2</v>
      </c>
      <c r="M33" s="514">
        <f t="shared" si="13"/>
        <v>77614682.779999971</v>
      </c>
      <c r="N33" s="515">
        <f t="shared" si="14"/>
        <v>7.0267520631421776E-2</v>
      </c>
      <c r="O33"/>
      <c r="P33"/>
      <c r="Q33"/>
      <c r="R33"/>
      <c r="S33"/>
      <c r="T33"/>
    </row>
    <row r="34" spans="1:28" ht="16.5" customHeight="1" x14ac:dyDescent="0.25">
      <c r="A34" s="517">
        <v>7</v>
      </c>
      <c r="B34" s="429" t="s">
        <v>183</v>
      </c>
      <c r="C34" s="508">
        <v>2126</v>
      </c>
      <c r="D34" s="509">
        <v>1.335343257333082E-2</v>
      </c>
      <c r="E34" s="510">
        <v>270463521.93000001</v>
      </c>
      <c r="F34" s="509">
        <v>4.193521803665954E-2</v>
      </c>
      <c r="G34" s="605">
        <v>2619</v>
      </c>
      <c r="H34" s="509">
        <f t="shared" si="10"/>
        <v>1.4067183018401744E-2</v>
      </c>
      <c r="I34" s="511">
        <v>321165791.10000002</v>
      </c>
      <c r="J34" s="377">
        <f t="shared" si="11"/>
        <v>4.2515340301130605E-2</v>
      </c>
      <c r="K34" s="514">
        <f t="shared" si="15"/>
        <v>493</v>
      </c>
      <c r="L34" s="515">
        <f t="shared" si="12"/>
        <v>1.828092554138238E-2</v>
      </c>
      <c r="M34" s="514">
        <f t="shared" si="13"/>
        <v>50702269.170000017</v>
      </c>
      <c r="N34" s="515">
        <f t="shared" si="14"/>
        <v>4.5902690281701845E-2</v>
      </c>
      <c r="O34"/>
      <c r="P34"/>
      <c r="Q34"/>
      <c r="R34"/>
      <c r="S34"/>
      <c r="T34"/>
    </row>
    <row r="35" spans="1:28" ht="16.5" customHeight="1" x14ac:dyDescent="0.25">
      <c r="A35" s="517">
        <v>8</v>
      </c>
      <c r="B35" s="429" t="s">
        <v>184</v>
      </c>
      <c r="C35" s="508">
        <v>2821</v>
      </c>
      <c r="D35" s="509">
        <v>1.7718736260285157E-2</v>
      </c>
      <c r="E35" s="510">
        <v>429165665.95000005</v>
      </c>
      <c r="F35" s="509">
        <v>6.6541896840784973E-2</v>
      </c>
      <c r="G35" s="605">
        <v>3965</v>
      </c>
      <c r="H35" s="509">
        <f t="shared" si="10"/>
        <v>2.129682347001257E-2</v>
      </c>
      <c r="I35" s="511">
        <v>588304841.33999991</v>
      </c>
      <c r="J35" s="377">
        <f t="shared" si="11"/>
        <v>7.7878719413752476E-2</v>
      </c>
      <c r="K35" s="514">
        <f t="shared" si="15"/>
        <v>1144</v>
      </c>
      <c r="L35" s="515">
        <f t="shared" si="12"/>
        <v>4.2420646692376149E-2</v>
      </c>
      <c r="M35" s="514">
        <f t="shared" si="13"/>
        <v>159139175.38999987</v>
      </c>
      <c r="N35" s="515">
        <f t="shared" si="14"/>
        <v>0.14407474062196082</v>
      </c>
      <c r="O35"/>
      <c r="P35"/>
      <c r="Q35"/>
      <c r="R35"/>
      <c r="S35"/>
      <c r="T35"/>
    </row>
    <row r="36" spans="1:28" ht="16.5" customHeight="1" x14ac:dyDescent="0.25">
      <c r="A36" s="517">
        <v>9</v>
      </c>
      <c r="B36" s="429" t="s">
        <v>185</v>
      </c>
      <c r="C36" s="508">
        <v>912</v>
      </c>
      <c r="D36" s="509">
        <v>5.7282833992839642E-3</v>
      </c>
      <c r="E36" s="510">
        <v>173412191.73000002</v>
      </c>
      <c r="F36" s="509">
        <v>2.6887463486830885E-2</v>
      </c>
      <c r="G36" s="605">
        <v>1117</v>
      </c>
      <c r="H36" s="509">
        <f t="shared" si="10"/>
        <v>5.9996347581346881E-3</v>
      </c>
      <c r="I36" s="511">
        <v>206785289.81999999</v>
      </c>
      <c r="J36" s="377">
        <f t="shared" si="11"/>
        <v>2.7373858641214475E-2</v>
      </c>
      <c r="K36" s="514">
        <f t="shared" si="15"/>
        <v>205</v>
      </c>
      <c r="L36" s="515">
        <f t="shared" si="12"/>
        <v>7.6016018985464251E-3</v>
      </c>
      <c r="M36" s="514">
        <f t="shared" si="13"/>
        <v>33373098.089999974</v>
      </c>
      <c r="N36" s="515">
        <f t="shared" si="14"/>
        <v>3.0213933428299929E-2</v>
      </c>
      <c r="O36"/>
      <c r="P36"/>
      <c r="Q36"/>
      <c r="R36"/>
      <c r="S36"/>
      <c r="T36"/>
    </row>
    <row r="37" spans="1:28" ht="16.5" customHeight="1" x14ac:dyDescent="0.25">
      <c r="A37" s="517">
        <v>10</v>
      </c>
      <c r="B37" s="429" t="s">
        <v>186</v>
      </c>
      <c r="C37" s="508">
        <v>462</v>
      </c>
      <c r="D37" s="509">
        <v>2.9018277746372715E-3</v>
      </c>
      <c r="E37" s="510">
        <v>97557008.310000002</v>
      </c>
      <c r="F37" s="509">
        <v>1.5126159658391522E-2</v>
      </c>
      <c r="G37" s="604">
        <v>818</v>
      </c>
      <c r="H37" s="509">
        <f t="shared" si="10"/>
        <v>4.3936447915435767E-3</v>
      </c>
      <c r="I37" s="511">
        <v>174371704.64999998</v>
      </c>
      <c r="J37" s="377">
        <f t="shared" si="11"/>
        <v>2.3083007491836782E-2</v>
      </c>
      <c r="K37" s="514">
        <f t="shared" si="15"/>
        <v>356</v>
      </c>
      <c r="L37" s="515">
        <f t="shared" si="12"/>
        <v>1.3200830614061109E-2</v>
      </c>
      <c r="M37" s="514">
        <f t="shared" si="13"/>
        <v>76814696.339999974</v>
      </c>
      <c r="N37" s="515">
        <f t="shared" si="14"/>
        <v>6.9543262518599311E-2</v>
      </c>
      <c r="O37"/>
      <c r="P37"/>
      <c r="Q37"/>
      <c r="R37"/>
      <c r="S37"/>
      <c r="T37"/>
    </row>
    <row r="38" spans="1:28" ht="16.5" customHeight="1" x14ac:dyDescent="0.25">
      <c r="A38" s="517">
        <v>11</v>
      </c>
      <c r="B38" s="429" t="s">
        <v>187</v>
      </c>
      <c r="C38" s="508">
        <v>501</v>
      </c>
      <c r="D38" s="509">
        <v>3.1467872621066518E-3</v>
      </c>
      <c r="E38" s="510">
        <v>119899270.41000001</v>
      </c>
      <c r="F38" s="509">
        <v>1.859031492010621E-2</v>
      </c>
      <c r="G38" s="604">
        <v>815</v>
      </c>
      <c r="H38" s="509">
        <f t="shared" si="10"/>
        <v>4.3775311798386488E-3</v>
      </c>
      <c r="I38" s="511">
        <v>195328957.34</v>
      </c>
      <c r="J38" s="377">
        <f t="shared" si="11"/>
        <v>2.5857290290887156E-2</v>
      </c>
      <c r="K38" s="514">
        <f t="shared" si="15"/>
        <v>314</v>
      </c>
      <c r="L38" s="515">
        <f t="shared" si="12"/>
        <v>1.1643429249480867E-2</v>
      </c>
      <c r="M38" s="514">
        <f t="shared" si="13"/>
        <v>75429686.929999992</v>
      </c>
      <c r="N38" s="515">
        <f t="shared" si="14"/>
        <v>6.8289360888056733E-2</v>
      </c>
      <c r="O38"/>
      <c r="P38"/>
      <c r="Q38"/>
      <c r="R38"/>
      <c r="S38"/>
      <c r="T38"/>
    </row>
    <row r="39" spans="1:28" ht="16.5" customHeight="1" x14ac:dyDescent="0.25">
      <c r="A39" s="517">
        <v>12</v>
      </c>
      <c r="B39" s="429" t="s">
        <v>188</v>
      </c>
      <c r="C39" s="508">
        <v>354</v>
      </c>
      <c r="D39" s="509">
        <v>2.2234784247220653E-3</v>
      </c>
      <c r="E39" s="510">
        <v>97722541.780000001</v>
      </c>
      <c r="F39" s="509">
        <v>1.5151825530473938E-2</v>
      </c>
      <c r="G39" s="604">
        <v>523</v>
      </c>
      <c r="H39" s="509">
        <f t="shared" si="10"/>
        <v>2.8091396405590351E-3</v>
      </c>
      <c r="I39" s="511">
        <v>143116216.22</v>
      </c>
      <c r="J39" s="377">
        <f t="shared" si="11"/>
        <v>1.8945463071778218E-2</v>
      </c>
      <c r="K39" s="514">
        <f t="shared" si="15"/>
        <v>169</v>
      </c>
      <c r="L39" s="515">
        <f t="shared" si="12"/>
        <v>6.2666864431919315E-3</v>
      </c>
      <c r="M39" s="514">
        <f t="shared" si="13"/>
        <v>45393674.439999998</v>
      </c>
      <c r="N39" s="515">
        <f t="shared" si="14"/>
        <v>4.1096617817662162E-2</v>
      </c>
      <c r="O39"/>
      <c r="P39"/>
      <c r="Q39"/>
      <c r="R39"/>
      <c r="S39"/>
      <c r="T39"/>
    </row>
    <row r="40" spans="1:28" ht="16.5" customHeight="1" x14ac:dyDescent="0.25">
      <c r="A40" s="517">
        <v>13</v>
      </c>
      <c r="B40" s="429" t="s">
        <v>144</v>
      </c>
      <c r="C40" s="508">
        <v>439</v>
      </c>
      <c r="D40" s="509">
        <v>2.7573644871553295E-3</v>
      </c>
      <c r="E40" s="510">
        <v>175833982.76000002</v>
      </c>
      <c r="F40" s="509">
        <v>2.7262960833599005E-2</v>
      </c>
      <c r="G40" s="604">
        <v>617</v>
      </c>
      <c r="H40" s="509">
        <f t="shared" si="10"/>
        <v>3.3140328073134311E-3</v>
      </c>
      <c r="I40" s="511">
        <v>242226429.00999999</v>
      </c>
      <c r="J40" s="377">
        <f t="shared" si="11"/>
        <v>3.2065491857074073E-2</v>
      </c>
      <c r="K40" s="514">
        <f t="shared" si="15"/>
        <v>178</v>
      </c>
      <c r="L40" s="515">
        <f t="shared" si="12"/>
        <v>6.6004153070305547E-3</v>
      </c>
      <c r="M40" s="514">
        <f t="shared" si="13"/>
        <v>66392446.24999997</v>
      </c>
      <c r="N40" s="515">
        <f t="shared" si="14"/>
        <v>6.0107603607246693E-2</v>
      </c>
      <c r="O40"/>
      <c r="P40"/>
      <c r="Q40"/>
      <c r="R40"/>
      <c r="S40"/>
      <c r="T40"/>
    </row>
    <row r="41" spans="1:28" x14ac:dyDescent="0.25">
      <c r="B41" s="512" t="s">
        <v>171</v>
      </c>
      <c r="C41" s="513">
        <f>SUM(C28:C40)</f>
        <v>159210</v>
      </c>
      <c r="D41" s="505">
        <f t="shared" ref="D41:J41" si="16">SUM(D28:D40)</f>
        <v>1</v>
      </c>
      <c r="E41" s="513">
        <f>SUM(E28:E40)</f>
        <v>6449555638.2600002</v>
      </c>
      <c r="F41" s="505">
        <f t="shared" si="16"/>
        <v>0.99999999999999989</v>
      </c>
      <c r="G41" s="592">
        <f>+SUM(G28:G40)</f>
        <v>186178</v>
      </c>
      <c r="H41" s="505">
        <f t="shared" si="16"/>
        <v>1</v>
      </c>
      <c r="I41" s="593">
        <f>SUM(I28:I40)</f>
        <v>7554115498.670001</v>
      </c>
      <c r="J41" s="505">
        <f t="shared" si="16"/>
        <v>0.99999999999999978</v>
      </c>
      <c r="K41" s="513">
        <f>+SUM(K28:K40)</f>
        <v>26968</v>
      </c>
      <c r="L41" s="505">
        <f>+SUM(L28:L40)</f>
        <v>1</v>
      </c>
      <c r="M41" s="513">
        <f>+SUM(M28:M40)</f>
        <v>1104559860.4099991</v>
      </c>
      <c r="N41" s="505">
        <f>+SUM(N28:N40)</f>
        <v>1</v>
      </c>
      <c r="O41"/>
      <c r="P41" s="61"/>
      <c r="Q41" s="61"/>
      <c r="R41"/>
      <c r="S41"/>
      <c r="T41"/>
      <c r="AA41" s="1" t="s">
        <v>142</v>
      </c>
    </row>
    <row r="42" spans="1:28" ht="13.5" customHeight="1" x14ac:dyDescent="0.25">
      <c r="B42" s="124" t="s">
        <v>189</v>
      </c>
      <c r="C42" s="524"/>
      <c r="D42" s="524"/>
      <c r="E42" s="524"/>
      <c r="F42"/>
      <c r="G42" s="99"/>
      <c r="H42" s="99"/>
      <c r="I42" s="244"/>
      <c r="J42"/>
      <c r="K42" s="61"/>
      <c r="L42" s="82"/>
      <c r="M42" s="61"/>
      <c r="N42"/>
      <c r="O42"/>
      <c r="P42"/>
      <c r="Q42"/>
      <c r="R42"/>
      <c r="S42" s="99"/>
      <c r="T42" s="99"/>
      <c r="U42" s="99"/>
      <c r="V42"/>
      <c r="W42"/>
      <c r="X42"/>
      <c r="Y42"/>
      <c r="Z42"/>
      <c r="AA42"/>
      <c r="AB42"/>
    </row>
    <row r="43" spans="1:28" ht="14.25" customHeight="1" x14ac:dyDescent="0.25">
      <c r="B43" s="670" t="s">
        <v>289</v>
      </c>
      <c r="C43" s="670"/>
      <c r="D43" s="670"/>
      <c r="E43" s="670"/>
      <c r="F43" s="670"/>
      <c r="G43" s="670"/>
      <c r="H43" s="670"/>
      <c r="I43" s="670"/>
      <c r="J43" s="670"/>
      <c r="K43" s="61"/>
      <c r="L43"/>
      <c r="M43" s="61"/>
      <c r="N43" s="61"/>
      <c r="O43" s="61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25">
      <c r="B44"/>
      <c r="C44"/>
      <c r="D44"/>
      <c r="E44"/>
      <c r="F44"/>
      <c r="G44" s="61"/>
      <c r="H44"/>
      <c r="I44" s="61"/>
      <c r="J44"/>
      <c r="K44" s="61"/>
      <c r="L44" s="61"/>
      <c r="M44"/>
      <c r="N44" s="499"/>
      <c r="O44" s="83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25">
      <c r="B45"/>
      <c r="C45"/>
      <c r="D45"/>
      <c r="E45"/>
      <c r="F45"/>
      <c r="G45" s="121"/>
      <c r="H45"/>
      <c r="I45"/>
      <c r="J45"/>
      <c r="K45"/>
      <c r="L45" s="6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25">
      <c r="B46" s="681" t="s">
        <v>190</v>
      </c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/>
      <c r="P46"/>
      <c r="Q46"/>
      <c r="R46"/>
      <c r="S46"/>
      <c r="T46"/>
    </row>
    <row r="47" spans="1:28" ht="43.5" customHeight="1" x14ac:dyDescent="0.25">
      <c r="B47" s="493"/>
      <c r="C47" s="680" t="s">
        <v>281</v>
      </c>
      <c r="D47" s="680"/>
      <c r="E47" s="680"/>
      <c r="F47" s="680"/>
      <c r="G47" s="680" t="s">
        <v>282</v>
      </c>
      <c r="H47" s="680"/>
      <c r="I47" s="680"/>
      <c r="J47" s="680"/>
      <c r="K47" s="680" t="s">
        <v>87</v>
      </c>
      <c r="L47" s="680"/>
      <c r="M47" s="680"/>
      <c r="N47" s="680"/>
      <c r="O47"/>
      <c r="P47"/>
      <c r="Q47"/>
      <c r="R47"/>
      <c r="S47"/>
      <c r="T47"/>
    </row>
    <row r="48" spans="1:28" ht="45" customHeight="1" x14ac:dyDescent="0.25">
      <c r="B48" s="373" t="s">
        <v>135</v>
      </c>
      <c r="C48" s="373" t="s">
        <v>114</v>
      </c>
      <c r="D48" s="373" t="s">
        <v>56</v>
      </c>
      <c r="E48" s="373" t="s">
        <v>8</v>
      </c>
      <c r="F48" s="373" t="s">
        <v>56</v>
      </c>
      <c r="G48" s="373" t="s">
        <v>136</v>
      </c>
      <c r="H48" s="373" t="s">
        <v>56</v>
      </c>
      <c r="I48" s="373" t="s">
        <v>8</v>
      </c>
      <c r="J48" s="373" t="s">
        <v>56</v>
      </c>
      <c r="K48" s="392" t="s">
        <v>159</v>
      </c>
      <c r="L48" s="392" t="s">
        <v>160</v>
      </c>
      <c r="M48" s="392" t="s">
        <v>191</v>
      </c>
      <c r="N48" s="392" t="s">
        <v>160</v>
      </c>
      <c r="O48"/>
      <c r="P48"/>
      <c r="Q48"/>
      <c r="R48"/>
      <c r="S48"/>
      <c r="T48"/>
    </row>
    <row r="49" spans="2:28" ht="0.75" customHeight="1" x14ac:dyDescent="0.25">
      <c r="B49" s="495" t="s">
        <v>192</v>
      </c>
      <c r="C49" s="496">
        <v>0</v>
      </c>
      <c r="D49" s="228">
        <f>C49/$G$61</f>
        <v>0</v>
      </c>
      <c r="E49" s="497">
        <v>0</v>
      </c>
      <c r="F49" s="245">
        <f>E49/E61</f>
        <v>0</v>
      </c>
      <c r="G49" s="496">
        <v>0</v>
      </c>
      <c r="H49" s="228">
        <f>G49/$G$61</f>
        <v>0</v>
      </c>
      <c r="I49" s="497">
        <v>0</v>
      </c>
      <c r="J49" s="245">
        <f>I49/I61</f>
        <v>0</v>
      </c>
      <c r="K49" s="496">
        <f>+G49-C49</f>
        <v>0</v>
      </c>
      <c r="L49" s="228"/>
      <c r="M49" s="497">
        <f>+I49-E49</f>
        <v>0</v>
      </c>
      <c r="N49" s="245"/>
      <c r="O49"/>
      <c r="P49"/>
      <c r="Q49"/>
      <c r="R49"/>
      <c r="S49"/>
      <c r="T49"/>
    </row>
    <row r="50" spans="2:28" ht="13.5" customHeight="1" x14ac:dyDescent="0.25">
      <c r="B50" s="498" t="s">
        <v>193</v>
      </c>
      <c r="C50" s="376">
        <v>1</v>
      </c>
      <c r="D50" s="372">
        <f>+C50/$C$61</f>
        <v>7.855336129832996E-6</v>
      </c>
      <c r="E50" s="499">
        <v>30000</v>
      </c>
      <c r="F50" s="377">
        <f>E50/$E$61</f>
        <v>4.9132905446896056E-6</v>
      </c>
      <c r="G50" s="494">
        <v>9</v>
      </c>
      <c r="H50" s="371">
        <f>+G50/$G$61</f>
        <v>6.5633067397867655E-5</v>
      </c>
      <c r="I50" s="500">
        <v>301520.01</v>
      </c>
      <c r="J50" s="229">
        <f>+I50/$I$61</f>
        <v>4.3582121597029765E-5</v>
      </c>
      <c r="K50" s="395">
        <f>+G50-C50</f>
        <v>8</v>
      </c>
      <c r="L50" s="396">
        <f>K50/$K$61</f>
        <v>8.1433224755700329E-4</v>
      </c>
      <c r="M50" s="516">
        <f>+I50-E50</f>
        <v>271520.01</v>
      </c>
      <c r="N50" s="396">
        <f>M50/$M$61</f>
        <v>3.3415961268080854E-4</v>
      </c>
      <c r="O50"/>
      <c r="P50"/>
      <c r="Q50"/>
      <c r="R50"/>
      <c r="S50"/>
      <c r="T50"/>
    </row>
    <row r="51" spans="2:28" ht="13.5" customHeight="1" x14ac:dyDescent="0.25">
      <c r="B51" s="501" t="s">
        <v>145</v>
      </c>
      <c r="C51" s="376">
        <v>8</v>
      </c>
      <c r="D51" s="372">
        <f t="shared" ref="D51:D60" si="17">+C51/$C$61</f>
        <v>6.2842689038663968E-5</v>
      </c>
      <c r="E51" s="499">
        <v>282922.05000000005</v>
      </c>
      <c r="F51" s="377">
        <f t="shared" ref="F51:F60" si="18">E51/$E$61</f>
        <v>4.6335941104973332E-5</v>
      </c>
      <c r="G51" s="494">
        <v>9</v>
      </c>
      <c r="H51" s="371">
        <f t="shared" ref="H51:H60" si="19">+G51/$G$61</f>
        <v>6.5633067397867655E-5</v>
      </c>
      <c r="I51" s="500">
        <v>485422.05000000005</v>
      </c>
      <c r="J51" s="229">
        <f t="shared" ref="J51:J60" si="20">+I51/$I$61</f>
        <v>7.016357822812311E-5</v>
      </c>
      <c r="K51" s="395">
        <f t="shared" ref="K51:K60" si="21">+G51-C51</f>
        <v>1</v>
      </c>
      <c r="L51" s="396">
        <f t="shared" ref="L51:L60" si="22">K51/$K$61</f>
        <v>1.0179153094462541E-4</v>
      </c>
      <c r="M51" s="516">
        <f t="shared" ref="M51:M60" si="23">+I51-E51</f>
        <v>202500</v>
      </c>
      <c r="N51" s="396">
        <f t="shared" ref="N51:N60" si="24">M51/$M$61</f>
        <v>2.4921670254749817E-4</v>
      </c>
      <c r="O51"/>
      <c r="P51"/>
      <c r="Q51"/>
      <c r="R51"/>
      <c r="S51"/>
      <c r="T51"/>
    </row>
    <row r="52" spans="2:28" x14ac:dyDescent="0.25">
      <c r="B52" s="501" t="s">
        <v>146</v>
      </c>
      <c r="C52" s="376">
        <v>78</v>
      </c>
      <c r="D52" s="372">
        <f t="shared" si="17"/>
        <v>6.1271621812697364E-4</v>
      </c>
      <c r="E52" s="499">
        <v>4200764.74</v>
      </c>
      <c r="F52" s="377">
        <f t="shared" si="18"/>
        <v>6.87985922583583E-4</v>
      </c>
      <c r="G52" s="494">
        <v>68</v>
      </c>
      <c r="H52" s="371">
        <f t="shared" si="19"/>
        <v>4.9589428700611113E-4</v>
      </c>
      <c r="I52" s="500">
        <v>3624780.91</v>
      </c>
      <c r="J52" s="229">
        <f t="shared" si="20"/>
        <v>5.2393087404783588E-4</v>
      </c>
      <c r="K52" s="395">
        <f t="shared" si="21"/>
        <v>-10</v>
      </c>
      <c r="L52" s="396">
        <f t="shared" si="22"/>
        <v>-1.0179153094462541E-3</v>
      </c>
      <c r="M52" s="516">
        <f t="shared" si="23"/>
        <v>-575983.83000000007</v>
      </c>
      <c r="N52" s="396">
        <f t="shared" si="24"/>
        <v>-7.0886316460878397E-4</v>
      </c>
      <c r="O52"/>
      <c r="P52"/>
      <c r="Q52"/>
      <c r="R52"/>
      <c r="S52"/>
      <c r="T52"/>
    </row>
    <row r="53" spans="2:28" x14ac:dyDescent="0.25">
      <c r="B53" s="501" t="s">
        <v>147</v>
      </c>
      <c r="C53" s="376">
        <v>570</v>
      </c>
      <c r="D53" s="372">
        <f t="shared" si="17"/>
        <v>4.4775415940048078E-3</v>
      </c>
      <c r="E53" s="499">
        <v>28421745.25</v>
      </c>
      <c r="F53" s="377">
        <f t="shared" si="18"/>
        <v>4.6548097400133902E-3</v>
      </c>
      <c r="G53" s="494">
        <v>538</v>
      </c>
      <c r="H53" s="371">
        <f t="shared" si="19"/>
        <v>3.923398917783644E-3</v>
      </c>
      <c r="I53" s="500">
        <v>30178179.849999998</v>
      </c>
      <c r="J53" s="229">
        <f t="shared" si="20"/>
        <v>4.3619960870913124E-3</v>
      </c>
      <c r="K53" s="395">
        <f t="shared" si="21"/>
        <v>-32</v>
      </c>
      <c r="L53" s="396">
        <f t="shared" si="22"/>
        <v>-3.2573289902280132E-3</v>
      </c>
      <c r="M53" s="516">
        <f t="shared" si="23"/>
        <v>1756434.5999999978</v>
      </c>
      <c r="N53" s="396">
        <f t="shared" si="24"/>
        <v>2.1616436506288065E-3</v>
      </c>
      <c r="O53"/>
      <c r="P53"/>
      <c r="Q53"/>
      <c r="R53"/>
      <c r="S53"/>
      <c r="T53"/>
    </row>
    <row r="54" spans="2:28" x14ac:dyDescent="0.25">
      <c r="B54" s="501" t="s">
        <v>148</v>
      </c>
      <c r="C54" s="376">
        <v>3110</v>
      </c>
      <c r="D54" s="372">
        <f t="shared" si="17"/>
        <v>2.4430095363780616E-2</v>
      </c>
      <c r="E54" s="499">
        <v>169388469</v>
      </c>
      <c r="F54" s="377">
        <f t="shared" si="18"/>
        <v>2.7741825437238278E-2</v>
      </c>
      <c r="G54" s="104">
        <v>2964</v>
      </c>
      <c r="H54" s="371">
        <f t="shared" si="19"/>
        <v>2.1615156863031081E-2</v>
      </c>
      <c r="I54" s="500">
        <v>177987378.87</v>
      </c>
      <c r="J54" s="229">
        <f t="shared" si="20"/>
        <v>2.5726543285299528E-2</v>
      </c>
      <c r="K54" s="395">
        <f t="shared" si="21"/>
        <v>-146</v>
      </c>
      <c r="L54" s="396">
        <f t="shared" si="22"/>
        <v>-1.4861563517915309E-2</v>
      </c>
      <c r="M54" s="516">
        <f t="shared" si="23"/>
        <v>8598909.8700000048</v>
      </c>
      <c r="N54" s="396">
        <f t="shared" si="24"/>
        <v>1.0582676361997714E-2</v>
      </c>
      <c r="O54"/>
      <c r="P54"/>
      <c r="Q54"/>
      <c r="R54"/>
      <c r="S54"/>
      <c r="T54"/>
    </row>
    <row r="55" spans="2:28" x14ac:dyDescent="0.25">
      <c r="B55" s="501" t="s">
        <v>149</v>
      </c>
      <c r="C55" s="376">
        <v>42566</v>
      </c>
      <c r="D55" s="372">
        <f t="shared" si="17"/>
        <v>0.33437023770247126</v>
      </c>
      <c r="E55" s="499">
        <v>2148405590.1599998</v>
      </c>
      <c r="F55" s="377">
        <f t="shared" si="18"/>
        <v>0.35185802907638064</v>
      </c>
      <c r="G55" s="104">
        <v>45717</v>
      </c>
      <c r="H55" s="371">
        <f t="shared" si="19"/>
        <v>0.33339410469203506</v>
      </c>
      <c r="I55" s="500">
        <v>2481270172.7799997</v>
      </c>
      <c r="J55" s="229">
        <f t="shared" si="20"/>
        <v>0.35864624170442616</v>
      </c>
      <c r="K55" s="395">
        <f t="shared" si="21"/>
        <v>3151</v>
      </c>
      <c r="L55" s="396">
        <f t="shared" si="22"/>
        <v>0.32074511400651468</v>
      </c>
      <c r="M55" s="516">
        <f t="shared" si="23"/>
        <v>332864582.61999989</v>
      </c>
      <c r="N55" s="396">
        <f t="shared" si="24"/>
        <v>0.40965636382916359</v>
      </c>
      <c r="O55"/>
      <c r="P55"/>
      <c r="Q55"/>
      <c r="R55"/>
      <c r="S55"/>
      <c r="T55"/>
    </row>
    <row r="56" spans="2:28" x14ac:dyDescent="0.25">
      <c r="B56" s="501" t="s">
        <v>150</v>
      </c>
      <c r="C56" s="376">
        <v>50488</v>
      </c>
      <c r="D56" s="372">
        <f t="shared" si="17"/>
        <v>0.39660021052300826</v>
      </c>
      <c r="E56" s="499">
        <v>2452393963.54</v>
      </c>
      <c r="F56" s="377">
        <f t="shared" si="18"/>
        <v>0.40164413576383157</v>
      </c>
      <c r="G56" s="104">
        <v>55131</v>
      </c>
      <c r="H56" s="371">
        <f t="shared" si="19"/>
        <v>0.40204629319020463</v>
      </c>
      <c r="I56" s="500">
        <v>2786621465.4300003</v>
      </c>
      <c r="J56" s="229">
        <f t="shared" si="20"/>
        <v>0.40278214222420444</v>
      </c>
      <c r="K56" s="395">
        <f t="shared" si="21"/>
        <v>4643</v>
      </c>
      <c r="L56" s="396">
        <f t="shared" si="22"/>
        <v>0.47261807817589574</v>
      </c>
      <c r="M56" s="516">
        <f t="shared" si="23"/>
        <v>334227501.89000034</v>
      </c>
      <c r="N56" s="396">
        <f t="shared" si="24"/>
        <v>0.41133370825537574</v>
      </c>
      <c r="O56"/>
      <c r="P56"/>
      <c r="Q56"/>
      <c r="R56"/>
      <c r="S56"/>
      <c r="T56"/>
    </row>
    <row r="57" spans="2:28" x14ac:dyDescent="0.25">
      <c r="B57" s="501" t="s">
        <v>151</v>
      </c>
      <c r="C57" s="376">
        <v>25044</v>
      </c>
      <c r="D57" s="372">
        <f t="shared" si="17"/>
        <v>0.19672903803553754</v>
      </c>
      <c r="E57" s="499">
        <v>1079520524.3099999</v>
      </c>
      <c r="F57" s="377">
        <f t="shared" si="18"/>
        <v>0.17679993282968959</v>
      </c>
      <c r="G57" s="104">
        <v>26827</v>
      </c>
      <c r="H57" s="371">
        <f t="shared" si="19"/>
        <v>0.19563758878695506</v>
      </c>
      <c r="I57" s="500">
        <v>1189637634.03</v>
      </c>
      <c r="J57" s="229">
        <f t="shared" si="20"/>
        <v>0.17195187816124791</v>
      </c>
      <c r="K57" s="395">
        <f t="shared" si="21"/>
        <v>1783</v>
      </c>
      <c r="L57" s="396">
        <f t="shared" si="22"/>
        <v>0.18149429967426711</v>
      </c>
      <c r="M57" s="516">
        <f t="shared" si="23"/>
        <v>110117109.72000003</v>
      </c>
      <c r="N57" s="396">
        <f t="shared" si="24"/>
        <v>0.13552110112829366</v>
      </c>
      <c r="O57"/>
      <c r="P57"/>
      <c r="Q57"/>
      <c r="R57"/>
      <c r="S57"/>
      <c r="T57"/>
    </row>
    <row r="58" spans="2:28" x14ac:dyDescent="0.25">
      <c r="B58" s="501" t="s">
        <v>152</v>
      </c>
      <c r="C58" s="376">
        <v>5118</v>
      </c>
      <c r="D58" s="372">
        <f t="shared" si="17"/>
        <v>4.0203610312485275E-2</v>
      </c>
      <c r="E58" s="499">
        <v>211317872.5</v>
      </c>
      <c r="F58" s="377">
        <f t="shared" si="18"/>
        <v>3.4608870162605783E-2</v>
      </c>
      <c r="G58" s="104">
        <v>5497</v>
      </c>
      <c r="H58" s="371">
        <f t="shared" si="19"/>
        <v>4.0087219054008721E-2</v>
      </c>
      <c r="I58" s="500">
        <v>232981753.55000001</v>
      </c>
      <c r="J58" s="229">
        <f t="shared" si="20"/>
        <v>3.3675506687285271E-2</v>
      </c>
      <c r="K58" s="395">
        <f t="shared" si="21"/>
        <v>379</v>
      </c>
      <c r="L58" s="396">
        <f t="shared" si="22"/>
        <v>3.8578990228013033E-2</v>
      </c>
      <c r="M58" s="516">
        <f t="shared" si="23"/>
        <v>21663881.050000012</v>
      </c>
      <c r="N58" s="396">
        <f t="shared" si="24"/>
        <v>2.6661733331665358E-2</v>
      </c>
      <c r="O58"/>
      <c r="P58"/>
      <c r="Q58"/>
      <c r="R58"/>
      <c r="S58"/>
      <c r="T58"/>
    </row>
    <row r="59" spans="2:28" x14ac:dyDescent="0.25">
      <c r="B59" s="502">
        <v>100</v>
      </c>
      <c r="C59" s="376">
        <v>280</v>
      </c>
      <c r="D59" s="372">
        <f t="shared" si="17"/>
        <v>2.1994941163532389E-3</v>
      </c>
      <c r="E59" s="499">
        <v>10745280.040000001</v>
      </c>
      <c r="F59" s="377">
        <f t="shared" si="18"/>
        <v>1.7598227606857983E-3</v>
      </c>
      <c r="G59" s="494">
        <v>312</v>
      </c>
      <c r="H59" s="371">
        <f t="shared" si="19"/>
        <v>2.2752796697927454E-3</v>
      </c>
      <c r="I59" s="500">
        <v>12025593.52</v>
      </c>
      <c r="J59" s="229">
        <f t="shared" si="20"/>
        <v>1.738196012480542E-3</v>
      </c>
      <c r="K59" s="395">
        <f t="shared" si="21"/>
        <v>32</v>
      </c>
      <c r="L59" s="396">
        <f t="shared" si="22"/>
        <v>3.2573289902280132E-3</v>
      </c>
      <c r="M59" s="516">
        <f t="shared" si="23"/>
        <v>1280313.4799999986</v>
      </c>
      <c r="N59" s="396">
        <f t="shared" si="24"/>
        <v>1.575681499815861E-3</v>
      </c>
      <c r="O59"/>
      <c r="P59"/>
      <c r="Q59"/>
      <c r="R59"/>
      <c r="S59"/>
      <c r="T59"/>
    </row>
    <row r="60" spans="2:28" x14ac:dyDescent="0.25">
      <c r="B60" s="502" t="s">
        <v>194</v>
      </c>
      <c r="C60" s="376">
        <v>39</v>
      </c>
      <c r="D60" s="372">
        <f t="shared" si="17"/>
        <v>3.0635810906348682E-4</v>
      </c>
      <c r="E60" s="499">
        <v>1180506.67</v>
      </c>
      <c r="F60" s="377">
        <f t="shared" si="18"/>
        <v>1.9333907532180039E-4</v>
      </c>
      <c r="G60" s="494">
        <v>54</v>
      </c>
      <c r="H60" s="371">
        <f t="shared" si="19"/>
        <v>3.937984043872059E-4</v>
      </c>
      <c r="I60" s="500">
        <v>3319597.67</v>
      </c>
      <c r="J60" s="229">
        <f t="shared" si="20"/>
        <v>4.7981926409181491E-4</v>
      </c>
      <c r="K60" s="395">
        <f t="shared" si="21"/>
        <v>15</v>
      </c>
      <c r="L60" s="396">
        <f t="shared" si="22"/>
        <v>1.5268729641693811E-3</v>
      </c>
      <c r="M60" s="516">
        <f t="shared" si="23"/>
        <v>2139091</v>
      </c>
      <c r="N60" s="396">
        <f t="shared" si="24"/>
        <v>2.632578792439656E-3</v>
      </c>
      <c r="O60"/>
      <c r="P60"/>
      <c r="Q60"/>
      <c r="R60"/>
      <c r="S60"/>
      <c r="T60"/>
    </row>
    <row r="61" spans="2:28" x14ac:dyDescent="0.25">
      <c r="B61" s="379" t="s">
        <v>171</v>
      </c>
      <c r="C61" s="503">
        <f>SUM(C49:C60)</f>
        <v>127302</v>
      </c>
      <c r="D61" s="255">
        <f>SUM(D49:D60)</f>
        <v>0.99999999999999989</v>
      </c>
      <c r="E61" s="503">
        <f>+SUM(E50:E60)</f>
        <v>6105887638.2599993</v>
      </c>
      <c r="F61" s="255">
        <f>SUM(F49:F60)</f>
        <v>1</v>
      </c>
      <c r="G61" s="380">
        <f>+SUM(G50:G60)</f>
        <v>137126</v>
      </c>
      <c r="H61" s="255">
        <f>SUM(H49:H60)</f>
        <v>1</v>
      </c>
      <c r="I61" s="504">
        <f>+SUM(I50:I60)</f>
        <v>6918433498.6700001</v>
      </c>
      <c r="J61" s="255">
        <f>SUM(J49:J60)</f>
        <v>1</v>
      </c>
      <c r="K61" s="503">
        <f>+SUM(K50:K60)</f>
        <v>9824</v>
      </c>
      <c r="L61" s="255">
        <f>+SUM(L50:L60)</f>
        <v>1</v>
      </c>
      <c r="M61" s="503">
        <f>+SUM(M50:M60)</f>
        <v>812545860.41000032</v>
      </c>
      <c r="N61" s="255">
        <f>+SUM(N50:N60)</f>
        <v>0.99999999999999978</v>
      </c>
      <c r="O61"/>
      <c r="P61"/>
      <c r="Q61"/>
      <c r="R61"/>
      <c r="S61"/>
      <c r="T61"/>
    </row>
    <row r="62" spans="2:28" x14ac:dyDescent="0.25">
      <c r="B62" s="525" t="s">
        <v>195</v>
      </c>
      <c r="C62" s="99"/>
      <c r="D62" s="99"/>
      <c r="E62" s="99"/>
      <c r="F62"/>
      <c r="G62" s="99"/>
      <c r="H62" s="99"/>
      <c r="I62" s="99"/>
      <c r="J62" s="83"/>
      <c r="K62"/>
      <c r="L62"/>
      <c r="M62" s="61"/>
      <c r="N62"/>
      <c r="O62"/>
      <c r="P62"/>
      <c r="Q62"/>
      <c r="R62"/>
      <c r="S62" s="99"/>
      <c r="T62" s="99"/>
      <c r="U62" s="99"/>
      <c r="V62"/>
      <c r="W62"/>
      <c r="X62"/>
      <c r="Y62"/>
      <c r="Z62"/>
      <c r="AA62"/>
      <c r="AB62"/>
    </row>
    <row r="63" spans="2:28" x14ac:dyDescent="0.25">
      <c r="B63" s="525" t="s">
        <v>300</v>
      </c>
      <c r="C63" s="99"/>
      <c r="D63" s="99"/>
      <c r="E63" s="99"/>
      <c r="F63"/>
      <c r="G63" s="99"/>
      <c r="H63" s="99"/>
      <c r="I63" s="99"/>
      <c r="J63" s="83"/>
      <c r="K63"/>
      <c r="L63"/>
      <c r="M63" s="61"/>
      <c r="N63"/>
      <c r="O63"/>
      <c r="P63"/>
      <c r="Q63"/>
      <c r="R63"/>
      <c r="S63" s="99"/>
      <c r="T63" s="99"/>
      <c r="U63" s="99"/>
      <c r="V63"/>
      <c r="W63"/>
      <c r="X63"/>
      <c r="Y63"/>
      <c r="Z63"/>
      <c r="AA63"/>
      <c r="AB63"/>
    </row>
    <row r="64" spans="2:28" ht="15" customHeight="1" x14ac:dyDescent="0.25">
      <c r="B64" s="670" t="s">
        <v>289</v>
      </c>
      <c r="C64" s="670"/>
      <c r="D64" s="670"/>
      <c r="E64" s="670"/>
      <c r="F64" s="670"/>
      <c r="G64" s="670"/>
      <c r="H64" s="670"/>
      <c r="I64" s="670"/>
      <c r="J64" s="670"/>
      <c r="K64"/>
      <c r="L64"/>
      <c r="M64"/>
      <c r="N64"/>
      <c r="O64"/>
      <c r="P64"/>
      <c r="Q64"/>
      <c r="R64"/>
      <c r="S64" s="61"/>
      <c r="T64"/>
      <c r="U64" s="83"/>
      <c r="V64"/>
      <c r="W64"/>
      <c r="X64"/>
      <c r="Y64"/>
      <c r="Z64"/>
      <c r="AA64"/>
      <c r="AB64"/>
    </row>
    <row r="65" spans="1:13" x14ac:dyDescent="0.25">
      <c r="G65" s="13"/>
      <c r="H65" s="13"/>
      <c r="I65" s="30"/>
    </row>
    <row r="66" spans="1:13" x14ac:dyDescent="0.25">
      <c r="D66" s="526"/>
      <c r="G66" s="13"/>
      <c r="H66" s="13"/>
      <c r="I66" s="62"/>
      <c r="J66" s="62"/>
    </row>
    <row r="67" spans="1:13" x14ac:dyDescent="0.25">
      <c r="D67" s="526"/>
    </row>
    <row r="68" spans="1:13" x14ac:dyDescent="0.25">
      <c r="D68" s="526"/>
      <c r="F68" s="527"/>
      <c r="G68" s="527"/>
      <c r="H68" s="527"/>
      <c r="I68" s="62"/>
    </row>
    <row r="69" spans="1:13" x14ac:dyDescent="0.25">
      <c r="D69" s="526"/>
      <c r="F69" s="527"/>
      <c r="G69" s="527"/>
      <c r="H69" s="527"/>
      <c r="I69" s="62"/>
    </row>
    <row r="70" spans="1:13" x14ac:dyDescent="0.25">
      <c r="D70" s="526"/>
      <c r="F70" s="527"/>
      <c r="G70" s="527"/>
      <c r="H70" s="527"/>
      <c r="I70" s="62"/>
    </row>
    <row r="71" spans="1:13" x14ac:dyDescent="0.25">
      <c r="D71" s="526"/>
      <c r="F71" s="527"/>
      <c r="G71" s="527"/>
      <c r="H71" s="527"/>
      <c r="I71" s="62"/>
    </row>
    <row r="72" spans="1:13" x14ac:dyDescent="0.25">
      <c r="D72" s="526"/>
      <c r="F72" s="527"/>
      <c r="G72" s="527"/>
      <c r="H72" s="527"/>
      <c r="I72" s="62"/>
    </row>
    <row r="73" spans="1:13" x14ac:dyDescent="0.25">
      <c r="D73" s="526"/>
      <c r="F73" s="527"/>
      <c r="G73" s="527"/>
      <c r="H73" s="527"/>
      <c r="I73" s="62"/>
    </row>
    <row r="74" spans="1:13" ht="11.25" customHeight="1" x14ac:dyDescent="0.25">
      <c r="D74" s="526"/>
      <c r="F74" s="527"/>
      <c r="G74" s="527"/>
      <c r="H74" s="527"/>
      <c r="I74" s="62"/>
    </row>
    <row r="75" spans="1:13" hidden="1" x14ac:dyDescent="0.25">
      <c r="B75" s="678" t="s">
        <v>39</v>
      </c>
      <c r="C75" s="678"/>
      <c r="D75" s="678"/>
      <c r="E75" s="678"/>
      <c r="F75" s="679" t="s">
        <v>21</v>
      </c>
      <c r="G75" s="679"/>
      <c r="H75" s="679"/>
      <c r="I75" s="679"/>
      <c r="J75" s="88" t="s">
        <v>22</v>
      </c>
    </row>
    <row r="76" spans="1:13" ht="28.5" hidden="1" customHeight="1" x14ac:dyDescent="0.25">
      <c r="B76" s="1" t="s">
        <v>156</v>
      </c>
      <c r="C76" s="1" t="s">
        <v>56</v>
      </c>
      <c r="D76" s="526" t="s">
        <v>8</v>
      </c>
      <c r="E76" s="1" t="s">
        <v>56</v>
      </c>
      <c r="F76" s="527" t="s">
        <v>156</v>
      </c>
      <c r="G76" s="527" t="s">
        <v>56</v>
      </c>
      <c r="H76" s="527" t="s">
        <v>8</v>
      </c>
      <c r="I76" s="62" t="s">
        <v>56</v>
      </c>
      <c r="J76" s="1" t="s">
        <v>156</v>
      </c>
      <c r="K76" s="88"/>
      <c r="L76" s="88"/>
      <c r="M76" s="88"/>
    </row>
    <row r="77" spans="1:13" hidden="1" x14ac:dyDescent="0.25">
      <c r="B77" s="369">
        <v>33140</v>
      </c>
      <c r="C77" s="529">
        <v>0.15848345583839851</v>
      </c>
      <c r="D77" s="369">
        <v>525098745.94999999</v>
      </c>
      <c r="E77" s="529">
        <v>0.16567500235116758</v>
      </c>
      <c r="F77" s="530">
        <v>33043</v>
      </c>
      <c r="G77" s="531">
        <v>0.15854348994319054</v>
      </c>
      <c r="H77" s="530">
        <v>525798524.94999999</v>
      </c>
      <c r="I77" s="529">
        <v>0.16533209734917395</v>
      </c>
      <c r="J77" s="369">
        <v>33108</v>
      </c>
      <c r="K77" s="1" t="s">
        <v>56</v>
      </c>
      <c r="L77" s="1" t="s">
        <v>8</v>
      </c>
      <c r="M77" s="1" t="s">
        <v>56</v>
      </c>
    </row>
    <row r="78" spans="1:13" hidden="1" x14ac:dyDescent="0.25">
      <c r="A78" s="528"/>
      <c r="B78" s="369">
        <v>66677</v>
      </c>
      <c r="C78" s="529">
        <v>0.31886546122320153</v>
      </c>
      <c r="D78" s="369">
        <v>677887793.13</v>
      </c>
      <c r="E78" s="529">
        <v>0.2138817938280406</v>
      </c>
      <c r="F78" s="530">
        <v>65465</v>
      </c>
      <c r="G78" s="531">
        <v>0.31410736219867957</v>
      </c>
      <c r="H78" s="530">
        <v>675773102.33000004</v>
      </c>
      <c r="I78" s="529">
        <v>0.21249010607437777</v>
      </c>
      <c r="J78" s="369">
        <v>65802</v>
      </c>
      <c r="K78" s="529">
        <v>0.15676136363636364</v>
      </c>
      <c r="L78" s="369">
        <v>527809928.26999998</v>
      </c>
      <c r="M78" s="529">
        <v>0.16301923519676653</v>
      </c>
    </row>
    <row r="79" spans="1:13" hidden="1" x14ac:dyDescent="0.25">
      <c r="A79" s="528"/>
      <c r="B79" s="369">
        <v>256</v>
      </c>
      <c r="C79" s="529">
        <v>1.2242536117872669E-3</v>
      </c>
      <c r="D79" s="369">
        <v>7653775.5</v>
      </c>
      <c r="E79" s="529">
        <v>2.4148586979839252E-3</v>
      </c>
      <c r="F79" s="530">
        <v>252</v>
      </c>
      <c r="G79" s="531">
        <v>1.2091202210962691E-3</v>
      </c>
      <c r="H79" s="530">
        <v>7533775.5</v>
      </c>
      <c r="I79" s="529">
        <v>2.3689204995226408E-3</v>
      </c>
      <c r="J79" s="369">
        <v>252</v>
      </c>
      <c r="K79" s="529">
        <v>0.31156250000000002</v>
      </c>
      <c r="L79" s="369">
        <v>679100196.20000005</v>
      </c>
      <c r="M79" s="529">
        <v>0.20974670743568599</v>
      </c>
    </row>
    <row r="80" spans="1:13" hidden="1" x14ac:dyDescent="0.25">
      <c r="A80" s="528"/>
      <c r="B80" s="369">
        <v>168</v>
      </c>
      <c r="C80" s="529">
        <v>8.0341643273539379E-4</v>
      </c>
      <c r="D80" s="369">
        <v>8330600.6400000006</v>
      </c>
      <c r="E80" s="529">
        <v>2.6284052119028649E-3</v>
      </c>
      <c r="F80" s="532">
        <v>167</v>
      </c>
      <c r="G80" s="529">
        <v>8.0128205128205125E-4</v>
      </c>
      <c r="H80" s="532">
        <v>8303733.7599999998</v>
      </c>
      <c r="I80" s="529">
        <v>2.6110261882162822E-3</v>
      </c>
      <c r="J80" s="369">
        <v>168</v>
      </c>
      <c r="K80" s="529">
        <v>1.1931818181818183E-3</v>
      </c>
      <c r="L80" s="369">
        <v>7546887.75</v>
      </c>
      <c r="M80" s="529">
        <v>2.3309297594180439E-3</v>
      </c>
    </row>
    <row r="81" spans="1:13" hidden="1" x14ac:dyDescent="0.25">
      <c r="A81" s="528"/>
      <c r="B81" s="369">
        <v>241</v>
      </c>
      <c r="C81" s="529">
        <v>1.1525200017216066E-3</v>
      </c>
      <c r="D81" s="369">
        <v>7475098.5600000005</v>
      </c>
      <c r="E81" s="529">
        <v>2.3584839633594055E-3</v>
      </c>
      <c r="F81" s="369">
        <v>239</v>
      </c>
      <c r="G81" s="529">
        <v>1.1467449715952709E-3</v>
      </c>
      <c r="H81" s="369">
        <v>7380826.0899999999</v>
      </c>
      <c r="I81" s="529">
        <v>2.3208270843765571E-3</v>
      </c>
      <c r="J81" s="369">
        <v>239</v>
      </c>
      <c r="K81" s="529">
        <v>7.9545454545454548E-4</v>
      </c>
      <c r="L81" s="369">
        <v>8353733.7599999998</v>
      </c>
      <c r="M81" s="529">
        <v>2.5801320052016396E-3</v>
      </c>
    </row>
    <row r="82" spans="1:13" hidden="1" x14ac:dyDescent="0.25">
      <c r="A82" s="528"/>
      <c r="B82" s="369">
        <v>29730</v>
      </c>
      <c r="C82" s="529">
        <v>0.14217601515013845</v>
      </c>
      <c r="D82" s="369">
        <v>818053138.70000005</v>
      </c>
      <c r="E82" s="529">
        <v>0.2581056548369815</v>
      </c>
      <c r="F82" s="369">
        <v>29827</v>
      </c>
      <c r="G82" s="529">
        <v>0.14311281283586672</v>
      </c>
      <c r="H82" s="532">
        <v>826377317.82000005</v>
      </c>
      <c r="I82" s="529">
        <v>0.25984609821786364</v>
      </c>
      <c r="J82" s="369">
        <v>30628</v>
      </c>
      <c r="K82" s="529">
        <v>1.1316287878787878E-3</v>
      </c>
      <c r="L82" s="369">
        <v>7422739.6399999997</v>
      </c>
      <c r="M82" s="529">
        <v>2.2925854069166429E-3</v>
      </c>
    </row>
    <row r="83" spans="1:13" hidden="1" x14ac:dyDescent="0.25">
      <c r="A83" s="528"/>
      <c r="B83" s="369">
        <v>25055</v>
      </c>
      <c r="C83" s="529">
        <v>0.11981904001300769</v>
      </c>
      <c r="D83" s="369">
        <v>677178595.20000005</v>
      </c>
      <c r="E83" s="529">
        <v>0.21365803330751676</v>
      </c>
      <c r="F83" s="369">
        <v>25029</v>
      </c>
      <c r="G83" s="529">
        <v>0.120091547673883</v>
      </c>
      <c r="H83" s="369">
        <v>677831516.33000004</v>
      </c>
      <c r="I83" s="529">
        <v>0.21313735380841289</v>
      </c>
      <c r="J83" s="369">
        <v>25022</v>
      </c>
      <c r="K83" s="529">
        <v>0.14501893939393939</v>
      </c>
      <c r="L83" s="369">
        <v>866873887.91999996</v>
      </c>
      <c r="M83" s="529">
        <v>0.26774244032119732</v>
      </c>
    </row>
    <row r="84" spans="1:13" hidden="1" x14ac:dyDescent="0.25">
      <c r="A84" s="528"/>
      <c r="B84" s="369">
        <v>34420</v>
      </c>
      <c r="C84" s="529">
        <v>0.16460472389733485</v>
      </c>
      <c r="D84" s="369">
        <v>206520000</v>
      </c>
      <c r="E84" s="529">
        <v>6.5159556653790043E-2</v>
      </c>
      <c r="F84" s="532">
        <v>35031</v>
      </c>
      <c r="G84" s="529">
        <v>0.16808210502072776</v>
      </c>
      <c r="H84" s="532">
        <v>210186000</v>
      </c>
      <c r="I84" s="529">
        <v>6.6090889503233247E-2</v>
      </c>
      <c r="J84" s="369">
        <v>36486</v>
      </c>
      <c r="K84" s="529">
        <v>0.11847537878787878</v>
      </c>
      <c r="L84" s="369">
        <v>678297485.95000005</v>
      </c>
      <c r="M84" s="529">
        <v>0.20949878255964491</v>
      </c>
    </row>
    <row r="85" spans="1:13" hidden="1" x14ac:dyDescent="0.25">
      <c r="A85" s="528"/>
      <c r="B85" s="369">
        <v>19420</v>
      </c>
      <c r="C85" s="529">
        <v>9.2871113831674693E-2</v>
      </c>
      <c r="D85" s="369">
        <v>241252914.75</v>
      </c>
      <c r="E85" s="529">
        <v>7.6118211149257237E-2</v>
      </c>
      <c r="F85" s="369">
        <v>19363</v>
      </c>
      <c r="G85" s="529">
        <v>9.2905535083678797E-2</v>
      </c>
      <c r="H85" s="369">
        <v>241071991.71000001</v>
      </c>
      <c r="I85" s="529">
        <v>7.5802681274823119E-2</v>
      </c>
      <c r="J85" s="369">
        <v>19495</v>
      </c>
      <c r="K85" s="529">
        <v>0.17275568181818182</v>
      </c>
      <c r="L85" s="369">
        <v>218916000</v>
      </c>
      <c r="M85" s="529">
        <v>6.7614338004796812E-2</v>
      </c>
    </row>
    <row r="86" spans="1:13" hidden="1" x14ac:dyDescent="0.25">
      <c r="A86" s="528"/>
      <c r="B86" s="369">
        <v>209107</v>
      </c>
      <c r="C86" s="529">
        <v>0.99999999999999989</v>
      </c>
      <c r="D86" s="369">
        <v>3169450662.4300003</v>
      </c>
      <c r="E86" s="529">
        <v>0.99999999999999989</v>
      </c>
      <c r="F86" s="369">
        <v>208416</v>
      </c>
      <c r="G86" s="529">
        <v>0.99999999999999989</v>
      </c>
      <c r="H86" s="369">
        <v>3180256788.4899998</v>
      </c>
      <c r="I86" s="529">
        <v>1.0000000000000002</v>
      </c>
      <c r="J86" s="369">
        <v>211200</v>
      </c>
      <c r="K86" s="529">
        <v>9.2305871212121207E-2</v>
      </c>
      <c r="L86" s="369">
        <v>243394785.74000001</v>
      </c>
      <c r="M86" s="529">
        <v>7.5174849310372285E-2</v>
      </c>
    </row>
    <row r="87" spans="1:13" hidden="1" x14ac:dyDescent="0.25">
      <c r="A87" s="528"/>
      <c r="K87" s="529">
        <v>1.0000000000000002</v>
      </c>
      <c r="L87" s="369">
        <v>3237715645.2299995</v>
      </c>
      <c r="M87" s="529">
        <v>1.0000000000000002</v>
      </c>
    </row>
  </sheetData>
  <mergeCells count="23">
    <mergeCell ref="B1:N1"/>
    <mergeCell ref="B2:N2"/>
    <mergeCell ref="K26:N26"/>
    <mergeCell ref="B5:AB5"/>
    <mergeCell ref="B20:J20"/>
    <mergeCell ref="B6:AB6"/>
    <mergeCell ref="C8:F8"/>
    <mergeCell ref="K8:N8"/>
    <mergeCell ref="B7:N7"/>
    <mergeCell ref="E3:J3"/>
    <mergeCell ref="C26:F26"/>
    <mergeCell ref="G26:J26"/>
    <mergeCell ref="B75:E75"/>
    <mergeCell ref="F75:I75"/>
    <mergeCell ref="G8:J8"/>
    <mergeCell ref="E4:J4"/>
    <mergeCell ref="B25:N25"/>
    <mergeCell ref="K47:N47"/>
    <mergeCell ref="C47:F47"/>
    <mergeCell ref="G47:J47"/>
    <mergeCell ref="B46:N46"/>
    <mergeCell ref="B43:J43"/>
    <mergeCell ref="B64:J64"/>
  </mergeCells>
  <pageMargins left="0.7" right="0.7" top="0.75" bottom="0.75" header="0.3" footer="0.3"/>
  <pageSetup paperSize="9" scale="20" orientation="portrait" r:id="rId1"/>
  <rowBreaks count="1" manualBreakCount="1">
    <brk id="42" min="1" max="1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T66"/>
  <sheetViews>
    <sheetView showGridLines="0" topLeftCell="D1" zoomScaleNormal="100" zoomScaleSheetLayoutView="115" workbookViewId="0">
      <selection activeCell="P13" sqref="P13"/>
    </sheetView>
  </sheetViews>
  <sheetFormatPr baseColWidth="10" defaultColWidth="11.42578125" defaultRowHeight="15" x14ac:dyDescent="0.25"/>
  <cols>
    <col min="1" max="1" width="15.140625" style="1" bestFit="1" customWidth="1"/>
    <col min="2" max="2" width="11.5703125" style="1" bestFit="1" customWidth="1"/>
    <col min="3" max="3" width="16.140625" style="1" bestFit="1" customWidth="1"/>
    <col min="4" max="4" width="10.140625" style="1" bestFit="1" customWidth="1"/>
    <col min="5" max="5" width="14.42578125" style="1" bestFit="1" customWidth="1"/>
    <col min="6" max="6" width="10.140625" style="1" bestFit="1" customWidth="1"/>
    <col min="7" max="7" width="14.42578125" style="1" bestFit="1" customWidth="1"/>
    <col min="8" max="8" width="10.140625" style="1" bestFit="1" customWidth="1"/>
    <col min="9" max="9" width="11" style="1" bestFit="1" customWidth="1"/>
    <col min="10" max="10" width="10.140625" style="1" bestFit="1" customWidth="1"/>
    <col min="11" max="11" width="15.85546875" style="1" bestFit="1" customWidth="1"/>
    <col min="12" max="12" width="10.140625" style="1" bestFit="1" customWidth="1"/>
    <col min="13" max="13" width="12.42578125" style="1" bestFit="1" customWidth="1"/>
    <col min="14" max="14" width="11.5703125" style="1" bestFit="1" customWidth="1"/>
    <col min="15" max="15" width="16.85546875" style="1" bestFit="1" customWidth="1"/>
    <col min="16" max="16" width="8.85546875" style="1" bestFit="1" customWidth="1"/>
    <col min="17" max="17" width="14.140625" style="1" bestFit="1" customWidth="1"/>
    <col min="18" max="18" width="1.7109375" style="1" customWidth="1"/>
    <col min="19" max="19" width="16.85546875" style="1" bestFit="1" customWidth="1"/>
    <col min="20" max="20" width="20.42578125" style="1" customWidth="1"/>
    <col min="21" max="16384" width="11.42578125" style="1"/>
  </cols>
  <sheetData>
    <row r="1" spans="1:20" x14ac:dyDescent="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157"/>
      <c r="S1" s="157"/>
    </row>
    <row r="2" spans="1:20" x14ac:dyDescent="0.25">
      <c r="A2" s="639" t="s">
        <v>69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157"/>
      <c r="S2" s="157"/>
    </row>
    <row r="3" spans="1:20" x14ac:dyDescent="0.25">
      <c r="A3" s="639" t="s">
        <v>196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157"/>
      <c r="S3" s="157"/>
    </row>
    <row r="4" spans="1:20" x14ac:dyDescent="0.25">
      <c r="A4" s="639" t="s">
        <v>275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157"/>
      <c r="S4" s="157"/>
    </row>
    <row r="5" spans="1:20" x14ac:dyDescent="0.25">
      <c r="A5" s="639" t="s">
        <v>3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157"/>
      <c r="S5" s="157"/>
    </row>
    <row r="6" spans="1:20" x14ac:dyDescent="0.25">
      <c r="A6" s="103"/>
      <c r="B6" s="651" t="s">
        <v>79</v>
      </c>
      <c r="C6" s="651"/>
      <c r="D6" s="651"/>
      <c r="E6" s="651"/>
      <c r="F6" s="654" t="s">
        <v>80</v>
      </c>
      <c r="G6" s="654"/>
      <c r="H6" s="654"/>
      <c r="I6" s="654"/>
      <c r="J6" s="652" t="s">
        <v>81</v>
      </c>
      <c r="K6" s="652"/>
      <c r="L6" s="652"/>
      <c r="M6" s="652"/>
      <c r="N6" s="684" t="s">
        <v>82</v>
      </c>
      <c r="O6" s="684"/>
      <c r="P6" s="684"/>
      <c r="Q6" s="684"/>
      <c r="R6" s="684"/>
      <c r="S6" s="684"/>
    </row>
    <row r="7" spans="1:20" x14ac:dyDescent="0.25">
      <c r="A7" s="426"/>
      <c r="B7" s="683" t="s">
        <v>197</v>
      </c>
      <c r="C7" s="683"/>
      <c r="D7" s="683" t="s">
        <v>198</v>
      </c>
      <c r="E7" s="683"/>
      <c r="F7" s="683" t="s">
        <v>197</v>
      </c>
      <c r="G7" s="683"/>
      <c r="H7" s="683" t="s">
        <v>198</v>
      </c>
      <c r="I7" s="683"/>
      <c r="J7" s="683" t="s">
        <v>197</v>
      </c>
      <c r="K7" s="683"/>
      <c r="L7" s="683" t="s">
        <v>198</v>
      </c>
      <c r="M7" s="683"/>
      <c r="N7" s="653" t="s">
        <v>199</v>
      </c>
      <c r="O7" s="653"/>
      <c r="P7" s="653" t="s">
        <v>198</v>
      </c>
      <c r="Q7" s="653"/>
      <c r="R7" s="427"/>
      <c r="S7" s="428" t="s">
        <v>200</v>
      </c>
    </row>
    <row r="8" spans="1:20" ht="35.25" customHeight="1" x14ac:dyDescent="0.25">
      <c r="A8" s="429" t="s">
        <v>4</v>
      </c>
      <c r="B8" s="398" t="s">
        <v>201</v>
      </c>
      <c r="C8" s="398" t="s">
        <v>8</v>
      </c>
      <c r="D8" s="398" t="s">
        <v>84</v>
      </c>
      <c r="E8" s="87" t="s">
        <v>8</v>
      </c>
      <c r="F8" s="398" t="s">
        <v>202</v>
      </c>
      <c r="G8" s="398" t="s">
        <v>8</v>
      </c>
      <c r="H8" s="398" t="s">
        <v>84</v>
      </c>
      <c r="I8" s="87" t="s">
        <v>8</v>
      </c>
      <c r="J8" s="398" t="s">
        <v>202</v>
      </c>
      <c r="K8" s="398" t="s">
        <v>8</v>
      </c>
      <c r="L8" s="398" t="s">
        <v>84</v>
      </c>
      <c r="M8" s="430" t="s">
        <v>8</v>
      </c>
      <c r="N8" s="398" t="s">
        <v>203</v>
      </c>
      <c r="O8" s="398" t="s">
        <v>8</v>
      </c>
      <c r="P8" s="455" t="s">
        <v>204</v>
      </c>
      <c r="Q8" s="87" t="s">
        <v>8</v>
      </c>
      <c r="R8" s="87"/>
      <c r="S8" s="431" t="s">
        <v>205</v>
      </c>
    </row>
    <row r="9" spans="1:20" ht="9" hidden="1" customHeight="1" x14ac:dyDescent="0.25">
      <c r="A9" s="399" t="s">
        <v>11</v>
      </c>
      <c r="B9" s="387"/>
      <c r="C9" s="387"/>
      <c r="D9" s="387"/>
      <c r="E9" s="400"/>
      <c r="F9" s="387"/>
      <c r="G9" s="387"/>
      <c r="H9" s="387"/>
      <c r="I9" s="432"/>
      <c r="J9" s="387"/>
      <c r="K9" s="401"/>
      <c r="L9" s="402"/>
      <c r="M9" s="383"/>
      <c r="N9" s="430">
        <f>+B9+J9+F9</f>
        <v>0</v>
      </c>
      <c r="O9" s="403">
        <f>+C9+K9+G9</f>
        <v>0</v>
      </c>
      <c r="P9" s="456">
        <f>+D9+L9+H9</f>
        <v>0</v>
      </c>
      <c r="Q9" s="430">
        <f>+E9+M9+I9</f>
        <v>0</v>
      </c>
      <c r="R9" s="430"/>
      <c r="S9" s="157"/>
    </row>
    <row r="10" spans="1:20" ht="14.25" customHeight="1" x14ac:dyDescent="0.25">
      <c r="A10" s="283" t="s">
        <v>22</v>
      </c>
      <c r="B10" s="404">
        <v>148542</v>
      </c>
      <c r="C10" s="405">
        <v>2326928969.23</v>
      </c>
      <c r="D10" s="406">
        <v>1150</v>
      </c>
      <c r="E10" s="405">
        <v>13573190.050000001</v>
      </c>
      <c r="F10" s="406">
        <v>36464</v>
      </c>
      <c r="G10" s="405">
        <v>218784000</v>
      </c>
      <c r="H10" s="406">
        <v>22</v>
      </c>
      <c r="I10" s="405">
        <v>132000</v>
      </c>
      <c r="J10" s="406">
        <v>24948</v>
      </c>
      <c r="K10" s="405">
        <v>677269921.09000003</v>
      </c>
      <c r="L10" s="406">
        <v>74</v>
      </c>
      <c r="M10" s="405">
        <v>1027564.86</v>
      </c>
      <c r="N10" s="430">
        <f>+SUM(B10+F10+J10)</f>
        <v>209954</v>
      </c>
      <c r="O10" s="463">
        <f>+SUM(C10,G10,K10)</f>
        <v>3222982890.3200002</v>
      </c>
      <c r="P10" s="456">
        <f>+SUM(D10+H10+L10)</f>
        <v>1246</v>
      </c>
      <c r="Q10" s="464">
        <f>+SUM(M10,I10,E10)</f>
        <v>14732754.91</v>
      </c>
      <c r="R10" s="433"/>
      <c r="S10" s="465">
        <f>+SUM(O10+Q10)</f>
        <v>3237715645.23</v>
      </c>
      <c r="T10" s="407"/>
    </row>
    <row r="11" spans="1:20" ht="14.25" customHeight="1" x14ac:dyDescent="0.25">
      <c r="A11" s="283" t="s">
        <v>21</v>
      </c>
      <c r="B11" s="404">
        <v>147427</v>
      </c>
      <c r="C11" s="405">
        <v>2281225966.1799998</v>
      </c>
      <c r="D11" s="406">
        <v>929</v>
      </c>
      <c r="E11" s="405">
        <v>11013305.98</v>
      </c>
      <c r="F11" s="406">
        <v>35013</v>
      </c>
      <c r="G11" s="405">
        <v>210078000</v>
      </c>
      <c r="H11" s="406">
        <v>18</v>
      </c>
      <c r="I11" s="405">
        <v>108000</v>
      </c>
      <c r="J11" s="406">
        <v>24870</v>
      </c>
      <c r="K11" s="405">
        <v>675842036.28999996</v>
      </c>
      <c r="L11" s="406">
        <v>159</v>
      </c>
      <c r="M11" s="405">
        <v>1989480.04</v>
      </c>
      <c r="N11" s="430">
        <f>+SUM(B11+F11+J11)</f>
        <v>207310</v>
      </c>
      <c r="O11" s="463">
        <f>+SUM(C11,G11,K11)</f>
        <v>3167146002.4699998</v>
      </c>
      <c r="P11" s="456">
        <f>+SUM(D11+H11+L11)</f>
        <v>1106</v>
      </c>
      <c r="Q11" s="462">
        <f>+SUM(M11,I11,E11)</f>
        <v>13110786.02</v>
      </c>
      <c r="R11" s="434"/>
      <c r="S11" s="465">
        <f>+SUM(O11+Q11)</f>
        <v>3180256788.4899998</v>
      </c>
      <c r="T11" s="407"/>
    </row>
    <row r="12" spans="1:20" ht="14.25" customHeight="1" x14ac:dyDescent="0.25">
      <c r="A12" s="283" t="s">
        <v>20</v>
      </c>
      <c r="B12" s="404">
        <v>147819</v>
      </c>
      <c r="C12" s="405">
        <v>2275743905.7199998</v>
      </c>
      <c r="D12" s="406">
        <v>813</v>
      </c>
      <c r="E12" s="405">
        <v>10008161.51</v>
      </c>
      <c r="F12" s="406">
        <v>34413</v>
      </c>
      <c r="G12" s="405">
        <v>206478000</v>
      </c>
      <c r="H12" s="406">
        <v>7</v>
      </c>
      <c r="I12" s="405">
        <v>42000</v>
      </c>
      <c r="J12" s="406">
        <v>24767</v>
      </c>
      <c r="K12" s="405">
        <v>673597515.98000002</v>
      </c>
      <c r="L12" s="406">
        <v>288</v>
      </c>
      <c r="M12" s="405">
        <v>3581079.22</v>
      </c>
      <c r="N12" s="430">
        <f>+SUM(B12+F12+J12)</f>
        <v>206999</v>
      </c>
      <c r="O12" s="463">
        <f>+SUM(C12,G12,K12)</f>
        <v>3155819421.6999998</v>
      </c>
      <c r="P12" s="456">
        <f>+SUM(D12+H12+L12)</f>
        <v>1108</v>
      </c>
      <c r="Q12" s="462">
        <f>+SUM(M12,I12,E12)</f>
        <v>13631240.73</v>
      </c>
      <c r="R12" s="434"/>
      <c r="S12" s="465">
        <f>+SUM(O12+Q12)</f>
        <v>3169450662.4299998</v>
      </c>
      <c r="T12" s="407"/>
    </row>
    <row r="13" spans="1:20" ht="15.75" customHeight="1" x14ac:dyDescent="0.25">
      <c r="A13" s="606" t="s">
        <v>23</v>
      </c>
      <c r="B13" s="607">
        <f>+B10</f>
        <v>148542</v>
      </c>
      <c r="C13" s="608">
        <f>SUM(C10:C12)</f>
        <v>6883898841.1299992</v>
      </c>
      <c r="D13" s="607">
        <f>SUM(D10:D12)</f>
        <v>2892</v>
      </c>
      <c r="E13" s="608">
        <f>SUM(E10:E12)</f>
        <v>34594657.539999999</v>
      </c>
      <c r="F13" s="607">
        <f>+F10</f>
        <v>36464</v>
      </c>
      <c r="G13" s="608">
        <f>SUM(G10:G12)</f>
        <v>635340000</v>
      </c>
      <c r="H13" s="607">
        <f>+SUM(H10:H12)</f>
        <v>47</v>
      </c>
      <c r="I13" s="608">
        <f>+SUM(I10:I12)</f>
        <v>282000</v>
      </c>
      <c r="J13" s="608">
        <f>+J10</f>
        <v>24948</v>
      </c>
      <c r="K13" s="608">
        <f>SUM(K10:K12)</f>
        <v>2026709473.3600001</v>
      </c>
      <c r="L13" s="607">
        <f>+SUM(L10:L12)</f>
        <v>521</v>
      </c>
      <c r="M13" s="608">
        <f>SUM(M10:M12)</f>
        <v>6598124.1200000001</v>
      </c>
      <c r="N13" s="609">
        <f>+N10</f>
        <v>209954</v>
      </c>
      <c r="O13" s="610">
        <f>+SUM(O10:O12)</f>
        <v>9545948314.4899998</v>
      </c>
      <c r="P13" s="611">
        <f>+SUM(D13,H13,L13)</f>
        <v>3460</v>
      </c>
      <c r="Q13" s="610">
        <f>+SUM(Q10:Q12)</f>
        <v>41474781.659999996</v>
      </c>
      <c r="R13" s="608"/>
      <c r="S13" s="610">
        <f>+SUM(O13+Q13)</f>
        <v>9587423096.1499996</v>
      </c>
      <c r="T13" s="246"/>
    </row>
    <row r="14" spans="1:20" ht="0.75" hidden="1" customHeight="1" x14ac:dyDescent="0.25">
      <c r="A14" s="124" t="s">
        <v>16</v>
      </c>
      <c r="B14" s="267">
        <v>143867</v>
      </c>
      <c r="C14" s="408">
        <v>2167122570.1300001</v>
      </c>
      <c r="D14" s="211">
        <v>88</v>
      </c>
      <c r="E14" s="408">
        <v>1396122.71</v>
      </c>
      <c r="F14" s="211">
        <v>28473</v>
      </c>
      <c r="G14" s="408">
        <v>170838000</v>
      </c>
      <c r="H14" s="211">
        <v>8</v>
      </c>
      <c r="I14" s="408">
        <v>48000</v>
      </c>
      <c r="J14" s="211">
        <v>24118</v>
      </c>
      <c r="K14" s="408">
        <v>627887530.03999996</v>
      </c>
      <c r="L14" s="218">
        <v>2</v>
      </c>
      <c r="M14" s="211">
        <v>20132.71</v>
      </c>
      <c r="N14" s="409">
        <f>+B14+J14+F14</f>
        <v>196458</v>
      </c>
      <c r="O14" s="409">
        <f>+C14+K14+G14</f>
        <v>2965848100.1700001</v>
      </c>
      <c r="P14" s="457">
        <f>+D14+L14+H14</f>
        <v>98</v>
      </c>
      <c r="Q14" s="409">
        <f>+E14+M14+I14</f>
        <v>1464255.42</v>
      </c>
      <c r="R14" s="409"/>
      <c r="S14" s="435"/>
      <c r="T14" s="410"/>
    </row>
    <row r="15" spans="1:20" hidden="1" x14ac:dyDescent="0.25">
      <c r="A15" s="124" t="s">
        <v>17</v>
      </c>
      <c r="B15" s="267">
        <v>143009</v>
      </c>
      <c r="C15" s="408">
        <v>2138926652.8</v>
      </c>
      <c r="D15" s="211">
        <v>58</v>
      </c>
      <c r="E15" s="408">
        <v>930000</v>
      </c>
      <c r="F15" s="211">
        <v>26204</v>
      </c>
      <c r="G15" s="408">
        <v>157224000</v>
      </c>
      <c r="H15" s="211">
        <v>8</v>
      </c>
      <c r="I15" s="408">
        <v>48000</v>
      </c>
      <c r="J15" s="211">
        <v>24093</v>
      </c>
      <c r="K15" s="408">
        <v>626533628.94000006</v>
      </c>
      <c r="L15" s="218">
        <v>1</v>
      </c>
      <c r="M15" s="211">
        <v>7893.11</v>
      </c>
      <c r="N15" s="409">
        <f t="shared" ref="N15:P16" si="0">+B15+J15+F15</f>
        <v>193306</v>
      </c>
      <c r="O15" s="409">
        <f t="shared" si="0"/>
        <v>2922684281.7399998</v>
      </c>
      <c r="P15" s="457">
        <f t="shared" si="0"/>
        <v>67</v>
      </c>
      <c r="Q15" s="409">
        <f>+E15+M15+I15</f>
        <v>985893.11</v>
      </c>
      <c r="R15" s="409"/>
      <c r="S15" s="435"/>
      <c r="T15" s="407"/>
    </row>
    <row r="16" spans="1:20" hidden="1" x14ac:dyDescent="0.25">
      <c r="A16" s="124" t="s">
        <v>18</v>
      </c>
      <c r="B16" s="267">
        <v>142152</v>
      </c>
      <c r="C16" s="408">
        <v>2119467604.4200001</v>
      </c>
      <c r="D16" s="211">
        <v>28</v>
      </c>
      <c r="E16" s="408">
        <v>640940</v>
      </c>
      <c r="F16" s="211">
        <v>24710</v>
      </c>
      <c r="G16" s="408">
        <v>148260000</v>
      </c>
      <c r="H16" s="211">
        <v>13</v>
      </c>
      <c r="I16" s="408">
        <v>78000</v>
      </c>
      <c r="J16" s="211">
        <v>24062</v>
      </c>
      <c r="K16" s="408">
        <v>625129302.96000004</v>
      </c>
      <c r="L16" s="411">
        <v>0</v>
      </c>
      <c r="M16" s="211">
        <v>0</v>
      </c>
      <c r="N16" s="409">
        <f t="shared" si="0"/>
        <v>190924</v>
      </c>
      <c r="O16" s="409">
        <f t="shared" si="0"/>
        <v>2892856907.3800001</v>
      </c>
      <c r="P16" s="457">
        <f t="shared" si="0"/>
        <v>41</v>
      </c>
      <c r="Q16" s="409">
        <f>+E16+M16+I16</f>
        <v>718940</v>
      </c>
      <c r="R16" s="409"/>
      <c r="S16" s="435"/>
      <c r="T16" s="407"/>
    </row>
    <row r="17" spans="1:20" hidden="1" x14ac:dyDescent="0.25">
      <c r="A17" s="436" t="s">
        <v>19</v>
      </c>
      <c r="B17" s="269">
        <f>+B14</f>
        <v>143867</v>
      </c>
      <c r="C17" s="412">
        <f>SUM(C9:C16)</f>
        <v>20193314509.610001</v>
      </c>
      <c r="D17" s="412">
        <f>SUM(D9:D16)</f>
        <v>5958</v>
      </c>
      <c r="E17" s="412">
        <f>SUM(E9:E16)</f>
        <v>72156377.789999992</v>
      </c>
      <c r="F17" s="412">
        <f>+F14</f>
        <v>28473</v>
      </c>
      <c r="G17" s="413">
        <f>SUM(G9:G16)</f>
        <v>1747002000</v>
      </c>
      <c r="H17" s="412">
        <f>SUM(H9:H16)</f>
        <v>123</v>
      </c>
      <c r="I17" s="412">
        <f>SUM(I9:I16)</f>
        <v>738000</v>
      </c>
      <c r="J17" s="412">
        <f>+J14</f>
        <v>24118</v>
      </c>
      <c r="K17" s="412">
        <f>SUM(K9:K16)</f>
        <v>5932969408.6600008</v>
      </c>
      <c r="L17" s="412">
        <f>SUM(L9:L16)</f>
        <v>1045</v>
      </c>
      <c r="M17" s="412">
        <f>SUM(M9:M16)</f>
        <v>13224274.060000001</v>
      </c>
      <c r="N17" s="414">
        <f>+N14</f>
        <v>196458</v>
      </c>
      <c r="O17" s="414">
        <f>SUM(O9:O16)</f>
        <v>27873285918.27</v>
      </c>
      <c r="P17" s="414">
        <f>SUM(P9:P16)</f>
        <v>7126</v>
      </c>
      <c r="Q17" s="414">
        <f>SUM(Q9:Q16)</f>
        <v>86118651.849999994</v>
      </c>
      <c r="R17" s="414"/>
      <c r="S17" s="437"/>
      <c r="T17" s="415">
        <f>O17+Q17</f>
        <v>27959404570.119999</v>
      </c>
    </row>
    <row r="18" spans="1:20" hidden="1" x14ac:dyDescent="0.25">
      <c r="A18" s="124" t="s">
        <v>14</v>
      </c>
      <c r="B18" s="268"/>
      <c r="C18" s="416"/>
      <c r="D18" s="218"/>
      <c r="E18" s="227"/>
      <c r="F18" s="218"/>
      <c r="G18" s="416"/>
      <c r="H18" s="218">
        <f>SUM(H14:H16)</f>
        <v>29</v>
      </c>
      <c r="I18" s="227"/>
      <c r="J18" s="218"/>
      <c r="K18" s="416"/>
      <c r="L18" s="218"/>
      <c r="M18" s="227"/>
      <c r="N18" s="409">
        <f t="shared" ref="N18:P20" si="1">+B18+J18+F18</f>
        <v>0</v>
      </c>
      <c r="O18" s="417">
        <f t="shared" si="1"/>
        <v>0</v>
      </c>
      <c r="P18" s="457">
        <f t="shared" si="1"/>
        <v>29</v>
      </c>
      <c r="Q18" s="417">
        <f>+E18+M18+I18</f>
        <v>0</v>
      </c>
      <c r="R18" s="417"/>
      <c r="S18" s="435"/>
      <c r="T18" s="407"/>
    </row>
    <row r="19" spans="1:20" hidden="1" x14ac:dyDescent="0.25">
      <c r="A19" s="124" t="s">
        <v>13</v>
      </c>
      <c r="B19" s="268"/>
      <c r="C19" s="416"/>
      <c r="D19" s="218"/>
      <c r="E19" s="227"/>
      <c r="F19" s="218"/>
      <c r="G19" s="416"/>
      <c r="H19" s="218"/>
      <c r="I19" s="227"/>
      <c r="J19" s="218"/>
      <c r="K19" s="416"/>
      <c r="L19" s="218"/>
      <c r="M19" s="227"/>
      <c r="N19" s="409">
        <f t="shared" si="1"/>
        <v>0</v>
      </c>
      <c r="O19" s="417">
        <f t="shared" si="1"/>
        <v>0</v>
      </c>
      <c r="P19" s="457">
        <f t="shared" si="1"/>
        <v>0</v>
      </c>
      <c r="Q19" s="417">
        <f>+E19+M19+I19</f>
        <v>0</v>
      </c>
      <c r="R19" s="417"/>
      <c r="S19" s="435"/>
      <c r="T19" s="407"/>
    </row>
    <row r="20" spans="1:20" hidden="1" x14ac:dyDescent="0.25">
      <c r="A20" s="124" t="s">
        <v>12</v>
      </c>
      <c r="B20" s="268"/>
      <c r="C20" s="416"/>
      <c r="D20" s="218"/>
      <c r="E20" s="227"/>
      <c r="F20" s="218"/>
      <c r="G20" s="416"/>
      <c r="H20" s="218"/>
      <c r="I20" s="227"/>
      <c r="J20" s="218"/>
      <c r="K20" s="416"/>
      <c r="L20" s="218"/>
      <c r="M20" s="227"/>
      <c r="N20" s="409">
        <f t="shared" si="1"/>
        <v>0</v>
      </c>
      <c r="O20" s="417">
        <f t="shared" si="1"/>
        <v>0</v>
      </c>
      <c r="P20" s="457">
        <f t="shared" si="1"/>
        <v>0</v>
      </c>
      <c r="Q20" s="417">
        <f>+E20+M20+I20</f>
        <v>0</v>
      </c>
      <c r="R20" s="417"/>
      <c r="S20" s="435"/>
      <c r="T20" s="407"/>
    </row>
    <row r="21" spans="1:20" hidden="1" x14ac:dyDescent="0.25">
      <c r="A21" s="436" t="s">
        <v>15</v>
      </c>
      <c r="B21" s="269">
        <f>+B20</f>
        <v>0</v>
      </c>
      <c r="C21" s="413">
        <f>SUM(C18:C20)</f>
        <v>0</v>
      </c>
      <c r="D21" s="412">
        <f>+D20</f>
        <v>0</v>
      </c>
      <c r="E21" s="413">
        <f>SUM(E18:E20)</f>
        <v>0</v>
      </c>
      <c r="F21" s="412">
        <f>+F20</f>
        <v>0</v>
      </c>
      <c r="G21" s="413">
        <f>SUM(G18:G20)</f>
        <v>0</v>
      </c>
      <c r="H21" s="412">
        <f>+H20</f>
        <v>0</v>
      </c>
      <c r="I21" s="413">
        <f>SUM(I18:I20)</f>
        <v>0</v>
      </c>
      <c r="J21" s="412">
        <f>+J20</f>
        <v>0</v>
      </c>
      <c r="K21" s="413">
        <f>SUM(K18:K20)</f>
        <v>0</v>
      </c>
      <c r="L21" s="412">
        <f>+L20</f>
        <v>0</v>
      </c>
      <c r="M21" s="413">
        <f>SUM(M18:M20)</f>
        <v>0</v>
      </c>
      <c r="N21" s="414">
        <f>+N20</f>
        <v>0</v>
      </c>
      <c r="O21" s="418">
        <f>SUM(O18:O20)</f>
        <v>0</v>
      </c>
      <c r="P21" s="414">
        <f>+P20</f>
        <v>0</v>
      </c>
      <c r="Q21" s="418">
        <f>SUM(Q18:Q20)</f>
        <v>0</v>
      </c>
      <c r="R21" s="418"/>
      <c r="S21" s="435"/>
      <c r="T21" s="419"/>
    </row>
    <row r="22" spans="1:20" hidden="1" x14ac:dyDescent="0.25">
      <c r="A22" s="124" t="s">
        <v>39</v>
      </c>
      <c r="B22" s="268"/>
      <c r="C22" s="416"/>
      <c r="D22" s="218"/>
      <c r="E22" s="227"/>
      <c r="F22" s="218"/>
      <c r="G22" s="416"/>
      <c r="H22" s="218"/>
      <c r="I22" s="227"/>
      <c r="J22" s="218"/>
      <c r="K22" s="416"/>
      <c r="L22" s="218"/>
      <c r="M22" s="227"/>
      <c r="N22" s="409">
        <f t="shared" ref="N22:P24" si="2">+B22+J22+F22</f>
        <v>0</v>
      </c>
      <c r="O22" s="417">
        <f t="shared" si="2"/>
        <v>0</v>
      </c>
      <c r="P22" s="457">
        <f t="shared" si="2"/>
        <v>0</v>
      </c>
      <c r="Q22" s="417">
        <f>+E22+M22+I22</f>
        <v>0</v>
      </c>
      <c r="R22" s="417"/>
      <c r="S22" s="435"/>
      <c r="T22" s="407"/>
    </row>
    <row r="23" spans="1:20" hidden="1" x14ac:dyDescent="0.25">
      <c r="A23" s="124" t="s">
        <v>21</v>
      </c>
      <c r="B23" s="268"/>
      <c r="C23" s="416"/>
      <c r="D23" s="218"/>
      <c r="E23" s="227"/>
      <c r="F23" s="218"/>
      <c r="G23" s="416"/>
      <c r="H23" s="218"/>
      <c r="I23" s="227"/>
      <c r="J23" s="218"/>
      <c r="K23" s="416"/>
      <c r="L23" s="218"/>
      <c r="M23" s="227"/>
      <c r="N23" s="409">
        <f t="shared" si="2"/>
        <v>0</v>
      </c>
      <c r="O23" s="417">
        <f t="shared" si="2"/>
        <v>0</v>
      </c>
      <c r="P23" s="457">
        <f t="shared" si="2"/>
        <v>0</v>
      </c>
      <c r="Q23" s="417">
        <f>+E23+M23+I23</f>
        <v>0</v>
      </c>
      <c r="R23" s="417"/>
      <c r="S23" s="435"/>
      <c r="T23" s="407"/>
    </row>
    <row r="24" spans="1:20" hidden="1" x14ac:dyDescent="0.25">
      <c r="A24" s="124" t="s">
        <v>22</v>
      </c>
      <c r="B24" s="268"/>
      <c r="C24" s="416"/>
      <c r="D24" s="218"/>
      <c r="E24" s="227"/>
      <c r="F24" s="218"/>
      <c r="G24" s="416"/>
      <c r="H24" s="218"/>
      <c r="I24" s="227"/>
      <c r="J24" s="218"/>
      <c r="K24" s="416"/>
      <c r="L24" s="218"/>
      <c r="M24" s="227"/>
      <c r="N24" s="409">
        <f t="shared" si="2"/>
        <v>0</v>
      </c>
      <c r="O24" s="417">
        <f t="shared" si="2"/>
        <v>0</v>
      </c>
      <c r="P24" s="457">
        <f t="shared" si="2"/>
        <v>0</v>
      </c>
      <c r="Q24" s="417">
        <f>+E24+M24+I24</f>
        <v>0</v>
      </c>
      <c r="R24" s="417"/>
      <c r="S24" s="435"/>
      <c r="T24" s="407"/>
    </row>
    <row r="25" spans="1:20" hidden="1" x14ac:dyDescent="0.25">
      <c r="A25" s="436" t="s">
        <v>23</v>
      </c>
      <c r="B25" s="269">
        <f>+B24</f>
        <v>0</v>
      </c>
      <c r="C25" s="413">
        <f>SUM(C22:C24)</f>
        <v>0</v>
      </c>
      <c r="D25" s="412">
        <f>+D24</f>
        <v>0</v>
      </c>
      <c r="E25" s="413">
        <f>SUM(E22:E24)</f>
        <v>0</v>
      </c>
      <c r="F25" s="412">
        <f>+F24</f>
        <v>0</v>
      </c>
      <c r="G25" s="413">
        <f>SUM(G22:G24)</f>
        <v>0</v>
      </c>
      <c r="H25" s="412">
        <f>+H24</f>
        <v>0</v>
      </c>
      <c r="I25" s="413">
        <f>SUM(I22:I24)</f>
        <v>0</v>
      </c>
      <c r="J25" s="412">
        <f>+J24</f>
        <v>0</v>
      </c>
      <c r="K25" s="413">
        <f>SUM(K22:K24)</f>
        <v>0</v>
      </c>
      <c r="L25" s="412">
        <f>+L24</f>
        <v>0</v>
      </c>
      <c r="M25" s="413">
        <f>SUM(M22:M24)</f>
        <v>0</v>
      </c>
      <c r="N25" s="414">
        <f>+N24</f>
        <v>0</v>
      </c>
      <c r="O25" s="418">
        <f>SUM(O22:O24)</f>
        <v>0</v>
      </c>
      <c r="P25" s="414">
        <f>+P24</f>
        <v>0</v>
      </c>
      <c r="Q25" s="418">
        <f>SUM(Q22:Q24)</f>
        <v>0</v>
      </c>
      <c r="R25" s="418"/>
      <c r="S25" s="435"/>
      <c r="T25" s="419"/>
    </row>
    <row r="26" spans="1:20" hidden="1" x14ac:dyDescent="0.25">
      <c r="A26" s="124" t="s">
        <v>24</v>
      </c>
      <c r="B26" s="268"/>
      <c r="C26" s="416"/>
      <c r="D26" s="218"/>
      <c r="E26" s="227"/>
      <c r="F26" s="218"/>
      <c r="G26" s="416"/>
      <c r="H26" s="218"/>
      <c r="I26" s="227"/>
      <c r="J26" s="218"/>
      <c r="K26" s="416"/>
      <c r="L26" s="218"/>
      <c r="M26" s="227"/>
      <c r="N26" s="409">
        <f t="shared" ref="N26:P29" si="3">+B26+J26+F26</f>
        <v>0</v>
      </c>
      <c r="O26" s="417">
        <f t="shared" si="3"/>
        <v>0</v>
      </c>
      <c r="P26" s="457">
        <f t="shared" si="3"/>
        <v>0</v>
      </c>
      <c r="Q26" s="417">
        <f>+E26+M26+I26</f>
        <v>0</v>
      </c>
      <c r="R26" s="417"/>
      <c r="S26" s="435"/>
      <c r="T26" s="407"/>
    </row>
    <row r="27" spans="1:20" hidden="1" x14ac:dyDescent="0.25">
      <c r="A27" s="124" t="s">
        <v>25</v>
      </c>
      <c r="B27" s="268"/>
      <c r="C27" s="416"/>
      <c r="D27" s="218"/>
      <c r="E27" s="227"/>
      <c r="F27" s="218"/>
      <c r="G27" s="416"/>
      <c r="H27" s="218"/>
      <c r="I27" s="227"/>
      <c r="J27" s="218"/>
      <c r="K27" s="416"/>
      <c r="L27" s="218"/>
      <c r="M27" s="227"/>
      <c r="N27" s="409">
        <f t="shared" si="3"/>
        <v>0</v>
      </c>
      <c r="O27" s="417">
        <f t="shared" si="3"/>
        <v>0</v>
      </c>
      <c r="P27" s="457">
        <f t="shared" si="3"/>
        <v>0</v>
      </c>
      <c r="Q27" s="417">
        <f>+E27+M27+I27</f>
        <v>0</v>
      </c>
      <c r="R27" s="417"/>
      <c r="S27" s="435"/>
      <c r="T27" s="407"/>
    </row>
    <row r="28" spans="1:20" hidden="1" x14ac:dyDescent="0.25">
      <c r="A28" s="124" t="s">
        <v>26</v>
      </c>
      <c r="B28" s="268"/>
      <c r="C28" s="416"/>
      <c r="D28" s="218"/>
      <c r="E28" s="227"/>
      <c r="F28" s="218"/>
      <c r="G28" s="416"/>
      <c r="H28" s="218"/>
      <c r="I28" s="227"/>
      <c r="J28" s="218"/>
      <c r="K28" s="416"/>
      <c r="L28" s="218"/>
      <c r="M28" s="227"/>
      <c r="N28" s="409">
        <f t="shared" si="3"/>
        <v>0</v>
      </c>
      <c r="O28" s="417">
        <f t="shared" si="3"/>
        <v>0</v>
      </c>
      <c r="P28" s="457">
        <f t="shared" si="3"/>
        <v>0</v>
      </c>
      <c r="Q28" s="417">
        <f>+E28+M28+I28</f>
        <v>0</v>
      </c>
      <c r="R28" s="417"/>
      <c r="S28" s="435"/>
      <c r="T28" s="407"/>
    </row>
    <row r="29" spans="1:20" hidden="1" x14ac:dyDescent="0.25">
      <c r="A29" s="124" t="s">
        <v>11</v>
      </c>
      <c r="B29" s="268"/>
      <c r="C29" s="416"/>
      <c r="D29" s="218"/>
      <c r="E29" s="227"/>
      <c r="F29" s="218"/>
      <c r="G29" s="416"/>
      <c r="H29" s="218"/>
      <c r="I29" s="227"/>
      <c r="J29" s="218"/>
      <c r="K29" s="416"/>
      <c r="L29" s="218"/>
      <c r="M29" s="227"/>
      <c r="N29" s="409">
        <f t="shared" si="3"/>
        <v>0</v>
      </c>
      <c r="O29" s="417">
        <f t="shared" si="3"/>
        <v>0</v>
      </c>
      <c r="P29" s="457">
        <f t="shared" si="3"/>
        <v>0</v>
      </c>
      <c r="Q29" s="417">
        <f>+E29+M29+I29</f>
        <v>0</v>
      </c>
      <c r="R29" s="417"/>
      <c r="S29" s="435"/>
      <c r="T29" s="407"/>
    </row>
    <row r="30" spans="1:20" hidden="1" x14ac:dyDescent="0.25">
      <c r="A30" s="436" t="s">
        <v>27</v>
      </c>
      <c r="B30" s="269">
        <f>+B28</f>
        <v>0</v>
      </c>
      <c r="C30" s="412">
        <f>SUM(C26:C29)</f>
        <v>0</v>
      </c>
      <c r="D30" s="412">
        <f>+D28</f>
        <v>0</v>
      </c>
      <c r="E30" s="413">
        <f>SUM(E26:E29)</f>
        <v>0</v>
      </c>
      <c r="F30" s="412">
        <f>+F28</f>
        <v>0</v>
      </c>
      <c r="G30" s="413">
        <f>SUM(G26:G29)</f>
        <v>0</v>
      </c>
      <c r="H30" s="412">
        <f>+H28</f>
        <v>0</v>
      </c>
      <c r="I30" s="413">
        <f>SUM(I26:I29)</f>
        <v>0</v>
      </c>
      <c r="J30" s="412">
        <f>+J28</f>
        <v>0</v>
      </c>
      <c r="K30" s="413">
        <f>SUM(K26:K29)</f>
        <v>0</v>
      </c>
      <c r="L30" s="412">
        <f>+L28</f>
        <v>0</v>
      </c>
      <c r="M30" s="413">
        <f>SUM(M26:M29)</f>
        <v>0</v>
      </c>
      <c r="N30" s="414">
        <f>+N28</f>
        <v>0</v>
      </c>
      <c r="O30" s="418">
        <f>SUM(O26:O29)</f>
        <v>0</v>
      </c>
      <c r="P30" s="414">
        <f>+P28</f>
        <v>0</v>
      </c>
      <c r="Q30" s="418">
        <f>SUM(Q26:Q29)</f>
        <v>0</v>
      </c>
      <c r="R30" s="418"/>
      <c r="S30" s="435"/>
      <c r="T30" s="419"/>
    </row>
    <row r="31" spans="1:20" hidden="1" x14ac:dyDescent="0.25">
      <c r="A31" s="438" t="s">
        <v>28</v>
      </c>
      <c r="B31" s="270">
        <f>+B30</f>
        <v>0</v>
      </c>
      <c r="C31" s="420">
        <f>+C17+C21+C25+C30</f>
        <v>20193314509.610001</v>
      </c>
      <c r="D31" s="421">
        <f>+D30</f>
        <v>0</v>
      </c>
      <c r="E31" s="420">
        <f>+E17+E21+E25+E30</f>
        <v>72156377.789999992</v>
      </c>
      <c r="F31" s="421">
        <f>+F30</f>
        <v>0</v>
      </c>
      <c r="G31" s="420">
        <f>+G17+G21+G25+G30</f>
        <v>1747002000</v>
      </c>
      <c r="H31" s="421">
        <f>+H30</f>
        <v>0</v>
      </c>
      <c r="I31" s="420">
        <f>+I17+I21+I25+I30</f>
        <v>738000</v>
      </c>
      <c r="J31" s="421">
        <f>+J30</f>
        <v>0</v>
      </c>
      <c r="K31" s="420">
        <f>+K17+K21+K25+K30</f>
        <v>5932969408.6600008</v>
      </c>
      <c r="L31" s="421">
        <f>+L30</f>
        <v>0</v>
      </c>
      <c r="M31" s="420">
        <f>+M17+M21+M25+M30</f>
        <v>13224274.060000001</v>
      </c>
      <c r="N31" s="414">
        <f>+N30</f>
        <v>0</v>
      </c>
      <c r="O31" s="418">
        <f>+O17+O21+O25+O30</f>
        <v>27873285918.27</v>
      </c>
      <c r="P31" s="414">
        <f>+P30</f>
        <v>0</v>
      </c>
      <c r="Q31" s="418">
        <f>+Q17+Q21+Q25+Q30</f>
        <v>86118651.849999994</v>
      </c>
      <c r="R31" s="418"/>
      <c r="S31" s="435"/>
      <c r="T31" s="419"/>
    </row>
    <row r="32" spans="1:20" ht="62.25" hidden="1" customHeight="1" x14ac:dyDescent="0.25">
      <c r="A32" s="439" t="s">
        <v>56</v>
      </c>
      <c r="B32" s="271"/>
      <c r="C32" s="422"/>
      <c r="D32" s="440"/>
      <c r="E32" s="439"/>
      <c r="F32" s="439"/>
      <c r="G32" s="439"/>
      <c r="H32" s="439"/>
      <c r="I32" s="439"/>
      <c r="J32" s="439"/>
      <c r="K32" s="439"/>
      <c r="L32" s="439"/>
      <c r="M32" s="439"/>
      <c r="N32" s="441"/>
      <c r="O32" s="423">
        <f>O17/T17</f>
        <v>0.99691986817408718</v>
      </c>
      <c r="P32" s="458"/>
      <c r="Q32" s="423">
        <f>Q17/T17</f>
        <v>3.080131825912857E-3</v>
      </c>
      <c r="R32" s="423"/>
      <c r="S32" s="435"/>
      <c r="T32" s="419">
        <f>T17-Nómina!M16</f>
        <v>0</v>
      </c>
    </row>
    <row r="33" spans="1:20" hidden="1" x14ac:dyDescent="0.25">
      <c r="A33" s="143" t="s">
        <v>206</v>
      </c>
      <c r="B33" s="111"/>
      <c r="C33" s="442"/>
      <c r="D33" s="103"/>
      <c r="E33" s="103"/>
      <c r="F33" s="103"/>
      <c r="G33" s="442"/>
      <c r="H33" s="103"/>
      <c r="I33" s="103"/>
      <c r="J33" s="442"/>
      <c r="K33" s="442"/>
      <c r="L33" s="103"/>
      <c r="M33" s="103"/>
      <c r="N33" s="443"/>
      <c r="O33" s="444"/>
      <c r="P33" s="443"/>
      <c r="Q33" s="443"/>
      <c r="R33" s="443"/>
      <c r="S33" s="437"/>
      <c r="T33" s="410"/>
    </row>
    <row r="34" spans="1:20" hidden="1" x14ac:dyDescent="0.25">
      <c r="A34" s="14"/>
      <c r="B34" s="445"/>
      <c r="C34" s="44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447"/>
      <c r="O34" s="448"/>
      <c r="P34" s="447"/>
      <c r="Q34" s="447"/>
      <c r="R34" s="447"/>
      <c r="S34" s="435"/>
      <c r="T34" s="407"/>
    </row>
    <row r="35" spans="1:20" hidden="1" x14ac:dyDescent="0.25">
      <c r="A35" s="439" t="s">
        <v>56</v>
      </c>
      <c r="B35" s="271"/>
      <c r="C35" s="422"/>
      <c r="D35" s="440"/>
      <c r="E35" s="439"/>
      <c r="F35" s="439"/>
      <c r="G35" s="439"/>
      <c r="H35" s="439"/>
      <c r="I35" s="439"/>
      <c r="J35" s="439"/>
      <c r="K35" s="439"/>
      <c r="L35" s="439"/>
      <c r="M35" s="439"/>
      <c r="N35" s="449"/>
      <c r="O35" s="424">
        <f>O13/S13</f>
        <v>0.99567404283256733</v>
      </c>
      <c r="P35" s="459"/>
      <c r="Q35" s="424">
        <f>+Q13/S13</f>
        <v>4.3259571674327101E-3</v>
      </c>
      <c r="R35" s="424"/>
      <c r="S35" s="450">
        <f>+O35+Q35</f>
        <v>1</v>
      </c>
      <c r="T35" s="407"/>
    </row>
    <row r="36" spans="1:20" x14ac:dyDescent="0.25">
      <c r="A36" s="14" t="s">
        <v>289</v>
      </c>
      <c r="B36" s="451"/>
      <c r="C36" s="407"/>
      <c r="D36" s="407"/>
      <c r="E36" s="407"/>
      <c r="F36" s="407"/>
      <c r="G36" s="589"/>
      <c r="H36" s="407"/>
      <c r="I36" s="407"/>
      <c r="J36" s="407"/>
      <c r="K36" s="589"/>
      <c r="L36" s="407"/>
      <c r="M36" s="407"/>
      <c r="N36" s="407"/>
      <c r="O36" s="452">
        <f>+O13/S13</f>
        <v>0.99567404283256733</v>
      </c>
      <c r="P36" s="460"/>
      <c r="Q36" s="452">
        <f>+Q13/S13</f>
        <v>4.3259571674327101E-3</v>
      </c>
      <c r="R36" s="453"/>
      <c r="S36" s="454">
        <f>+SUM(O36+Q36)</f>
        <v>1</v>
      </c>
      <c r="T36" s="407"/>
    </row>
    <row r="37" spans="1:20" ht="18" customHeight="1" x14ac:dyDescent="0.25">
      <c r="A37"/>
      <c r="B37"/>
      <c r="C37"/>
      <c r="D37"/>
      <c r="E37" s="588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20" ht="19.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Q38" s="263"/>
      <c r="S38" s="30"/>
    </row>
    <row r="39" spans="1:20" x14ac:dyDescent="0.25">
      <c r="A39" s="455"/>
      <c r="B39" s="455"/>
      <c r="C39" s="455"/>
      <c r="D39"/>
      <c r="E39"/>
      <c r="F39"/>
      <c r="G39"/>
      <c r="H39"/>
      <c r="I39"/>
      <c r="J39"/>
      <c r="K39"/>
      <c r="L39"/>
      <c r="M39"/>
      <c r="N39"/>
      <c r="Q39"/>
    </row>
    <row r="40" spans="1:20" ht="0.75" customHeight="1" x14ac:dyDescent="0.25">
      <c r="A40" s="455"/>
      <c r="B40" s="455"/>
      <c r="C40" s="455"/>
      <c r="D40"/>
      <c r="E40"/>
      <c r="F40"/>
      <c r="G40"/>
      <c r="H40"/>
      <c r="I40"/>
      <c r="J40"/>
      <c r="K40"/>
      <c r="L40"/>
      <c r="M40"/>
      <c r="N40"/>
      <c r="O40" s="114"/>
      <c r="P40" s="114"/>
      <c r="Q40"/>
      <c r="R40"/>
    </row>
    <row r="41" spans="1:20" x14ac:dyDescent="0.25">
      <c r="A41" s="455"/>
      <c r="B41" s="455"/>
      <c r="C41" s="45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20" x14ac:dyDescent="0.25">
      <c r="A42" s="455"/>
      <c r="B42" s="455"/>
      <c r="C42" s="45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20" x14ac:dyDescent="0.25">
      <c r="A43" s="455"/>
      <c r="B43" s="455"/>
      <c r="C43" s="45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20" x14ac:dyDescent="0.25">
      <c r="A44" s="455"/>
      <c r="B44" s="455"/>
      <c r="C44" s="45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20" x14ac:dyDescent="0.25">
      <c r="A45" s="455"/>
      <c r="B45" s="455"/>
      <c r="C45" s="45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20" x14ac:dyDescent="0.25">
      <c r="A46" s="455"/>
      <c r="B46" s="455"/>
      <c r="C46" s="455"/>
      <c r="D46"/>
      <c r="E46"/>
      <c r="F46"/>
      <c r="G46"/>
      <c r="H46"/>
      <c r="I46"/>
      <c r="J46"/>
      <c r="K46"/>
      <c r="L46"/>
      <c r="M46"/>
      <c r="N46"/>
      <c r="O46"/>
      <c r="P46" s="121"/>
      <c r="Q46"/>
      <c r="R46"/>
    </row>
    <row r="47" spans="1:20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 s="629" t="s">
        <v>199</v>
      </c>
      <c r="O47" s="629" t="s">
        <v>198</v>
      </c>
      <c r="P47"/>
      <c r="Q47"/>
      <c r="R47"/>
    </row>
    <row r="48" spans="1:20" x14ac:dyDescent="0.25">
      <c r="N48" s="626">
        <f>+O36</f>
        <v>0.99567404283256733</v>
      </c>
      <c r="O48" s="626">
        <f>+Q36</f>
        <v>4.3259571674327101E-3</v>
      </c>
    </row>
    <row r="52" spans="1:19" x14ac:dyDescent="0.25">
      <c r="R52" s="46"/>
      <c r="S52" s="46"/>
    </row>
    <row r="54" spans="1:19" x14ac:dyDescent="0.25">
      <c r="A54" s="35"/>
      <c r="B54" s="117"/>
      <c r="C54" s="119"/>
      <c r="D54" s="117"/>
      <c r="E54" s="120"/>
      <c r="J54" s="117"/>
      <c r="K54" s="119"/>
      <c r="L54" s="117"/>
      <c r="M54" s="120"/>
      <c r="N54" s="32"/>
      <c r="O54" s="32"/>
      <c r="P54" s="461"/>
      <c r="Q54" s="46"/>
      <c r="R54" s="46"/>
      <c r="S54" s="46"/>
    </row>
    <row r="61" spans="1:19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</sheetData>
  <mergeCells count="17">
    <mergeCell ref="B6:E6"/>
    <mergeCell ref="F6:I6"/>
    <mergeCell ref="L7:M7"/>
    <mergeCell ref="A1:Q1"/>
    <mergeCell ref="A2:Q2"/>
    <mergeCell ref="A3:Q3"/>
    <mergeCell ref="A5:Q5"/>
    <mergeCell ref="B7:C7"/>
    <mergeCell ref="D7:E7"/>
    <mergeCell ref="J7:K7"/>
    <mergeCell ref="N7:O7"/>
    <mergeCell ref="P7:Q7"/>
    <mergeCell ref="A4:Q4"/>
    <mergeCell ref="F7:G7"/>
    <mergeCell ref="H7:I7"/>
    <mergeCell ref="N6:S6"/>
    <mergeCell ref="J6:M6"/>
  </mergeCells>
  <pageMargins left="0.7" right="0.7" top="0.75" bottom="0.75" header="0.3" footer="0.3"/>
  <pageSetup paperSize="9" scale="48" orientation="portrait" r:id="rId1"/>
  <colBreaks count="1" manualBreakCount="1">
    <brk id="19" max="1048575" man="1"/>
  </colBreaks>
  <ignoredErrors>
    <ignoredError sqref="C30 E30 F17" formula="1"/>
    <ignoredError sqref="Q32 O32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Q55"/>
  <sheetViews>
    <sheetView showGridLines="0" topLeftCell="A4" zoomScale="115" zoomScaleNormal="115" workbookViewId="0">
      <selection activeCell="G51" sqref="G51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0.7109375" style="1" customWidth="1"/>
    <col min="4" max="4" width="15" style="1" customWidth="1"/>
    <col min="5" max="5" width="14.42578125" style="1" bestFit="1" customWidth="1"/>
    <col min="6" max="6" width="14" style="1" bestFit="1" customWidth="1"/>
    <col min="7" max="7" width="13.7109375" style="1" customWidth="1"/>
    <col min="8" max="8" width="14.42578125" style="1" bestFit="1" customWidth="1"/>
    <col min="9" max="9" width="10.7109375" style="1" customWidth="1"/>
    <col min="10" max="10" width="14.42578125" style="1" customWidth="1"/>
    <col min="11" max="11" width="15.42578125" style="1" bestFit="1" customWidth="1"/>
    <col min="12" max="12" width="20.42578125" style="1" customWidth="1"/>
    <col min="13" max="13" width="35.140625" style="1" customWidth="1"/>
    <col min="14" max="14" width="11.7109375" style="1" bestFit="1" customWidth="1"/>
    <col min="15" max="15" width="18.42578125" style="1" customWidth="1"/>
    <col min="16" max="16" width="16" style="1" bestFit="1" customWidth="1"/>
    <col min="17" max="17" width="11.7109375" style="1" bestFit="1" customWidth="1"/>
    <col min="18" max="16384" width="11.42578125" style="1"/>
  </cols>
  <sheetData>
    <row r="1" spans="1:15" x14ac:dyDescent="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5" x14ac:dyDescent="0.25">
      <c r="A2" s="639" t="s">
        <v>69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5" x14ac:dyDescent="0.25">
      <c r="A3" s="639" t="s">
        <v>207</v>
      </c>
      <c r="B3" s="639"/>
      <c r="C3" s="639"/>
      <c r="D3" s="639"/>
      <c r="E3" s="639"/>
      <c r="F3" s="639"/>
      <c r="G3" s="639"/>
      <c r="H3" s="639"/>
      <c r="I3" s="639"/>
      <c r="J3" s="639"/>
    </row>
    <row r="4" spans="1:15" x14ac:dyDescent="0.25">
      <c r="A4" s="639" t="s">
        <v>275</v>
      </c>
      <c r="B4" s="639"/>
      <c r="C4" s="639"/>
      <c r="D4" s="639"/>
      <c r="E4" s="639"/>
      <c r="F4" s="639"/>
      <c r="G4" s="639"/>
      <c r="H4" s="639"/>
      <c r="I4" s="639"/>
      <c r="J4" s="639"/>
    </row>
    <row r="5" spans="1:15" x14ac:dyDescent="0.25">
      <c r="A5" s="639" t="s">
        <v>3</v>
      </c>
      <c r="B5" s="639"/>
      <c r="C5" s="639"/>
      <c r="D5" s="639"/>
      <c r="E5" s="639"/>
      <c r="F5" s="639"/>
      <c r="G5" s="639"/>
      <c r="H5" s="639"/>
      <c r="I5" s="639"/>
      <c r="J5" s="639"/>
    </row>
    <row r="6" spans="1:15" x14ac:dyDescent="0.25">
      <c r="A6" s="72"/>
      <c r="B6" s="686" t="s">
        <v>79</v>
      </c>
      <c r="C6" s="686"/>
      <c r="D6" s="686"/>
      <c r="E6" s="687" t="s">
        <v>81</v>
      </c>
      <c r="F6" s="687"/>
      <c r="G6" s="687"/>
      <c r="H6" s="688" t="s">
        <v>82</v>
      </c>
      <c r="I6" s="688"/>
      <c r="J6" s="688"/>
      <c r="K6"/>
      <c r="L6"/>
      <c r="M6"/>
      <c r="N6"/>
      <c r="O6"/>
    </row>
    <row r="7" spans="1:15" ht="39.75" customHeight="1" x14ac:dyDescent="0.25">
      <c r="A7" s="73" t="s">
        <v>4</v>
      </c>
      <c r="B7" s="36" t="s">
        <v>208</v>
      </c>
      <c r="C7" s="36" t="s">
        <v>209</v>
      </c>
      <c r="D7" s="36" t="s">
        <v>8</v>
      </c>
      <c r="E7" s="36" t="s">
        <v>208</v>
      </c>
      <c r="F7" s="36" t="s">
        <v>209</v>
      </c>
      <c r="G7" s="36" t="s">
        <v>8</v>
      </c>
      <c r="H7" s="36" t="s">
        <v>83</v>
      </c>
      <c r="I7" s="36" t="s">
        <v>84</v>
      </c>
      <c r="J7" s="36" t="s">
        <v>8</v>
      </c>
      <c r="K7"/>
      <c r="L7"/>
      <c r="M7"/>
      <c r="N7"/>
      <c r="O7"/>
    </row>
    <row r="8" spans="1:15" hidden="1" x14ac:dyDescent="0.25">
      <c r="A8" s="133" t="s">
        <v>210</v>
      </c>
      <c r="B8" s="129" t="s">
        <v>102</v>
      </c>
      <c r="C8" s="129" t="s">
        <v>102</v>
      </c>
      <c r="D8" s="91" t="s">
        <v>102</v>
      </c>
      <c r="E8" s="130" t="s">
        <v>102</v>
      </c>
      <c r="F8" s="123" t="s">
        <v>102</v>
      </c>
      <c r="G8" s="47" t="s">
        <v>102</v>
      </c>
      <c r="H8" s="134" t="s">
        <v>102</v>
      </c>
      <c r="I8" s="134" t="s">
        <v>102</v>
      </c>
      <c r="J8" s="135" t="s">
        <v>102</v>
      </c>
      <c r="K8"/>
      <c r="L8"/>
      <c r="M8"/>
      <c r="N8"/>
      <c r="O8"/>
    </row>
    <row r="9" spans="1:15" x14ac:dyDescent="0.25">
      <c r="A9" s="70" t="s">
        <v>22</v>
      </c>
      <c r="B9" s="197">
        <v>375</v>
      </c>
      <c r="C9" s="197">
        <v>399</v>
      </c>
      <c r="D9" s="248">
        <v>24233764.5</v>
      </c>
      <c r="E9" s="197">
        <v>484</v>
      </c>
      <c r="F9" s="197">
        <v>481</v>
      </c>
      <c r="G9" s="248">
        <v>29496670.940000001</v>
      </c>
      <c r="H9" s="198">
        <f t="shared" ref="H9:H10" si="0">+B9+E9</f>
        <v>859</v>
      </c>
      <c r="I9" s="198">
        <f t="shared" ref="I9:I10" si="1">+C9+F9</f>
        <v>880</v>
      </c>
      <c r="J9" s="471">
        <f t="shared" ref="J9:J11" si="2">+D9+G9</f>
        <v>53730435.439999998</v>
      </c>
      <c r="K9"/>
      <c r="L9"/>
      <c r="M9"/>
      <c r="N9"/>
      <c r="O9"/>
    </row>
    <row r="10" spans="1:15" x14ac:dyDescent="0.25">
      <c r="A10" s="70" t="s">
        <v>21</v>
      </c>
      <c r="B10" s="197">
        <v>287</v>
      </c>
      <c r="C10" s="197">
        <v>300</v>
      </c>
      <c r="D10" s="248">
        <v>19263568.460000001</v>
      </c>
      <c r="E10" s="197">
        <v>156</v>
      </c>
      <c r="F10" s="197">
        <v>156</v>
      </c>
      <c r="G10" s="248">
        <v>12851383.380000001</v>
      </c>
      <c r="H10" s="198">
        <f t="shared" si="0"/>
        <v>443</v>
      </c>
      <c r="I10" s="198">
        <f t="shared" si="1"/>
        <v>456</v>
      </c>
      <c r="J10" s="471">
        <f t="shared" si="2"/>
        <v>32114951.840000004</v>
      </c>
      <c r="K10"/>
      <c r="L10"/>
      <c r="M10"/>
      <c r="N10"/>
      <c r="O10"/>
    </row>
    <row r="11" spans="1:15" x14ac:dyDescent="0.25">
      <c r="A11" s="70" t="s">
        <v>20</v>
      </c>
      <c r="B11" s="197">
        <v>291</v>
      </c>
      <c r="C11" s="197">
        <v>317</v>
      </c>
      <c r="D11" s="248">
        <v>18271806.949999999</v>
      </c>
      <c r="E11" s="197">
        <v>112</v>
      </c>
      <c r="F11" s="197">
        <v>112</v>
      </c>
      <c r="G11" s="248">
        <v>8165994.4299999997</v>
      </c>
      <c r="H11" s="198">
        <f>+B11+E11</f>
        <v>403</v>
      </c>
      <c r="I11" s="198">
        <f>+C11+F11</f>
        <v>429</v>
      </c>
      <c r="J11" s="471">
        <f t="shared" si="2"/>
        <v>26437801.379999999</v>
      </c>
      <c r="K11"/>
      <c r="L11"/>
      <c r="M11"/>
      <c r="N11"/>
      <c r="O11"/>
    </row>
    <row r="12" spans="1:15" x14ac:dyDescent="0.25">
      <c r="A12" s="257" t="s">
        <v>23</v>
      </c>
      <c r="B12" s="466">
        <f t="shared" ref="B12:I12" si="3">SUM(B9:B11)</f>
        <v>953</v>
      </c>
      <c r="C12" s="466">
        <f t="shared" si="3"/>
        <v>1016</v>
      </c>
      <c r="D12" s="467">
        <f t="shared" si="3"/>
        <v>61769139.909999996</v>
      </c>
      <c r="E12" s="466">
        <f t="shared" si="3"/>
        <v>752</v>
      </c>
      <c r="F12" s="466">
        <f t="shared" si="3"/>
        <v>749</v>
      </c>
      <c r="G12" s="467">
        <f t="shared" si="3"/>
        <v>50514048.75</v>
      </c>
      <c r="H12" s="466">
        <f t="shared" si="3"/>
        <v>1705</v>
      </c>
      <c r="I12" s="466">
        <f t="shared" si="3"/>
        <v>1765</v>
      </c>
      <c r="J12" s="467">
        <f>SUM(J9:J11)</f>
        <v>112283188.66</v>
      </c>
      <c r="K12"/>
      <c r="L12"/>
      <c r="M12"/>
      <c r="N12"/>
      <c r="O12"/>
    </row>
    <row r="13" spans="1:15" ht="0.75" customHeight="1" x14ac:dyDescent="0.25">
      <c r="A13" s="107" t="s">
        <v>16</v>
      </c>
      <c r="B13" s="272">
        <v>199</v>
      </c>
      <c r="C13" s="272">
        <v>226</v>
      </c>
      <c r="D13" s="273">
        <v>15882581.279999999</v>
      </c>
      <c r="E13" s="274">
        <v>151</v>
      </c>
      <c r="F13" s="274">
        <v>153</v>
      </c>
      <c r="G13" s="273">
        <v>10345937.18</v>
      </c>
      <c r="H13" s="275" t="e">
        <f>+B13+E13+#REF!</f>
        <v>#REF!</v>
      </c>
      <c r="I13" s="275" t="e">
        <f>+C13+F13+#REF!</f>
        <v>#REF!</v>
      </c>
      <c r="J13" s="275" t="e">
        <f>+D13+G13+#REF!</f>
        <v>#REF!</v>
      </c>
      <c r="K13"/>
      <c r="L13"/>
      <c r="M13"/>
      <c r="N13"/>
      <c r="O13"/>
    </row>
    <row r="14" spans="1:15" ht="0.75" customHeight="1" x14ac:dyDescent="0.25">
      <c r="A14" s="107" t="s">
        <v>17</v>
      </c>
      <c r="B14" s="272">
        <v>212</v>
      </c>
      <c r="C14" s="272">
        <v>231</v>
      </c>
      <c r="D14" s="273">
        <v>13537080.33</v>
      </c>
      <c r="E14" s="274">
        <v>48</v>
      </c>
      <c r="F14" s="274">
        <v>48</v>
      </c>
      <c r="G14" s="273">
        <v>4063136.52</v>
      </c>
      <c r="H14" s="275" t="e">
        <f>+B14+E14+#REF!</f>
        <v>#REF!</v>
      </c>
      <c r="I14" s="275" t="e">
        <f>+C14+F14+#REF!</f>
        <v>#REF!</v>
      </c>
      <c r="J14" s="275" t="e">
        <f>+D14+G14+#REF!</f>
        <v>#REF!</v>
      </c>
      <c r="K14"/>
      <c r="L14"/>
      <c r="M14"/>
      <c r="N14"/>
      <c r="O14"/>
    </row>
    <row r="15" spans="1:15" hidden="1" x14ac:dyDescent="0.25">
      <c r="A15" s="107" t="s">
        <v>18</v>
      </c>
      <c r="B15" s="272">
        <v>287</v>
      </c>
      <c r="C15" s="272">
        <v>325</v>
      </c>
      <c r="D15" s="274">
        <v>25061586.309999999</v>
      </c>
      <c r="E15" s="274">
        <v>345</v>
      </c>
      <c r="F15" s="274">
        <v>348</v>
      </c>
      <c r="G15" s="274">
        <v>29967980.030000001</v>
      </c>
      <c r="H15" s="275" t="e">
        <f>+B15+E15+#REF!</f>
        <v>#REF!</v>
      </c>
      <c r="I15" s="275" t="e">
        <f>+C15+F15+#REF!</f>
        <v>#REF!</v>
      </c>
      <c r="J15" s="275" t="e">
        <f>+D15+G15+#REF!</f>
        <v>#REF!</v>
      </c>
      <c r="K15"/>
      <c r="L15"/>
      <c r="M15"/>
      <c r="N15"/>
      <c r="O15"/>
    </row>
    <row r="16" spans="1:15" hidden="1" x14ac:dyDescent="0.25">
      <c r="A16" s="37" t="s">
        <v>19</v>
      </c>
      <c r="B16" s="276">
        <f t="shared" ref="B16:J16" si="4">SUM(B13:B15)</f>
        <v>698</v>
      </c>
      <c r="C16" s="276">
        <f t="shared" si="4"/>
        <v>782</v>
      </c>
      <c r="D16" s="276">
        <f t="shared" si="4"/>
        <v>54481247.920000002</v>
      </c>
      <c r="E16" s="277">
        <f t="shared" si="4"/>
        <v>544</v>
      </c>
      <c r="F16" s="277">
        <f t="shared" si="4"/>
        <v>549</v>
      </c>
      <c r="G16" s="276">
        <f t="shared" si="4"/>
        <v>44377053.730000004</v>
      </c>
      <c r="H16" s="276" t="e">
        <f>SUM(H13:H15)</f>
        <v>#REF!</v>
      </c>
      <c r="I16" s="276" t="e">
        <f>SUM(I13:I15)</f>
        <v>#REF!</v>
      </c>
      <c r="J16" s="276" t="e">
        <f t="shared" si="4"/>
        <v>#REF!</v>
      </c>
      <c r="K16"/>
      <c r="L16"/>
      <c r="M16"/>
      <c r="N16"/>
      <c r="O16"/>
    </row>
    <row r="17" spans="1:15" hidden="1" x14ac:dyDescent="0.25">
      <c r="A17" s="35" t="s">
        <v>14</v>
      </c>
      <c r="B17" s="274"/>
      <c r="C17" s="274"/>
      <c r="D17" s="273"/>
      <c r="E17" s="274"/>
      <c r="F17" s="274"/>
      <c r="G17" s="273"/>
      <c r="H17" s="278" t="e">
        <f>+B17+E17+#REF!</f>
        <v>#REF!</v>
      </c>
      <c r="I17" s="278" t="e">
        <f>+C17+F17+#REF!</f>
        <v>#REF!</v>
      </c>
      <c r="J17" s="279" t="e">
        <f>+D17+G17+#REF!</f>
        <v>#REF!</v>
      </c>
      <c r="K17"/>
      <c r="L17"/>
      <c r="M17"/>
      <c r="N17"/>
      <c r="O17"/>
    </row>
    <row r="18" spans="1:15" hidden="1" x14ac:dyDescent="0.25">
      <c r="A18" s="35" t="s">
        <v>13</v>
      </c>
      <c r="B18" s="274"/>
      <c r="C18" s="274"/>
      <c r="D18" s="273"/>
      <c r="E18" s="274"/>
      <c r="F18" s="274"/>
      <c r="G18" s="273"/>
      <c r="H18" s="278" t="e">
        <f>+B18+E18+#REF!</f>
        <v>#REF!</v>
      </c>
      <c r="I18" s="278" t="e">
        <f>+C18+F18+#REF!</f>
        <v>#REF!</v>
      </c>
      <c r="J18" s="279" t="e">
        <f>+D18+G18+#REF!</f>
        <v>#REF!</v>
      </c>
      <c r="K18"/>
      <c r="L18"/>
      <c r="M18"/>
      <c r="N18"/>
      <c r="O18"/>
    </row>
    <row r="19" spans="1:15" hidden="1" x14ac:dyDescent="0.25">
      <c r="A19" s="35" t="s">
        <v>12</v>
      </c>
      <c r="B19" s="274"/>
      <c r="C19" s="274"/>
      <c r="D19" s="273"/>
      <c r="E19" s="274"/>
      <c r="F19" s="274"/>
      <c r="G19" s="273"/>
      <c r="H19" s="278" t="e">
        <f>+B19+E19+#REF!</f>
        <v>#REF!</v>
      </c>
      <c r="I19" s="278" t="e">
        <f>+C19+F19+#REF!</f>
        <v>#REF!</v>
      </c>
      <c r="J19" s="279" t="e">
        <f>+D19+G19+#REF!</f>
        <v>#REF!</v>
      </c>
      <c r="K19"/>
      <c r="L19"/>
      <c r="M19"/>
      <c r="N19"/>
      <c r="O19"/>
    </row>
    <row r="20" spans="1:15" hidden="1" x14ac:dyDescent="0.25">
      <c r="A20" s="23" t="s">
        <v>15</v>
      </c>
      <c r="B20" s="280">
        <f t="shared" ref="B20:J20" si="5">SUM(B17:B19)</f>
        <v>0</v>
      </c>
      <c r="C20" s="280">
        <f t="shared" si="5"/>
        <v>0</v>
      </c>
      <c r="D20" s="280">
        <f t="shared" si="5"/>
        <v>0</v>
      </c>
      <c r="E20" s="280">
        <f>SUM(E17:E19)</f>
        <v>0</v>
      </c>
      <c r="F20" s="280">
        <f>SUM(F17:F19)</f>
        <v>0</v>
      </c>
      <c r="G20" s="280">
        <f>SUM(G17:G19)</f>
        <v>0</v>
      </c>
      <c r="H20" s="280" t="e">
        <f t="shared" si="5"/>
        <v>#REF!</v>
      </c>
      <c r="I20" s="280" t="e">
        <f t="shared" si="5"/>
        <v>#REF!</v>
      </c>
      <c r="J20" s="280" t="e">
        <f t="shared" si="5"/>
        <v>#REF!</v>
      </c>
      <c r="K20"/>
      <c r="L20"/>
      <c r="M20"/>
      <c r="N20"/>
      <c r="O20"/>
    </row>
    <row r="21" spans="1:15" hidden="1" x14ac:dyDescent="0.25">
      <c r="A21" s="35" t="s">
        <v>39</v>
      </c>
      <c r="B21" s="274"/>
      <c r="C21" s="274"/>
      <c r="D21" s="273"/>
      <c r="E21" s="274"/>
      <c r="F21" s="274"/>
      <c r="G21" s="273"/>
      <c r="H21" s="278" t="e">
        <f>+B21+E21+#REF!</f>
        <v>#REF!</v>
      </c>
      <c r="I21" s="278" t="e">
        <f>+C21+F21+#REF!</f>
        <v>#REF!</v>
      </c>
      <c r="J21" s="279" t="e">
        <f>+D21+G21+#REF!</f>
        <v>#REF!</v>
      </c>
      <c r="K21"/>
      <c r="L21"/>
      <c r="M21"/>
      <c r="N21"/>
      <c r="O21"/>
    </row>
    <row r="22" spans="1:15" hidden="1" x14ac:dyDescent="0.25">
      <c r="A22" s="35" t="s">
        <v>21</v>
      </c>
      <c r="B22" s="274"/>
      <c r="C22" s="274"/>
      <c r="D22" s="273"/>
      <c r="E22" s="274"/>
      <c r="F22" s="274"/>
      <c r="G22" s="273"/>
      <c r="H22" s="278" t="e">
        <f>+B22+E22+#REF!</f>
        <v>#REF!</v>
      </c>
      <c r="I22" s="278" t="e">
        <f>+C22+F22+#REF!</f>
        <v>#REF!</v>
      </c>
      <c r="J22" s="279" t="e">
        <f>+D22+G22+#REF!</f>
        <v>#REF!</v>
      </c>
      <c r="K22"/>
      <c r="L22"/>
      <c r="M22"/>
      <c r="N22"/>
      <c r="O22"/>
    </row>
    <row r="23" spans="1:15" hidden="1" x14ac:dyDescent="0.25">
      <c r="A23" s="35" t="s">
        <v>22</v>
      </c>
      <c r="B23" s="274"/>
      <c r="C23" s="274"/>
      <c r="D23" s="273"/>
      <c r="E23" s="274"/>
      <c r="F23" s="274"/>
      <c r="G23" s="273"/>
      <c r="H23" s="278" t="e">
        <f>+B23+E23+#REF!</f>
        <v>#REF!</v>
      </c>
      <c r="I23" s="278" t="e">
        <f>+C23+F23+#REF!</f>
        <v>#REF!</v>
      </c>
      <c r="J23" s="279" t="e">
        <f>+D23+G23+#REF!</f>
        <v>#REF!</v>
      </c>
      <c r="K23"/>
      <c r="L23"/>
      <c r="M23"/>
      <c r="N23"/>
      <c r="O23"/>
    </row>
    <row r="24" spans="1:15" hidden="1" x14ac:dyDescent="0.25">
      <c r="A24" s="23" t="s">
        <v>23</v>
      </c>
      <c r="B24" s="280">
        <f t="shared" ref="B24:J24" si="6">SUM(B21:B23)</f>
        <v>0</v>
      </c>
      <c r="C24" s="280">
        <f t="shared" si="6"/>
        <v>0</v>
      </c>
      <c r="D24" s="280">
        <f t="shared" si="6"/>
        <v>0</v>
      </c>
      <c r="E24" s="280">
        <f t="shared" si="6"/>
        <v>0</v>
      </c>
      <c r="F24" s="280">
        <f t="shared" si="6"/>
        <v>0</v>
      </c>
      <c r="G24" s="280">
        <f t="shared" si="6"/>
        <v>0</v>
      </c>
      <c r="H24" s="280" t="e">
        <f t="shared" si="6"/>
        <v>#REF!</v>
      </c>
      <c r="I24" s="280" t="e">
        <f t="shared" si="6"/>
        <v>#REF!</v>
      </c>
      <c r="J24" s="280" t="e">
        <f t="shared" si="6"/>
        <v>#REF!</v>
      </c>
      <c r="K24"/>
      <c r="L24"/>
      <c r="M24"/>
      <c r="N24"/>
      <c r="O24"/>
    </row>
    <row r="25" spans="1:15" hidden="1" x14ac:dyDescent="0.25">
      <c r="A25" s="35" t="s">
        <v>24</v>
      </c>
      <c r="B25" s="274"/>
      <c r="C25" s="274"/>
      <c r="D25" s="273"/>
      <c r="E25" s="274"/>
      <c r="F25" s="274"/>
      <c r="G25" s="273"/>
      <c r="H25" s="278" t="e">
        <f>+B25+E25+#REF!</f>
        <v>#REF!</v>
      </c>
      <c r="I25" s="278" t="e">
        <f>+C25+F25+#REF!</f>
        <v>#REF!</v>
      </c>
      <c r="J25" s="279" t="e">
        <f>+D25+G25+#REF!</f>
        <v>#REF!</v>
      </c>
      <c r="K25"/>
      <c r="L25"/>
      <c r="M25"/>
      <c r="N25"/>
      <c r="O25"/>
    </row>
    <row r="26" spans="1:15" hidden="1" x14ac:dyDescent="0.25">
      <c r="A26" s="35" t="s">
        <v>25</v>
      </c>
      <c r="B26" s="274"/>
      <c r="C26" s="274"/>
      <c r="D26" s="273"/>
      <c r="E26" s="274"/>
      <c r="F26" s="274"/>
      <c r="G26" s="273"/>
      <c r="H26" s="278" t="e">
        <f>+B26+E26+#REF!</f>
        <v>#REF!</v>
      </c>
      <c r="I26" s="278" t="e">
        <f>+C26+F26+#REF!</f>
        <v>#REF!</v>
      </c>
      <c r="J26" s="279" t="e">
        <f>+D26+G26+#REF!</f>
        <v>#REF!</v>
      </c>
      <c r="K26"/>
      <c r="L26"/>
      <c r="M26"/>
      <c r="N26"/>
      <c r="O26"/>
    </row>
    <row r="27" spans="1:15" hidden="1" x14ac:dyDescent="0.25">
      <c r="A27" s="35" t="s">
        <v>211</v>
      </c>
      <c r="B27" s="274"/>
      <c r="C27" s="274"/>
      <c r="D27" s="273"/>
      <c r="E27" s="274"/>
      <c r="F27" s="274"/>
      <c r="G27" s="273"/>
      <c r="H27" s="278" t="e">
        <f>+B27+E27+#REF!</f>
        <v>#REF!</v>
      </c>
      <c r="I27" s="278" t="e">
        <f>+C27+F27+#REF!</f>
        <v>#REF!</v>
      </c>
      <c r="J27" s="279" t="e">
        <f>+D27+G27+#REF!</f>
        <v>#REF!</v>
      </c>
      <c r="K27"/>
      <c r="L27"/>
      <c r="M27"/>
      <c r="N27"/>
      <c r="O27"/>
    </row>
    <row r="28" spans="1:15" hidden="1" x14ac:dyDescent="0.25">
      <c r="A28" s="23" t="s">
        <v>27</v>
      </c>
      <c r="B28" s="280">
        <f t="shared" ref="B28:J28" si="7">SUM(B25:B27)</f>
        <v>0</v>
      </c>
      <c r="C28" s="280">
        <f t="shared" si="7"/>
        <v>0</v>
      </c>
      <c r="D28" s="280">
        <f t="shared" si="7"/>
        <v>0</v>
      </c>
      <c r="E28" s="280">
        <f>SUM(E25:E27)</f>
        <v>0</v>
      </c>
      <c r="F28" s="280">
        <f>SUM(F25:F27)</f>
        <v>0</v>
      </c>
      <c r="G28" s="280">
        <f>SUM(G25:G27)</f>
        <v>0</v>
      </c>
      <c r="H28" s="280" t="e">
        <f t="shared" si="7"/>
        <v>#REF!</v>
      </c>
      <c r="I28" s="280" t="e">
        <f t="shared" si="7"/>
        <v>#REF!</v>
      </c>
      <c r="J28" s="280" t="e">
        <f t="shared" si="7"/>
        <v>#REF!</v>
      </c>
      <c r="K28"/>
      <c r="L28"/>
      <c r="M28"/>
      <c r="N28"/>
      <c r="O28"/>
    </row>
    <row r="29" spans="1:15" hidden="1" x14ac:dyDescent="0.25">
      <c r="A29" s="58" t="s">
        <v>28</v>
      </c>
      <c r="B29" s="281">
        <f t="shared" ref="B29:H29" si="8">+B16+B20+B24+B28</f>
        <v>698</v>
      </c>
      <c r="C29" s="281">
        <f t="shared" si="8"/>
        <v>782</v>
      </c>
      <c r="D29" s="281">
        <f t="shared" si="8"/>
        <v>54481247.920000002</v>
      </c>
      <c r="E29" s="281">
        <f t="shared" si="8"/>
        <v>544</v>
      </c>
      <c r="F29" s="281">
        <f t="shared" si="8"/>
        <v>549</v>
      </c>
      <c r="G29" s="281">
        <f t="shared" si="8"/>
        <v>44377053.730000004</v>
      </c>
      <c r="H29" s="281" t="e">
        <f t="shared" si="8"/>
        <v>#REF!</v>
      </c>
      <c r="I29" s="281" t="e">
        <f>+I16+I20+I24+I28</f>
        <v>#REF!</v>
      </c>
      <c r="J29" s="281" t="e">
        <f>+J16+J20+J24+J28</f>
        <v>#REF!</v>
      </c>
      <c r="K29"/>
      <c r="L29"/>
      <c r="M29"/>
      <c r="N29"/>
      <c r="O29"/>
    </row>
    <row r="30" spans="1:15" hidden="1" x14ac:dyDescent="0.25">
      <c r="A30" s="124" t="s">
        <v>212</v>
      </c>
      <c r="B30" s="242"/>
      <c r="C30" s="242"/>
      <c r="D30" s="242"/>
      <c r="E30" s="242"/>
      <c r="F30" s="242"/>
      <c r="G30" s="242"/>
      <c r="H30" s="242"/>
      <c r="I30" s="242"/>
      <c r="J30" s="242"/>
      <c r="K30"/>
      <c r="L30"/>
      <c r="M30"/>
      <c r="N30"/>
      <c r="O30"/>
    </row>
    <row r="31" spans="1:15" ht="21" customHeight="1" x14ac:dyDescent="0.25">
      <c r="A31" s="685" t="s">
        <v>294</v>
      </c>
      <c r="B31" s="685"/>
      <c r="C31" s="685"/>
      <c r="D31" s="468">
        <f>+D12/J12</f>
        <v>0.55011921773116479</v>
      </c>
      <c r="E31" s="469"/>
      <c r="F31" s="469"/>
      <c r="G31" s="468">
        <f>+G12/J12</f>
        <v>0.44988078226883516</v>
      </c>
      <c r="H31" s="469"/>
      <c r="I31" s="469"/>
      <c r="J31" s="470">
        <f>+SUM(D31,G31)</f>
        <v>1</v>
      </c>
      <c r="K31" s="187"/>
      <c r="L31"/>
      <c r="M31"/>
      <c r="N31"/>
      <c r="O31"/>
    </row>
    <row r="32" spans="1:15" customFormat="1" ht="42.75" customHeight="1" x14ac:dyDescent="0.25"/>
    <row r="33" spans="1:17" x14ac:dyDescent="0.25">
      <c r="A33"/>
      <c r="B33"/>
      <c r="C33"/>
      <c r="D33"/>
      <c r="E33"/>
      <c r="F33"/>
      <c r="G33"/>
      <c r="K33" s="121"/>
      <c r="L33"/>
      <c r="M33"/>
      <c r="N33"/>
      <c r="O33"/>
    </row>
    <row r="34" spans="1:17" x14ac:dyDescent="0.25">
      <c r="A34" s="35"/>
      <c r="B34" s="117"/>
      <c r="C34" s="117"/>
      <c r="D34" s="91"/>
      <c r="E34" s="122"/>
      <c r="F34"/>
      <c r="G34"/>
      <c r="H34"/>
      <c r="I34"/>
      <c r="J34"/>
      <c r="K34" s="121"/>
      <c r="L34"/>
      <c r="M34"/>
      <c r="N34"/>
      <c r="O34"/>
    </row>
    <row r="35" spans="1:17" x14ac:dyDescent="0.25">
      <c r="F35" s="123"/>
      <c r="G35" s="91"/>
      <c r="H35" s="32"/>
      <c r="I35" s="32"/>
      <c r="J35" s="32"/>
    </row>
    <row r="36" spans="1:17" x14ac:dyDescent="0.25">
      <c r="A36" s="35"/>
      <c r="B36" s="117"/>
      <c r="C36" s="117"/>
      <c r="D36" s="91"/>
      <c r="E36" s="122"/>
      <c r="K36" s="30"/>
      <c r="N36" s="42"/>
      <c r="O36" s="50"/>
      <c r="P36" s="43"/>
      <c r="Q36" s="51"/>
    </row>
    <row r="37" spans="1:17" x14ac:dyDescent="0.25">
      <c r="F37" s="123"/>
      <c r="G37" s="91"/>
      <c r="H37" s="32"/>
      <c r="I37" s="32"/>
      <c r="J37" s="32"/>
      <c r="N37" s="42"/>
      <c r="O37" s="50"/>
      <c r="P37" s="43"/>
      <c r="Q37" s="51"/>
    </row>
    <row r="38" spans="1:17" x14ac:dyDescent="0.25">
      <c r="N38" s="42"/>
      <c r="O38" s="50"/>
      <c r="P38" s="43"/>
      <c r="Q38" s="51"/>
    </row>
    <row r="39" spans="1:17" x14ac:dyDescent="0.25">
      <c r="N39" s="42"/>
      <c r="O39" s="50"/>
      <c r="P39" s="43"/>
      <c r="Q39" s="51"/>
    </row>
    <row r="40" spans="1:17" x14ac:dyDescent="0.25">
      <c r="N40" s="42"/>
      <c r="O40" s="50"/>
      <c r="P40" s="43"/>
      <c r="Q40" s="51"/>
    </row>
    <row r="41" spans="1:17" x14ac:dyDescent="0.25">
      <c r="N41" s="42"/>
      <c r="O41" s="50"/>
      <c r="P41" s="43"/>
      <c r="Q41" s="51"/>
    </row>
    <row r="42" spans="1:17" x14ac:dyDescent="0.25">
      <c r="N42" s="42"/>
      <c r="O42" s="50"/>
      <c r="P42" s="43"/>
      <c r="Q42" s="51"/>
    </row>
    <row r="43" spans="1:17" x14ac:dyDescent="0.25">
      <c r="N43" s="42"/>
      <c r="O43" s="50"/>
      <c r="P43" s="43"/>
      <c r="Q43" s="51"/>
    </row>
    <row r="50" spans="2:11" x14ac:dyDescent="0.25">
      <c r="B50"/>
      <c r="C50"/>
      <c r="D50"/>
      <c r="E50"/>
    </row>
    <row r="51" spans="2:11" x14ac:dyDescent="0.25">
      <c r="B51"/>
      <c r="C51"/>
      <c r="D51"/>
      <c r="E51"/>
      <c r="F51"/>
      <c r="G51"/>
      <c r="H51"/>
      <c r="I51"/>
      <c r="J51"/>
      <c r="K51"/>
    </row>
    <row r="52" spans="2:11" x14ac:dyDescent="0.25">
      <c r="B52"/>
      <c r="C52"/>
      <c r="D52"/>
      <c r="E52"/>
      <c r="F52"/>
      <c r="G52"/>
      <c r="H52"/>
      <c r="I52"/>
      <c r="J52"/>
      <c r="K52"/>
    </row>
    <row r="53" spans="2:11" x14ac:dyDescent="0.25">
      <c r="B53"/>
      <c r="C53"/>
      <c r="D53"/>
      <c r="E53"/>
      <c r="F53"/>
      <c r="G53"/>
      <c r="H53"/>
      <c r="I53"/>
      <c r="J53"/>
      <c r="K53"/>
    </row>
    <row r="54" spans="2:11" x14ac:dyDescent="0.25">
      <c r="B54"/>
      <c r="C54"/>
      <c r="D54"/>
      <c r="E54"/>
      <c r="F54"/>
      <c r="G54"/>
      <c r="H54"/>
      <c r="I54"/>
      <c r="J54"/>
      <c r="K54"/>
    </row>
    <row r="55" spans="2:11" x14ac:dyDescent="0.25">
      <c r="F55"/>
      <c r="G55"/>
      <c r="H55"/>
      <c r="I55"/>
      <c r="J55"/>
      <c r="K55"/>
    </row>
  </sheetData>
  <mergeCells count="9">
    <mergeCell ref="A31:C31"/>
    <mergeCell ref="A1:J1"/>
    <mergeCell ref="A2:J2"/>
    <mergeCell ref="A3:J3"/>
    <mergeCell ref="A5:J5"/>
    <mergeCell ref="B6:D6"/>
    <mergeCell ref="E6:G6"/>
    <mergeCell ref="H6:J6"/>
    <mergeCell ref="A4:J4"/>
  </mergeCells>
  <pageMargins left="0.7" right="0.7" top="0.75" bottom="0.75" header="0.3" footer="0.3"/>
  <pageSetup paperSize="9" scale="72" orientation="portrait" r:id="rId1"/>
  <rowBreaks count="1" manualBreakCount="1">
    <brk id="49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P39"/>
  <sheetViews>
    <sheetView showGridLines="0" workbookViewId="0">
      <selection activeCell="F8" sqref="F8:G10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639" t="s">
        <v>213</v>
      </c>
      <c r="B1" s="639"/>
      <c r="C1" s="639"/>
      <c r="D1" s="639"/>
      <c r="E1" s="639"/>
      <c r="F1" s="639"/>
      <c r="G1" s="639"/>
      <c r="H1" s="639"/>
      <c r="I1" s="639"/>
    </row>
    <row r="2" spans="1:9" x14ac:dyDescent="0.25">
      <c r="A2" s="639" t="s">
        <v>69</v>
      </c>
      <c r="B2" s="639"/>
      <c r="C2" s="639"/>
      <c r="D2" s="639"/>
      <c r="E2" s="639"/>
      <c r="F2" s="639"/>
      <c r="G2" s="639"/>
      <c r="H2" s="639"/>
      <c r="I2" s="639"/>
    </row>
    <row r="3" spans="1:9" x14ac:dyDescent="0.25">
      <c r="A3" s="639" t="s">
        <v>214</v>
      </c>
      <c r="B3" s="639"/>
      <c r="C3" s="639"/>
      <c r="D3" s="639"/>
      <c r="E3" s="639"/>
      <c r="F3" s="639"/>
      <c r="G3" s="639"/>
      <c r="H3" s="639"/>
      <c r="I3" s="639"/>
    </row>
    <row r="4" spans="1:9" x14ac:dyDescent="0.25">
      <c r="A4" s="639" t="s">
        <v>215</v>
      </c>
      <c r="B4" s="639"/>
      <c r="C4" s="639"/>
      <c r="D4" s="639"/>
      <c r="E4" s="639"/>
      <c r="F4" s="639"/>
      <c r="G4" s="639"/>
      <c r="H4" s="639"/>
      <c r="I4" s="639"/>
    </row>
    <row r="5" spans="1:9" x14ac:dyDescent="0.25">
      <c r="A5" s="639" t="s">
        <v>216</v>
      </c>
      <c r="B5" s="639"/>
      <c r="C5" s="639"/>
      <c r="D5" s="639"/>
      <c r="E5" s="639"/>
      <c r="F5" s="639"/>
      <c r="G5" s="639"/>
      <c r="H5" s="639"/>
      <c r="I5" s="639"/>
    </row>
    <row r="6" spans="1:9" x14ac:dyDescent="0.25">
      <c r="A6" s="72"/>
      <c r="B6" s="686" t="s">
        <v>217</v>
      </c>
      <c r="C6" s="686"/>
      <c r="D6" s="687" t="s">
        <v>81</v>
      </c>
      <c r="E6" s="687"/>
      <c r="F6" s="689" t="s">
        <v>80</v>
      </c>
      <c r="G6" s="689"/>
      <c r="H6" s="688" t="s">
        <v>82</v>
      </c>
      <c r="I6" s="688"/>
    </row>
    <row r="7" spans="1:9" ht="34.5" customHeight="1" x14ac:dyDescent="0.25">
      <c r="A7" s="73" t="s">
        <v>4</v>
      </c>
      <c r="B7" s="36" t="s">
        <v>218</v>
      </c>
      <c r="C7" s="36" t="s">
        <v>8</v>
      </c>
      <c r="D7" s="36" t="s">
        <v>218</v>
      </c>
      <c r="E7" s="36" t="s">
        <v>8</v>
      </c>
      <c r="F7" s="36" t="s">
        <v>218</v>
      </c>
      <c r="G7" s="36" t="s">
        <v>8</v>
      </c>
      <c r="H7" s="36" t="s">
        <v>218</v>
      </c>
      <c r="I7" s="36" t="s">
        <v>8</v>
      </c>
    </row>
    <row r="8" spans="1:9" x14ac:dyDescent="0.25">
      <c r="A8" s="35" t="s">
        <v>14</v>
      </c>
      <c r="B8" s="26">
        <v>0</v>
      </c>
      <c r="C8" s="47">
        <v>0</v>
      </c>
      <c r="D8" s="26">
        <v>0</v>
      </c>
      <c r="E8" s="47">
        <v>0</v>
      </c>
      <c r="F8" s="26">
        <v>0</v>
      </c>
      <c r="G8" s="47">
        <v>0</v>
      </c>
      <c r="H8" s="31">
        <f t="shared" ref="H8:I10" si="0">+B8+D8+F8</f>
        <v>0</v>
      </c>
      <c r="I8" s="52">
        <f t="shared" si="0"/>
        <v>0</v>
      </c>
    </row>
    <row r="9" spans="1:9" x14ac:dyDescent="0.25">
      <c r="A9" s="35" t="s">
        <v>13</v>
      </c>
      <c r="B9" s="26">
        <f>4+28+31</f>
        <v>63</v>
      </c>
      <c r="C9" s="47">
        <f>30992+216880.44+240467.76</f>
        <v>488340.2</v>
      </c>
      <c r="D9" s="26">
        <v>3</v>
      </c>
      <c r="E9" s="47">
        <v>224872.69</v>
      </c>
      <c r="F9" s="26">
        <f>2+12</f>
        <v>14</v>
      </c>
      <c r="G9" s="47">
        <f>12000+72000</f>
        <v>84000</v>
      </c>
      <c r="H9" s="31">
        <f t="shared" si="0"/>
        <v>80</v>
      </c>
      <c r="I9" s="52">
        <f t="shared" si="0"/>
        <v>797212.89</v>
      </c>
    </row>
    <row r="10" spans="1:9" x14ac:dyDescent="0.25">
      <c r="A10" s="35" t="s">
        <v>12</v>
      </c>
      <c r="B10" s="26">
        <v>1413</v>
      </c>
      <c r="C10" s="47">
        <v>11172621.32</v>
      </c>
      <c r="D10" s="26">
        <v>34</v>
      </c>
      <c r="E10" s="47">
        <v>278309.3</v>
      </c>
      <c r="F10" s="26">
        <v>1549</v>
      </c>
      <c r="G10" s="47">
        <v>9294000</v>
      </c>
      <c r="H10" s="31">
        <f t="shared" si="0"/>
        <v>2996</v>
      </c>
      <c r="I10" s="31">
        <f t="shared" si="0"/>
        <v>20744930.620000001</v>
      </c>
    </row>
    <row r="11" spans="1:9" x14ac:dyDescent="0.25">
      <c r="A11" s="23" t="s">
        <v>15</v>
      </c>
      <c r="B11" s="33">
        <f t="shared" ref="B11:I11" si="1">SUM(B8:B10)</f>
        <v>1476</v>
      </c>
      <c r="C11" s="33">
        <f t="shared" si="1"/>
        <v>11660961.52</v>
      </c>
      <c r="D11" s="33">
        <f t="shared" si="1"/>
        <v>37</v>
      </c>
      <c r="E11" s="33">
        <f t="shared" si="1"/>
        <v>503181.99</v>
      </c>
      <c r="F11" s="33">
        <f>SUM(F8:F10)</f>
        <v>1563</v>
      </c>
      <c r="G11" s="33">
        <f>SUM(G8:G10)</f>
        <v>9378000</v>
      </c>
      <c r="H11" s="33">
        <f>SUM(H8:H10)</f>
        <v>3076</v>
      </c>
      <c r="I11" s="33">
        <f t="shared" si="1"/>
        <v>21542143.510000002</v>
      </c>
    </row>
    <row r="12" spans="1:9" hidden="1" x14ac:dyDescent="0.25">
      <c r="A12" s="35" t="s">
        <v>14</v>
      </c>
      <c r="B12" s="26"/>
      <c r="C12" s="47"/>
      <c r="D12" s="26"/>
      <c r="E12" s="47"/>
      <c r="F12" s="26"/>
      <c r="G12" s="47"/>
      <c r="H12" s="31">
        <f t="shared" ref="H12:I14" si="2">+B12+D12+F12</f>
        <v>0</v>
      </c>
      <c r="I12" s="52">
        <f t="shared" si="2"/>
        <v>0</v>
      </c>
    </row>
    <row r="13" spans="1:9" hidden="1" x14ac:dyDescent="0.25">
      <c r="A13" s="35" t="s">
        <v>13</v>
      </c>
      <c r="B13" s="26"/>
      <c r="C13" s="47"/>
      <c r="D13" s="26"/>
      <c r="E13" s="47"/>
      <c r="F13" s="26"/>
      <c r="G13" s="47"/>
      <c r="H13" s="31">
        <f t="shared" si="2"/>
        <v>0</v>
      </c>
      <c r="I13" s="52">
        <f t="shared" si="2"/>
        <v>0</v>
      </c>
    </row>
    <row r="14" spans="1:9" hidden="1" x14ac:dyDescent="0.25">
      <c r="A14" s="35" t="s">
        <v>12</v>
      </c>
      <c r="B14" s="26"/>
      <c r="C14" s="47"/>
      <c r="D14" s="26"/>
      <c r="E14" s="47"/>
      <c r="F14" s="26"/>
      <c r="G14" s="47"/>
      <c r="H14" s="31">
        <f t="shared" si="2"/>
        <v>0</v>
      </c>
      <c r="I14" s="52">
        <f t="shared" si="2"/>
        <v>0</v>
      </c>
    </row>
    <row r="15" spans="1:9" hidden="1" x14ac:dyDescent="0.25">
      <c r="A15" s="23" t="s">
        <v>15</v>
      </c>
      <c r="B15" s="33">
        <f t="shared" ref="B15:I15" si="3">SUM(B12:B14)</f>
        <v>0</v>
      </c>
      <c r="C15" s="33">
        <f t="shared" si="3"/>
        <v>0</v>
      </c>
      <c r="D15" s="33">
        <f t="shared" si="3"/>
        <v>0</v>
      </c>
      <c r="E15" s="33">
        <f t="shared" si="3"/>
        <v>0</v>
      </c>
      <c r="F15" s="33">
        <f>SUM(F12:F14)</f>
        <v>0</v>
      </c>
      <c r="G15" s="33">
        <f>SUM(G12:G14)</f>
        <v>0</v>
      </c>
      <c r="H15" s="33">
        <f t="shared" si="3"/>
        <v>0</v>
      </c>
      <c r="I15" s="33">
        <f t="shared" si="3"/>
        <v>0</v>
      </c>
    </row>
    <row r="16" spans="1:9" hidden="1" x14ac:dyDescent="0.25">
      <c r="A16" s="35" t="s">
        <v>39</v>
      </c>
      <c r="B16" s="26"/>
      <c r="C16" s="47"/>
      <c r="D16" s="26"/>
      <c r="E16" s="47"/>
      <c r="F16" s="26"/>
      <c r="G16" s="47"/>
      <c r="H16" s="31">
        <f t="shared" ref="H16:I18" si="4">+B16+D16+F16</f>
        <v>0</v>
      </c>
      <c r="I16" s="52">
        <f t="shared" si="4"/>
        <v>0</v>
      </c>
    </row>
    <row r="17" spans="1:16" hidden="1" x14ac:dyDescent="0.25">
      <c r="A17" s="35" t="s">
        <v>21</v>
      </c>
      <c r="B17" s="26"/>
      <c r="C17" s="47"/>
      <c r="D17" s="26"/>
      <c r="E17" s="47"/>
      <c r="F17" s="26"/>
      <c r="G17" s="47"/>
      <c r="H17" s="31">
        <f t="shared" si="4"/>
        <v>0</v>
      </c>
      <c r="I17" s="52">
        <f t="shared" si="4"/>
        <v>0</v>
      </c>
    </row>
    <row r="18" spans="1:16" hidden="1" x14ac:dyDescent="0.25">
      <c r="A18" s="35" t="s">
        <v>22</v>
      </c>
      <c r="B18" s="26"/>
      <c r="C18" s="47"/>
      <c r="D18" s="26"/>
      <c r="E18" s="47"/>
      <c r="F18" s="26"/>
      <c r="G18" s="47"/>
      <c r="H18" s="31">
        <f t="shared" si="4"/>
        <v>0</v>
      </c>
      <c r="I18" s="52">
        <f t="shared" si="4"/>
        <v>0</v>
      </c>
    </row>
    <row r="19" spans="1:16" hidden="1" x14ac:dyDescent="0.25">
      <c r="A19" s="23" t="s">
        <v>23</v>
      </c>
      <c r="B19" s="33">
        <f t="shared" ref="B19:I19" si="5">SUM(B16:B18)</f>
        <v>0</v>
      </c>
      <c r="C19" s="33">
        <f t="shared" si="5"/>
        <v>0</v>
      </c>
      <c r="D19" s="33">
        <f t="shared" si="5"/>
        <v>0</v>
      </c>
      <c r="E19" s="33">
        <f t="shared" si="5"/>
        <v>0</v>
      </c>
      <c r="F19" s="33">
        <f t="shared" si="5"/>
        <v>0</v>
      </c>
      <c r="G19" s="33">
        <f t="shared" si="5"/>
        <v>0</v>
      </c>
      <c r="H19" s="33">
        <f t="shared" si="5"/>
        <v>0</v>
      </c>
      <c r="I19" s="33">
        <f t="shared" si="5"/>
        <v>0</v>
      </c>
    </row>
    <row r="20" spans="1:16" hidden="1" x14ac:dyDescent="0.25">
      <c r="A20" s="25" t="s">
        <v>24</v>
      </c>
      <c r="B20" s="26"/>
      <c r="C20" s="47"/>
      <c r="D20" s="26"/>
      <c r="E20" s="47"/>
      <c r="F20" s="26"/>
      <c r="G20" s="47"/>
      <c r="H20" s="31">
        <f t="shared" ref="H20:I22" si="6">+B20+D20+F20</f>
        <v>0</v>
      </c>
      <c r="I20" s="52">
        <f t="shared" si="6"/>
        <v>0</v>
      </c>
    </row>
    <row r="21" spans="1:16" hidden="1" x14ac:dyDescent="0.25">
      <c r="A21" s="25" t="s">
        <v>25</v>
      </c>
      <c r="B21" s="26"/>
      <c r="C21" s="47"/>
      <c r="D21" s="26"/>
      <c r="E21" s="47"/>
      <c r="F21" s="26"/>
      <c r="G21" s="47"/>
      <c r="H21" s="31">
        <f t="shared" si="6"/>
        <v>0</v>
      </c>
      <c r="I21" s="52">
        <f t="shared" si="6"/>
        <v>0</v>
      </c>
    </row>
    <row r="22" spans="1:16" hidden="1" x14ac:dyDescent="0.25">
      <c r="A22" s="25" t="s">
        <v>26</v>
      </c>
      <c r="B22" s="26"/>
      <c r="C22" s="47"/>
      <c r="D22" s="26"/>
      <c r="E22" s="47"/>
      <c r="F22" s="26"/>
      <c r="G22" s="47"/>
      <c r="H22" s="31">
        <f t="shared" si="6"/>
        <v>0</v>
      </c>
      <c r="I22" s="52">
        <f t="shared" si="6"/>
        <v>0</v>
      </c>
    </row>
    <row r="23" spans="1:16" hidden="1" x14ac:dyDescent="0.25">
      <c r="A23" s="12" t="s">
        <v>27</v>
      </c>
      <c r="B23" s="33">
        <f t="shared" ref="B23:I23" si="7">SUM(B20:B22)</f>
        <v>0</v>
      </c>
      <c r="C23" s="33">
        <f t="shared" si="7"/>
        <v>0</v>
      </c>
      <c r="D23" s="33">
        <f t="shared" si="7"/>
        <v>0</v>
      </c>
      <c r="E23" s="33">
        <f t="shared" si="7"/>
        <v>0</v>
      </c>
      <c r="F23" s="33">
        <f>SUM(F20:F22)</f>
        <v>0</v>
      </c>
      <c r="G23" s="33">
        <f>SUM(G20:G22)</f>
        <v>0</v>
      </c>
      <c r="H23" s="33">
        <f t="shared" si="7"/>
        <v>0</v>
      </c>
      <c r="I23" s="33">
        <f t="shared" si="7"/>
        <v>0</v>
      </c>
    </row>
    <row r="24" spans="1:16" hidden="1" x14ac:dyDescent="0.25">
      <c r="A24" s="48" t="s">
        <v>28</v>
      </c>
      <c r="B24" s="34">
        <f>+B11+B15+B19+B23</f>
        <v>1476</v>
      </c>
      <c r="C24" s="34">
        <f>+C11+C15+C19+C23</f>
        <v>11660961.52</v>
      </c>
      <c r="D24" s="34">
        <f t="shared" ref="D24:I24" si="8">+D11+D15+D19+D23</f>
        <v>37</v>
      </c>
      <c r="E24" s="34">
        <f t="shared" si="8"/>
        <v>503181.99</v>
      </c>
      <c r="F24" s="34">
        <f t="shared" si="8"/>
        <v>1563</v>
      </c>
      <c r="G24" s="34">
        <f t="shared" si="8"/>
        <v>9378000</v>
      </c>
      <c r="H24" s="34">
        <f>+H11+H15+H19+H23</f>
        <v>3076</v>
      </c>
      <c r="I24" s="34">
        <f t="shared" si="8"/>
        <v>21542143.510000002</v>
      </c>
    </row>
    <row r="25" spans="1:16" hidden="1" x14ac:dyDescent="0.25">
      <c r="A25" s="49" t="s">
        <v>219</v>
      </c>
    </row>
    <row r="26" spans="1:16" x14ac:dyDescent="0.25">
      <c r="A26" s="14" t="s">
        <v>220</v>
      </c>
      <c r="E26" s="30"/>
      <c r="G26" s="30"/>
    </row>
    <row r="32" spans="1:16" x14ac:dyDescent="0.25">
      <c r="M32" s="42">
        <v>32154</v>
      </c>
      <c r="N32" s="50" t="e">
        <f t="shared" ref="N32:N39" si="9">M32/$B$29*100</f>
        <v>#DIV/0!</v>
      </c>
      <c r="O32" s="43">
        <v>386810064.19999999</v>
      </c>
      <c r="P32" s="51" t="e">
        <f>O32/O40*100</f>
        <v>#DIV/0!</v>
      </c>
    </row>
    <row r="33" spans="13:16" x14ac:dyDescent="0.25">
      <c r="M33" s="42">
        <v>56199</v>
      </c>
      <c r="N33" s="50" t="e">
        <f t="shared" si="9"/>
        <v>#DIV/0!</v>
      </c>
      <c r="O33" s="43">
        <v>471111842.94</v>
      </c>
      <c r="P33" s="51" t="e">
        <f>O33/O40*100</f>
        <v>#DIV/0!</v>
      </c>
    </row>
    <row r="34" spans="13:16" x14ac:dyDescent="0.25">
      <c r="M34" s="42">
        <v>297</v>
      </c>
      <c r="N34" s="50" t="e">
        <f t="shared" si="9"/>
        <v>#DIV/0!</v>
      </c>
      <c r="O34" s="43">
        <v>5010228</v>
      </c>
      <c r="P34" s="51" t="e">
        <f>O34/O40*100</f>
        <v>#DIV/0!</v>
      </c>
    </row>
    <row r="35" spans="13:16" x14ac:dyDescent="0.25">
      <c r="M35" s="42">
        <v>163</v>
      </c>
      <c r="N35" s="50" t="e">
        <f t="shared" si="9"/>
        <v>#DIV/0!</v>
      </c>
      <c r="O35" s="43">
        <v>4392328.91</v>
      </c>
      <c r="P35" s="51" t="e">
        <f>O35/O40*100</f>
        <v>#DIV/0!</v>
      </c>
    </row>
    <row r="36" spans="13:16" x14ac:dyDescent="0.25">
      <c r="M36" s="42">
        <v>366</v>
      </c>
      <c r="N36" s="50" t="e">
        <f t="shared" si="9"/>
        <v>#DIV/0!</v>
      </c>
      <c r="O36" s="43">
        <v>9034522.6500000004</v>
      </c>
      <c r="P36" s="51" t="e">
        <f>O36/O40*100</f>
        <v>#DIV/0!</v>
      </c>
    </row>
    <row r="37" spans="13:16" x14ac:dyDescent="0.25">
      <c r="M37" s="42">
        <v>17249</v>
      </c>
      <c r="N37" s="50" t="e">
        <f t="shared" si="9"/>
        <v>#DIV/0!</v>
      </c>
      <c r="O37" s="43">
        <v>405400068.69</v>
      </c>
      <c r="P37" s="51" t="e">
        <f>O37/O40*100</f>
        <v>#DIV/0!</v>
      </c>
    </row>
    <row r="38" spans="13:16" x14ac:dyDescent="0.25">
      <c r="M38" s="42">
        <v>18745</v>
      </c>
      <c r="N38" s="50" t="e">
        <f t="shared" si="9"/>
        <v>#DIV/0!</v>
      </c>
      <c r="O38" s="43">
        <v>369724631.60000002</v>
      </c>
      <c r="P38" s="51" t="e">
        <f>O38/O40*100</f>
        <v>#DIV/0!</v>
      </c>
    </row>
    <row r="39" spans="13:16" x14ac:dyDescent="0.25">
      <c r="M39" s="42">
        <v>15130</v>
      </c>
      <c r="N39" s="50" t="e">
        <f t="shared" si="9"/>
        <v>#DIV/0!</v>
      </c>
      <c r="O39" s="43">
        <v>151015428.50999999</v>
      </c>
      <c r="P39" s="51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P39"/>
  <sheetViews>
    <sheetView showGridLines="0" workbookViewId="0">
      <selection activeCell="B27" sqref="B27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639" t="s">
        <v>213</v>
      </c>
      <c r="B1" s="639"/>
      <c r="C1" s="639"/>
      <c r="D1" s="639"/>
      <c r="E1" s="639"/>
      <c r="F1" s="639"/>
      <c r="G1" s="639"/>
      <c r="H1" s="639"/>
      <c r="I1" s="639"/>
    </row>
    <row r="2" spans="1:9" x14ac:dyDescent="0.25">
      <c r="A2" s="639" t="s">
        <v>69</v>
      </c>
      <c r="B2" s="639"/>
      <c r="C2" s="639"/>
      <c r="D2" s="639"/>
      <c r="E2" s="639"/>
      <c r="F2" s="639"/>
      <c r="G2" s="639"/>
      <c r="H2" s="639"/>
      <c r="I2" s="639"/>
    </row>
    <row r="3" spans="1:9" x14ac:dyDescent="0.25">
      <c r="A3" s="639" t="s">
        <v>221</v>
      </c>
      <c r="B3" s="639"/>
      <c r="C3" s="639"/>
      <c r="D3" s="639"/>
      <c r="E3" s="639"/>
      <c r="F3" s="639"/>
      <c r="G3" s="639"/>
      <c r="H3" s="639"/>
      <c r="I3" s="639"/>
    </row>
    <row r="4" spans="1:9" x14ac:dyDescent="0.25">
      <c r="A4" s="639" t="s">
        <v>222</v>
      </c>
      <c r="B4" s="639"/>
      <c r="C4" s="639"/>
      <c r="D4" s="639"/>
      <c r="E4" s="639"/>
      <c r="F4" s="639"/>
      <c r="G4" s="639"/>
      <c r="H4" s="639"/>
      <c r="I4" s="639"/>
    </row>
    <row r="5" spans="1:9" x14ac:dyDescent="0.25">
      <c r="A5" s="639" t="s">
        <v>216</v>
      </c>
      <c r="B5" s="639"/>
      <c r="C5" s="639"/>
      <c r="D5" s="639"/>
      <c r="E5" s="639"/>
      <c r="F5" s="639"/>
      <c r="G5" s="639"/>
      <c r="H5" s="639"/>
      <c r="I5" s="639"/>
    </row>
    <row r="6" spans="1:9" x14ac:dyDescent="0.25">
      <c r="A6" s="72"/>
      <c r="B6" s="686" t="s">
        <v>217</v>
      </c>
      <c r="C6" s="686"/>
      <c r="D6" s="687" t="s">
        <v>81</v>
      </c>
      <c r="E6" s="687"/>
      <c r="F6" s="689" t="s">
        <v>80</v>
      </c>
      <c r="G6" s="689"/>
      <c r="H6" s="688" t="s">
        <v>82</v>
      </c>
      <c r="I6" s="688"/>
    </row>
    <row r="7" spans="1:9" ht="34.5" customHeight="1" x14ac:dyDescent="0.25">
      <c r="A7" s="73" t="s">
        <v>4</v>
      </c>
      <c r="B7" s="36" t="s">
        <v>223</v>
      </c>
      <c r="C7" s="36" t="s">
        <v>8</v>
      </c>
      <c r="D7" s="36" t="s">
        <v>223</v>
      </c>
      <c r="E7" s="36" t="s">
        <v>8</v>
      </c>
      <c r="F7" s="36" t="s">
        <v>223</v>
      </c>
      <c r="G7" s="36" t="s">
        <v>8</v>
      </c>
      <c r="H7" s="36" t="s">
        <v>223</v>
      </c>
      <c r="I7" s="36" t="s">
        <v>8</v>
      </c>
    </row>
    <row r="8" spans="1:9" x14ac:dyDescent="0.25">
      <c r="A8" s="35" t="s">
        <v>14</v>
      </c>
      <c r="B8" s="26">
        <v>0</v>
      </c>
      <c r="C8" s="47">
        <v>0</v>
      </c>
      <c r="D8" s="26">
        <v>0</v>
      </c>
      <c r="E8" s="47">
        <v>0</v>
      </c>
      <c r="F8" s="26">
        <v>0</v>
      </c>
      <c r="G8" s="47">
        <v>0</v>
      </c>
      <c r="H8" s="31">
        <f t="shared" ref="H8:I10" si="0">+B8+D8+F8</f>
        <v>0</v>
      </c>
      <c r="I8" s="52">
        <f t="shared" si="0"/>
        <v>0</v>
      </c>
    </row>
    <row r="9" spans="1:9" x14ac:dyDescent="0.25">
      <c r="A9" s="35" t="s">
        <v>13</v>
      </c>
      <c r="B9" s="26">
        <v>36</v>
      </c>
      <c r="C9" s="47">
        <v>386001.61</v>
      </c>
      <c r="D9" s="26">
        <v>2</v>
      </c>
      <c r="E9" s="47">
        <v>16030.61</v>
      </c>
      <c r="F9" s="26">
        <v>2</v>
      </c>
      <c r="G9" s="47">
        <v>12000</v>
      </c>
      <c r="H9" s="31">
        <f t="shared" si="0"/>
        <v>40</v>
      </c>
      <c r="I9" s="52">
        <f t="shared" si="0"/>
        <v>414032.22</v>
      </c>
    </row>
    <row r="10" spans="1:9" x14ac:dyDescent="0.25">
      <c r="A10" s="35" t="s">
        <v>12</v>
      </c>
      <c r="B10" s="26">
        <v>131</v>
      </c>
      <c r="C10" s="47">
        <v>1444844.33</v>
      </c>
      <c r="D10" s="26">
        <v>5</v>
      </c>
      <c r="E10" s="47">
        <v>110598.45</v>
      </c>
      <c r="F10" s="26">
        <v>6</v>
      </c>
      <c r="G10" s="47">
        <v>36000</v>
      </c>
      <c r="H10" s="31">
        <f t="shared" si="0"/>
        <v>142</v>
      </c>
      <c r="I10" s="31">
        <f t="shared" si="0"/>
        <v>1591442.78</v>
      </c>
    </row>
    <row r="11" spans="1:9" x14ac:dyDescent="0.25">
      <c r="A11" s="23" t="s">
        <v>15</v>
      </c>
      <c r="B11" s="33">
        <f t="shared" ref="B11:I11" si="1">SUM(B8:B10)</f>
        <v>167</v>
      </c>
      <c r="C11" s="33">
        <f t="shared" si="1"/>
        <v>1830845.94</v>
      </c>
      <c r="D11" s="33">
        <f t="shared" si="1"/>
        <v>7</v>
      </c>
      <c r="E11" s="33">
        <f t="shared" si="1"/>
        <v>126629.06</v>
      </c>
      <c r="F11" s="33">
        <f>SUM(F8:F10)</f>
        <v>8</v>
      </c>
      <c r="G11" s="33">
        <f>SUM(G8:G10)</f>
        <v>48000</v>
      </c>
      <c r="H11" s="33">
        <f t="shared" si="1"/>
        <v>182</v>
      </c>
      <c r="I11" s="33">
        <f t="shared" si="1"/>
        <v>2005475</v>
      </c>
    </row>
    <row r="12" spans="1:9" hidden="1" x14ac:dyDescent="0.25">
      <c r="A12" s="35" t="s">
        <v>14</v>
      </c>
      <c r="B12" s="26">
        <v>52</v>
      </c>
      <c r="C12" s="47">
        <v>621254.41</v>
      </c>
      <c r="D12" s="26">
        <v>2</v>
      </c>
      <c r="E12" s="47">
        <v>15128.119999999999</v>
      </c>
      <c r="F12" s="26"/>
      <c r="G12" s="47"/>
      <c r="H12" s="31">
        <f t="shared" ref="H12:I14" si="2">+B12+D12+F12</f>
        <v>54</v>
      </c>
      <c r="I12" s="52">
        <f t="shared" si="2"/>
        <v>636382.53</v>
      </c>
    </row>
    <row r="13" spans="1:9" hidden="1" x14ac:dyDescent="0.25">
      <c r="A13" s="35" t="s">
        <v>13</v>
      </c>
      <c r="B13" s="26"/>
      <c r="C13" s="47"/>
      <c r="D13" s="26"/>
      <c r="E13" s="47"/>
      <c r="F13" s="26"/>
      <c r="G13" s="47"/>
      <c r="H13" s="31">
        <f t="shared" si="2"/>
        <v>0</v>
      </c>
      <c r="I13" s="52">
        <f t="shared" si="2"/>
        <v>0</v>
      </c>
    </row>
    <row r="14" spans="1:9" hidden="1" x14ac:dyDescent="0.25">
      <c r="A14" s="35" t="s">
        <v>12</v>
      </c>
      <c r="B14" s="26"/>
      <c r="C14" s="47"/>
      <c r="D14" s="26"/>
      <c r="E14" s="47"/>
      <c r="F14" s="26"/>
      <c r="G14" s="47"/>
      <c r="H14" s="31">
        <f t="shared" si="2"/>
        <v>0</v>
      </c>
      <c r="I14" s="52">
        <f t="shared" si="2"/>
        <v>0</v>
      </c>
    </row>
    <row r="15" spans="1:9" hidden="1" x14ac:dyDescent="0.25">
      <c r="A15" s="23" t="s">
        <v>15</v>
      </c>
      <c r="B15" s="33">
        <f t="shared" ref="B15:I15" si="3">SUM(B12:B14)</f>
        <v>52</v>
      </c>
      <c r="C15" s="33">
        <f t="shared" si="3"/>
        <v>621254.41</v>
      </c>
      <c r="D15" s="33">
        <f t="shared" si="3"/>
        <v>2</v>
      </c>
      <c r="E15" s="33">
        <f t="shared" si="3"/>
        <v>15128.119999999999</v>
      </c>
      <c r="F15" s="33">
        <f>SUM(F12:F14)</f>
        <v>0</v>
      </c>
      <c r="G15" s="33">
        <f>SUM(G12:G14)</f>
        <v>0</v>
      </c>
      <c r="H15" s="33">
        <f t="shared" si="3"/>
        <v>54</v>
      </c>
      <c r="I15" s="33">
        <f t="shared" si="3"/>
        <v>636382.53</v>
      </c>
    </row>
    <row r="16" spans="1:9" hidden="1" x14ac:dyDescent="0.25">
      <c r="A16" s="35" t="s">
        <v>39</v>
      </c>
      <c r="B16" s="26"/>
      <c r="C16" s="47"/>
      <c r="D16" s="26"/>
      <c r="E16" s="47"/>
      <c r="F16" s="26"/>
      <c r="G16" s="47"/>
      <c r="H16" s="31">
        <f t="shared" ref="H16:I18" si="4">+B16+D16+F16</f>
        <v>0</v>
      </c>
      <c r="I16" s="52">
        <f t="shared" si="4"/>
        <v>0</v>
      </c>
    </row>
    <row r="17" spans="1:16" hidden="1" x14ac:dyDescent="0.25">
      <c r="A17" s="35" t="s">
        <v>21</v>
      </c>
      <c r="B17" s="26"/>
      <c r="C17" s="47"/>
      <c r="D17" s="26"/>
      <c r="E17" s="47"/>
      <c r="F17" s="26"/>
      <c r="G17" s="47"/>
      <c r="H17" s="31">
        <f t="shared" si="4"/>
        <v>0</v>
      </c>
      <c r="I17" s="52">
        <f t="shared" si="4"/>
        <v>0</v>
      </c>
    </row>
    <row r="18" spans="1:16" hidden="1" x14ac:dyDescent="0.25">
      <c r="A18" s="35" t="s">
        <v>22</v>
      </c>
      <c r="B18" s="26"/>
      <c r="C18" s="47"/>
      <c r="D18" s="26"/>
      <c r="E18" s="47"/>
      <c r="F18" s="26"/>
      <c r="G18" s="47"/>
      <c r="H18" s="31">
        <f t="shared" si="4"/>
        <v>0</v>
      </c>
      <c r="I18" s="52">
        <f t="shared" si="4"/>
        <v>0</v>
      </c>
    </row>
    <row r="19" spans="1:16" hidden="1" x14ac:dyDescent="0.25">
      <c r="A19" s="23" t="s">
        <v>23</v>
      </c>
      <c r="B19" s="33">
        <f t="shared" ref="B19:I19" si="5">SUM(B16:B18)</f>
        <v>0</v>
      </c>
      <c r="C19" s="33">
        <f t="shared" si="5"/>
        <v>0</v>
      </c>
      <c r="D19" s="33">
        <f t="shared" si="5"/>
        <v>0</v>
      </c>
      <c r="E19" s="33">
        <f t="shared" si="5"/>
        <v>0</v>
      </c>
      <c r="F19" s="33">
        <f t="shared" si="5"/>
        <v>0</v>
      </c>
      <c r="G19" s="33">
        <f t="shared" si="5"/>
        <v>0</v>
      </c>
      <c r="H19" s="33">
        <f t="shared" si="5"/>
        <v>0</v>
      </c>
      <c r="I19" s="33">
        <f t="shared" si="5"/>
        <v>0</v>
      </c>
    </row>
    <row r="20" spans="1:16" hidden="1" x14ac:dyDescent="0.25">
      <c r="A20" s="25" t="s">
        <v>24</v>
      </c>
      <c r="B20" s="26"/>
      <c r="C20" s="47"/>
      <c r="D20" s="26"/>
      <c r="E20" s="47"/>
      <c r="F20" s="26"/>
      <c r="G20" s="47"/>
      <c r="H20" s="31">
        <f t="shared" ref="H20:I22" si="6">+B20+D20+F20</f>
        <v>0</v>
      </c>
      <c r="I20" s="52">
        <f t="shared" si="6"/>
        <v>0</v>
      </c>
    </row>
    <row r="21" spans="1:16" hidden="1" x14ac:dyDescent="0.25">
      <c r="A21" s="25" t="s">
        <v>25</v>
      </c>
      <c r="B21" s="26"/>
      <c r="C21" s="47"/>
      <c r="D21" s="26"/>
      <c r="E21" s="47"/>
      <c r="F21" s="26"/>
      <c r="G21" s="47"/>
      <c r="H21" s="31">
        <f t="shared" si="6"/>
        <v>0</v>
      </c>
      <c r="I21" s="52">
        <f t="shared" si="6"/>
        <v>0</v>
      </c>
    </row>
    <row r="22" spans="1:16" hidden="1" x14ac:dyDescent="0.25">
      <c r="A22" s="25" t="s">
        <v>26</v>
      </c>
      <c r="B22" s="26"/>
      <c r="C22" s="47"/>
      <c r="D22" s="26"/>
      <c r="E22" s="47"/>
      <c r="F22" s="26"/>
      <c r="G22" s="47"/>
      <c r="H22" s="31">
        <f t="shared" si="6"/>
        <v>0</v>
      </c>
      <c r="I22" s="52">
        <f t="shared" si="6"/>
        <v>0</v>
      </c>
    </row>
    <row r="23" spans="1:16" hidden="1" x14ac:dyDescent="0.25">
      <c r="A23" s="12" t="s">
        <v>27</v>
      </c>
      <c r="B23" s="33">
        <f t="shared" ref="B23:I23" si="7">SUM(B20:B22)</f>
        <v>0</v>
      </c>
      <c r="C23" s="33">
        <f t="shared" si="7"/>
        <v>0</v>
      </c>
      <c r="D23" s="33">
        <f t="shared" si="7"/>
        <v>0</v>
      </c>
      <c r="E23" s="33">
        <f t="shared" si="7"/>
        <v>0</v>
      </c>
      <c r="F23" s="33">
        <f>SUM(F20:F22)</f>
        <v>0</v>
      </c>
      <c r="G23" s="33">
        <f>SUM(G20:G22)</f>
        <v>0</v>
      </c>
      <c r="H23" s="33">
        <f t="shared" si="7"/>
        <v>0</v>
      </c>
      <c r="I23" s="33">
        <f t="shared" si="7"/>
        <v>0</v>
      </c>
    </row>
    <row r="24" spans="1:16" hidden="1" x14ac:dyDescent="0.25">
      <c r="A24" s="48" t="s">
        <v>28</v>
      </c>
      <c r="B24" s="34">
        <f>+B11+B15+B19+B23</f>
        <v>219</v>
      </c>
      <c r="C24" s="34">
        <f>+C11+C15+C19+C23</f>
        <v>2452100.35</v>
      </c>
      <c r="D24" s="34">
        <f t="shared" ref="D24:I24" si="8">+D11+D15+D19+D23</f>
        <v>9</v>
      </c>
      <c r="E24" s="34">
        <f t="shared" si="8"/>
        <v>141757.18</v>
      </c>
      <c r="F24" s="34">
        <f t="shared" si="8"/>
        <v>8</v>
      </c>
      <c r="G24" s="34">
        <f t="shared" si="8"/>
        <v>48000</v>
      </c>
      <c r="H24" s="34">
        <f>+H11+H15+H19+H23</f>
        <v>236</v>
      </c>
      <c r="I24" s="34">
        <f t="shared" si="8"/>
        <v>2641857.5300000003</v>
      </c>
    </row>
    <row r="25" spans="1:16" x14ac:dyDescent="0.25">
      <c r="A25" s="14" t="s">
        <v>220</v>
      </c>
    </row>
    <row r="26" spans="1:16" x14ac:dyDescent="0.25">
      <c r="E26" s="30"/>
      <c r="G26" s="30"/>
    </row>
    <row r="32" spans="1:16" x14ac:dyDescent="0.25">
      <c r="M32" s="42">
        <v>32154</v>
      </c>
      <c r="N32" s="50" t="e">
        <f t="shared" ref="N32:N39" si="9">M32/$B$29*100</f>
        <v>#DIV/0!</v>
      </c>
      <c r="O32" s="43">
        <v>386810064.19999999</v>
      </c>
      <c r="P32" s="51" t="e">
        <f>O32/O40*100</f>
        <v>#DIV/0!</v>
      </c>
    </row>
    <row r="33" spans="13:16" x14ac:dyDescent="0.25">
      <c r="M33" s="42">
        <v>56199</v>
      </c>
      <c r="N33" s="50" t="e">
        <f t="shared" si="9"/>
        <v>#DIV/0!</v>
      </c>
      <c r="O33" s="43">
        <v>471111842.94</v>
      </c>
      <c r="P33" s="51" t="e">
        <f>O33/O40*100</f>
        <v>#DIV/0!</v>
      </c>
    </row>
    <row r="34" spans="13:16" x14ac:dyDescent="0.25">
      <c r="M34" s="42">
        <v>297</v>
      </c>
      <c r="N34" s="50" t="e">
        <f t="shared" si="9"/>
        <v>#DIV/0!</v>
      </c>
      <c r="O34" s="43">
        <v>5010228</v>
      </c>
      <c r="P34" s="51" t="e">
        <f>O34/O40*100</f>
        <v>#DIV/0!</v>
      </c>
    </row>
    <row r="35" spans="13:16" x14ac:dyDescent="0.25">
      <c r="M35" s="42">
        <v>163</v>
      </c>
      <c r="N35" s="50" t="e">
        <f t="shared" si="9"/>
        <v>#DIV/0!</v>
      </c>
      <c r="O35" s="43">
        <v>4392328.91</v>
      </c>
      <c r="P35" s="51" t="e">
        <f>O35/O40*100</f>
        <v>#DIV/0!</v>
      </c>
    </row>
    <row r="36" spans="13:16" x14ac:dyDescent="0.25">
      <c r="M36" s="42">
        <v>366</v>
      </c>
      <c r="N36" s="50" t="e">
        <f t="shared" si="9"/>
        <v>#DIV/0!</v>
      </c>
      <c r="O36" s="43">
        <v>9034522.6500000004</v>
      </c>
      <c r="P36" s="51" t="e">
        <f>O36/O40*100</f>
        <v>#DIV/0!</v>
      </c>
    </row>
    <row r="37" spans="13:16" x14ac:dyDescent="0.25">
      <c r="M37" s="42">
        <v>17249</v>
      </c>
      <c r="N37" s="50" t="e">
        <f t="shared" si="9"/>
        <v>#DIV/0!</v>
      </c>
      <c r="O37" s="43">
        <v>405400068.69</v>
      </c>
      <c r="P37" s="51" t="e">
        <f>O37/O40*100</f>
        <v>#DIV/0!</v>
      </c>
    </row>
    <row r="38" spans="13:16" x14ac:dyDescent="0.25">
      <c r="M38" s="42">
        <v>18745</v>
      </c>
      <c r="N38" s="50" t="e">
        <f t="shared" si="9"/>
        <v>#DIV/0!</v>
      </c>
      <c r="O38" s="43">
        <v>369724631.60000002</v>
      </c>
      <c r="P38" s="51" t="e">
        <f>O38/O40*100</f>
        <v>#DIV/0!</v>
      </c>
    </row>
    <row r="39" spans="13:16" x14ac:dyDescent="0.25">
      <c r="M39" s="42">
        <v>15130</v>
      </c>
      <c r="N39" s="50" t="e">
        <f t="shared" si="9"/>
        <v>#DIV/0!</v>
      </c>
      <c r="O39" s="43">
        <v>151015428.50999999</v>
      </c>
      <c r="P39" s="51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6AFD0-957A-4CA9-ACDF-921E0A8C1FDD}">
  <sheetPr>
    <tabColor rgb="FF00B0F0"/>
  </sheetPr>
  <dimension ref="A1:L32"/>
  <sheetViews>
    <sheetView showGridLines="0" zoomScale="85" zoomScaleNormal="85" workbookViewId="0">
      <pane ySplit="7" topLeftCell="A8" activePane="bottomLeft" state="frozen"/>
      <selection pane="bottomLeft" activeCell="A26" sqref="A26:C27"/>
    </sheetView>
  </sheetViews>
  <sheetFormatPr baseColWidth="10" defaultRowHeight="15" x14ac:dyDescent="0.25"/>
  <cols>
    <col min="2" max="3" width="11.5703125" bestFit="1" customWidth="1"/>
    <col min="4" max="4" width="15.7109375" bestFit="1" customWidth="1"/>
    <col min="5" max="6" width="11.5703125" bestFit="1" customWidth="1"/>
    <col min="7" max="7" width="15.140625" bestFit="1" customWidth="1"/>
    <col min="8" max="9" width="11.5703125" bestFit="1" customWidth="1"/>
    <col min="10" max="10" width="15.7109375" bestFit="1" customWidth="1"/>
    <col min="11" max="11" width="12.42578125" bestFit="1" customWidth="1"/>
    <col min="17" max="17" width="12.42578125" bestFit="1" customWidth="1"/>
  </cols>
  <sheetData>
    <row r="1" spans="1:12" x14ac:dyDescent="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2" x14ac:dyDescent="0.25">
      <c r="A2" s="639" t="s">
        <v>69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2" x14ac:dyDescent="0.25">
      <c r="A3" s="639" t="s">
        <v>273</v>
      </c>
      <c r="B3" s="639"/>
      <c r="C3" s="639"/>
      <c r="D3" s="639"/>
      <c r="E3" s="639"/>
      <c r="F3" s="639"/>
      <c r="G3" s="639"/>
      <c r="H3" s="639"/>
      <c r="I3" s="639"/>
      <c r="J3" s="639"/>
    </row>
    <row r="4" spans="1:12" x14ac:dyDescent="0.25">
      <c r="A4" s="639" t="s">
        <v>275</v>
      </c>
      <c r="B4" s="639"/>
      <c r="C4" s="639"/>
      <c r="D4" s="639"/>
      <c r="E4" s="639"/>
      <c r="F4" s="639"/>
      <c r="G4" s="639"/>
      <c r="H4" s="639"/>
      <c r="I4" s="639"/>
      <c r="J4" s="639"/>
    </row>
    <row r="5" spans="1:12" x14ac:dyDescent="0.25">
      <c r="A5" s="639" t="s">
        <v>3</v>
      </c>
      <c r="B5" s="639"/>
      <c r="C5" s="639"/>
      <c r="D5" s="639"/>
      <c r="E5" s="639"/>
      <c r="F5" s="639"/>
      <c r="G5" s="639"/>
      <c r="H5" s="639"/>
      <c r="I5" s="639"/>
      <c r="J5" s="639"/>
    </row>
    <row r="6" spans="1:12" x14ac:dyDescent="0.25">
      <c r="A6" s="107"/>
      <c r="B6" s="691" t="s">
        <v>79</v>
      </c>
      <c r="C6" s="691"/>
      <c r="D6" s="691"/>
      <c r="E6" s="692" t="s">
        <v>81</v>
      </c>
      <c r="F6" s="692"/>
      <c r="G6" s="692"/>
      <c r="H6" s="693" t="s">
        <v>82</v>
      </c>
      <c r="I6" s="693"/>
      <c r="J6" s="693"/>
    </row>
    <row r="7" spans="1:12" ht="25.5" x14ac:dyDescent="0.25">
      <c r="A7" s="73" t="s">
        <v>4</v>
      </c>
      <c r="B7" s="36" t="s">
        <v>208</v>
      </c>
      <c r="C7" s="36" t="s">
        <v>209</v>
      </c>
      <c r="D7" s="36" t="s">
        <v>8</v>
      </c>
      <c r="E7" s="36" t="s">
        <v>208</v>
      </c>
      <c r="F7" s="36" t="s">
        <v>209</v>
      </c>
      <c r="G7" s="36" t="s">
        <v>8</v>
      </c>
      <c r="H7" s="36" t="s">
        <v>83</v>
      </c>
      <c r="I7" s="36" t="s">
        <v>84</v>
      </c>
      <c r="J7" s="36" t="s">
        <v>8</v>
      </c>
      <c r="L7" s="628"/>
    </row>
    <row r="8" spans="1:12" ht="0.75" customHeight="1" x14ac:dyDescent="0.25">
      <c r="A8" s="35" t="s">
        <v>18</v>
      </c>
      <c r="B8" s="254">
        <v>0</v>
      </c>
      <c r="C8" s="254">
        <v>0</v>
      </c>
      <c r="D8" s="253">
        <v>0</v>
      </c>
      <c r="E8" s="254">
        <v>0</v>
      </c>
      <c r="F8" s="254">
        <v>0</v>
      </c>
      <c r="G8" s="253">
        <v>0</v>
      </c>
      <c r="H8" s="252">
        <f t="shared" ref="H8:J10" si="0">+B8+E8</f>
        <v>0</v>
      </c>
      <c r="I8" s="252">
        <f t="shared" si="0"/>
        <v>0</v>
      </c>
      <c r="J8" s="251">
        <f t="shared" si="0"/>
        <v>0</v>
      </c>
    </row>
    <row r="9" spans="1:12" hidden="1" x14ac:dyDescent="0.25">
      <c r="A9" s="35" t="s">
        <v>17</v>
      </c>
      <c r="B9" s="254">
        <v>6</v>
      </c>
      <c r="C9" s="254">
        <v>6</v>
      </c>
      <c r="D9" s="253">
        <v>1137486.3400000001</v>
      </c>
      <c r="E9" s="254">
        <v>1</v>
      </c>
      <c r="F9" s="254">
        <v>1</v>
      </c>
      <c r="G9" s="253">
        <v>124166.66</v>
      </c>
      <c r="H9" s="252">
        <f t="shared" si="0"/>
        <v>7</v>
      </c>
      <c r="I9" s="252">
        <f t="shared" si="0"/>
        <v>7</v>
      </c>
      <c r="J9" s="251">
        <f t="shared" si="0"/>
        <v>1261653</v>
      </c>
    </row>
    <row r="10" spans="1:12" hidden="1" x14ac:dyDescent="0.25">
      <c r="A10" s="35" t="s">
        <v>16</v>
      </c>
      <c r="B10" s="254">
        <v>0</v>
      </c>
      <c r="C10" s="254">
        <v>0</v>
      </c>
      <c r="D10" s="253">
        <v>0</v>
      </c>
      <c r="E10" s="254">
        <v>0</v>
      </c>
      <c r="F10" s="254">
        <v>0</v>
      </c>
      <c r="G10" s="253">
        <v>0</v>
      </c>
      <c r="H10" s="252">
        <f t="shared" si="0"/>
        <v>0</v>
      </c>
      <c r="I10" s="252">
        <f t="shared" si="0"/>
        <v>0</v>
      </c>
      <c r="J10" s="251">
        <f t="shared" si="0"/>
        <v>0</v>
      </c>
    </row>
    <row r="11" spans="1:12" hidden="1" x14ac:dyDescent="0.25">
      <c r="A11" s="58" t="s">
        <v>19</v>
      </c>
      <c r="B11" s="250">
        <f t="shared" ref="B11:J11" si="1">SUM(B8:B10)</f>
        <v>6</v>
      </c>
      <c r="C11" s="250">
        <f t="shared" si="1"/>
        <v>6</v>
      </c>
      <c r="D11" s="249">
        <f t="shared" si="1"/>
        <v>1137486.3400000001</v>
      </c>
      <c r="E11" s="250">
        <f t="shared" si="1"/>
        <v>1</v>
      </c>
      <c r="F11" s="250">
        <f t="shared" si="1"/>
        <v>1</v>
      </c>
      <c r="G11" s="249">
        <f t="shared" si="1"/>
        <v>124166.66</v>
      </c>
      <c r="H11" s="250">
        <f t="shared" si="1"/>
        <v>7</v>
      </c>
      <c r="I11" s="250">
        <f t="shared" si="1"/>
        <v>7</v>
      </c>
      <c r="J11" s="249">
        <f t="shared" si="1"/>
        <v>1261653</v>
      </c>
    </row>
    <row r="12" spans="1:12" x14ac:dyDescent="0.25">
      <c r="A12" s="333" t="s">
        <v>22</v>
      </c>
      <c r="B12" s="472">
        <v>8</v>
      </c>
      <c r="C12" s="472">
        <v>8</v>
      </c>
      <c r="D12" s="473">
        <v>1069100.1200000001</v>
      </c>
      <c r="E12" s="472"/>
      <c r="F12" s="472"/>
      <c r="G12" s="473"/>
      <c r="H12" s="474">
        <f t="shared" ref="H12:J13" si="2">+B12+E12</f>
        <v>8</v>
      </c>
      <c r="I12" s="474">
        <f t="shared" si="2"/>
        <v>8</v>
      </c>
      <c r="J12" s="475">
        <f t="shared" si="2"/>
        <v>1069100.1200000001</v>
      </c>
    </row>
    <row r="13" spans="1:12" x14ac:dyDescent="0.25">
      <c r="A13" s="333" t="s">
        <v>21</v>
      </c>
      <c r="B13" s="472"/>
      <c r="C13" s="472"/>
      <c r="D13" s="473"/>
      <c r="E13" s="472"/>
      <c r="F13" s="472"/>
      <c r="G13" s="473"/>
      <c r="H13" s="474">
        <f t="shared" si="2"/>
        <v>0</v>
      </c>
      <c r="I13" s="474">
        <f t="shared" si="2"/>
        <v>0</v>
      </c>
      <c r="J13" s="475">
        <f t="shared" si="2"/>
        <v>0</v>
      </c>
    </row>
    <row r="14" spans="1:12" x14ac:dyDescent="0.25">
      <c r="A14" s="333" t="s">
        <v>20</v>
      </c>
      <c r="B14" s="472">
        <v>5</v>
      </c>
      <c r="C14" s="472">
        <v>5</v>
      </c>
      <c r="D14" s="473">
        <v>1703344</v>
      </c>
      <c r="E14" s="472"/>
      <c r="F14" s="472"/>
      <c r="G14" s="473"/>
      <c r="H14" s="474">
        <f>+B14+E14</f>
        <v>5</v>
      </c>
      <c r="I14" s="474">
        <f>+C14+F14</f>
        <v>5</v>
      </c>
      <c r="J14" s="475">
        <f>+D14+G14</f>
        <v>1703344</v>
      </c>
    </row>
    <row r="15" spans="1:12" ht="14.25" customHeight="1" x14ac:dyDescent="0.25">
      <c r="A15" s="339" t="s">
        <v>23</v>
      </c>
      <c r="B15" s="476">
        <f>SUM(B12:B14)</f>
        <v>13</v>
      </c>
      <c r="C15" s="476">
        <f>SUM(C12:C14)</f>
        <v>13</v>
      </c>
      <c r="D15" s="477">
        <f t="shared" ref="D15:J15" si="3">+D12+D13+D14</f>
        <v>2772444.12</v>
      </c>
      <c r="E15" s="476">
        <f t="shared" si="3"/>
        <v>0</v>
      </c>
      <c r="F15" s="476">
        <f t="shared" si="3"/>
        <v>0</v>
      </c>
      <c r="G15" s="477">
        <f t="shared" si="3"/>
        <v>0</v>
      </c>
      <c r="H15" s="476">
        <f t="shared" si="3"/>
        <v>13</v>
      </c>
      <c r="I15" s="476">
        <f t="shared" si="3"/>
        <v>13</v>
      </c>
      <c r="J15" s="477">
        <f t="shared" si="3"/>
        <v>2772444.12</v>
      </c>
    </row>
    <row r="16" spans="1:12" ht="0.75" hidden="1" customHeight="1" x14ac:dyDescent="0.25">
      <c r="A16" s="399" t="s">
        <v>39</v>
      </c>
      <c r="B16" s="472"/>
      <c r="C16" s="472"/>
      <c r="D16" s="473"/>
      <c r="E16" s="472"/>
      <c r="F16" s="472"/>
      <c r="G16" s="473"/>
      <c r="H16" s="474">
        <f>+B16+E16</f>
        <v>0</v>
      </c>
      <c r="I16" s="474">
        <f>+C16+F16</f>
        <v>0</v>
      </c>
      <c r="J16" s="475">
        <f>+D16+G16</f>
        <v>0</v>
      </c>
    </row>
    <row r="17" spans="1:10" hidden="1" x14ac:dyDescent="0.25">
      <c r="A17" s="399" t="s">
        <v>21</v>
      </c>
      <c r="B17" s="472"/>
      <c r="C17" s="472"/>
      <c r="D17" s="473"/>
      <c r="E17" s="472"/>
      <c r="F17" s="472"/>
      <c r="G17" s="473"/>
      <c r="H17" s="474">
        <v>0</v>
      </c>
      <c r="I17" s="474">
        <f>+C17+F17</f>
        <v>0</v>
      </c>
      <c r="J17" s="475">
        <f>+D17+G17</f>
        <v>0</v>
      </c>
    </row>
    <row r="18" spans="1:10" hidden="1" x14ac:dyDescent="0.25">
      <c r="A18" s="399" t="s">
        <v>22</v>
      </c>
      <c r="B18" s="472"/>
      <c r="C18" s="472"/>
      <c r="D18" s="473"/>
      <c r="E18" s="472"/>
      <c r="F18" s="472"/>
      <c r="G18" s="473"/>
      <c r="H18" s="474">
        <f>+B18+E18</f>
        <v>0</v>
      </c>
      <c r="I18" s="474">
        <f>+C18+F18</f>
        <v>0</v>
      </c>
      <c r="J18" s="475">
        <f>+D18+G18</f>
        <v>0</v>
      </c>
    </row>
    <row r="19" spans="1:10" hidden="1" x14ac:dyDescent="0.25">
      <c r="A19" s="478" t="s">
        <v>23</v>
      </c>
      <c r="B19" s="479">
        <f t="shared" ref="B19:J19" si="4">SUM(B16:B18)</f>
        <v>0</v>
      </c>
      <c r="C19" s="479">
        <f t="shared" si="4"/>
        <v>0</v>
      </c>
      <c r="D19" s="480">
        <f t="shared" si="4"/>
        <v>0</v>
      </c>
      <c r="E19" s="479">
        <f t="shared" si="4"/>
        <v>0</v>
      </c>
      <c r="F19" s="479">
        <f t="shared" si="4"/>
        <v>0</v>
      </c>
      <c r="G19" s="480">
        <f t="shared" si="4"/>
        <v>0</v>
      </c>
      <c r="H19" s="479">
        <f t="shared" si="4"/>
        <v>0</v>
      </c>
      <c r="I19" s="479">
        <f t="shared" si="4"/>
        <v>0</v>
      </c>
      <c r="J19" s="480">
        <f t="shared" si="4"/>
        <v>0</v>
      </c>
    </row>
    <row r="20" spans="1:10" hidden="1" x14ac:dyDescent="0.25">
      <c r="A20" s="481" t="s">
        <v>24</v>
      </c>
      <c r="B20" s="472"/>
      <c r="C20" s="472"/>
      <c r="D20" s="473"/>
      <c r="E20" s="472"/>
      <c r="F20" s="472"/>
      <c r="G20" s="473"/>
      <c r="H20" s="474">
        <f t="shared" ref="H20:J23" si="5">+B20+E20</f>
        <v>0</v>
      </c>
      <c r="I20" s="474">
        <f t="shared" si="5"/>
        <v>0</v>
      </c>
      <c r="J20" s="475">
        <f t="shared" si="5"/>
        <v>0</v>
      </c>
    </row>
    <row r="21" spans="1:10" hidden="1" x14ac:dyDescent="0.25">
      <c r="A21" s="481" t="s">
        <v>25</v>
      </c>
      <c r="B21" s="472"/>
      <c r="C21" s="472"/>
      <c r="D21" s="473"/>
      <c r="E21" s="472"/>
      <c r="F21" s="472"/>
      <c r="G21" s="473"/>
      <c r="H21" s="474">
        <f t="shared" si="5"/>
        <v>0</v>
      </c>
      <c r="I21" s="474">
        <f t="shared" si="5"/>
        <v>0</v>
      </c>
      <c r="J21" s="475">
        <f t="shared" si="5"/>
        <v>0</v>
      </c>
    </row>
    <row r="22" spans="1:10" hidden="1" x14ac:dyDescent="0.25">
      <c r="A22" s="481" t="s">
        <v>26</v>
      </c>
      <c r="B22" s="472"/>
      <c r="C22" s="472"/>
      <c r="D22" s="473"/>
      <c r="E22" s="472"/>
      <c r="F22" s="472"/>
      <c r="G22" s="473"/>
      <c r="H22" s="474">
        <f t="shared" si="5"/>
        <v>0</v>
      </c>
      <c r="I22" s="474">
        <f t="shared" si="5"/>
        <v>0</v>
      </c>
      <c r="J22" s="475">
        <f t="shared" si="5"/>
        <v>0</v>
      </c>
    </row>
    <row r="23" spans="1:10" hidden="1" x14ac:dyDescent="0.25">
      <c r="A23" s="481" t="s">
        <v>11</v>
      </c>
      <c r="B23" s="472"/>
      <c r="C23" s="472"/>
      <c r="D23" s="473"/>
      <c r="E23" s="472"/>
      <c r="F23" s="472"/>
      <c r="G23" s="473"/>
      <c r="H23" s="474">
        <f t="shared" si="5"/>
        <v>0</v>
      </c>
      <c r="I23" s="474">
        <f t="shared" si="5"/>
        <v>0</v>
      </c>
      <c r="J23" s="475">
        <f t="shared" si="5"/>
        <v>0</v>
      </c>
    </row>
    <row r="24" spans="1:10" hidden="1" x14ac:dyDescent="0.25">
      <c r="A24" s="482" t="s">
        <v>27</v>
      </c>
      <c r="B24" s="479">
        <f t="shared" ref="B24:J24" si="6">SUM(B20:B23)</f>
        <v>0</v>
      </c>
      <c r="C24" s="479">
        <f t="shared" si="6"/>
        <v>0</v>
      </c>
      <c r="D24" s="480">
        <f t="shared" si="6"/>
        <v>0</v>
      </c>
      <c r="E24" s="479">
        <f t="shared" si="6"/>
        <v>0</v>
      </c>
      <c r="F24" s="479">
        <f t="shared" si="6"/>
        <v>0</v>
      </c>
      <c r="G24" s="480">
        <f t="shared" si="6"/>
        <v>0</v>
      </c>
      <c r="H24" s="479">
        <f t="shared" si="6"/>
        <v>0</v>
      </c>
      <c r="I24" s="479">
        <f t="shared" si="6"/>
        <v>0</v>
      </c>
      <c r="J24" s="480">
        <f t="shared" si="6"/>
        <v>0</v>
      </c>
    </row>
    <row r="25" spans="1:10" ht="1.5" hidden="1" customHeight="1" x14ac:dyDescent="0.25">
      <c r="A25" s="483" t="s">
        <v>28</v>
      </c>
      <c r="B25" s="484">
        <f t="shared" ref="B25:J25" si="7">+B11+B15+B19+B24</f>
        <v>19</v>
      </c>
      <c r="C25" s="484">
        <f t="shared" si="7"/>
        <v>19</v>
      </c>
      <c r="D25" s="485">
        <f t="shared" si="7"/>
        <v>3909930.46</v>
      </c>
      <c r="E25" s="484">
        <f t="shared" si="7"/>
        <v>1</v>
      </c>
      <c r="F25" s="484">
        <f t="shared" si="7"/>
        <v>1</v>
      </c>
      <c r="G25" s="486">
        <f t="shared" si="7"/>
        <v>124166.66</v>
      </c>
      <c r="H25" s="484">
        <f t="shared" si="7"/>
        <v>20</v>
      </c>
      <c r="I25" s="484">
        <f t="shared" si="7"/>
        <v>20</v>
      </c>
      <c r="J25" s="486">
        <f t="shared" si="7"/>
        <v>4034097.12</v>
      </c>
    </row>
    <row r="26" spans="1:10" x14ac:dyDescent="0.25">
      <c r="A26" s="690" t="s">
        <v>297</v>
      </c>
      <c r="B26" s="690"/>
      <c r="C26" s="690"/>
      <c r="D26" s="425">
        <f>+D15/J15</f>
        <v>1</v>
      </c>
      <c r="E26" s="1"/>
      <c r="F26" s="1"/>
      <c r="G26" s="425">
        <f>+G15/J15</f>
        <v>0</v>
      </c>
      <c r="H26" s="1"/>
      <c r="I26" s="1"/>
      <c r="J26" s="425">
        <f>+J25/$J$25</f>
        <v>1</v>
      </c>
    </row>
    <row r="27" spans="1:10" x14ac:dyDescent="0.25">
      <c r="A27" s="690"/>
      <c r="B27" s="690"/>
      <c r="C27" s="690"/>
    </row>
    <row r="30" spans="1:10" x14ac:dyDescent="0.25">
      <c r="B30" s="25"/>
      <c r="C30" s="197"/>
      <c r="D30" s="47"/>
      <c r="E30" s="248"/>
      <c r="F30" s="197"/>
      <c r="G30" s="197"/>
    </row>
    <row r="32" spans="1:10" x14ac:dyDescent="0.25">
      <c r="B32" s="25"/>
      <c r="C32" s="197"/>
      <c r="D32" s="197"/>
      <c r="E32" s="248"/>
      <c r="F32" s="197"/>
      <c r="G32" s="197"/>
    </row>
  </sheetData>
  <sheetProtection formatCells="0" formatColumns="0" formatRows="0" insertColumns="0" insertRows="0" insertHyperlinks="0" deleteColumns="0" deleteRows="0"/>
  <mergeCells count="9">
    <mergeCell ref="A26:C27"/>
    <mergeCell ref="B6:D6"/>
    <mergeCell ref="E6:G6"/>
    <mergeCell ref="H6:J6"/>
    <mergeCell ref="A1:J1"/>
    <mergeCell ref="A2:J2"/>
    <mergeCell ref="A3:J3"/>
    <mergeCell ref="A4:J4"/>
    <mergeCell ref="A5:J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P81"/>
  <sheetViews>
    <sheetView showGridLines="0" topLeftCell="A10" zoomScale="130" zoomScaleNormal="130" workbookViewId="0">
      <selection activeCell="G39" sqref="G39"/>
    </sheetView>
  </sheetViews>
  <sheetFormatPr baseColWidth="10" defaultColWidth="9.140625" defaultRowHeight="15" x14ac:dyDescent="0.25"/>
  <cols>
    <col min="1" max="2" width="13.140625" style="1" customWidth="1"/>
    <col min="3" max="3" width="15" style="1" bestFit="1" customWidth="1"/>
    <col min="4" max="6" width="13.85546875" style="1" bestFit="1" customWidth="1"/>
    <col min="7" max="7" width="13.140625" style="1" customWidth="1"/>
    <col min="8" max="8" width="13.42578125" style="1" bestFit="1" customWidth="1"/>
    <col min="9" max="9" width="10.5703125" style="1" customWidth="1"/>
    <col min="10" max="11" width="9.140625" style="1"/>
    <col min="12" max="12" width="11.7109375" style="1" customWidth="1"/>
    <col min="13" max="14" width="9.140625" style="1"/>
    <col min="15" max="15" width="17.5703125" style="1" customWidth="1"/>
    <col min="16" max="16384" width="9.140625" style="1"/>
  </cols>
  <sheetData>
    <row r="1" spans="1:13" x14ac:dyDescent="0.25">
      <c r="A1" s="639" t="s">
        <v>0</v>
      </c>
      <c r="B1" s="639"/>
      <c r="C1" s="639"/>
      <c r="D1" s="639"/>
      <c r="E1" s="639"/>
      <c r="F1" s="639"/>
      <c r="G1" s="639"/>
      <c r="H1" s="21"/>
      <c r="I1" s="21"/>
      <c r="J1" s="21"/>
    </row>
    <row r="2" spans="1:13" x14ac:dyDescent="0.25">
      <c r="A2" s="639" t="s">
        <v>69</v>
      </c>
      <c r="B2" s="639"/>
      <c r="C2" s="639"/>
      <c r="D2" s="639"/>
      <c r="E2" s="639"/>
      <c r="F2" s="639"/>
      <c r="G2" s="639"/>
      <c r="H2" s="21"/>
      <c r="I2" s="21"/>
      <c r="J2" s="21"/>
    </row>
    <row r="3" spans="1:13" x14ac:dyDescent="0.25">
      <c r="A3" s="639" t="s">
        <v>224</v>
      </c>
      <c r="B3" s="639"/>
      <c r="C3" s="639"/>
      <c r="D3" s="639"/>
      <c r="E3" s="639"/>
      <c r="F3" s="639"/>
      <c r="G3" s="639"/>
      <c r="H3" s="21"/>
      <c r="I3" s="21"/>
      <c r="J3" s="21"/>
    </row>
    <row r="4" spans="1:13" x14ac:dyDescent="0.25">
      <c r="A4" s="678" t="s">
        <v>275</v>
      </c>
      <c r="B4" s="678"/>
      <c r="C4" s="678"/>
      <c r="D4" s="678"/>
      <c r="E4" s="678"/>
      <c r="F4" s="678"/>
      <c r="G4" s="678"/>
      <c r="H4" s="243"/>
      <c r="I4" s="243"/>
      <c r="J4" s="243"/>
      <c r="K4" s="243"/>
      <c r="L4" s="243"/>
      <c r="M4" s="243"/>
    </row>
    <row r="5" spans="1:13" x14ac:dyDescent="0.25">
      <c r="A5" s="639" t="s">
        <v>3</v>
      </c>
      <c r="B5" s="639"/>
      <c r="C5" s="639"/>
      <c r="D5" s="639"/>
      <c r="E5" s="639"/>
      <c r="F5" s="639"/>
      <c r="G5" s="639"/>
      <c r="H5" s="21"/>
      <c r="I5" s="21"/>
      <c r="J5" s="21"/>
    </row>
    <row r="6" spans="1:13" ht="60" x14ac:dyDescent="0.25">
      <c r="A6" s="488" t="s">
        <v>4</v>
      </c>
      <c r="B6" s="329" t="s">
        <v>225</v>
      </c>
      <c r="C6" s="329" t="s">
        <v>226</v>
      </c>
      <c r="D6" s="329" t="s">
        <v>227</v>
      </c>
      <c r="E6" s="329" t="s">
        <v>228</v>
      </c>
      <c r="F6" s="329" t="s">
        <v>229</v>
      </c>
      <c r="G6" s="374" t="s">
        <v>230</v>
      </c>
      <c r="H6"/>
    </row>
    <row r="7" spans="1:13" x14ac:dyDescent="0.25">
      <c r="A7" s="70" t="s">
        <v>22</v>
      </c>
      <c r="B7" s="361">
        <v>119</v>
      </c>
      <c r="C7" s="487">
        <v>5637880.9399999985</v>
      </c>
      <c r="D7" s="487">
        <v>891174.75</v>
      </c>
      <c r="E7" s="627">
        <v>1255644.25</v>
      </c>
      <c r="F7" s="627">
        <f>+D7+E7</f>
        <v>2146819</v>
      </c>
      <c r="G7" s="489">
        <f>+F7/C7</f>
        <v>0.38078473505330895</v>
      </c>
      <c r="H7" s="590"/>
    </row>
    <row r="8" spans="1:13" x14ac:dyDescent="0.25">
      <c r="A8" s="70" t="s">
        <v>21</v>
      </c>
      <c r="B8" s="361">
        <v>69</v>
      </c>
      <c r="C8" s="487">
        <v>5244891.8199999994</v>
      </c>
      <c r="D8" s="487">
        <v>2627997.02</v>
      </c>
      <c r="E8" s="627">
        <v>1366816.1499999997</v>
      </c>
      <c r="F8" s="627">
        <f>+D8+E8</f>
        <v>3994813.17</v>
      </c>
      <c r="G8" s="489">
        <f t="shared" ref="G8:G9" si="0">+F8/C8</f>
        <v>0.76165787724483525</v>
      </c>
      <c r="H8" s="590"/>
    </row>
    <row r="9" spans="1:13" x14ac:dyDescent="0.25">
      <c r="A9" s="70" t="s">
        <v>20</v>
      </c>
      <c r="B9" s="361">
        <v>129</v>
      </c>
      <c r="C9" s="487">
        <v>7077497.0100000007</v>
      </c>
      <c r="D9" s="487">
        <v>1316053.8799999999</v>
      </c>
      <c r="E9" s="627">
        <v>415811.61999999994</v>
      </c>
      <c r="F9" s="627">
        <f>+D9+E9</f>
        <v>1731865.4999999998</v>
      </c>
      <c r="G9" s="489">
        <f t="shared" si="0"/>
        <v>0.24470027999347746</v>
      </c>
      <c r="H9" s="590"/>
    </row>
    <row r="10" spans="1:13" x14ac:dyDescent="0.25">
      <c r="A10" s="257" t="s">
        <v>23</v>
      </c>
      <c r="B10" s="490">
        <f>SUM(B7:B9)</f>
        <v>317</v>
      </c>
      <c r="C10" s="491">
        <f>SUM(C7:C9)</f>
        <v>17960269.77</v>
      </c>
      <c r="D10" s="491">
        <f>SUM(D7:D9)</f>
        <v>4835225.6500000004</v>
      </c>
      <c r="E10" s="491">
        <f>SUM(E7:E9)</f>
        <v>3038272.0199999996</v>
      </c>
      <c r="F10" s="491">
        <f>SUM(F7:F9)</f>
        <v>7873497.6699999999</v>
      </c>
      <c r="G10" s="492">
        <f>F10/C10</f>
        <v>0.43838415407053211</v>
      </c>
      <c r="H10" s="591"/>
    </row>
    <row r="11" spans="1:13" ht="2.25" hidden="1" customHeight="1" x14ac:dyDescent="0.25">
      <c r="A11" s="57" t="s">
        <v>16</v>
      </c>
      <c r="B11" s="125">
        <v>83</v>
      </c>
      <c r="C11" s="144">
        <v>5510195.6499999985</v>
      </c>
      <c r="D11" s="144">
        <v>3527223.9</v>
      </c>
      <c r="E11" s="144">
        <v>0</v>
      </c>
      <c r="F11" s="131">
        <f>E11+D11</f>
        <v>3527223.9</v>
      </c>
      <c r="G11" s="54">
        <f>F11/C11</f>
        <v>0.64012679840143261</v>
      </c>
      <c r="H11"/>
    </row>
    <row r="12" spans="1:13" hidden="1" x14ac:dyDescent="0.25">
      <c r="A12" s="57" t="s">
        <v>17</v>
      </c>
      <c r="B12" s="125">
        <v>192</v>
      </c>
      <c r="C12" s="144">
        <v>12205214.080000004</v>
      </c>
      <c r="D12" s="144">
        <v>0</v>
      </c>
      <c r="E12" s="144">
        <v>0</v>
      </c>
      <c r="F12" s="131">
        <f>E12+D12</f>
        <v>0</v>
      </c>
      <c r="G12" s="54">
        <f>F12/C12</f>
        <v>0</v>
      </c>
      <c r="H12"/>
    </row>
    <row r="13" spans="1:13" hidden="1" x14ac:dyDescent="0.25">
      <c r="A13" s="57" t="s">
        <v>18</v>
      </c>
      <c r="B13" s="125">
        <v>24</v>
      </c>
      <c r="C13" s="144">
        <v>1715347.62</v>
      </c>
      <c r="D13" s="144">
        <v>0</v>
      </c>
      <c r="E13" s="141">
        <v>0</v>
      </c>
      <c r="F13" s="131">
        <f>E13+D13</f>
        <v>0</v>
      </c>
      <c r="G13" s="54">
        <f>F13/C13</f>
        <v>0</v>
      </c>
      <c r="H13"/>
    </row>
    <row r="14" spans="1:13" hidden="1" x14ac:dyDescent="0.25">
      <c r="A14" s="23" t="s">
        <v>19</v>
      </c>
      <c r="B14" s="8">
        <f>SUM(B11:B13)</f>
        <v>299</v>
      </c>
      <c r="C14" s="145">
        <f>SUM(C11:C13)</f>
        <v>19430757.350000005</v>
      </c>
      <c r="D14" s="56">
        <f>SUM(D11:D13)</f>
        <v>3527223.9</v>
      </c>
      <c r="E14" s="56">
        <f>SUM(E11:E13)</f>
        <v>0</v>
      </c>
      <c r="F14" s="132">
        <f>SUM(F11:F13)</f>
        <v>3527223.9</v>
      </c>
      <c r="G14" s="15">
        <f t="shared" ref="G14:G27" si="1">F14/C14</f>
        <v>0.18152786515035138</v>
      </c>
      <c r="H14"/>
    </row>
    <row r="15" spans="1:13" hidden="1" x14ac:dyDescent="0.25">
      <c r="A15" s="57" t="s">
        <v>14</v>
      </c>
      <c r="B15" s="125"/>
      <c r="C15" s="126"/>
      <c r="D15" s="126"/>
      <c r="E15" s="126"/>
      <c r="F15" s="53">
        <f>E15+D15</f>
        <v>0</v>
      </c>
      <c r="G15" s="54" t="e">
        <f t="shared" si="1"/>
        <v>#DIV/0!</v>
      </c>
      <c r="H15"/>
    </row>
    <row r="16" spans="1:13" hidden="1" x14ac:dyDescent="0.25">
      <c r="A16" s="57" t="s">
        <v>13</v>
      </c>
      <c r="B16" s="125"/>
      <c r="C16" s="126"/>
      <c r="D16" s="126"/>
      <c r="E16" s="126"/>
      <c r="F16" s="53">
        <f>E16+D16</f>
        <v>0</v>
      </c>
      <c r="G16" s="54" t="e">
        <f t="shared" si="1"/>
        <v>#DIV/0!</v>
      </c>
      <c r="H16"/>
    </row>
    <row r="17" spans="1:8" hidden="1" x14ac:dyDescent="0.25">
      <c r="A17" s="57" t="s">
        <v>12</v>
      </c>
      <c r="B17" s="125"/>
      <c r="C17" s="126"/>
      <c r="D17" s="116"/>
      <c r="E17" s="116"/>
      <c r="F17" s="55">
        <f>E17+D17</f>
        <v>0</v>
      </c>
      <c r="G17" s="54" t="e">
        <f t="shared" si="1"/>
        <v>#DIV/0!</v>
      </c>
      <c r="H17"/>
    </row>
    <row r="18" spans="1:8" hidden="1" x14ac:dyDescent="0.25">
      <c r="A18" s="23" t="s">
        <v>15</v>
      </c>
      <c r="B18" s="8">
        <f>SUM(B15:B17)</f>
        <v>0</v>
      </c>
      <c r="C18" s="56">
        <f>SUM(C15:C17)</f>
        <v>0</v>
      </c>
      <c r="D18" s="56">
        <f>SUM(D15:D17)</f>
        <v>0</v>
      </c>
      <c r="E18" s="56">
        <f>SUM(E15:E17)</f>
        <v>0</v>
      </c>
      <c r="F18" s="56">
        <f>SUM(F15:F17)</f>
        <v>0</v>
      </c>
      <c r="G18" s="15" t="e">
        <f t="shared" si="1"/>
        <v>#DIV/0!</v>
      </c>
      <c r="H18"/>
    </row>
    <row r="19" spans="1:8" hidden="1" x14ac:dyDescent="0.25">
      <c r="A19" s="57" t="s">
        <v>39</v>
      </c>
      <c r="B19" s="125"/>
      <c r="C19" s="126"/>
      <c r="D19" s="126"/>
      <c r="E19" s="126"/>
      <c r="F19" s="53">
        <f>E19+D19</f>
        <v>0</v>
      </c>
      <c r="G19" s="54" t="e">
        <f t="shared" si="1"/>
        <v>#DIV/0!</v>
      </c>
      <c r="H19"/>
    </row>
    <row r="20" spans="1:8" hidden="1" x14ac:dyDescent="0.25">
      <c r="A20" s="57" t="s">
        <v>21</v>
      </c>
      <c r="B20" s="125"/>
      <c r="C20" s="126"/>
      <c r="D20" s="126"/>
      <c r="E20" s="126"/>
      <c r="F20" s="53">
        <f>E20+D20</f>
        <v>0</v>
      </c>
      <c r="G20" s="54" t="e">
        <f t="shared" si="1"/>
        <v>#DIV/0!</v>
      </c>
      <c r="H20"/>
    </row>
    <row r="21" spans="1:8" hidden="1" x14ac:dyDescent="0.25">
      <c r="A21" s="57" t="s">
        <v>22</v>
      </c>
      <c r="B21" s="125"/>
      <c r="C21" s="126"/>
      <c r="D21" s="116"/>
      <c r="E21" s="116"/>
      <c r="F21" s="55">
        <f>E21+D21</f>
        <v>0</v>
      </c>
      <c r="G21" s="54" t="e">
        <f t="shared" si="1"/>
        <v>#DIV/0!</v>
      </c>
      <c r="H21"/>
    </row>
    <row r="22" spans="1:8" hidden="1" x14ac:dyDescent="0.25">
      <c r="A22" s="23" t="s">
        <v>23</v>
      </c>
      <c r="B22" s="8">
        <f>SUM(B19:B21)</f>
        <v>0</v>
      </c>
      <c r="C22" s="56">
        <f>SUM(C19:C21)</f>
        <v>0</v>
      </c>
      <c r="D22" s="56">
        <f>SUM(D19:D21)</f>
        <v>0</v>
      </c>
      <c r="E22" s="56">
        <f>SUM(E19:E21)</f>
        <v>0</v>
      </c>
      <c r="F22" s="56">
        <f>SUM(F19:F21)</f>
        <v>0</v>
      </c>
      <c r="G22" s="15" t="e">
        <f t="shared" si="1"/>
        <v>#DIV/0!</v>
      </c>
      <c r="H22"/>
    </row>
    <row r="23" spans="1:8" hidden="1" x14ac:dyDescent="0.25">
      <c r="A23" s="57" t="s">
        <v>24</v>
      </c>
      <c r="B23" s="125"/>
      <c r="C23" s="126"/>
      <c r="D23" s="126"/>
      <c r="E23" s="126"/>
      <c r="F23" s="53">
        <f>E23+D23</f>
        <v>0</v>
      </c>
      <c r="G23" s="54" t="e">
        <f t="shared" si="1"/>
        <v>#DIV/0!</v>
      </c>
      <c r="H23"/>
    </row>
    <row r="24" spans="1:8" hidden="1" x14ac:dyDescent="0.25">
      <c r="A24" s="57" t="s">
        <v>25</v>
      </c>
      <c r="B24" s="125"/>
      <c r="C24" s="126"/>
      <c r="D24" s="126"/>
      <c r="E24" s="126"/>
      <c r="F24" s="53">
        <f>E24+D24</f>
        <v>0</v>
      </c>
      <c r="G24" s="54" t="e">
        <f t="shared" si="1"/>
        <v>#DIV/0!</v>
      </c>
      <c r="H24"/>
    </row>
    <row r="25" spans="1:8" hidden="1" x14ac:dyDescent="0.25">
      <c r="A25" s="57" t="s">
        <v>26</v>
      </c>
      <c r="B25" s="125"/>
      <c r="C25" s="126"/>
      <c r="D25" s="116"/>
      <c r="E25" s="116"/>
      <c r="F25" s="55">
        <f>E25+D25</f>
        <v>0</v>
      </c>
      <c r="G25" s="54" t="e">
        <f t="shared" si="1"/>
        <v>#DIV/0!</v>
      </c>
      <c r="H25"/>
    </row>
    <row r="26" spans="1:8" hidden="1" x14ac:dyDescent="0.25">
      <c r="A26" s="23" t="s">
        <v>27</v>
      </c>
      <c r="B26" s="8">
        <f>SUM(B23:B25)</f>
        <v>0</v>
      </c>
      <c r="C26" s="56">
        <f>SUM(C23:C25)</f>
        <v>0</v>
      </c>
      <c r="D26" s="56">
        <f>SUM(D23:D25)</f>
        <v>0</v>
      </c>
      <c r="E26" s="56">
        <f>SUM(E23:E25)</f>
        <v>0</v>
      </c>
      <c r="F26" s="56">
        <f>SUM(F23:F25)</f>
        <v>0</v>
      </c>
      <c r="G26" s="15" t="e">
        <f t="shared" si="1"/>
        <v>#DIV/0!</v>
      </c>
      <c r="H26"/>
    </row>
    <row r="27" spans="1:8" hidden="1" x14ac:dyDescent="0.25">
      <c r="A27" s="58" t="s">
        <v>28</v>
      </c>
      <c r="B27" s="10">
        <f>+B14+B18+B22+B26</f>
        <v>299</v>
      </c>
      <c r="C27" s="10">
        <f>+C14+C18+C22+C26</f>
        <v>19430757.350000005</v>
      </c>
      <c r="D27" s="10">
        <f>+D14+D18+D22+D26</f>
        <v>3527223.9</v>
      </c>
      <c r="E27" s="10">
        <f>+E14+E18+E22+E26</f>
        <v>0</v>
      </c>
      <c r="F27" s="10">
        <f>+F14+F18+F22+F26</f>
        <v>3527223.9</v>
      </c>
      <c r="G27" s="10">
        <f t="shared" si="1"/>
        <v>0.18152786515035138</v>
      </c>
      <c r="H27"/>
    </row>
    <row r="28" spans="1:8" hidden="1" x14ac:dyDescent="0.25">
      <c r="A28"/>
      <c r="B28"/>
      <c r="C28"/>
      <c r="D28"/>
      <c r="E28"/>
      <c r="F28"/>
      <c r="G28"/>
      <c r="H28"/>
    </row>
    <row r="29" spans="1:8" hidden="1" x14ac:dyDescent="0.25">
      <c r="A29"/>
      <c r="B29"/>
      <c r="C29"/>
      <c r="D29"/>
      <c r="E29"/>
      <c r="F29"/>
      <c r="G29"/>
      <c r="H29"/>
    </row>
    <row r="30" spans="1:8" hidden="1" x14ac:dyDescent="0.25">
      <c r="A30"/>
      <c r="B30"/>
      <c r="C30"/>
      <c r="D30"/>
      <c r="E30"/>
      <c r="F30"/>
      <c r="G30"/>
      <c r="H30"/>
    </row>
    <row r="31" spans="1:8" hidden="1" x14ac:dyDescent="0.25">
      <c r="A31"/>
      <c r="B31"/>
      <c r="C31"/>
      <c r="D31"/>
      <c r="E31"/>
      <c r="F31"/>
      <c r="G31"/>
      <c r="H31"/>
    </row>
    <row r="32" spans="1:8" hidden="1" x14ac:dyDescent="0.25">
      <c r="A32"/>
      <c r="B32"/>
      <c r="C32"/>
      <c r="D32"/>
      <c r="E32"/>
      <c r="F32"/>
      <c r="G32"/>
      <c r="H32"/>
    </row>
    <row r="33" spans="1:8" hidden="1" x14ac:dyDescent="0.25">
      <c r="A33"/>
      <c r="B33"/>
      <c r="C33"/>
      <c r="D33"/>
      <c r="E33"/>
      <c r="F33"/>
      <c r="G33"/>
      <c r="H33"/>
    </row>
    <row r="34" spans="1:8" hidden="1" x14ac:dyDescent="0.25">
      <c r="A34"/>
      <c r="B34"/>
      <c r="C34"/>
      <c r="D34"/>
      <c r="E34"/>
      <c r="F34"/>
      <c r="G34"/>
      <c r="H34"/>
    </row>
    <row r="35" spans="1:8" hidden="1" x14ac:dyDescent="0.25">
      <c r="A35"/>
      <c r="B35"/>
      <c r="C35"/>
      <c r="D35"/>
      <c r="E35"/>
      <c r="F35"/>
      <c r="G35"/>
      <c r="H35"/>
    </row>
    <row r="36" spans="1:8" hidden="1" x14ac:dyDescent="0.25">
      <c r="A36"/>
      <c r="B36"/>
      <c r="C36"/>
      <c r="D36"/>
      <c r="E36"/>
      <c r="F36"/>
      <c r="G36"/>
      <c r="H36"/>
    </row>
    <row r="37" spans="1:8" hidden="1" x14ac:dyDescent="0.25">
      <c r="A37"/>
      <c r="B37"/>
      <c r="C37"/>
      <c r="D37"/>
      <c r="E37"/>
      <c r="F37"/>
      <c r="G37"/>
      <c r="H37"/>
    </row>
    <row r="38" spans="1:8" ht="12.75" customHeight="1" x14ac:dyDescent="0.25">
      <c r="A38" s="143" t="s">
        <v>295</v>
      </c>
      <c r="B38" s="103"/>
      <c r="C38"/>
      <c r="D38"/>
      <c r="E38"/>
      <c r="F38" s="590"/>
      <c r="G38"/>
      <c r="H38"/>
    </row>
    <row r="39" spans="1:8" ht="11.25" customHeight="1" x14ac:dyDescent="0.25">
      <c r="A39" s="102" t="s">
        <v>274</v>
      </c>
      <c r="B39" s="103"/>
      <c r="C39"/>
      <c r="D39"/>
      <c r="E39"/>
      <c r="F39" s="187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  <row r="49" spans="1:16" x14ac:dyDescent="0.25">
      <c r="A49"/>
      <c r="B49"/>
      <c r="C49"/>
      <c r="D49"/>
      <c r="E49"/>
      <c r="F49"/>
      <c r="G49"/>
      <c r="H49"/>
    </row>
    <row r="50" spans="1:16" x14ac:dyDescent="0.25">
      <c r="A50"/>
      <c r="B50"/>
      <c r="C50"/>
      <c r="D50"/>
      <c r="E50"/>
      <c r="F50"/>
      <c r="G50"/>
      <c r="H50"/>
    </row>
    <row r="51" spans="1:16" x14ac:dyDescent="0.25">
      <c r="A51"/>
      <c r="B51"/>
      <c r="C51"/>
      <c r="D51"/>
      <c r="E51"/>
      <c r="F51"/>
      <c r="G51"/>
      <c r="H51"/>
    </row>
    <row r="52" spans="1:16" x14ac:dyDescent="0.25">
      <c r="A52"/>
      <c r="B52"/>
      <c r="C52"/>
      <c r="D52"/>
      <c r="E52"/>
      <c r="F52"/>
      <c r="G52"/>
      <c r="H52"/>
    </row>
    <row r="53" spans="1:16" x14ac:dyDescent="0.25">
      <c r="A53"/>
      <c r="B53"/>
      <c r="C53"/>
      <c r="D53"/>
      <c r="E53"/>
      <c r="F53"/>
      <c r="G53"/>
      <c r="H53"/>
    </row>
    <row r="54" spans="1:16" x14ac:dyDescent="0.25">
      <c r="A54"/>
      <c r="B54"/>
      <c r="C54"/>
      <c r="D54"/>
      <c r="E54"/>
      <c r="F54"/>
      <c r="G54"/>
      <c r="H54"/>
    </row>
    <row r="55" spans="1:16" x14ac:dyDescent="0.25">
      <c r="A55"/>
      <c r="B55"/>
      <c r="C55"/>
      <c r="D55"/>
      <c r="E55"/>
      <c r="F55"/>
      <c r="G55"/>
      <c r="H55"/>
    </row>
    <row r="56" spans="1:16" x14ac:dyDescent="0.25">
      <c r="A56"/>
      <c r="B56"/>
      <c r="C56"/>
      <c r="D56"/>
      <c r="E56"/>
      <c r="F56"/>
      <c r="G56"/>
      <c r="H56"/>
    </row>
    <row r="57" spans="1:16" x14ac:dyDescent="0.25">
      <c r="A57"/>
      <c r="B57"/>
      <c r="C57"/>
      <c r="D57"/>
      <c r="E57"/>
      <c r="F57"/>
      <c r="G57"/>
      <c r="H57"/>
    </row>
    <row r="58" spans="1:16" x14ac:dyDescent="0.25">
      <c r="A58"/>
      <c r="B58"/>
      <c r="C58"/>
      <c r="D58"/>
      <c r="E58"/>
      <c r="F58"/>
      <c r="G58"/>
      <c r="H58"/>
    </row>
    <row r="59" spans="1:16" x14ac:dyDescent="0.25">
      <c r="A59"/>
      <c r="B59"/>
      <c r="C59"/>
      <c r="D59"/>
      <c r="E59"/>
      <c r="F59"/>
      <c r="G59"/>
      <c r="H59"/>
    </row>
    <row r="60" spans="1:16" x14ac:dyDescent="0.25">
      <c r="A60"/>
      <c r="B60"/>
      <c r="C60"/>
      <c r="D60"/>
      <c r="E60"/>
      <c r="F60"/>
      <c r="G60"/>
      <c r="H60"/>
    </row>
    <row r="61" spans="1:16" x14ac:dyDescent="0.25">
      <c r="A61"/>
      <c r="B61"/>
      <c r="C61"/>
      <c r="D61"/>
      <c r="E61"/>
      <c r="F61"/>
      <c r="G61"/>
      <c r="H61"/>
    </row>
    <row r="62" spans="1:16" x14ac:dyDescent="0.25">
      <c r="J62"/>
    </row>
    <row r="63" spans="1:1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6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idden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idden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idden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</sheetData>
  <mergeCells count="5">
    <mergeCell ref="A1:G1"/>
    <mergeCell ref="A2:G2"/>
    <mergeCell ref="A3:G3"/>
    <mergeCell ref="A5:G5"/>
    <mergeCell ref="A4:G4"/>
  </mergeCells>
  <pageMargins left="0.7" right="0.7" top="0.75" bottom="0.75" header="0.3" footer="0.3"/>
  <pageSetup paperSize="9" scale="54" orientation="portrait" r:id="rId1"/>
  <ignoredErrors>
    <ignoredError sqref="F14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Z85"/>
  <sheetViews>
    <sheetView showGridLines="0" tabSelected="1" zoomScale="115" zoomScaleNormal="115" zoomScaleSheetLayoutView="102" workbookViewId="0">
      <selection activeCell="P4" sqref="P4"/>
    </sheetView>
  </sheetViews>
  <sheetFormatPr baseColWidth="10" defaultColWidth="11.42578125" defaultRowHeight="15" x14ac:dyDescent="0.25"/>
  <cols>
    <col min="1" max="1" width="11.42578125" style="369"/>
    <col min="2" max="2" width="43.28515625" style="1" customWidth="1"/>
    <col min="3" max="3" width="9.42578125" style="1" hidden="1" customWidth="1"/>
    <col min="4" max="4" width="10.85546875" style="1" hidden="1" customWidth="1"/>
    <col min="5" max="5" width="11.42578125" style="1" hidden="1" customWidth="1"/>
    <col min="6" max="6" width="9.42578125" style="1" hidden="1" customWidth="1"/>
    <col min="7" max="7" width="10.85546875" style="1" hidden="1" customWidth="1"/>
    <col min="8" max="8" width="11.42578125" style="1" hidden="1" customWidth="1"/>
    <col min="9" max="9" width="9.42578125" style="1" hidden="1" customWidth="1"/>
    <col min="10" max="10" width="10.85546875" style="1" hidden="1" customWidth="1"/>
    <col min="11" max="11" width="1.7109375" style="1" hidden="1" customWidth="1"/>
    <col min="12" max="12" width="11.42578125" style="1"/>
    <col min="13" max="13" width="15.28515625" style="1" customWidth="1"/>
    <col min="14" max="14" width="11.42578125" style="1" customWidth="1"/>
    <col min="15" max="15" width="12.5703125" style="1" customWidth="1"/>
    <col min="16" max="16384" width="11.42578125" style="1"/>
  </cols>
  <sheetData>
    <row r="1" spans="1:26" x14ac:dyDescent="0.25">
      <c r="A1" s="88"/>
      <c r="B1" s="639" t="s">
        <v>0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1:26" x14ac:dyDescent="0.25">
      <c r="A2" s="88"/>
      <c r="B2" s="639" t="s">
        <v>231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</row>
    <row r="3" spans="1:26" x14ac:dyDescent="0.25">
      <c r="A3" s="88"/>
      <c r="B3" s="639" t="s">
        <v>232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</row>
    <row r="4" spans="1:26" x14ac:dyDescent="0.25">
      <c r="A4" s="88"/>
      <c r="B4" s="639" t="s">
        <v>275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</row>
    <row r="5" spans="1:26" x14ac:dyDescent="0.25">
      <c r="A5" s="88"/>
      <c r="B5" s="639" t="s">
        <v>3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</row>
    <row r="8" spans="1:26" ht="15.75" x14ac:dyDescent="0.25">
      <c r="B8" s="697" t="s">
        <v>233</v>
      </c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Z8" s="17"/>
    </row>
    <row r="9" spans="1:26" x14ac:dyDescent="0.25">
      <c r="B9" s="127"/>
      <c r="C9" s="199" t="s">
        <v>39</v>
      </c>
      <c r="D9" s="199"/>
      <c r="E9" s="199"/>
      <c r="F9" s="199" t="s">
        <v>21</v>
      </c>
      <c r="G9" s="199"/>
      <c r="H9" s="199"/>
      <c r="I9" s="199" t="s">
        <v>22</v>
      </c>
      <c r="J9" s="199"/>
      <c r="K9" s="199"/>
      <c r="L9" s="199" t="s">
        <v>23</v>
      </c>
      <c r="M9" s="199"/>
      <c r="N9" s="199"/>
      <c r="O9"/>
      <c r="P9"/>
      <c r="Q9"/>
      <c r="R9"/>
      <c r="S9"/>
      <c r="T9"/>
      <c r="U9"/>
      <c r="V9"/>
    </row>
    <row r="10" spans="1:26" x14ac:dyDescent="0.25">
      <c r="B10" s="45" t="s">
        <v>234</v>
      </c>
      <c r="C10" s="45" t="s">
        <v>235</v>
      </c>
      <c r="D10" s="45" t="s">
        <v>236</v>
      </c>
      <c r="E10" s="45" t="s">
        <v>237</v>
      </c>
      <c r="F10" s="45" t="s">
        <v>235</v>
      </c>
      <c r="G10" s="45" t="s">
        <v>236</v>
      </c>
      <c r="H10" s="45" t="s">
        <v>237</v>
      </c>
      <c r="I10" s="45" t="s">
        <v>235</v>
      </c>
      <c r="J10" s="45" t="s">
        <v>236</v>
      </c>
      <c r="K10" s="45" t="s">
        <v>237</v>
      </c>
      <c r="L10" s="45" t="s">
        <v>235</v>
      </c>
      <c r="M10" s="45" t="s">
        <v>236</v>
      </c>
      <c r="N10" s="45" t="s">
        <v>237</v>
      </c>
      <c r="O10"/>
      <c r="P10"/>
      <c r="Q10"/>
      <c r="R10"/>
      <c r="S10"/>
      <c r="T10"/>
      <c r="U10"/>
      <c r="V10"/>
    </row>
    <row r="11" spans="1:26" x14ac:dyDescent="0.25">
      <c r="A11" s="369">
        <v>1</v>
      </c>
      <c r="B11" s="165" t="s">
        <v>238</v>
      </c>
      <c r="C11" s="166">
        <v>7</v>
      </c>
      <c r="D11" s="166">
        <v>7</v>
      </c>
      <c r="E11" s="167">
        <v>1</v>
      </c>
      <c r="F11" s="166">
        <v>7</v>
      </c>
      <c r="G11" s="166">
        <v>7</v>
      </c>
      <c r="H11" s="167">
        <v>1</v>
      </c>
      <c r="I11" s="166">
        <v>9</v>
      </c>
      <c r="J11" s="166">
        <v>9</v>
      </c>
      <c r="K11" s="167">
        <v>1</v>
      </c>
      <c r="L11" s="612">
        <v>14</v>
      </c>
      <c r="M11" s="612">
        <v>13</v>
      </c>
      <c r="N11" s="631">
        <f t="shared" ref="N11:N22" si="0">+M11/L11</f>
        <v>0.9285714285714286</v>
      </c>
      <c r="O11">
        <v>1</v>
      </c>
      <c r="P11">
        <v>1</v>
      </c>
      <c r="Q11">
        <v>1</v>
      </c>
      <c r="R11">
        <v>8</v>
      </c>
      <c r="S11">
        <v>8</v>
      </c>
      <c r="T11">
        <v>1</v>
      </c>
      <c r="U11">
        <v>9</v>
      </c>
      <c r="V11">
        <v>7</v>
      </c>
      <c r="W11" s="1">
        <v>0.77777777777777779</v>
      </c>
      <c r="X11" s="1">
        <v>18</v>
      </c>
    </row>
    <row r="12" spans="1:26" x14ac:dyDescent="0.25">
      <c r="A12" s="369">
        <v>2</v>
      </c>
      <c r="B12" s="165" t="s">
        <v>239</v>
      </c>
      <c r="C12" s="166">
        <v>116</v>
      </c>
      <c r="D12" s="166">
        <v>116</v>
      </c>
      <c r="E12" s="167">
        <v>1</v>
      </c>
      <c r="F12" s="166">
        <v>123</v>
      </c>
      <c r="G12" s="166">
        <v>122</v>
      </c>
      <c r="H12" s="167">
        <v>0.99186991869918695</v>
      </c>
      <c r="I12" s="166">
        <v>150</v>
      </c>
      <c r="J12" s="166">
        <v>148</v>
      </c>
      <c r="K12" s="167">
        <v>0.98666666666666669</v>
      </c>
      <c r="L12" s="612">
        <v>457</v>
      </c>
      <c r="M12" s="612">
        <v>447</v>
      </c>
      <c r="N12" s="631">
        <f t="shared" si="0"/>
        <v>0.97811816192560175</v>
      </c>
      <c r="O12"/>
      <c r="P12">
        <v>147</v>
      </c>
      <c r="Q12">
        <v>0.9932432432432432</v>
      </c>
      <c r="R12">
        <v>178</v>
      </c>
      <c r="S12">
        <v>176</v>
      </c>
      <c r="T12">
        <v>0.9887640449438202</v>
      </c>
      <c r="U12">
        <v>154</v>
      </c>
      <c r="V12">
        <v>151</v>
      </c>
      <c r="W12" s="1">
        <v>0.98051948051948057</v>
      </c>
      <c r="X12" s="1">
        <v>480</v>
      </c>
    </row>
    <row r="13" spans="1:26" x14ac:dyDescent="0.25">
      <c r="A13" s="369">
        <v>3</v>
      </c>
      <c r="B13" s="165" t="s">
        <v>240</v>
      </c>
      <c r="C13" s="166">
        <v>261</v>
      </c>
      <c r="D13" s="166">
        <v>260</v>
      </c>
      <c r="E13" s="167">
        <v>0.99616858237547889</v>
      </c>
      <c r="F13" s="166">
        <v>261</v>
      </c>
      <c r="G13" s="166">
        <v>261</v>
      </c>
      <c r="H13" s="167">
        <v>1</v>
      </c>
      <c r="I13" s="166">
        <v>331</v>
      </c>
      <c r="J13" s="166">
        <v>331</v>
      </c>
      <c r="K13" s="167">
        <v>1</v>
      </c>
      <c r="L13" s="612">
        <v>19</v>
      </c>
      <c r="M13" s="612">
        <v>18</v>
      </c>
      <c r="N13" s="631">
        <f t="shared" si="0"/>
        <v>0.94736842105263153</v>
      </c>
      <c r="O13" s="61"/>
      <c r="P13">
        <v>239</v>
      </c>
      <c r="Q13">
        <v>0.99583333333333335</v>
      </c>
      <c r="R13">
        <v>159</v>
      </c>
      <c r="S13">
        <v>159</v>
      </c>
      <c r="T13">
        <v>1</v>
      </c>
      <c r="U13">
        <v>44</v>
      </c>
      <c r="V13">
        <v>44</v>
      </c>
      <c r="W13" s="1">
        <v>1</v>
      </c>
      <c r="X13" s="1">
        <v>443</v>
      </c>
    </row>
    <row r="14" spans="1:26" x14ac:dyDescent="0.25">
      <c r="A14" s="369">
        <v>4</v>
      </c>
      <c r="B14" s="165" t="s">
        <v>241</v>
      </c>
      <c r="C14" s="166">
        <v>27</v>
      </c>
      <c r="D14" s="166">
        <v>25</v>
      </c>
      <c r="E14" s="167">
        <v>0.92592592592592593</v>
      </c>
      <c r="F14" s="166">
        <v>44</v>
      </c>
      <c r="G14" s="166">
        <v>44</v>
      </c>
      <c r="H14" s="167">
        <v>1</v>
      </c>
      <c r="I14" s="166">
        <v>28</v>
      </c>
      <c r="J14" s="166">
        <v>26</v>
      </c>
      <c r="K14" s="167">
        <v>0.9285714285714286</v>
      </c>
      <c r="L14" s="612">
        <v>593</v>
      </c>
      <c r="M14" s="612">
        <v>587</v>
      </c>
      <c r="N14" s="631">
        <f t="shared" si="0"/>
        <v>0.98988195615514329</v>
      </c>
      <c r="O14"/>
      <c r="P14">
        <v>36</v>
      </c>
      <c r="Q14">
        <v>0.92307692307692313</v>
      </c>
      <c r="R14">
        <v>30</v>
      </c>
      <c r="S14">
        <v>26</v>
      </c>
      <c r="T14">
        <v>0.8666666666666667</v>
      </c>
      <c r="U14">
        <v>138</v>
      </c>
      <c r="V14">
        <v>137</v>
      </c>
      <c r="W14" s="1">
        <v>0.99275362318840576</v>
      </c>
      <c r="X14" s="1">
        <v>207</v>
      </c>
    </row>
    <row r="15" spans="1:26" x14ac:dyDescent="0.25">
      <c r="A15" s="369">
        <v>5</v>
      </c>
      <c r="B15" s="165" t="s">
        <v>242</v>
      </c>
      <c r="C15" s="166">
        <v>4</v>
      </c>
      <c r="D15" s="166">
        <v>4</v>
      </c>
      <c r="E15" s="167">
        <v>1</v>
      </c>
      <c r="F15" s="166">
        <v>5</v>
      </c>
      <c r="G15" s="166">
        <v>5</v>
      </c>
      <c r="H15" s="167">
        <v>1</v>
      </c>
      <c r="I15" s="166">
        <v>6</v>
      </c>
      <c r="J15" s="166">
        <v>6</v>
      </c>
      <c r="K15" s="167">
        <v>1</v>
      </c>
      <c r="L15" s="612">
        <v>25</v>
      </c>
      <c r="M15" s="612">
        <v>23</v>
      </c>
      <c r="N15" s="631">
        <f t="shared" si="0"/>
        <v>0.92</v>
      </c>
      <c r="O15"/>
      <c r="P15">
        <v>4</v>
      </c>
      <c r="Q15">
        <v>1</v>
      </c>
      <c r="R15">
        <v>12</v>
      </c>
      <c r="S15">
        <v>12</v>
      </c>
      <c r="T15">
        <v>1</v>
      </c>
      <c r="U15">
        <v>8</v>
      </c>
      <c r="V15">
        <v>8</v>
      </c>
      <c r="W15" s="1">
        <v>1</v>
      </c>
      <c r="X15" s="1">
        <v>24</v>
      </c>
    </row>
    <row r="16" spans="1:26" x14ac:dyDescent="0.25">
      <c r="A16" s="369">
        <v>6</v>
      </c>
      <c r="B16" s="165" t="s">
        <v>243</v>
      </c>
      <c r="C16" s="166">
        <v>152</v>
      </c>
      <c r="D16" s="166">
        <v>150</v>
      </c>
      <c r="E16" s="167">
        <v>0.98684210526315785</v>
      </c>
      <c r="F16" s="166">
        <v>258</v>
      </c>
      <c r="G16" s="166">
        <v>252</v>
      </c>
      <c r="H16" s="167">
        <v>0.97674418604651159</v>
      </c>
      <c r="I16" s="166">
        <v>236</v>
      </c>
      <c r="J16" s="166">
        <v>233</v>
      </c>
      <c r="K16" s="167">
        <v>0.98728813559322037</v>
      </c>
      <c r="L16" s="612">
        <v>346</v>
      </c>
      <c r="M16" s="612">
        <v>338</v>
      </c>
      <c r="N16" s="631">
        <f t="shared" si="0"/>
        <v>0.97687861271676302</v>
      </c>
      <c r="O16"/>
      <c r="P16">
        <v>237</v>
      </c>
      <c r="Q16">
        <v>0.99579831932773111</v>
      </c>
      <c r="R16">
        <v>230</v>
      </c>
      <c r="S16">
        <v>227</v>
      </c>
      <c r="T16">
        <v>0.9869565217391304</v>
      </c>
      <c r="U16">
        <v>277</v>
      </c>
      <c r="V16">
        <v>275</v>
      </c>
      <c r="W16" s="1">
        <v>0.99277978339350181</v>
      </c>
      <c r="X16" s="1">
        <v>745</v>
      </c>
    </row>
    <row r="17" spans="1:24" x14ac:dyDescent="0.25">
      <c r="A17" s="369">
        <v>7</v>
      </c>
      <c r="B17" s="165" t="s">
        <v>284</v>
      </c>
      <c r="C17" s="166">
        <v>59</v>
      </c>
      <c r="D17" s="166">
        <v>59</v>
      </c>
      <c r="E17" s="167">
        <v>1</v>
      </c>
      <c r="F17" s="166">
        <v>192</v>
      </c>
      <c r="G17" s="166">
        <v>192</v>
      </c>
      <c r="H17" s="167">
        <v>1</v>
      </c>
      <c r="I17" s="166">
        <v>221</v>
      </c>
      <c r="J17" s="166">
        <v>221</v>
      </c>
      <c r="K17" s="167">
        <v>1</v>
      </c>
      <c r="L17" s="612">
        <v>240</v>
      </c>
      <c r="M17" s="612">
        <v>237</v>
      </c>
      <c r="N17" s="631">
        <f t="shared" si="0"/>
        <v>0.98750000000000004</v>
      </c>
      <c r="O17"/>
      <c r="P17">
        <v>7</v>
      </c>
      <c r="Q17">
        <v>0.77777777777777779</v>
      </c>
      <c r="R17">
        <v>45</v>
      </c>
      <c r="S17">
        <v>43</v>
      </c>
      <c r="T17">
        <v>0.9555555555555556</v>
      </c>
      <c r="U17">
        <v>30</v>
      </c>
      <c r="V17">
        <v>27</v>
      </c>
      <c r="W17" s="1">
        <v>0.9</v>
      </c>
      <c r="X17" s="1">
        <v>84</v>
      </c>
    </row>
    <row r="18" spans="1:24" x14ac:dyDescent="0.25">
      <c r="A18" s="369">
        <v>8</v>
      </c>
      <c r="B18" s="165" t="s">
        <v>244</v>
      </c>
      <c r="C18" s="166">
        <v>3</v>
      </c>
      <c r="D18" s="166">
        <v>3</v>
      </c>
      <c r="E18" s="167">
        <v>1</v>
      </c>
      <c r="F18" s="166">
        <v>3</v>
      </c>
      <c r="G18" s="166">
        <v>3</v>
      </c>
      <c r="H18" s="167">
        <v>1</v>
      </c>
      <c r="I18" s="166">
        <v>7</v>
      </c>
      <c r="J18" s="166">
        <v>7</v>
      </c>
      <c r="K18" s="167">
        <v>1</v>
      </c>
      <c r="L18" s="612">
        <v>8</v>
      </c>
      <c r="M18" s="612">
        <v>8</v>
      </c>
      <c r="N18" s="631">
        <f t="shared" si="0"/>
        <v>1</v>
      </c>
      <c r="O18"/>
      <c r="P18">
        <v>5</v>
      </c>
      <c r="Q18">
        <v>1</v>
      </c>
      <c r="R18">
        <v>9</v>
      </c>
      <c r="S18">
        <v>9</v>
      </c>
      <c r="T18">
        <v>1</v>
      </c>
      <c r="U18">
        <v>8</v>
      </c>
      <c r="V18">
        <v>8</v>
      </c>
      <c r="W18" s="1">
        <v>1</v>
      </c>
      <c r="X18" s="1">
        <v>22</v>
      </c>
    </row>
    <row r="19" spans="1:24" x14ac:dyDescent="0.25">
      <c r="A19" s="369">
        <v>9</v>
      </c>
      <c r="B19" s="165" t="s">
        <v>245</v>
      </c>
      <c r="C19" s="166">
        <v>730</v>
      </c>
      <c r="D19" s="166">
        <v>722</v>
      </c>
      <c r="E19" s="167">
        <v>0.989041095890411</v>
      </c>
      <c r="F19" s="166">
        <v>528</v>
      </c>
      <c r="G19" s="166">
        <v>526</v>
      </c>
      <c r="H19" s="167">
        <v>0.99621212121212122</v>
      </c>
      <c r="I19" s="166">
        <v>485</v>
      </c>
      <c r="J19" s="166">
        <v>478</v>
      </c>
      <c r="K19" s="167">
        <v>0.9855670103092784</v>
      </c>
      <c r="L19" s="612">
        <v>1457</v>
      </c>
      <c r="M19" s="612">
        <v>1440</v>
      </c>
      <c r="N19" s="631">
        <f t="shared" si="0"/>
        <v>0.98833218943033629</v>
      </c>
      <c r="O19"/>
      <c r="P19">
        <v>373</v>
      </c>
      <c r="Q19">
        <v>1</v>
      </c>
      <c r="R19">
        <v>549</v>
      </c>
      <c r="S19">
        <v>546</v>
      </c>
      <c r="T19">
        <v>0.99453551912568305</v>
      </c>
      <c r="U19">
        <v>666</v>
      </c>
      <c r="V19">
        <v>665</v>
      </c>
      <c r="W19" s="1">
        <v>0.99849849849849848</v>
      </c>
      <c r="X19" s="1">
        <v>1588</v>
      </c>
    </row>
    <row r="20" spans="1:24" x14ac:dyDescent="0.25">
      <c r="A20" s="369">
        <v>10</v>
      </c>
      <c r="B20" s="165" t="s">
        <v>246</v>
      </c>
      <c r="C20" s="166">
        <v>4888</v>
      </c>
      <c r="D20" s="166">
        <v>4865</v>
      </c>
      <c r="E20" s="167">
        <v>0.99529459901800332</v>
      </c>
      <c r="F20" s="166">
        <v>3270</v>
      </c>
      <c r="G20" s="166">
        <v>3246</v>
      </c>
      <c r="H20" s="167">
        <v>0.9926605504587156</v>
      </c>
      <c r="I20" s="166">
        <v>2546</v>
      </c>
      <c r="J20" s="166">
        <v>2509</v>
      </c>
      <c r="K20" s="167">
        <v>0.98546739984289078</v>
      </c>
      <c r="L20" s="612">
        <v>5969</v>
      </c>
      <c r="M20" s="612">
        <v>5912</v>
      </c>
      <c r="N20" s="631">
        <f t="shared" si="0"/>
        <v>0.99045066175238738</v>
      </c>
      <c r="O20"/>
      <c r="P20">
        <v>2356</v>
      </c>
      <c r="Q20">
        <v>0.99703766398645788</v>
      </c>
      <c r="R20">
        <v>3917</v>
      </c>
      <c r="S20">
        <v>3910</v>
      </c>
      <c r="T20">
        <v>0.99821291804952772</v>
      </c>
      <c r="U20">
        <v>2517</v>
      </c>
      <c r="V20">
        <v>2470</v>
      </c>
      <c r="W20" s="1">
        <v>0.98132697655939616</v>
      </c>
      <c r="X20" s="1">
        <v>8797</v>
      </c>
    </row>
    <row r="21" spans="1:24" x14ac:dyDescent="0.25">
      <c r="A21" s="369">
        <v>11</v>
      </c>
      <c r="B21" s="165" t="s">
        <v>247</v>
      </c>
      <c r="C21" s="166">
        <v>3</v>
      </c>
      <c r="D21" s="166">
        <v>3</v>
      </c>
      <c r="E21" s="167">
        <v>1</v>
      </c>
      <c r="F21" s="166">
        <v>8</v>
      </c>
      <c r="G21" s="166">
        <v>8</v>
      </c>
      <c r="H21" s="167">
        <v>1</v>
      </c>
      <c r="I21" s="166">
        <v>11</v>
      </c>
      <c r="J21" s="166">
        <v>3</v>
      </c>
      <c r="K21" s="167">
        <v>0.27272727272727271</v>
      </c>
      <c r="L21" s="612">
        <v>25</v>
      </c>
      <c r="M21" s="612">
        <v>25</v>
      </c>
      <c r="N21" s="631">
        <f t="shared" si="0"/>
        <v>1</v>
      </c>
      <c r="O21"/>
      <c r="P21">
        <v>1</v>
      </c>
      <c r="Q21">
        <v>0.5</v>
      </c>
      <c r="R21">
        <v>6</v>
      </c>
      <c r="S21">
        <v>6</v>
      </c>
      <c r="T21">
        <v>1</v>
      </c>
      <c r="U21">
        <v>10</v>
      </c>
      <c r="V21">
        <v>9</v>
      </c>
      <c r="W21" s="1">
        <v>0.9</v>
      </c>
      <c r="X21" s="1">
        <v>18</v>
      </c>
    </row>
    <row r="22" spans="1:24" x14ac:dyDescent="0.25">
      <c r="A22" s="369">
        <v>12</v>
      </c>
      <c r="B22" s="165" t="s">
        <v>248</v>
      </c>
      <c r="C22" s="166">
        <v>54</v>
      </c>
      <c r="D22" s="166">
        <v>54</v>
      </c>
      <c r="E22" s="167">
        <v>1</v>
      </c>
      <c r="F22" s="166">
        <v>126</v>
      </c>
      <c r="G22" s="166">
        <v>126</v>
      </c>
      <c r="H22" s="167">
        <v>1</v>
      </c>
      <c r="I22" s="166">
        <v>80</v>
      </c>
      <c r="J22" s="166">
        <v>77</v>
      </c>
      <c r="K22" s="167">
        <v>0.96250000000000002</v>
      </c>
      <c r="L22" s="612">
        <v>89</v>
      </c>
      <c r="M22" s="612">
        <v>89</v>
      </c>
      <c r="N22" s="631">
        <f t="shared" si="0"/>
        <v>1</v>
      </c>
      <c r="O22"/>
      <c r="P22">
        <v>46</v>
      </c>
      <c r="Q22">
        <v>1</v>
      </c>
      <c r="R22">
        <v>63</v>
      </c>
      <c r="S22">
        <v>63</v>
      </c>
      <c r="T22">
        <v>1</v>
      </c>
      <c r="U22">
        <v>32</v>
      </c>
      <c r="V22">
        <v>32</v>
      </c>
      <c r="W22" s="1">
        <v>1</v>
      </c>
      <c r="X22" s="1">
        <v>141</v>
      </c>
    </row>
    <row r="23" spans="1:24" x14ac:dyDescent="0.25">
      <c r="A23" s="369">
        <v>13</v>
      </c>
      <c r="B23" s="165" t="s">
        <v>249</v>
      </c>
      <c r="C23" s="166">
        <v>5005</v>
      </c>
      <c r="D23" s="166">
        <v>5005</v>
      </c>
      <c r="E23" s="167">
        <v>1</v>
      </c>
      <c r="F23" s="166">
        <v>3514</v>
      </c>
      <c r="G23" s="166">
        <v>3509</v>
      </c>
      <c r="H23" s="167">
        <v>0.99857712009106436</v>
      </c>
      <c r="I23" s="166">
        <v>3055</v>
      </c>
      <c r="J23" s="166">
        <v>3055</v>
      </c>
      <c r="K23" s="167">
        <v>1</v>
      </c>
      <c r="L23" s="612">
        <v>12276</v>
      </c>
      <c r="M23" s="612">
        <v>11949</v>
      </c>
      <c r="N23" s="631">
        <f t="shared" ref="N23" si="1">+M23/L23</f>
        <v>0.97336265884652984</v>
      </c>
      <c r="O23"/>
      <c r="P23">
        <v>3599</v>
      </c>
      <c r="Q23">
        <v>0.99972222222222218</v>
      </c>
      <c r="R23">
        <v>5303</v>
      </c>
      <c r="S23">
        <v>5184</v>
      </c>
      <c r="T23">
        <v>0.97755987177069581</v>
      </c>
      <c r="U23">
        <v>3570</v>
      </c>
      <c r="V23">
        <v>3506</v>
      </c>
      <c r="W23" s="1">
        <v>0.98207282913165261</v>
      </c>
      <c r="X23" s="1">
        <v>12473</v>
      </c>
    </row>
    <row r="24" spans="1:24" x14ac:dyDescent="0.25">
      <c r="B24" s="260" t="s">
        <v>250</v>
      </c>
      <c r="C24" s="258">
        <f>SUM(C11:C23)</f>
        <v>11309</v>
      </c>
      <c r="D24" s="258">
        <f>SUM(D11:D23)</f>
        <v>11273</v>
      </c>
      <c r="E24" s="258">
        <f>IFERROR(D24/C24,"-")</f>
        <v>0.99681669466796352</v>
      </c>
      <c r="F24" s="258">
        <f>SUM(F11:F23)</f>
        <v>8339</v>
      </c>
      <c r="G24" s="258">
        <f>SUM(G11:G23)</f>
        <v>8301</v>
      </c>
      <c r="H24" s="258">
        <f>IFERROR(G24/F24,"-")</f>
        <v>0.99544309869288883</v>
      </c>
      <c r="I24" s="258">
        <f>SUM(I11:I23)</f>
        <v>7165</v>
      </c>
      <c r="J24" s="258">
        <f>SUM(J11:J23)</f>
        <v>7103</v>
      </c>
      <c r="K24" s="258">
        <f>IFERROR(J24/I24,"-")</f>
        <v>0.99134682484298675</v>
      </c>
      <c r="L24" s="557">
        <f>SUM(L11:L23)</f>
        <v>21518</v>
      </c>
      <c r="M24" s="557">
        <f>SUM(M11:M23)</f>
        <v>21086</v>
      </c>
      <c r="N24" s="632">
        <f>+M24/L24</f>
        <v>0.97992378473835862</v>
      </c>
      <c r="O24"/>
      <c r="P24"/>
      <c r="Q24"/>
      <c r="R24"/>
      <c r="S24"/>
      <c r="T24"/>
      <c r="U24"/>
      <c r="V24"/>
    </row>
    <row r="25" spans="1:24" x14ac:dyDescent="0.25">
      <c r="B25" s="103" t="s">
        <v>296</v>
      </c>
      <c r="C25"/>
      <c r="D25"/>
      <c r="E25"/>
      <c r="F25"/>
      <c r="G25"/>
      <c r="H25"/>
      <c r="I25"/>
      <c r="J25"/>
      <c r="K25"/>
      <c r="L25"/>
      <c r="M25"/>
      <c r="N25" s="82"/>
      <c r="O25"/>
      <c r="P25"/>
      <c r="Q25"/>
      <c r="R25"/>
      <c r="S25"/>
      <c r="T25"/>
      <c r="U25"/>
      <c r="V25"/>
    </row>
    <row r="26" spans="1:24" x14ac:dyDescent="0.25">
      <c r="C26"/>
      <c r="D26"/>
      <c r="E26"/>
      <c r="F26"/>
      <c r="G26"/>
      <c r="H26"/>
      <c r="I26"/>
      <c r="J26"/>
      <c r="K26"/>
      <c r="L26"/>
      <c r="M26"/>
      <c r="N26" s="548"/>
      <c r="O26"/>
      <c r="P26"/>
      <c r="Q26"/>
      <c r="R26"/>
      <c r="S26"/>
      <c r="T26"/>
      <c r="U26"/>
      <c r="V26"/>
    </row>
    <row r="27" spans="1:24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4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4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4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4" ht="15.75" x14ac:dyDescent="0.25">
      <c r="B31" s="696" t="s">
        <v>251</v>
      </c>
      <c r="C31" s="696"/>
      <c r="D31" s="696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/>
      <c r="P31"/>
      <c r="Q31"/>
      <c r="R31"/>
      <c r="S31"/>
      <c r="T31"/>
      <c r="U31"/>
      <c r="V31"/>
    </row>
    <row r="32" spans="1:24" x14ac:dyDescent="0.25">
      <c r="B32" s="550"/>
      <c r="C32" s="551" t="s">
        <v>39</v>
      </c>
      <c r="D32" s="551"/>
      <c r="E32" s="551"/>
      <c r="F32" s="551" t="s">
        <v>21</v>
      </c>
      <c r="G32" s="551"/>
      <c r="H32" s="551"/>
      <c r="I32" s="551" t="s">
        <v>22</v>
      </c>
      <c r="J32" s="551"/>
      <c r="K32" s="551"/>
      <c r="L32" s="695" t="s">
        <v>15</v>
      </c>
      <c r="M32" s="695"/>
      <c r="N32" s="695"/>
      <c r="O32"/>
      <c r="P32"/>
      <c r="Q32"/>
      <c r="R32"/>
      <c r="S32"/>
      <c r="T32"/>
      <c r="U32"/>
      <c r="V32"/>
    </row>
    <row r="33" spans="1:22" x14ac:dyDescent="0.25">
      <c r="B33" s="45" t="s">
        <v>234</v>
      </c>
      <c r="C33" s="45" t="s">
        <v>235</v>
      </c>
      <c r="D33" s="45" t="s">
        <v>236</v>
      </c>
      <c r="E33" s="45" t="s">
        <v>56</v>
      </c>
      <c r="F33" s="45" t="s">
        <v>235</v>
      </c>
      <c r="G33" s="45" t="s">
        <v>236</v>
      </c>
      <c r="H33" s="45" t="s">
        <v>237</v>
      </c>
      <c r="I33" s="45" t="s">
        <v>235</v>
      </c>
      <c r="J33" s="45" t="s">
        <v>236</v>
      </c>
      <c r="K33" s="45" t="s">
        <v>237</v>
      </c>
      <c r="L33" s="45" t="s">
        <v>235</v>
      </c>
      <c r="M33" s="45" t="s">
        <v>236</v>
      </c>
      <c r="N33" s="45" t="s">
        <v>237</v>
      </c>
      <c r="O33"/>
      <c r="P33"/>
      <c r="Q33"/>
      <c r="R33"/>
      <c r="S33"/>
      <c r="T33"/>
      <c r="U33"/>
      <c r="V33"/>
    </row>
    <row r="34" spans="1:22" x14ac:dyDescent="0.25">
      <c r="A34" s="369">
        <v>1</v>
      </c>
      <c r="B34" s="552" t="s">
        <v>285</v>
      </c>
      <c r="C34" s="553">
        <v>16</v>
      </c>
      <c r="D34" s="553">
        <v>7</v>
      </c>
      <c r="E34" s="247">
        <f>IFERROR(D34/C34,"-")</f>
        <v>0.4375</v>
      </c>
      <c r="F34" s="553">
        <v>11</v>
      </c>
      <c r="G34" s="553">
        <v>8</v>
      </c>
      <c r="H34" s="247">
        <f t="shared" ref="H34:H53" si="2">IFERROR(G34/F34,"-")</f>
        <v>0.72727272727272729</v>
      </c>
      <c r="I34" s="553">
        <v>14</v>
      </c>
      <c r="J34" s="553">
        <v>4</v>
      </c>
      <c r="K34" s="247">
        <f t="shared" ref="K34:K53" si="3">IFERROR(J34/I34,"-")</f>
        <v>0.2857142857142857</v>
      </c>
      <c r="L34" s="612">
        <v>12</v>
      </c>
      <c r="M34" s="612">
        <v>12</v>
      </c>
      <c r="N34" s="554">
        <f>+M34/L34</f>
        <v>1</v>
      </c>
      <c r="O34"/>
      <c r="P34"/>
      <c r="Q34"/>
      <c r="R34"/>
      <c r="S34"/>
      <c r="T34"/>
      <c r="U34"/>
      <c r="V34"/>
    </row>
    <row r="35" spans="1:22" x14ac:dyDescent="0.25">
      <c r="A35" s="369">
        <v>2</v>
      </c>
      <c r="B35" s="552" t="s">
        <v>286</v>
      </c>
      <c r="C35" s="553">
        <v>35</v>
      </c>
      <c r="D35" s="553">
        <v>21</v>
      </c>
      <c r="E35" s="247">
        <f>IFERROR(D35/C35,"-")</f>
        <v>0.6</v>
      </c>
      <c r="F35" s="553">
        <v>28</v>
      </c>
      <c r="G35" s="553">
        <v>21</v>
      </c>
      <c r="H35" s="247">
        <f>IFERROR(G35/F35,"-")</f>
        <v>0.75</v>
      </c>
      <c r="I35" s="553">
        <v>63</v>
      </c>
      <c r="J35" s="553">
        <v>14</v>
      </c>
      <c r="K35" s="247">
        <f>IFERROR(J35/I35,"-")</f>
        <v>0.22222222222222221</v>
      </c>
      <c r="L35" s="612">
        <v>76</v>
      </c>
      <c r="M35" s="612">
        <v>76</v>
      </c>
      <c r="N35" s="554">
        <f>+M35/L35</f>
        <v>1</v>
      </c>
      <c r="O35"/>
      <c r="P35"/>
      <c r="Q35"/>
      <c r="R35"/>
      <c r="S35"/>
      <c r="T35"/>
      <c r="U35"/>
      <c r="V35"/>
    </row>
    <row r="36" spans="1:22" x14ac:dyDescent="0.25">
      <c r="A36" s="369">
        <v>3</v>
      </c>
      <c r="B36" s="552" t="s">
        <v>252</v>
      </c>
      <c r="C36" s="553">
        <v>15</v>
      </c>
      <c r="D36" s="553">
        <v>3</v>
      </c>
      <c r="E36" s="247">
        <f t="shared" ref="E36:E47" si="4">IFERROR(D36/C36,"-")</f>
        <v>0.2</v>
      </c>
      <c r="F36" s="553">
        <v>6</v>
      </c>
      <c r="G36" s="553">
        <v>0</v>
      </c>
      <c r="H36" s="247">
        <f t="shared" si="2"/>
        <v>0</v>
      </c>
      <c r="I36" s="553">
        <v>23</v>
      </c>
      <c r="J36" s="553">
        <v>2</v>
      </c>
      <c r="K36" s="247">
        <f t="shared" si="3"/>
        <v>8.6956521739130432E-2</v>
      </c>
      <c r="L36" s="612">
        <v>54</v>
      </c>
      <c r="M36" s="612">
        <v>51</v>
      </c>
      <c r="N36" s="554">
        <f t="shared" ref="N36:N51" si="5">+M36/L36</f>
        <v>0.94444444444444442</v>
      </c>
      <c r="O36"/>
      <c r="P36"/>
      <c r="Q36"/>
      <c r="R36"/>
      <c r="S36"/>
      <c r="T36"/>
      <c r="U36"/>
      <c r="V36"/>
    </row>
    <row r="37" spans="1:22" x14ac:dyDescent="0.25">
      <c r="A37" s="369">
        <v>4</v>
      </c>
      <c r="B37" s="552" t="s">
        <v>287</v>
      </c>
      <c r="C37" s="553">
        <v>106</v>
      </c>
      <c r="D37" s="553">
        <v>38</v>
      </c>
      <c r="E37" s="247">
        <f t="shared" si="4"/>
        <v>0.35849056603773582</v>
      </c>
      <c r="F37" s="553">
        <v>130</v>
      </c>
      <c r="G37" s="553">
        <v>30</v>
      </c>
      <c r="H37" s="247">
        <f t="shared" si="2"/>
        <v>0.23076923076923078</v>
      </c>
      <c r="I37" s="553">
        <v>228</v>
      </c>
      <c r="J37" s="553">
        <v>34</v>
      </c>
      <c r="K37" s="247">
        <f t="shared" si="3"/>
        <v>0.14912280701754385</v>
      </c>
      <c r="L37" s="612">
        <v>323</v>
      </c>
      <c r="M37" s="612">
        <v>318</v>
      </c>
      <c r="N37" s="554">
        <f t="shared" si="5"/>
        <v>0.98452012383900933</v>
      </c>
      <c r="O37"/>
      <c r="P37"/>
      <c r="Q37"/>
      <c r="R37"/>
      <c r="S37"/>
      <c r="T37"/>
      <c r="U37"/>
      <c r="V37"/>
    </row>
    <row r="38" spans="1:22" x14ac:dyDescent="0.25">
      <c r="A38" s="369">
        <v>5</v>
      </c>
      <c r="B38" s="552" t="s">
        <v>253</v>
      </c>
      <c r="C38" s="553">
        <v>8</v>
      </c>
      <c r="D38" s="553">
        <v>3</v>
      </c>
      <c r="E38" s="247">
        <f t="shared" si="4"/>
        <v>0.375</v>
      </c>
      <c r="F38" s="553">
        <v>2</v>
      </c>
      <c r="G38" s="553">
        <v>0</v>
      </c>
      <c r="H38" s="247">
        <f t="shared" si="2"/>
        <v>0</v>
      </c>
      <c r="I38" s="553">
        <v>1</v>
      </c>
      <c r="J38" s="553">
        <v>0</v>
      </c>
      <c r="K38" s="247">
        <f t="shared" si="3"/>
        <v>0</v>
      </c>
      <c r="L38" s="612">
        <v>45</v>
      </c>
      <c r="M38" s="612">
        <v>45</v>
      </c>
      <c r="N38" s="554">
        <f t="shared" si="5"/>
        <v>1</v>
      </c>
      <c r="O38"/>
      <c r="P38"/>
      <c r="Q38"/>
      <c r="R38"/>
      <c r="S38"/>
      <c r="T38"/>
      <c r="U38"/>
      <c r="V38"/>
    </row>
    <row r="39" spans="1:22" x14ac:dyDescent="0.25">
      <c r="A39" s="369">
        <v>6</v>
      </c>
      <c r="B39" s="552" t="s">
        <v>254</v>
      </c>
      <c r="C39" s="553">
        <v>0</v>
      </c>
      <c r="D39" s="553">
        <v>0</v>
      </c>
      <c r="E39" s="247" t="str">
        <f t="shared" si="4"/>
        <v>-</v>
      </c>
      <c r="F39" s="553">
        <v>0</v>
      </c>
      <c r="G39" s="553">
        <v>0</v>
      </c>
      <c r="H39" s="247" t="str">
        <f t="shared" si="2"/>
        <v>-</v>
      </c>
      <c r="I39" s="553">
        <v>0</v>
      </c>
      <c r="J39" s="553">
        <v>0</v>
      </c>
      <c r="K39" s="247" t="str">
        <f t="shared" si="3"/>
        <v>-</v>
      </c>
      <c r="L39" s="612">
        <v>1</v>
      </c>
      <c r="M39" s="612">
        <v>1</v>
      </c>
      <c r="N39" s="554">
        <f t="shared" si="5"/>
        <v>1</v>
      </c>
      <c r="O39"/>
      <c r="P39"/>
      <c r="Q39"/>
      <c r="R39"/>
      <c r="S39"/>
      <c r="T39"/>
      <c r="U39"/>
      <c r="V39"/>
    </row>
    <row r="40" spans="1:22" x14ac:dyDescent="0.25">
      <c r="A40" s="369">
        <v>7</v>
      </c>
      <c r="B40" s="552" t="s">
        <v>255</v>
      </c>
      <c r="C40" s="553"/>
      <c r="D40" s="553"/>
      <c r="E40" s="247"/>
      <c r="F40" s="553"/>
      <c r="G40" s="553"/>
      <c r="H40" s="247"/>
      <c r="I40" s="553"/>
      <c r="J40" s="553"/>
      <c r="K40" s="247"/>
      <c r="L40" s="612">
        <v>10</v>
      </c>
      <c r="M40" s="612">
        <v>10</v>
      </c>
      <c r="N40" s="554">
        <f>+M40/L40</f>
        <v>1</v>
      </c>
      <c r="O40"/>
      <c r="P40"/>
      <c r="Q40"/>
      <c r="R40"/>
      <c r="S40"/>
      <c r="T40"/>
      <c r="U40"/>
      <c r="V40"/>
    </row>
    <row r="41" spans="1:22" x14ac:dyDescent="0.25">
      <c r="A41" s="369">
        <v>8</v>
      </c>
      <c r="B41" s="552" t="s">
        <v>256</v>
      </c>
      <c r="C41" s="553"/>
      <c r="D41" s="553"/>
      <c r="E41" s="247"/>
      <c r="F41" s="553"/>
      <c r="G41" s="553"/>
      <c r="H41" s="247"/>
      <c r="I41" s="553"/>
      <c r="J41" s="553"/>
      <c r="K41" s="247"/>
      <c r="L41" s="612">
        <v>1</v>
      </c>
      <c r="M41" s="612">
        <v>1</v>
      </c>
      <c r="N41" s="554">
        <f>+M41/L41</f>
        <v>1</v>
      </c>
      <c r="O41"/>
      <c r="P41"/>
      <c r="Q41"/>
      <c r="R41"/>
      <c r="S41"/>
      <c r="T41"/>
      <c r="U41"/>
      <c r="V41"/>
    </row>
    <row r="42" spans="1:22" x14ac:dyDescent="0.25">
      <c r="A42" s="369">
        <v>9</v>
      </c>
      <c r="B42" s="552" t="s">
        <v>257</v>
      </c>
      <c r="C42" s="553">
        <v>113</v>
      </c>
      <c r="D42" s="553">
        <v>58</v>
      </c>
      <c r="E42" s="247">
        <f t="shared" si="4"/>
        <v>0.51327433628318586</v>
      </c>
      <c r="F42" s="553">
        <v>76</v>
      </c>
      <c r="G42" s="553">
        <v>40</v>
      </c>
      <c r="H42" s="247">
        <f t="shared" si="2"/>
        <v>0.52631578947368418</v>
      </c>
      <c r="I42" s="553">
        <v>157</v>
      </c>
      <c r="J42" s="553">
        <v>38</v>
      </c>
      <c r="K42" s="247">
        <f t="shared" si="3"/>
        <v>0.24203821656050956</v>
      </c>
      <c r="L42" s="612">
        <v>101</v>
      </c>
      <c r="M42" s="612">
        <v>50</v>
      </c>
      <c r="N42" s="554">
        <f t="shared" si="5"/>
        <v>0.49504950495049505</v>
      </c>
      <c r="O42"/>
      <c r="P42"/>
      <c r="Q42"/>
      <c r="R42"/>
      <c r="S42"/>
      <c r="T42"/>
      <c r="U42"/>
      <c r="V42"/>
    </row>
    <row r="43" spans="1:22" x14ac:dyDescent="0.25">
      <c r="A43" s="369">
        <v>10</v>
      </c>
      <c r="B43" s="552" t="s">
        <v>283</v>
      </c>
      <c r="C43" s="553">
        <v>67</v>
      </c>
      <c r="D43" s="553">
        <v>26</v>
      </c>
      <c r="E43" s="247">
        <f t="shared" si="4"/>
        <v>0.38805970149253732</v>
      </c>
      <c r="F43" s="553">
        <v>55</v>
      </c>
      <c r="G43" s="553">
        <v>2</v>
      </c>
      <c r="H43" s="247">
        <f t="shared" si="2"/>
        <v>3.6363636363636362E-2</v>
      </c>
      <c r="I43" s="553">
        <v>123</v>
      </c>
      <c r="J43" s="553">
        <v>9</v>
      </c>
      <c r="K43" s="247">
        <f t="shared" si="3"/>
        <v>7.3170731707317069E-2</v>
      </c>
      <c r="L43" s="612">
        <v>14</v>
      </c>
      <c r="M43" s="612">
        <v>10</v>
      </c>
      <c r="N43" s="554">
        <f t="shared" si="5"/>
        <v>0.7142857142857143</v>
      </c>
      <c r="O43"/>
      <c r="P43"/>
      <c r="Q43"/>
      <c r="R43"/>
      <c r="S43"/>
      <c r="T43"/>
      <c r="U43"/>
      <c r="V43"/>
    </row>
    <row r="44" spans="1:22" x14ac:dyDescent="0.25">
      <c r="A44" s="369">
        <v>11</v>
      </c>
      <c r="B44" s="552" t="s">
        <v>288</v>
      </c>
      <c r="C44" s="553">
        <v>3</v>
      </c>
      <c r="D44" s="553">
        <v>2</v>
      </c>
      <c r="E44" s="247">
        <f t="shared" si="4"/>
        <v>0.66666666666666663</v>
      </c>
      <c r="F44" s="553">
        <v>5</v>
      </c>
      <c r="G44" s="553">
        <v>1</v>
      </c>
      <c r="H44" s="247">
        <f t="shared" si="2"/>
        <v>0.2</v>
      </c>
      <c r="I44" s="553">
        <v>4</v>
      </c>
      <c r="J44" s="553">
        <v>1</v>
      </c>
      <c r="K44" s="247">
        <f t="shared" si="3"/>
        <v>0.25</v>
      </c>
      <c r="L44" s="612">
        <v>150</v>
      </c>
      <c r="M44" s="612">
        <v>110</v>
      </c>
      <c r="N44" s="554">
        <f t="shared" si="5"/>
        <v>0.73333333333333328</v>
      </c>
      <c r="O44"/>
      <c r="P44"/>
      <c r="Q44"/>
      <c r="R44"/>
      <c r="S44"/>
      <c r="T44"/>
      <c r="U44"/>
      <c r="V44"/>
    </row>
    <row r="45" spans="1:22" x14ac:dyDescent="0.25">
      <c r="A45" s="369">
        <v>12</v>
      </c>
      <c r="B45" s="552" t="s">
        <v>258</v>
      </c>
      <c r="C45" s="553">
        <v>65</v>
      </c>
      <c r="D45" s="553">
        <v>12</v>
      </c>
      <c r="E45" s="247">
        <f t="shared" si="4"/>
        <v>0.18461538461538463</v>
      </c>
      <c r="F45" s="553">
        <v>51</v>
      </c>
      <c r="G45" s="553">
        <v>10</v>
      </c>
      <c r="H45" s="247">
        <f t="shared" si="2"/>
        <v>0.19607843137254902</v>
      </c>
      <c r="I45" s="553">
        <v>55</v>
      </c>
      <c r="J45" s="553">
        <v>5</v>
      </c>
      <c r="K45" s="247">
        <f t="shared" si="3"/>
        <v>9.0909090909090912E-2</v>
      </c>
      <c r="L45" s="612">
        <v>796</v>
      </c>
      <c r="M45" s="612">
        <v>763</v>
      </c>
      <c r="N45" s="554">
        <f t="shared" si="5"/>
        <v>0.95854271356783916</v>
      </c>
      <c r="O45"/>
      <c r="P45"/>
      <c r="Q45"/>
      <c r="R45"/>
      <c r="S45"/>
      <c r="T45"/>
      <c r="U45"/>
      <c r="V45"/>
    </row>
    <row r="46" spans="1:22" x14ac:dyDescent="0.25">
      <c r="A46" s="369">
        <v>13</v>
      </c>
      <c r="B46" s="552" t="s">
        <v>259</v>
      </c>
      <c r="C46" s="553"/>
      <c r="D46" s="553"/>
      <c r="E46" s="247"/>
      <c r="F46" s="553"/>
      <c r="G46" s="553"/>
      <c r="H46" s="247"/>
      <c r="I46" s="553"/>
      <c r="J46" s="553"/>
      <c r="K46" s="247"/>
      <c r="L46" s="612">
        <v>388</v>
      </c>
      <c r="M46" s="612">
        <v>353</v>
      </c>
      <c r="N46" s="554">
        <f t="shared" si="5"/>
        <v>0.90979381443298968</v>
      </c>
      <c r="O46"/>
      <c r="P46"/>
      <c r="Q46"/>
      <c r="R46"/>
      <c r="S46"/>
      <c r="T46"/>
      <c r="U46"/>
      <c r="V46"/>
    </row>
    <row r="47" spans="1:22" x14ac:dyDescent="0.25">
      <c r="A47" s="369">
        <v>14</v>
      </c>
      <c r="B47" s="552" t="s">
        <v>260</v>
      </c>
      <c r="C47" s="553">
        <v>1709</v>
      </c>
      <c r="D47" s="553">
        <v>518</v>
      </c>
      <c r="E47" s="247">
        <f t="shared" si="4"/>
        <v>0.30310122878876539</v>
      </c>
      <c r="F47" s="553">
        <v>3485</v>
      </c>
      <c r="G47" s="553">
        <v>964</v>
      </c>
      <c r="H47" s="247">
        <f t="shared" si="2"/>
        <v>0.27661406025824964</v>
      </c>
      <c r="I47" s="553">
        <v>3858</v>
      </c>
      <c r="J47" s="553">
        <v>229</v>
      </c>
      <c r="K47" s="247">
        <f t="shared" si="3"/>
        <v>5.9357179885951267E-2</v>
      </c>
      <c r="L47" s="612">
        <v>6600</v>
      </c>
      <c r="M47" s="612">
        <v>4814</v>
      </c>
      <c r="N47" s="554">
        <f t="shared" si="5"/>
        <v>0.72939393939393937</v>
      </c>
      <c r="O47"/>
      <c r="P47"/>
      <c r="Q47"/>
      <c r="R47"/>
      <c r="S47"/>
      <c r="T47"/>
      <c r="U47"/>
      <c r="V47"/>
    </row>
    <row r="48" spans="1:22" x14ac:dyDescent="0.25">
      <c r="A48" s="369">
        <v>15</v>
      </c>
      <c r="B48" s="552" t="s">
        <v>261</v>
      </c>
      <c r="C48" s="553"/>
      <c r="D48" s="553"/>
      <c r="E48" s="247"/>
      <c r="F48" s="553"/>
      <c r="G48" s="553"/>
      <c r="H48" s="247"/>
      <c r="I48" s="553"/>
      <c r="J48" s="553"/>
      <c r="K48" s="247"/>
      <c r="L48" s="612">
        <v>479</v>
      </c>
      <c r="M48" s="612">
        <v>479</v>
      </c>
      <c r="N48" s="554">
        <f t="shared" si="5"/>
        <v>1</v>
      </c>
      <c r="O48"/>
      <c r="P48"/>
      <c r="Q48"/>
      <c r="R48"/>
      <c r="S48"/>
      <c r="T48"/>
      <c r="U48"/>
      <c r="V48"/>
    </row>
    <row r="49" spans="1:22" x14ac:dyDescent="0.25">
      <c r="A49" s="369">
        <v>16</v>
      </c>
      <c r="B49" s="552" t="s">
        <v>262</v>
      </c>
      <c r="C49" s="553"/>
      <c r="D49" s="553"/>
      <c r="E49" s="247"/>
      <c r="F49" s="553"/>
      <c r="G49" s="553"/>
      <c r="H49" s="247"/>
      <c r="I49" s="553"/>
      <c r="J49" s="553"/>
      <c r="K49" s="247"/>
      <c r="L49" s="612">
        <v>2771</v>
      </c>
      <c r="M49" s="612">
        <v>2771</v>
      </c>
      <c r="N49" s="554">
        <f t="shared" si="5"/>
        <v>1</v>
      </c>
      <c r="O49"/>
      <c r="P49"/>
      <c r="Q49"/>
      <c r="R49"/>
      <c r="S49"/>
      <c r="T49"/>
      <c r="U49"/>
      <c r="V49"/>
    </row>
    <row r="50" spans="1:22" x14ac:dyDescent="0.25">
      <c r="A50" s="369">
        <v>17</v>
      </c>
      <c r="B50" s="552" t="s">
        <v>263</v>
      </c>
      <c r="C50" s="553"/>
      <c r="D50" s="553"/>
      <c r="E50" s="247"/>
      <c r="F50" s="553"/>
      <c r="G50" s="553"/>
      <c r="H50" s="247"/>
      <c r="I50" s="553"/>
      <c r="J50" s="553"/>
      <c r="K50" s="247"/>
      <c r="L50" s="612">
        <v>2</v>
      </c>
      <c r="M50" s="612">
        <v>2</v>
      </c>
      <c r="N50" s="554">
        <f t="shared" si="5"/>
        <v>1</v>
      </c>
      <c r="O50"/>
      <c r="P50"/>
      <c r="Q50"/>
      <c r="R50"/>
      <c r="S50"/>
      <c r="T50"/>
      <c r="U50"/>
      <c r="V50"/>
    </row>
    <row r="51" spans="1:22" x14ac:dyDescent="0.25">
      <c r="A51" s="369">
        <v>18</v>
      </c>
      <c r="B51" s="552" t="s">
        <v>264</v>
      </c>
      <c r="C51" s="553"/>
      <c r="D51" s="553"/>
      <c r="E51" s="247"/>
      <c r="F51" s="553"/>
      <c r="G51" s="553"/>
      <c r="H51" s="247"/>
      <c r="I51" s="553"/>
      <c r="J51" s="553"/>
      <c r="K51" s="247"/>
      <c r="L51" s="612">
        <v>767</v>
      </c>
      <c r="M51" s="612">
        <v>578</v>
      </c>
      <c r="N51" s="554">
        <f t="shared" si="5"/>
        <v>0.75358539765319421</v>
      </c>
      <c r="O51"/>
      <c r="P51"/>
      <c r="Q51"/>
      <c r="R51"/>
      <c r="S51"/>
      <c r="T51"/>
      <c r="U51"/>
      <c r="V51"/>
    </row>
    <row r="52" spans="1:22" x14ac:dyDescent="0.25">
      <c r="A52" s="369">
        <v>19</v>
      </c>
      <c r="B52" s="552" t="s">
        <v>265</v>
      </c>
      <c r="C52" s="553"/>
      <c r="D52" s="553"/>
      <c r="E52" s="247"/>
      <c r="F52" s="553"/>
      <c r="G52" s="553"/>
      <c r="H52" s="247"/>
      <c r="I52" s="553"/>
      <c r="J52" s="553"/>
      <c r="K52" s="247"/>
      <c r="L52" s="612">
        <v>26</v>
      </c>
      <c r="M52" s="612">
        <v>20</v>
      </c>
      <c r="N52" s="554">
        <f>+M52/L52</f>
        <v>0.76923076923076927</v>
      </c>
      <c r="O52"/>
      <c r="P52"/>
      <c r="Q52"/>
      <c r="R52"/>
      <c r="S52"/>
      <c r="T52"/>
      <c r="U52"/>
      <c r="V52"/>
    </row>
    <row r="53" spans="1:22" x14ac:dyDescent="0.25">
      <c r="B53" s="555" t="s">
        <v>250</v>
      </c>
      <c r="C53" s="556">
        <f ca="1">SUM(C34:C54)</f>
        <v>2137</v>
      </c>
      <c r="D53" s="556">
        <f ca="1">SUM(D34:D54)</f>
        <v>688</v>
      </c>
      <c r="E53" s="556">
        <f ca="1">IFERROR(D53/C53,"-")</f>
        <v>0.32194665418811419</v>
      </c>
      <c r="F53" s="556">
        <f ca="1">SUM(F34:F54)</f>
        <v>3849</v>
      </c>
      <c r="G53" s="556">
        <f ca="1">SUM(G34:G54)</f>
        <v>1076</v>
      </c>
      <c r="H53" s="556">
        <f t="shared" ca="1" si="2"/>
        <v>0.27955313068329435</v>
      </c>
      <c r="I53" s="556">
        <f ca="1">SUM(I34:I54)</f>
        <v>4526</v>
      </c>
      <c r="J53" s="556">
        <f ca="1">SUM(J34:J54)</f>
        <v>336</v>
      </c>
      <c r="K53" s="556">
        <f t="shared" ca="1" si="3"/>
        <v>7.4237737516570923E-2</v>
      </c>
      <c r="L53" s="557">
        <f>SUM(L34:L52)</f>
        <v>12616</v>
      </c>
      <c r="M53" s="557">
        <f>SUM(M34:M52)</f>
        <v>10464</v>
      </c>
      <c r="N53" s="549">
        <f>+M53/L53</f>
        <v>0.82942295497780594</v>
      </c>
      <c r="O53"/>
      <c r="P53"/>
      <c r="Q53"/>
      <c r="R53"/>
      <c r="S53"/>
      <c r="T53"/>
      <c r="U53"/>
      <c r="V53"/>
    </row>
    <row r="54" spans="1:22" ht="15.75" customHeight="1" x14ac:dyDescent="0.25">
      <c r="B54" s="106" t="s">
        <v>291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50.25" customHeight="1" x14ac:dyDescent="0.25">
      <c r="B55" s="698" t="s">
        <v>301</v>
      </c>
      <c r="C55" s="698"/>
      <c r="D55" s="698"/>
      <c r="E55" s="698"/>
      <c r="F55" s="698"/>
      <c r="G55" s="698"/>
      <c r="H55" s="698"/>
      <c r="I55" s="698"/>
      <c r="J55" s="698"/>
      <c r="K55" s="698"/>
      <c r="L55" s="698"/>
      <c r="M55" s="698"/>
      <c r="N55" s="698"/>
      <c r="O55"/>
      <c r="P55"/>
      <c r="Q55"/>
      <c r="R55"/>
      <c r="S55"/>
      <c r="T55"/>
      <c r="U55"/>
      <c r="V55"/>
    </row>
    <row r="56" spans="1:22" x14ac:dyDescent="0.25">
      <c r="B56" s="633"/>
      <c r="C56"/>
      <c r="D56"/>
      <c r="E56"/>
      <c r="F56"/>
      <c r="G56"/>
      <c r="H56"/>
      <c r="I56"/>
      <c r="J56"/>
      <c r="K56"/>
      <c r="L56"/>
      <c r="M56"/>
      <c r="O56"/>
      <c r="P56"/>
      <c r="Q56"/>
      <c r="R56"/>
      <c r="S56"/>
      <c r="T56"/>
      <c r="U56"/>
      <c r="V56"/>
    </row>
    <row r="57" spans="1:22" x14ac:dyDescent="0.25">
      <c r="B57"/>
      <c r="C57"/>
      <c r="D57"/>
      <c r="E57"/>
      <c r="F57"/>
      <c r="G57"/>
      <c r="H57"/>
      <c r="I57"/>
      <c r="J57"/>
      <c r="K57"/>
      <c r="M57"/>
      <c r="O57"/>
      <c r="P57"/>
      <c r="Q57"/>
      <c r="R57"/>
      <c r="S57"/>
      <c r="T57"/>
      <c r="U57"/>
      <c r="V57"/>
    </row>
    <row r="62" spans="1:22" ht="15.75" x14ac:dyDescent="0.25">
      <c r="L62" s="584"/>
    </row>
    <row r="63" spans="1:22" ht="15.75" x14ac:dyDescent="0.25">
      <c r="B63" s="584" t="s">
        <v>266</v>
      </c>
      <c r="C63" s="584"/>
      <c r="D63" s="584"/>
      <c r="E63" s="584"/>
      <c r="F63" s="584"/>
      <c r="G63" s="584"/>
      <c r="H63" s="584"/>
      <c r="I63" s="584"/>
      <c r="J63" s="584"/>
      <c r="K63" s="584"/>
      <c r="M63" s="584"/>
      <c r="N63" s="169"/>
    </row>
    <row r="64" spans="1:22" x14ac:dyDescent="0.25"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585" t="s">
        <v>15</v>
      </c>
      <c r="M64" s="585"/>
    </row>
    <row r="65" spans="2:14" x14ac:dyDescent="0.25">
      <c r="B65" s="45" t="s">
        <v>234</v>
      </c>
      <c r="C65" s="45" t="s">
        <v>235</v>
      </c>
      <c r="D65" s="45" t="s">
        <v>236</v>
      </c>
      <c r="E65" s="45" t="s">
        <v>56</v>
      </c>
      <c r="F65" s="45" t="s">
        <v>235</v>
      </c>
      <c r="G65" s="45" t="s">
        <v>236</v>
      </c>
      <c r="H65" s="45" t="s">
        <v>237</v>
      </c>
      <c r="I65" s="45" t="s">
        <v>235</v>
      </c>
      <c r="J65" s="45" t="s">
        <v>236</v>
      </c>
      <c r="K65" s="45" t="s">
        <v>237</v>
      </c>
      <c r="L65" s="45" t="s">
        <v>235</v>
      </c>
      <c r="M65" s="45" t="s">
        <v>267</v>
      </c>
    </row>
    <row r="66" spans="2:14" x14ac:dyDescent="0.25">
      <c r="B66" s="44" t="s">
        <v>268</v>
      </c>
      <c r="C66" s="98">
        <v>16</v>
      </c>
      <c r="D66" s="98">
        <v>7</v>
      </c>
      <c r="E66" s="168">
        <f>IFERROR(D66/C66,"-")</f>
        <v>0.4375</v>
      </c>
      <c r="F66" s="98">
        <v>11</v>
      </c>
      <c r="G66" s="98">
        <v>8</v>
      </c>
      <c r="H66" s="168">
        <f>IFERROR(G66/F66,"-")</f>
        <v>0.72727272727272729</v>
      </c>
      <c r="I66" s="98">
        <v>14</v>
      </c>
      <c r="J66" s="98">
        <v>4</v>
      </c>
      <c r="K66" s="168">
        <f>IFERROR(J66/I66,"-")</f>
        <v>0.2857142857142857</v>
      </c>
      <c r="L66" s="553">
        <v>16</v>
      </c>
      <c r="M66" s="553">
        <v>18</v>
      </c>
    </row>
    <row r="67" spans="2:14" x14ac:dyDescent="0.25">
      <c r="B67" s="44" t="s">
        <v>269</v>
      </c>
      <c r="C67" s="98">
        <v>15</v>
      </c>
      <c r="D67" s="98">
        <v>3</v>
      </c>
      <c r="E67" s="168">
        <f>IFERROR(D67/C67,"-")</f>
        <v>0.2</v>
      </c>
      <c r="F67" s="98">
        <v>6</v>
      </c>
      <c r="G67" s="98">
        <v>0</v>
      </c>
      <c r="H67" s="168">
        <f>IFERROR(G67/F67,"-")</f>
        <v>0</v>
      </c>
      <c r="I67" s="98">
        <v>23</v>
      </c>
      <c r="J67" s="98">
        <v>2</v>
      </c>
      <c r="K67" s="168">
        <f>IFERROR(J67/I67,"-")</f>
        <v>8.6956521739130432E-2</v>
      </c>
      <c r="L67" s="553">
        <v>20</v>
      </c>
      <c r="M67" s="553">
        <v>10</v>
      </c>
    </row>
    <row r="68" spans="2:14" x14ac:dyDescent="0.25">
      <c r="B68" s="44" t="s">
        <v>270</v>
      </c>
      <c r="C68" s="98">
        <v>106</v>
      </c>
      <c r="D68" s="98">
        <v>38</v>
      </c>
      <c r="E68" s="168">
        <f>IFERROR(D68/C68,"-")</f>
        <v>0.35849056603773582</v>
      </c>
      <c r="F68" s="98">
        <v>130</v>
      </c>
      <c r="G68" s="98">
        <v>30</v>
      </c>
      <c r="H68" s="168">
        <f>IFERROR(G68/F68,"-")</f>
        <v>0.23076923076923078</v>
      </c>
      <c r="I68" s="98">
        <v>228</v>
      </c>
      <c r="J68" s="98">
        <v>34</v>
      </c>
      <c r="K68" s="168">
        <f>IFERROR(J68/I68,"-")</f>
        <v>0.14912280701754385</v>
      </c>
      <c r="L68" s="553">
        <v>9</v>
      </c>
      <c r="M68" s="553">
        <v>15</v>
      </c>
    </row>
    <row r="69" spans="2:14" x14ac:dyDescent="0.25">
      <c r="B69" s="44" t="s">
        <v>271</v>
      </c>
      <c r="C69" s="98">
        <v>8</v>
      </c>
      <c r="D69" s="98">
        <v>3</v>
      </c>
      <c r="E69" s="168">
        <f>IFERROR(D69/C69,"-")</f>
        <v>0.375</v>
      </c>
      <c r="F69" s="98">
        <v>2</v>
      </c>
      <c r="G69" s="98">
        <v>0</v>
      </c>
      <c r="H69" s="168">
        <f>IFERROR(G69/F69,"-")</f>
        <v>0</v>
      </c>
      <c r="I69" s="98">
        <v>1</v>
      </c>
      <c r="J69" s="98">
        <v>0</v>
      </c>
      <c r="K69" s="168">
        <f>IFERROR(J69/I69,"-")</f>
        <v>0</v>
      </c>
      <c r="L69" s="553">
        <v>0</v>
      </c>
      <c r="M69" s="553">
        <v>0</v>
      </c>
    </row>
    <row r="70" spans="2:14" x14ac:dyDescent="0.25">
      <c r="B70" s="259" t="s">
        <v>250</v>
      </c>
      <c r="C70" s="256">
        <f>SUM(C56:C62)</f>
        <v>0</v>
      </c>
      <c r="D70" s="256">
        <f>SUM(D56:D62)</f>
        <v>0</v>
      </c>
      <c r="E70" s="256" t="str">
        <f>IFERROR(D70/C70,"-")</f>
        <v>-</v>
      </c>
      <c r="F70" s="256">
        <f>SUM(F56:F62)</f>
        <v>0</v>
      </c>
      <c r="G70" s="256">
        <f>SUM(G56:G62)</f>
        <v>0</v>
      </c>
      <c r="H70" s="256" t="str">
        <f>IFERROR(G70/F70,"-")</f>
        <v>-</v>
      </c>
      <c r="I70" s="256">
        <f>SUM(I56:I62)</f>
        <v>0</v>
      </c>
      <c r="J70" s="256">
        <f>SUM(J56:J62)</f>
        <v>0</v>
      </c>
      <c r="K70" s="256" t="str">
        <f>IFERROR(J70/I70,"-")</f>
        <v>-</v>
      </c>
      <c r="L70" s="557">
        <f>SUM(L66:L69)</f>
        <v>45</v>
      </c>
      <c r="M70" s="557">
        <f>SUM(M66:M69)</f>
        <v>43</v>
      </c>
    </row>
    <row r="71" spans="2:14" ht="15" customHeight="1" x14ac:dyDescent="0.25">
      <c r="B71" s="170" t="s">
        <v>272</v>
      </c>
      <c r="C71" s="170"/>
      <c r="D71" s="170"/>
      <c r="E71" s="170"/>
      <c r="F71" s="170"/>
      <c r="G71" s="170"/>
      <c r="H71" s="170"/>
      <c r="I71" s="170"/>
      <c r="J71" s="170"/>
      <c r="K71" s="170"/>
      <c r="M71" s="170"/>
      <c r="N71" s="170"/>
    </row>
    <row r="72" spans="2:14" ht="30.6" customHeight="1" x14ac:dyDescent="0.25">
      <c r="B72" s="694" t="s">
        <v>302</v>
      </c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</row>
    <row r="84" spans="12:13" x14ac:dyDescent="0.25">
      <c r="L84" s="28"/>
    </row>
    <row r="85" spans="12:13" x14ac:dyDescent="0.25">
      <c r="M85" s="28"/>
    </row>
  </sheetData>
  <mergeCells count="10">
    <mergeCell ref="B72:M72"/>
    <mergeCell ref="L32:N32"/>
    <mergeCell ref="B5:N5"/>
    <mergeCell ref="B31:N31"/>
    <mergeCell ref="B1:N1"/>
    <mergeCell ref="B2:N2"/>
    <mergeCell ref="B3:N3"/>
    <mergeCell ref="B4:N4"/>
    <mergeCell ref="B8:N8"/>
    <mergeCell ref="B55:N55"/>
  </mergeCells>
  <pageMargins left="0.7" right="0.7" top="0.75" bottom="0.75" header="0.3" footer="0.3"/>
  <pageSetup paperSize="9" scale="39" orientation="portrait" r:id="rId1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AF85"/>
  <sheetViews>
    <sheetView showGridLines="0" topLeftCell="A5" zoomScale="130" zoomScaleNormal="130" zoomScaleSheetLayoutView="100" workbookViewId="0">
      <selection activeCell="B28" sqref="B28"/>
    </sheetView>
  </sheetViews>
  <sheetFormatPr baseColWidth="10" defaultColWidth="11.42578125" defaultRowHeight="15" x14ac:dyDescent="0.25"/>
  <cols>
    <col min="1" max="1" width="7" style="1" customWidth="1"/>
    <col min="2" max="2" width="12.140625" style="1" customWidth="1"/>
    <col min="3" max="3" width="11.42578125" style="1"/>
    <col min="4" max="4" width="13.140625" style="1" bestFit="1" customWidth="1"/>
    <col min="5" max="5" width="12.140625" style="1" customWidth="1"/>
    <col min="6" max="6" width="13.42578125" style="1" customWidth="1"/>
    <col min="7" max="7" width="14.140625" style="1" customWidth="1"/>
    <col min="8" max="8" width="13.140625" style="1" customWidth="1"/>
    <col min="9" max="9" width="11.42578125" style="1"/>
    <col min="10" max="10" width="14.42578125" style="1" customWidth="1"/>
    <col min="11" max="23" width="11.42578125" style="1"/>
    <col min="24" max="25" width="11.42578125" style="1" customWidth="1"/>
    <col min="26" max="26" width="13.5703125" style="1" customWidth="1"/>
    <col min="27" max="32" width="11.42578125" style="1" customWidth="1"/>
    <col min="33" max="16384" width="11.42578125" style="1"/>
  </cols>
  <sheetData>
    <row r="1" spans="2:23" x14ac:dyDescent="0.25">
      <c r="B1" s="640" t="s">
        <v>0</v>
      </c>
      <c r="C1" s="640"/>
      <c r="D1" s="640"/>
      <c r="E1" s="640"/>
      <c r="F1" s="640"/>
      <c r="G1" s="640"/>
      <c r="H1" s="147"/>
    </row>
    <row r="2" spans="2:23" x14ac:dyDescent="0.25">
      <c r="B2" s="640" t="s">
        <v>30</v>
      </c>
      <c r="C2" s="640"/>
      <c r="D2" s="640"/>
      <c r="E2" s="640"/>
      <c r="F2" s="640"/>
      <c r="G2" s="640"/>
      <c r="H2" s="147"/>
    </row>
    <row r="3" spans="2:23" x14ac:dyDescent="0.25">
      <c r="B3" s="640" t="s">
        <v>31</v>
      </c>
      <c r="C3" s="640"/>
      <c r="D3" s="640"/>
      <c r="E3" s="640"/>
      <c r="F3" s="640"/>
      <c r="G3" s="640"/>
      <c r="H3" s="147"/>
    </row>
    <row r="4" spans="2:23" x14ac:dyDescent="0.25">
      <c r="B4" s="640" t="s">
        <v>275</v>
      </c>
      <c r="C4" s="640"/>
      <c r="D4" s="640"/>
      <c r="E4" s="640"/>
      <c r="F4" s="640"/>
      <c r="G4" s="640"/>
      <c r="H4" s="147"/>
      <c r="J4"/>
      <c r="K4"/>
      <c r="L4"/>
    </row>
    <row r="5" spans="2:23" x14ac:dyDescent="0.25">
      <c r="B5" s="640" t="s">
        <v>3</v>
      </c>
      <c r="C5" s="640"/>
      <c r="D5" s="640"/>
      <c r="E5" s="640"/>
      <c r="F5" s="640"/>
      <c r="G5" s="640"/>
      <c r="H5" s="147"/>
      <c r="I5"/>
      <c r="J5"/>
      <c r="K5"/>
      <c r="L5"/>
      <c r="M5"/>
      <c r="N5"/>
      <c r="O5"/>
      <c r="P5"/>
      <c r="Q5"/>
    </row>
    <row r="6" spans="2:23" ht="40.5" customHeight="1" x14ac:dyDescent="0.25">
      <c r="B6" s="562" t="s">
        <v>4</v>
      </c>
      <c r="C6" s="329" t="s">
        <v>32</v>
      </c>
      <c r="D6" s="329" t="s">
        <v>33</v>
      </c>
      <c r="E6" s="329" t="s">
        <v>34</v>
      </c>
      <c r="F6" s="329" t="s">
        <v>35</v>
      </c>
      <c r="G6" s="329" t="s">
        <v>36</v>
      </c>
      <c r="H6" s="329" t="s">
        <v>279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8" customHeight="1" x14ac:dyDescent="0.25">
      <c r="B7" s="283" t="s">
        <v>22</v>
      </c>
      <c r="C7" s="563">
        <v>93533</v>
      </c>
      <c r="D7" s="563">
        <v>27668</v>
      </c>
      <c r="E7" s="148">
        <f>+D7/C7</f>
        <v>0.2958100349609229</v>
      </c>
      <c r="F7" s="563">
        <v>65865</v>
      </c>
      <c r="G7" s="148">
        <f>+F7/C7</f>
        <v>0.70418996503907716</v>
      </c>
      <c r="H7" s="564">
        <v>54839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8" customHeight="1" x14ac:dyDescent="0.25">
      <c r="B8" s="283" t="s">
        <v>21</v>
      </c>
      <c r="C8" s="563">
        <v>93537</v>
      </c>
      <c r="D8" s="563">
        <v>27742</v>
      </c>
      <c r="E8" s="148">
        <f>+D8/C8</f>
        <v>0.29658851577450634</v>
      </c>
      <c r="F8" s="563">
        <v>65795</v>
      </c>
      <c r="G8" s="148">
        <f>+F8/C8</f>
        <v>0.7034114842254936</v>
      </c>
      <c r="H8" s="564">
        <v>54824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8" customHeight="1" x14ac:dyDescent="0.25">
      <c r="B9" s="283" t="s">
        <v>20</v>
      </c>
      <c r="C9" s="563">
        <v>93547</v>
      </c>
      <c r="D9" s="563">
        <v>27907</v>
      </c>
      <c r="E9" s="148">
        <f>+D9/C9</f>
        <v>0.29832063027141437</v>
      </c>
      <c r="F9" s="563">
        <f>C9-D9</f>
        <v>65640</v>
      </c>
      <c r="G9" s="148">
        <f>+F9/C9</f>
        <v>0.70167936972858558</v>
      </c>
      <c r="H9" s="564">
        <v>54684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24" customHeight="1" x14ac:dyDescent="0.25">
      <c r="B10" s="565" t="s">
        <v>280</v>
      </c>
      <c r="C10" s="289">
        <f t="shared" ref="C10:H10" si="0">+AVERAGEA(C7:C9)</f>
        <v>93539</v>
      </c>
      <c r="D10" s="287">
        <f>+AVERAGEA(D7:D9)</f>
        <v>27772.333333333332</v>
      </c>
      <c r="E10" s="288">
        <f t="shared" si="0"/>
        <v>0.29690639366894783</v>
      </c>
      <c r="F10" s="287">
        <f t="shared" si="0"/>
        <v>65766.666666666672</v>
      </c>
      <c r="G10" s="288">
        <f t="shared" si="0"/>
        <v>0.70309360633105211</v>
      </c>
      <c r="H10" s="289">
        <f t="shared" si="0"/>
        <v>54782.333333333336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18" hidden="1" customHeight="1" x14ac:dyDescent="0.25">
      <c r="B11" s="151" t="s">
        <v>16</v>
      </c>
      <c r="C11" s="172">
        <v>93148</v>
      </c>
      <c r="D11" s="172">
        <v>29747</v>
      </c>
      <c r="E11" s="173">
        <f>+D11/C11</f>
        <v>0.31935199896938204</v>
      </c>
      <c r="F11" s="175">
        <v>63401</v>
      </c>
      <c r="G11" s="173">
        <f>+F11/C11</f>
        <v>0.68064800103061796</v>
      </c>
      <c r="H11" s="174">
        <v>54308</v>
      </c>
      <c r="I11"/>
      <c r="J11"/>
      <c r="K11"/>
      <c r="L11"/>
      <c r="M11"/>
      <c r="N11"/>
      <c r="O11"/>
      <c r="P11"/>
      <c r="Q11"/>
    </row>
    <row r="12" spans="2:23" ht="18" hidden="1" customHeight="1" x14ac:dyDescent="0.25">
      <c r="B12" s="151" t="s">
        <v>17</v>
      </c>
      <c r="C12" s="172">
        <v>92991</v>
      </c>
      <c r="D12" s="172">
        <v>28719</v>
      </c>
      <c r="E12" s="173">
        <f t="shared" ref="E12:E24" si="1">+D12/C12</f>
        <v>0.30883633900054847</v>
      </c>
      <c r="F12" s="175">
        <v>64272</v>
      </c>
      <c r="G12" s="173">
        <f t="shared" ref="G12:G24" si="2">+F12/C12</f>
        <v>0.69116366099945159</v>
      </c>
      <c r="H12" s="172">
        <v>54187</v>
      </c>
      <c r="I12"/>
      <c r="J12"/>
      <c r="K12"/>
      <c r="L12"/>
      <c r="M12" s="61"/>
      <c r="N12"/>
      <c r="O12"/>
      <c r="P12"/>
    </row>
    <row r="13" spans="2:23" ht="18" hidden="1" customHeight="1" x14ac:dyDescent="0.25">
      <c r="B13" s="149" t="s">
        <v>18</v>
      </c>
      <c r="C13" s="172">
        <v>92991</v>
      </c>
      <c r="D13" s="172">
        <v>28682</v>
      </c>
      <c r="E13" s="173">
        <f t="shared" si="1"/>
        <v>0.30843845103289563</v>
      </c>
      <c r="F13" s="175">
        <v>64309</v>
      </c>
      <c r="G13" s="173">
        <f t="shared" si="2"/>
        <v>0.69156154896710431</v>
      </c>
      <c r="H13" s="172">
        <v>54052</v>
      </c>
      <c r="I13"/>
      <c r="J13"/>
      <c r="K13"/>
      <c r="L13" s="61"/>
      <c r="M13"/>
      <c r="N13"/>
      <c r="O13"/>
      <c r="P13"/>
    </row>
    <row r="14" spans="2:23" ht="24" hidden="1" customHeight="1" x14ac:dyDescent="0.25">
      <c r="B14" s="153" t="s">
        <v>38</v>
      </c>
      <c r="C14" s="176">
        <f>+AVERAGE(C11:C13)</f>
        <v>93043.333333333328</v>
      </c>
      <c r="D14" s="176">
        <f>+AVERAGE(D11:D13)</f>
        <v>29049.333333333332</v>
      </c>
      <c r="E14" s="177">
        <f t="shared" si="1"/>
        <v>0.31221294737219218</v>
      </c>
      <c r="F14" s="176">
        <f>+AVERAGE(F11:F13)</f>
        <v>63994</v>
      </c>
      <c r="G14" s="177">
        <f t="shared" si="2"/>
        <v>0.68778705262780782</v>
      </c>
      <c r="H14" s="56">
        <f>AVERAGE(H11:H13)</f>
        <v>54182.333333333336</v>
      </c>
      <c r="I14"/>
      <c r="J14"/>
      <c r="K14"/>
      <c r="L14"/>
      <c r="M14" s="150"/>
      <c r="N14"/>
      <c r="O14"/>
      <c r="P14"/>
    </row>
    <row r="15" spans="2:23" hidden="1" x14ac:dyDescent="0.25">
      <c r="B15" s="149" t="s">
        <v>14</v>
      </c>
      <c r="C15" s="104"/>
      <c r="D15" s="104"/>
      <c r="E15" s="148" t="e">
        <f t="shared" si="1"/>
        <v>#DIV/0!</v>
      </c>
      <c r="F15" s="104"/>
      <c r="G15" s="148" t="e">
        <f t="shared" si="2"/>
        <v>#DIV/0!</v>
      </c>
      <c r="H15" s="148"/>
      <c r="I15"/>
      <c r="J15"/>
      <c r="K15"/>
      <c r="L15"/>
      <c r="M15" s="61"/>
      <c r="N15"/>
      <c r="O15"/>
      <c r="P15"/>
    </row>
    <row r="16" spans="2:23" hidden="1" x14ac:dyDescent="0.25">
      <c r="B16" s="151" t="s">
        <v>13</v>
      </c>
      <c r="C16" s="104"/>
      <c r="D16" s="104"/>
      <c r="E16" s="148" t="e">
        <f t="shared" si="1"/>
        <v>#DIV/0!</v>
      </c>
      <c r="F16" s="104"/>
      <c r="G16" s="148" t="e">
        <f t="shared" si="2"/>
        <v>#DIV/0!</v>
      </c>
      <c r="H16" s="148"/>
      <c r="I16"/>
      <c r="J16"/>
      <c r="K16"/>
      <c r="L16"/>
      <c r="M16" s="61"/>
      <c r="N16"/>
      <c r="O16"/>
      <c r="P16"/>
    </row>
    <row r="17" spans="2:16" hidden="1" x14ac:dyDescent="0.25">
      <c r="B17" s="151" t="s">
        <v>12</v>
      </c>
      <c r="C17" s="104"/>
      <c r="D17" s="104"/>
      <c r="E17" s="148" t="e">
        <f t="shared" si="1"/>
        <v>#DIV/0!</v>
      </c>
      <c r="F17" s="104"/>
      <c r="G17" s="148" t="e">
        <f t="shared" si="2"/>
        <v>#DIV/0!</v>
      </c>
      <c r="H17" s="148"/>
      <c r="I17"/>
      <c r="J17"/>
      <c r="K17"/>
      <c r="L17" s="61"/>
      <c r="M17"/>
      <c r="N17"/>
      <c r="O17"/>
      <c r="P17"/>
    </row>
    <row r="18" spans="2:16" ht="24" hidden="1" customHeight="1" x14ac:dyDescent="0.25">
      <c r="B18" s="105" t="s">
        <v>37</v>
      </c>
      <c r="C18" s="8" t="e">
        <f>+AVERAGE(C15:C17)</f>
        <v>#DIV/0!</v>
      </c>
      <c r="D18" s="8" t="e">
        <f>+AVERAGE(D15:D17)</f>
        <v>#DIV/0!</v>
      </c>
      <c r="E18" s="15" t="e">
        <f t="shared" si="1"/>
        <v>#DIV/0!</v>
      </c>
      <c r="F18" s="8" t="e">
        <f>+AVERAGE(F15:F17)</f>
        <v>#DIV/0!</v>
      </c>
      <c r="G18" s="15" t="e">
        <f t="shared" si="2"/>
        <v>#DIV/0!</v>
      </c>
      <c r="H18" s="15"/>
      <c r="I18"/>
      <c r="J18"/>
      <c r="K18"/>
      <c r="L18"/>
      <c r="M18" s="150"/>
      <c r="N18"/>
      <c r="O18"/>
      <c r="P18"/>
    </row>
    <row r="19" spans="2:16" hidden="1" x14ac:dyDescent="0.25">
      <c r="B19" s="149" t="s">
        <v>39</v>
      </c>
      <c r="C19" s="104"/>
      <c r="D19" s="104"/>
      <c r="E19" s="148" t="e">
        <f t="shared" si="1"/>
        <v>#DIV/0!</v>
      </c>
      <c r="F19" s="104"/>
      <c r="G19" s="148" t="e">
        <f t="shared" si="2"/>
        <v>#DIV/0!</v>
      </c>
      <c r="H19" s="148"/>
      <c r="I19"/>
      <c r="J19"/>
      <c r="K19"/>
      <c r="L19"/>
      <c r="M19" s="61"/>
      <c r="N19"/>
      <c r="O19"/>
      <c r="P19"/>
    </row>
    <row r="20" spans="2:16" hidden="1" x14ac:dyDescent="0.25">
      <c r="B20" s="151" t="s">
        <v>21</v>
      </c>
      <c r="C20" s="104"/>
      <c r="D20" s="104"/>
      <c r="E20" s="148" t="e">
        <f t="shared" si="1"/>
        <v>#DIV/0!</v>
      </c>
      <c r="F20" s="104"/>
      <c r="G20" s="148" t="e">
        <f t="shared" si="2"/>
        <v>#DIV/0!</v>
      </c>
      <c r="H20" s="148"/>
      <c r="I20"/>
      <c r="J20"/>
      <c r="K20"/>
      <c r="L20"/>
      <c r="M20" s="61"/>
      <c r="N20"/>
      <c r="O20"/>
      <c r="P20"/>
    </row>
    <row r="21" spans="2:16" hidden="1" x14ac:dyDescent="0.25">
      <c r="B21" s="151" t="s">
        <v>22</v>
      </c>
      <c r="C21" s="104"/>
      <c r="D21" s="104"/>
      <c r="E21" s="148" t="e">
        <f t="shared" si="1"/>
        <v>#DIV/0!</v>
      </c>
      <c r="F21" s="104"/>
      <c r="G21" s="148" t="e">
        <f t="shared" si="2"/>
        <v>#DIV/0!</v>
      </c>
      <c r="H21" s="148"/>
      <c r="I21"/>
      <c r="J21"/>
      <c r="K21"/>
      <c r="L21" s="61"/>
      <c r="M21"/>
      <c r="N21"/>
      <c r="O21"/>
      <c r="P21"/>
    </row>
    <row r="22" spans="2:16" ht="24" hidden="1" customHeight="1" x14ac:dyDescent="0.25">
      <c r="B22" s="105" t="s">
        <v>40</v>
      </c>
      <c r="C22" s="8" t="e">
        <f>+AVERAGE(C19:C21)</f>
        <v>#DIV/0!</v>
      </c>
      <c r="D22" s="8" t="e">
        <f>+AVERAGE(D19:D21)</f>
        <v>#DIV/0!</v>
      </c>
      <c r="E22" s="15" t="e">
        <f t="shared" si="1"/>
        <v>#DIV/0!</v>
      </c>
      <c r="F22" s="8" t="e">
        <f>+AVERAGE(F19:F21)</f>
        <v>#DIV/0!</v>
      </c>
      <c r="G22" s="15" t="e">
        <f t="shared" si="2"/>
        <v>#DIV/0!</v>
      </c>
      <c r="H22" s="15"/>
      <c r="I22"/>
      <c r="J22"/>
      <c r="K22"/>
      <c r="L22"/>
      <c r="M22" s="150"/>
      <c r="N22"/>
      <c r="O22"/>
      <c r="P22"/>
    </row>
    <row r="23" spans="2:16" hidden="1" x14ac:dyDescent="0.25">
      <c r="B23" s="149" t="s">
        <v>24</v>
      </c>
      <c r="C23" s="104"/>
      <c r="D23" s="104"/>
      <c r="E23" s="148" t="e">
        <f t="shared" si="1"/>
        <v>#DIV/0!</v>
      </c>
      <c r="F23" s="104"/>
      <c r="G23" s="148" t="e">
        <f t="shared" si="2"/>
        <v>#DIV/0!</v>
      </c>
      <c r="H23" s="148"/>
      <c r="I23"/>
      <c r="J23"/>
      <c r="K23"/>
      <c r="L23"/>
      <c r="M23" s="61"/>
      <c r="N23"/>
      <c r="O23"/>
      <c r="P23"/>
    </row>
    <row r="24" spans="2:16" hidden="1" x14ac:dyDescent="0.25">
      <c r="B24" s="151" t="s">
        <v>25</v>
      </c>
      <c r="C24" s="104"/>
      <c r="D24" s="104"/>
      <c r="E24" s="148" t="e">
        <f t="shared" si="1"/>
        <v>#DIV/0!</v>
      </c>
      <c r="F24" s="104"/>
      <c r="G24" s="148" t="e">
        <f t="shared" si="2"/>
        <v>#DIV/0!</v>
      </c>
      <c r="H24" s="148"/>
      <c r="I24"/>
      <c r="J24"/>
      <c r="K24"/>
      <c r="L24"/>
      <c r="M24" s="61"/>
      <c r="N24"/>
      <c r="O24"/>
      <c r="P24"/>
    </row>
    <row r="25" spans="2:16" ht="13.5" customHeight="1" x14ac:dyDescent="0.25">
      <c r="B25" s="14" t="s">
        <v>276</v>
      </c>
      <c r="C25" s="14"/>
      <c r="D25" s="14"/>
      <c r="E25"/>
      <c r="F25" s="187"/>
      <c r="G25"/>
      <c r="H25"/>
      <c r="I25"/>
      <c r="L25"/>
      <c r="M25"/>
      <c r="N25"/>
      <c r="O25"/>
      <c r="P25"/>
    </row>
    <row r="26" spans="2:16" ht="13.5" customHeight="1" x14ac:dyDescent="0.25">
      <c r="B26" s="103" t="s">
        <v>277</v>
      </c>
      <c r="C26" s="103"/>
      <c r="D26" s="103"/>
      <c r="E26"/>
      <c r="F26"/>
      <c r="G26"/>
      <c r="H26"/>
      <c r="I26"/>
      <c r="J26"/>
      <c r="K26"/>
      <c r="L26"/>
      <c r="M26" s="150"/>
      <c r="N26"/>
      <c r="O26"/>
      <c r="P26"/>
    </row>
    <row r="27" spans="2:16" ht="13.5" customHeight="1" x14ac:dyDescent="0.25">
      <c r="B27" s="103" t="s">
        <v>278</v>
      </c>
      <c r="C27" s="103"/>
      <c r="D27" s="103"/>
      <c r="E27" s="150"/>
      <c r="F27"/>
      <c r="G27" s="150"/>
      <c r="H27"/>
      <c r="I27"/>
      <c r="J27"/>
      <c r="K27"/>
      <c r="L27"/>
      <c r="M27" s="150"/>
      <c r="N27"/>
      <c r="O27"/>
      <c r="P27"/>
    </row>
    <row r="28" spans="2:16" x14ac:dyDescent="0.25">
      <c r="B28" s="230"/>
      <c r="C28" s="104"/>
      <c r="D28" s="104"/>
      <c r="E28" s="148"/>
      <c r="F28" s="104"/>
      <c r="G28" s="148"/>
      <c r="H28" s="148"/>
      <c r="I28"/>
      <c r="J28"/>
      <c r="K28"/>
      <c r="L28"/>
      <c r="M28" s="150"/>
      <c r="N28"/>
      <c r="O28"/>
      <c r="P28"/>
    </row>
    <row r="29" spans="2:16" x14ac:dyDescent="0.25">
      <c r="B29" s="149"/>
      <c r="C29" s="104"/>
      <c r="D29" s="104"/>
      <c r="E29" s="148"/>
      <c r="F29" s="104"/>
      <c r="G29" s="148"/>
      <c r="H29" s="148"/>
      <c r="I29"/>
      <c r="J29"/>
      <c r="K29"/>
      <c r="L29"/>
      <c r="M29"/>
      <c r="N29"/>
      <c r="O29"/>
      <c r="P29"/>
    </row>
    <row r="30" spans="2:16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2:16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2:16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2:16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6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6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2:16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3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hidden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idden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 t="s">
        <v>42</v>
      </c>
      <c r="P45"/>
    </row>
    <row r="46" spans="2:16" hidden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hidden="1" x14ac:dyDescent="0.25">
      <c r="B47"/>
      <c r="C47"/>
      <c r="D47"/>
      <c r="E47"/>
      <c r="F47"/>
      <c r="G47"/>
      <c r="H47"/>
      <c r="I47"/>
      <c r="M47"/>
      <c r="N47"/>
      <c r="O47"/>
      <c r="P47"/>
    </row>
    <row r="48" spans="2:16" hidden="1" x14ac:dyDescent="0.25">
      <c r="B48"/>
      <c r="C48"/>
      <c r="D48"/>
      <c r="E48"/>
      <c r="F48"/>
      <c r="G48"/>
      <c r="H48"/>
      <c r="I48"/>
      <c r="M48"/>
      <c r="N48"/>
      <c r="O48"/>
      <c r="P48"/>
    </row>
    <row r="49" spans="3:32" hidden="1" x14ac:dyDescent="0.25"/>
    <row r="50" spans="3:32" hidden="1" x14ac:dyDescent="0.25"/>
    <row r="51" spans="3:32" hidden="1" x14ac:dyDescent="0.25"/>
    <row r="52" spans="3:32" hidden="1" x14ac:dyDescent="0.25"/>
    <row r="53" spans="3:32" hidden="1" x14ac:dyDescent="0.25"/>
    <row r="54" spans="3:32" hidden="1" x14ac:dyDescent="0.25"/>
    <row r="55" spans="3:32" hidden="1" x14ac:dyDescent="0.25"/>
    <row r="56" spans="3:32" hidden="1" x14ac:dyDescent="0.25"/>
    <row r="57" spans="3:32" hidden="1" x14ac:dyDescent="0.25"/>
    <row r="58" spans="3:32" hidden="1" x14ac:dyDescent="0.25"/>
    <row r="59" spans="3:32" x14ac:dyDescent="0.25">
      <c r="X59"/>
      <c r="Y59"/>
      <c r="Z59"/>
      <c r="AA59"/>
      <c r="AB59"/>
      <c r="AC59"/>
      <c r="AD59"/>
      <c r="AE59"/>
      <c r="AF59"/>
    </row>
    <row r="60" spans="3:32" ht="15.75" thickBot="1" x14ac:dyDescent="0.3">
      <c r="C60"/>
      <c r="D60" s="152"/>
      <c r="X60"/>
      <c r="Y60"/>
      <c r="Z60"/>
      <c r="AA60"/>
      <c r="AB60"/>
      <c r="AC60"/>
      <c r="AD60"/>
      <c r="AE60"/>
      <c r="AF60"/>
    </row>
    <row r="61" spans="3:32" x14ac:dyDescent="0.25">
      <c r="C61" s="292" t="s">
        <v>33</v>
      </c>
      <c r="D61" s="293">
        <v>0.3</v>
      </c>
      <c r="X61"/>
      <c r="Y61"/>
      <c r="Z61"/>
      <c r="AA61"/>
      <c r="AB61"/>
      <c r="AC61"/>
      <c r="AD61"/>
      <c r="AE61"/>
      <c r="AF61"/>
    </row>
    <row r="62" spans="3:32" ht="15.75" thickBot="1" x14ac:dyDescent="0.3">
      <c r="C62" s="292" t="s">
        <v>35</v>
      </c>
      <c r="D62" s="294">
        <v>0.7</v>
      </c>
      <c r="M62" s="95"/>
      <c r="X62"/>
      <c r="Y62"/>
      <c r="Z62"/>
      <c r="AA62"/>
      <c r="AB62"/>
      <c r="AC62"/>
      <c r="AD62"/>
      <c r="AE62"/>
      <c r="AF62"/>
    </row>
    <row r="63" spans="3:32" x14ac:dyDescent="0.25">
      <c r="M63" s="95"/>
      <c r="X63"/>
      <c r="Y63"/>
      <c r="Z63"/>
      <c r="AA63"/>
      <c r="AB63"/>
      <c r="AC63"/>
      <c r="AD63"/>
      <c r="AE63"/>
      <c r="AF63"/>
    </row>
    <row r="64" spans="3:32" x14ac:dyDescent="0.25">
      <c r="M64" s="95"/>
      <c r="X64"/>
      <c r="Y64"/>
      <c r="Z64"/>
      <c r="AA64"/>
      <c r="AB64"/>
      <c r="AC64"/>
      <c r="AD64"/>
      <c r="AE64"/>
      <c r="AF64"/>
    </row>
    <row r="65" spans="6:29" x14ac:dyDescent="0.25">
      <c r="M65" s="13"/>
    </row>
    <row r="66" spans="6:29" x14ac:dyDescent="0.25">
      <c r="AA66" s="17"/>
      <c r="AC66" s="17"/>
    </row>
    <row r="67" spans="6:29" x14ac:dyDescent="0.25">
      <c r="AA67" s="17"/>
      <c r="AC67" s="17"/>
    </row>
    <row r="68" spans="6:29" x14ac:dyDescent="0.25">
      <c r="AA68" s="17"/>
      <c r="AC68" s="17"/>
    </row>
    <row r="74" spans="6:29" x14ac:dyDescent="0.25">
      <c r="J74"/>
    </row>
    <row r="75" spans="6:29" x14ac:dyDescent="0.25">
      <c r="J75"/>
    </row>
    <row r="76" spans="6:29" x14ac:dyDescent="0.25">
      <c r="F76"/>
      <c r="G76"/>
      <c r="H76"/>
      <c r="I76"/>
      <c r="J76"/>
    </row>
    <row r="77" spans="6:29" x14ac:dyDescent="0.25">
      <c r="F77"/>
      <c r="G77"/>
      <c r="H77"/>
      <c r="I77"/>
      <c r="J77"/>
    </row>
    <row r="78" spans="6:29" x14ac:dyDescent="0.25">
      <c r="F78"/>
      <c r="G78"/>
      <c r="H78"/>
      <c r="I78"/>
      <c r="J78"/>
    </row>
    <row r="79" spans="6:29" x14ac:dyDescent="0.25">
      <c r="F79"/>
      <c r="G79"/>
      <c r="H79"/>
      <c r="I79"/>
      <c r="J79"/>
    </row>
    <row r="80" spans="6:29" x14ac:dyDescent="0.25">
      <c r="F80"/>
      <c r="G80"/>
      <c r="H80"/>
      <c r="I80"/>
      <c r="J80"/>
    </row>
    <row r="81" spans="6:10" x14ac:dyDescent="0.25">
      <c r="F81"/>
      <c r="G81"/>
      <c r="H81"/>
      <c r="I81"/>
      <c r="J81"/>
    </row>
    <row r="82" spans="6:10" x14ac:dyDescent="0.25">
      <c r="F82"/>
      <c r="G82"/>
      <c r="H82"/>
      <c r="I82"/>
      <c r="J82"/>
    </row>
    <row r="83" spans="6:10" x14ac:dyDescent="0.25">
      <c r="F83"/>
      <c r="G83"/>
      <c r="H83"/>
      <c r="I83"/>
      <c r="J83"/>
    </row>
    <row r="84" spans="6:10" x14ac:dyDescent="0.25">
      <c r="F84"/>
      <c r="G84"/>
      <c r="H84"/>
      <c r="I84"/>
    </row>
    <row r="85" spans="6:10" x14ac:dyDescent="0.25">
      <c r="F85"/>
      <c r="G85"/>
      <c r="H85"/>
      <c r="I85"/>
    </row>
  </sheetData>
  <sortState xmlns:xlrd2="http://schemas.microsoft.com/office/spreadsheetml/2017/richdata2" ref="J10:M11">
    <sortCondition ref="J9:J11"/>
  </sortState>
  <mergeCells count="5">
    <mergeCell ref="B2:G2"/>
    <mergeCell ref="B3:G3"/>
    <mergeCell ref="B5:G5"/>
    <mergeCell ref="B1:G1"/>
    <mergeCell ref="B4:G4"/>
  </mergeCells>
  <pageMargins left="0.7" right="0.7" top="0.75" bottom="0.75" header="0.3" footer="0.3"/>
  <pageSetup paperSize="9"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P49"/>
  <sheetViews>
    <sheetView showGridLines="0" zoomScaleNormal="100" workbookViewId="0">
      <selection activeCell="E48" sqref="E48"/>
    </sheetView>
  </sheetViews>
  <sheetFormatPr baseColWidth="10" defaultColWidth="11.42578125" defaultRowHeight="15" x14ac:dyDescent="0.25"/>
  <cols>
    <col min="1" max="1" width="5.7109375" style="1" customWidth="1"/>
    <col min="2" max="2" width="12.42578125" style="1" customWidth="1"/>
    <col min="3" max="3" width="14.42578125" style="1" customWidth="1"/>
    <col min="4" max="9" width="11.42578125" style="1"/>
    <col min="10" max="10" width="13.7109375" style="1" bestFit="1" customWidth="1"/>
    <col min="11" max="11" width="12.7109375" style="1" customWidth="1"/>
    <col min="12" max="12" width="15" style="1" customWidth="1"/>
    <col min="13" max="13" width="6.85546875" style="1" customWidth="1"/>
    <col min="14" max="14" width="10.7109375" style="1" customWidth="1"/>
    <col min="15" max="15" width="10.140625" style="1" customWidth="1"/>
    <col min="16" max="16" width="24.85546875" style="1" customWidth="1"/>
    <col min="17" max="16384" width="11.42578125" style="1"/>
  </cols>
  <sheetData>
    <row r="1" spans="2:16" x14ac:dyDescent="0.25">
      <c r="B1" s="640" t="s">
        <v>0</v>
      </c>
      <c r="C1" s="640"/>
      <c r="D1" s="640"/>
      <c r="E1" s="640"/>
      <c r="F1" s="640"/>
      <c r="G1" s="640"/>
    </row>
    <row r="2" spans="2:16" x14ac:dyDescent="0.25">
      <c r="B2" s="640" t="s">
        <v>30</v>
      </c>
      <c r="C2" s="640"/>
      <c r="D2" s="640"/>
      <c r="E2" s="640"/>
      <c r="F2" s="640"/>
      <c r="G2" s="640"/>
    </row>
    <row r="3" spans="2:16" x14ac:dyDescent="0.25">
      <c r="B3" s="640" t="s">
        <v>43</v>
      </c>
      <c r="C3" s="640"/>
      <c r="D3" s="640"/>
      <c r="E3" s="640"/>
      <c r="F3" s="640"/>
      <c r="G3" s="640"/>
    </row>
    <row r="4" spans="2:16" x14ac:dyDescent="0.25">
      <c r="B4" s="640" t="s">
        <v>275</v>
      </c>
      <c r="C4" s="640"/>
      <c r="D4" s="640"/>
      <c r="E4" s="640"/>
      <c r="F4" s="640"/>
      <c r="G4" s="640"/>
    </row>
    <row r="5" spans="2:16" x14ac:dyDescent="0.25">
      <c r="B5" s="640" t="s">
        <v>3</v>
      </c>
      <c r="C5" s="640"/>
      <c r="D5" s="640"/>
      <c r="E5" s="640"/>
      <c r="F5" s="640"/>
      <c r="G5" s="640"/>
    </row>
    <row r="6" spans="2:16" ht="30.75" customHeight="1" x14ac:dyDescent="0.25">
      <c r="B6" s="641" t="s">
        <v>44</v>
      </c>
      <c r="C6" s="641"/>
      <c r="D6" s="641"/>
      <c r="E6" s="641"/>
      <c r="F6" s="641"/>
      <c r="G6" s="641"/>
      <c r="H6"/>
      <c r="I6"/>
      <c r="J6"/>
      <c r="K6"/>
      <c r="L6"/>
    </row>
    <row r="7" spans="2:16" ht="15" customHeight="1" x14ac:dyDescent="0.25">
      <c r="B7" s="107"/>
      <c r="C7" s="108" t="s">
        <v>45</v>
      </c>
      <c r="D7" s="108" t="s">
        <v>46</v>
      </c>
      <c r="E7" s="108" t="s">
        <v>28</v>
      </c>
      <c r="F7" s="108" t="s">
        <v>47</v>
      </c>
      <c r="G7" s="108" t="s">
        <v>48</v>
      </c>
      <c r="H7"/>
      <c r="I7"/>
      <c r="J7"/>
      <c r="K7"/>
      <c r="L7"/>
      <c r="M7"/>
      <c r="N7"/>
      <c r="O7" s="17"/>
    </row>
    <row r="8" spans="2:16" ht="15" customHeight="1" x14ac:dyDescent="0.25">
      <c r="B8" s="70" t="s">
        <v>22</v>
      </c>
      <c r="C8" s="136">
        <v>22411</v>
      </c>
      <c r="D8" s="136">
        <v>5257</v>
      </c>
      <c r="E8" s="537">
        <f t="shared" ref="E8:E9" si="0">+C8+D8</f>
        <v>27668</v>
      </c>
      <c r="F8" s="282">
        <f t="shared" ref="F8:F9" si="1">+C8/E8</f>
        <v>0.80999710857308083</v>
      </c>
      <c r="G8" s="282">
        <f t="shared" ref="G8:G9" si="2">+D8/E8</f>
        <v>0.19000289142691917</v>
      </c>
      <c r="H8" s="61"/>
      <c r="I8"/>
      <c r="J8"/>
      <c r="K8"/>
      <c r="L8"/>
      <c r="M8"/>
      <c r="N8"/>
      <c r="O8" s="17"/>
    </row>
    <row r="9" spans="2:16" ht="15" customHeight="1" x14ac:dyDescent="0.25">
      <c r="B9" s="70" t="s">
        <v>21</v>
      </c>
      <c r="C9" s="136">
        <v>22471</v>
      </c>
      <c r="D9" s="136">
        <v>5271</v>
      </c>
      <c r="E9" s="537">
        <f t="shared" si="0"/>
        <v>27742</v>
      </c>
      <c r="F9" s="282">
        <f t="shared" si="1"/>
        <v>0.80999927907144398</v>
      </c>
      <c r="G9" s="282">
        <f t="shared" si="2"/>
        <v>0.19000072092855599</v>
      </c>
      <c r="H9" s="121"/>
      <c r="I9"/>
      <c r="J9"/>
      <c r="K9"/>
      <c r="L9"/>
      <c r="M9"/>
      <c r="N9"/>
      <c r="O9" s="17"/>
    </row>
    <row r="10" spans="2:16" ht="15" customHeight="1" x14ac:dyDescent="0.25">
      <c r="B10" s="70" t="s">
        <v>20</v>
      </c>
      <c r="C10" s="136">
        <v>22605</v>
      </c>
      <c r="D10" s="136">
        <v>5302</v>
      </c>
      <c r="E10" s="537">
        <f>+C10+D10</f>
        <v>27907</v>
      </c>
      <c r="F10" s="282">
        <f>+C10/E10</f>
        <v>0.81001182499014579</v>
      </c>
      <c r="G10" s="282">
        <f>+D10/E10</f>
        <v>0.18998817500985415</v>
      </c>
      <c r="H10"/>
      <c r="I10"/>
      <c r="J10"/>
      <c r="K10"/>
      <c r="L10"/>
      <c r="M10"/>
      <c r="N10"/>
    </row>
    <row r="11" spans="2:16" ht="25.5" customHeight="1" x14ac:dyDescent="0.25">
      <c r="B11" s="290" t="s">
        <v>280</v>
      </c>
      <c r="C11" s="331">
        <f>AVERAGE(C8:C10)</f>
        <v>22495.666666666668</v>
      </c>
      <c r="D11" s="331">
        <f>AVERAGE(D8:D10)</f>
        <v>5276.666666666667</v>
      </c>
      <c r="E11" s="331">
        <f>AVERAGE(E8:E10)</f>
        <v>27772.333333333332</v>
      </c>
      <c r="F11" s="332">
        <f>C11/E11</f>
        <v>0.81000276054106612</v>
      </c>
      <c r="G11" s="332">
        <f>+D11/E11</f>
        <v>0.18999723945893396</v>
      </c>
      <c r="H11"/>
      <c r="I11"/>
      <c r="J11"/>
      <c r="K11"/>
      <c r="L11"/>
      <c r="M11"/>
      <c r="N11"/>
    </row>
    <row r="12" spans="2:16" hidden="1" x14ac:dyDescent="0.25">
      <c r="B12" s="151" t="s">
        <v>16</v>
      </c>
      <c r="C12" s="136">
        <v>24095</v>
      </c>
      <c r="D12" s="136">
        <v>5652</v>
      </c>
      <c r="E12" s="136">
        <f>+C12+D12</f>
        <v>29747</v>
      </c>
      <c r="F12" s="19">
        <f>C12/E12</f>
        <v>0.80999764682152819</v>
      </c>
      <c r="G12" s="19">
        <f>+D12/E12</f>
        <v>0.19000235317847178</v>
      </c>
      <c r="H12"/>
      <c r="I12"/>
      <c r="J12"/>
      <c r="K12"/>
      <c r="L12"/>
      <c r="M12" s="13"/>
    </row>
    <row r="13" spans="2:16" hidden="1" x14ac:dyDescent="0.25">
      <c r="B13" s="151" t="s">
        <v>17</v>
      </c>
      <c r="C13" s="136">
        <v>23262</v>
      </c>
      <c r="D13" s="136">
        <v>5457</v>
      </c>
      <c r="E13" s="136">
        <f t="shared" ref="E13:E26" si="3">+C13+D13</f>
        <v>28719</v>
      </c>
      <c r="F13" s="19">
        <f>C13/E13</f>
        <v>0.80998642013997701</v>
      </c>
      <c r="G13" s="19">
        <f>+D13/E13</f>
        <v>0.19001357986002299</v>
      </c>
      <c r="H13"/>
      <c r="I13"/>
      <c r="J13" s="180"/>
      <c r="K13"/>
      <c r="L13" s="180"/>
      <c r="M13" s="13"/>
      <c r="P13" s="13"/>
    </row>
    <row r="14" spans="2:16" hidden="1" x14ac:dyDescent="0.25">
      <c r="B14" s="151" t="s">
        <v>18</v>
      </c>
      <c r="C14" s="136">
        <v>23232</v>
      </c>
      <c r="D14" s="136">
        <v>5450</v>
      </c>
      <c r="E14" s="136">
        <f>+C14+D14</f>
        <v>28682</v>
      </c>
      <c r="F14" s="19">
        <f>C14/E14</f>
        <v>0.80998535666968829</v>
      </c>
      <c r="G14" s="19">
        <f>+D14/E14</f>
        <v>0.19001464333031171</v>
      </c>
      <c r="H14"/>
      <c r="I14"/>
      <c r="J14"/>
      <c r="K14"/>
      <c r="L14"/>
      <c r="M14" s="13"/>
      <c r="P14" s="13"/>
    </row>
    <row r="15" spans="2:16" ht="25.5" hidden="1" x14ac:dyDescent="0.25">
      <c r="B15" s="105" t="s">
        <v>49</v>
      </c>
      <c r="C15" s="178">
        <f>AVERAGE(C12:C14)</f>
        <v>23529.666666666668</v>
      </c>
      <c r="D15" s="178">
        <f>AVERAGE(D12:D14)</f>
        <v>5519.666666666667</v>
      </c>
      <c r="E15" s="178">
        <f>AVERAGE(E12:E14)</f>
        <v>29049.333333333332</v>
      </c>
      <c r="F15" s="179">
        <f>+AVERAGE(F12:F14)</f>
        <v>0.80998980787706454</v>
      </c>
      <c r="G15" s="179">
        <f>+AVERAGE(G12:G14)</f>
        <v>0.19001019212293549</v>
      </c>
      <c r="H15" s="61"/>
      <c r="I15"/>
      <c r="J15"/>
      <c r="K15"/>
      <c r="L15"/>
      <c r="M15" s="13"/>
      <c r="N15" s="62"/>
      <c r="P15" s="13"/>
    </row>
    <row r="16" spans="2:16" ht="1.5" hidden="1" customHeight="1" x14ac:dyDescent="0.25">
      <c r="B16" s="44" t="s">
        <v>14</v>
      </c>
      <c r="C16" s="104"/>
      <c r="D16" s="104"/>
      <c r="E16" s="18">
        <f>+C16+D16</f>
        <v>0</v>
      </c>
      <c r="F16" s="19" t="e">
        <f>+C16/E16</f>
        <v>#DIV/0!</v>
      </c>
      <c r="G16" s="19" t="e">
        <f>+D16/E16</f>
        <v>#DIV/0!</v>
      </c>
      <c r="H16"/>
      <c r="I16"/>
      <c r="J16"/>
      <c r="K16"/>
      <c r="L16"/>
    </row>
    <row r="17" spans="2:12" hidden="1" x14ac:dyDescent="0.25">
      <c r="B17" s="44" t="s">
        <v>13</v>
      </c>
      <c r="C17" s="104"/>
      <c r="D17" s="104"/>
      <c r="E17" s="18">
        <f t="shared" si="3"/>
        <v>0</v>
      </c>
      <c r="F17" s="19" t="e">
        <f>+C17/E17</f>
        <v>#DIV/0!</v>
      </c>
      <c r="G17" s="19" t="e">
        <f>+D17/E17</f>
        <v>#DIV/0!</v>
      </c>
      <c r="H17"/>
      <c r="I17"/>
      <c r="J17"/>
      <c r="K17"/>
      <c r="L17"/>
    </row>
    <row r="18" spans="2:12" hidden="1" x14ac:dyDescent="0.25">
      <c r="B18" s="44" t="s">
        <v>12</v>
      </c>
      <c r="C18" s="104"/>
      <c r="D18" s="104"/>
      <c r="E18" s="18">
        <f t="shared" si="3"/>
        <v>0</v>
      </c>
      <c r="F18" s="19" t="e">
        <f>+C18/E18</f>
        <v>#DIV/0!</v>
      </c>
      <c r="G18" s="19" t="e">
        <f>+D18/E18</f>
        <v>#DIV/0!</v>
      </c>
      <c r="H18"/>
      <c r="I18"/>
      <c r="J18"/>
      <c r="K18"/>
      <c r="L18"/>
    </row>
    <row r="19" spans="2:12" ht="25.5" hidden="1" x14ac:dyDescent="0.25">
      <c r="B19" s="105" t="s">
        <v>37</v>
      </c>
      <c r="C19" s="8" t="e">
        <f>AVERAGE(C16:C18)</f>
        <v>#DIV/0!</v>
      </c>
      <c r="D19" s="8" t="e">
        <f>AVERAGE(D16:D18)</f>
        <v>#DIV/0!</v>
      </c>
      <c r="E19" s="8">
        <f>AVERAGE(E16:E18)</f>
        <v>0</v>
      </c>
      <c r="F19" s="15" t="e">
        <f>+AVERAGE(F16:F18)</f>
        <v>#DIV/0!</v>
      </c>
      <c r="G19" s="15" t="e">
        <f>+AVERAGE(G16:G18)</f>
        <v>#DIV/0!</v>
      </c>
      <c r="H19"/>
      <c r="I19"/>
      <c r="J19"/>
      <c r="K19"/>
      <c r="L19"/>
    </row>
    <row r="20" spans="2:12" hidden="1" x14ac:dyDescent="0.25">
      <c r="B20" s="44" t="s">
        <v>39</v>
      </c>
      <c r="C20" s="104"/>
      <c r="D20" s="104"/>
      <c r="E20" s="18">
        <f t="shared" si="3"/>
        <v>0</v>
      </c>
      <c r="F20" s="19" t="e">
        <f>+C20/E20</f>
        <v>#DIV/0!</v>
      </c>
      <c r="G20" s="19" t="e">
        <f>+D20/E20</f>
        <v>#DIV/0!</v>
      </c>
      <c r="H20"/>
      <c r="I20"/>
      <c r="J20"/>
      <c r="K20"/>
      <c r="L20"/>
    </row>
    <row r="21" spans="2:12" hidden="1" x14ac:dyDescent="0.25">
      <c r="B21" s="44" t="s">
        <v>21</v>
      </c>
      <c r="C21" s="104"/>
      <c r="D21" s="104"/>
      <c r="E21" s="18">
        <f t="shared" si="3"/>
        <v>0</v>
      </c>
      <c r="F21" s="19" t="e">
        <f>+C21/E21</f>
        <v>#DIV/0!</v>
      </c>
      <c r="G21" s="19" t="e">
        <f>+D21/E21</f>
        <v>#DIV/0!</v>
      </c>
      <c r="H21"/>
      <c r="I21"/>
      <c r="J21"/>
      <c r="K21"/>
      <c r="L21"/>
    </row>
    <row r="22" spans="2:12" hidden="1" x14ac:dyDescent="0.25">
      <c r="B22" s="44" t="s">
        <v>22</v>
      </c>
      <c r="C22" s="104"/>
      <c r="D22" s="104"/>
      <c r="E22" s="18">
        <f t="shared" si="3"/>
        <v>0</v>
      </c>
      <c r="F22" s="19" t="e">
        <f>+C22/E22</f>
        <v>#DIV/0!</v>
      </c>
      <c r="G22" s="19" t="e">
        <f>+D22/E22</f>
        <v>#DIV/0!</v>
      </c>
      <c r="H22"/>
      <c r="I22"/>
      <c r="J22"/>
      <c r="K22"/>
      <c r="L22"/>
    </row>
    <row r="23" spans="2:12" ht="25.5" hidden="1" x14ac:dyDescent="0.25">
      <c r="B23" s="105" t="s">
        <v>40</v>
      </c>
      <c r="C23" s="8" t="e">
        <f>AVERAGE(C20:C22)</f>
        <v>#DIV/0!</v>
      </c>
      <c r="D23" s="8" t="e">
        <f>AVERAGE(D20:D22)</f>
        <v>#DIV/0!</v>
      </c>
      <c r="E23" s="8">
        <f>AVERAGE(E20:E22)</f>
        <v>0</v>
      </c>
      <c r="F23" s="15" t="e">
        <f>+AVERAGE(F20:F22)</f>
        <v>#DIV/0!</v>
      </c>
      <c r="G23" s="15" t="e">
        <f>+AVERAGE(G20:G22)</f>
        <v>#DIV/0!</v>
      </c>
      <c r="H23"/>
      <c r="I23"/>
      <c r="J23"/>
      <c r="K23"/>
      <c r="L23"/>
    </row>
    <row r="24" spans="2:12" hidden="1" x14ac:dyDescent="0.25">
      <c r="B24" s="44" t="s">
        <v>24</v>
      </c>
      <c r="C24" s="104"/>
      <c r="D24" s="104"/>
      <c r="E24" s="18">
        <f t="shared" si="3"/>
        <v>0</v>
      </c>
      <c r="F24" s="19" t="e">
        <f>+C24/E24</f>
        <v>#DIV/0!</v>
      </c>
      <c r="G24" s="19" t="e">
        <f>+D24/E24</f>
        <v>#DIV/0!</v>
      </c>
      <c r="H24"/>
      <c r="I24"/>
      <c r="J24"/>
      <c r="K24"/>
      <c r="L24"/>
    </row>
    <row r="25" spans="2:12" hidden="1" x14ac:dyDescent="0.25">
      <c r="B25" s="44" t="s">
        <v>25</v>
      </c>
      <c r="C25" s="104"/>
      <c r="D25" s="104"/>
      <c r="E25" s="18">
        <f t="shared" si="3"/>
        <v>0</v>
      </c>
      <c r="F25" s="19" t="e">
        <f>+C25/E25</f>
        <v>#DIV/0!</v>
      </c>
      <c r="G25" s="19" t="e">
        <f>+D25/E25</f>
        <v>#DIV/0!</v>
      </c>
      <c r="H25"/>
      <c r="I25"/>
      <c r="J25"/>
      <c r="K25"/>
      <c r="L25"/>
    </row>
    <row r="26" spans="2:12" hidden="1" x14ac:dyDescent="0.25">
      <c r="B26" s="44" t="s">
        <v>26</v>
      </c>
      <c r="C26" s="104"/>
      <c r="D26" s="104"/>
      <c r="E26" s="18">
        <f t="shared" si="3"/>
        <v>0</v>
      </c>
      <c r="F26" s="19" t="e">
        <f>+C26/E26</f>
        <v>#DIV/0!</v>
      </c>
      <c r="G26" s="19" t="e">
        <f>+D26/E26</f>
        <v>#DIV/0!</v>
      </c>
      <c r="H26"/>
      <c r="I26"/>
      <c r="J26" s="61"/>
      <c r="K26" s="61"/>
      <c r="L26" s="61"/>
    </row>
    <row r="27" spans="2:12" ht="25.5" hidden="1" x14ac:dyDescent="0.25">
      <c r="B27" s="105" t="s">
        <v>41</v>
      </c>
      <c r="C27" s="8" t="e">
        <f t="shared" ref="C27:E28" si="4">AVERAGE(C24:C26)</f>
        <v>#DIV/0!</v>
      </c>
      <c r="D27" s="8" t="e">
        <f t="shared" si="4"/>
        <v>#DIV/0!</v>
      </c>
      <c r="E27" s="8">
        <f t="shared" si="4"/>
        <v>0</v>
      </c>
      <c r="F27" s="15" t="e">
        <f>+AVERAGE(F24:F26)</f>
        <v>#DIV/0!</v>
      </c>
      <c r="G27" s="15" t="e">
        <f>+AVERAGE(G24:G26)</f>
        <v>#DIV/0!</v>
      </c>
      <c r="H27"/>
      <c r="I27"/>
      <c r="J27"/>
      <c r="K27"/>
      <c r="L27"/>
    </row>
    <row r="28" spans="2:12" hidden="1" x14ac:dyDescent="0.25">
      <c r="B28" s="24" t="s">
        <v>28</v>
      </c>
      <c r="C28" s="10" t="e">
        <f t="shared" si="4"/>
        <v>#DIV/0!</v>
      </c>
      <c r="D28" s="10" t="e">
        <f t="shared" si="4"/>
        <v>#DIV/0!</v>
      </c>
      <c r="E28" s="16">
        <f t="shared" si="4"/>
        <v>0</v>
      </c>
      <c r="F28" s="10" t="e">
        <f>+AVERAGE(F25:F27)</f>
        <v>#DIV/0!</v>
      </c>
      <c r="G28" s="16" t="e">
        <f>+AVERAGE(G25:G27)</f>
        <v>#DIV/0!</v>
      </c>
      <c r="H28"/>
      <c r="I28"/>
      <c r="J28"/>
      <c r="K28" s="95">
        <v>24095</v>
      </c>
      <c r="L28"/>
    </row>
    <row r="29" spans="2:12" x14ac:dyDescent="0.25">
      <c r="B29" s="156" t="s">
        <v>50</v>
      </c>
      <c r="C29"/>
      <c r="D29"/>
      <c r="E29"/>
      <c r="F29"/>
      <c r="G29"/>
      <c r="H29"/>
      <c r="I29"/>
      <c r="J29" s="17"/>
    </row>
    <row r="30" spans="2:12" x14ac:dyDescent="0.25">
      <c r="C30"/>
      <c r="D30"/>
      <c r="E30"/>
      <c r="F30"/>
      <c r="G30"/>
      <c r="H30"/>
      <c r="I30"/>
      <c r="K30" s="231"/>
    </row>
    <row r="31" spans="2:12" x14ac:dyDescent="0.25">
      <c r="B31"/>
      <c r="C31"/>
      <c r="D31"/>
      <c r="E31"/>
      <c r="F31"/>
      <c r="G31"/>
      <c r="H31"/>
      <c r="I31"/>
      <c r="K31" s="231"/>
    </row>
    <row r="32" spans="2:12" x14ac:dyDescent="0.25">
      <c r="B32"/>
      <c r="C32"/>
      <c r="D32"/>
      <c r="E32"/>
      <c r="F32"/>
      <c r="G32"/>
      <c r="H32"/>
      <c r="I32"/>
      <c r="K32" s="232"/>
    </row>
    <row r="33" spans="2:16" x14ac:dyDescent="0.25">
      <c r="B33"/>
      <c r="C33"/>
      <c r="D33"/>
      <c r="E33"/>
      <c r="F33"/>
      <c r="G33"/>
      <c r="H33"/>
      <c r="I33"/>
      <c r="J33"/>
      <c r="K33"/>
      <c r="L33"/>
      <c r="N33" s="233"/>
    </row>
    <row r="34" spans="2:16" x14ac:dyDescent="0.25">
      <c r="B34"/>
      <c r="C34"/>
      <c r="D34"/>
      <c r="E34"/>
      <c r="F34"/>
      <c r="G34"/>
      <c r="H34"/>
      <c r="I34"/>
      <c r="J34"/>
      <c r="K34"/>
      <c r="L34"/>
    </row>
    <row r="35" spans="2:16" x14ac:dyDescent="0.25">
      <c r="B35"/>
      <c r="C35"/>
      <c r="D35"/>
      <c r="E35"/>
      <c r="F35"/>
      <c r="G35"/>
      <c r="H35"/>
      <c r="I35"/>
      <c r="J35"/>
      <c r="K35"/>
      <c r="L35"/>
    </row>
    <row r="36" spans="2:16" x14ac:dyDescent="0.25">
      <c r="B36"/>
      <c r="C36"/>
      <c r="D36"/>
      <c r="E36"/>
      <c r="F36"/>
      <c r="G36"/>
      <c r="H36"/>
      <c r="I36"/>
      <c r="J36"/>
      <c r="K36" s="44"/>
      <c r="L36" s="136"/>
    </row>
    <row r="37" spans="2:16" x14ac:dyDescent="0.25">
      <c r="B37"/>
      <c r="C37"/>
      <c r="D37"/>
      <c r="E37"/>
      <c r="F37"/>
      <c r="G37"/>
      <c r="H37"/>
      <c r="I37"/>
      <c r="J37"/>
      <c r="K37" s="44"/>
      <c r="L37" s="136"/>
    </row>
    <row r="38" spans="2:16" x14ac:dyDescent="0.25">
      <c r="B38"/>
      <c r="C38"/>
      <c r="D38"/>
      <c r="E38"/>
      <c r="F38"/>
      <c r="G38"/>
      <c r="H38"/>
      <c r="I38"/>
      <c r="J38"/>
      <c r="K38" s="44"/>
      <c r="L38" s="136"/>
      <c r="M38" s="136"/>
      <c r="N38" s="18"/>
      <c r="O38" s="19"/>
      <c r="P38" s="19"/>
    </row>
    <row r="39" spans="2:16" x14ac:dyDescent="0.25">
      <c r="B39"/>
      <c r="C39"/>
      <c r="D39"/>
      <c r="E39"/>
      <c r="F39"/>
      <c r="G39"/>
      <c r="H39"/>
      <c r="I39"/>
      <c r="J39"/>
      <c r="K39"/>
      <c r="L39"/>
      <c r="M39" s="136"/>
      <c r="N39" s="18"/>
      <c r="O39" s="19"/>
      <c r="P39" s="19"/>
    </row>
    <row r="40" spans="2:16" x14ac:dyDescent="0.25">
      <c r="B40"/>
      <c r="C40"/>
      <c r="D40"/>
      <c r="E40"/>
      <c r="F40"/>
      <c r="G40"/>
      <c r="H40"/>
      <c r="I40"/>
      <c r="J40"/>
      <c r="K40"/>
      <c r="L40"/>
      <c r="M40" s="136"/>
      <c r="N40" s="18"/>
      <c r="O40" s="19"/>
      <c r="P40" s="19"/>
    </row>
    <row r="41" spans="2:16" x14ac:dyDescent="0.25">
      <c r="B41"/>
      <c r="C41"/>
      <c r="D41"/>
      <c r="E41"/>
      <c r="F41"/>
      <c r="G41"/>
      <c r="H41"/>
    </row>
    <row r="42" spans="2:16" x14ac:dyDescent="0.25">
      <c r="B42"/>
      <c r="C42"/>
      <c r="D42"/>
      <c r="E42"/>
      <c r="F42"/>
      <c r="G42"/>
      <c r="H42"/>
    </row>
    <row r="48" spans="2:16" x14ac:dyDescent="0.25">
      <c r="B48" s="44"/>
      <c r="C48" s="104"/>
      <c r="D48" s="104"/>
      <c r="E48" s="18"/>
      <c r="F48" s="19"/>
      <c r="G48" s="19"/>
    </row>
    <row r="49" spans="2:7" x14ac:dyDescent="0.25">
      <c r="B49" s="44"/>
      <c r="C49" s="104"/>
      <c r="D49" s="104"/>
      <c r="E49" s="18"/>
      <c r="F49" s="19"/>
      <c r="G49" s="19"/>
    </row>
  </sheetData>
  <mergeCells count="6">
    <mergeCell ref="B6:G6"/>
    <mergeCell ref="B1:G1"/>
    <mergeCell ref="B2:G2"/>
    <mergeCell ref="B3:G3"/>
    <mergeCell ref="B5:G5"/>
    <mergeCell ref="B4:G4"/>
  </mergeCells>
  <pageMargins left="0.7" right="0.7" top="0.75" bottom="0.75" header="0.3" footer="0.3"/>
  <pageSetup paperSize="9" scale="64" orientation="portrait" r:id="rId1"/>
  <ignoredErrors>
    <ignoredError sqref="G15 E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1:N44"/>
  <sheetViews>
    <sheetView showGridLines="0" topLeftCell="A4" zoomScale="115" zoomScaleNormal="115" workbookViewId="0">
      <selection activeCell="H49" sqref="H49"/>
    </sheetView>
  </sheetViews>
  <sheetFormatPr baseColWidth="10" defaultColWidth="11.42578125" defaultRowHeight="15" x14ac:dyDescent="0.25"/>
  <cols>
    <col min="1" max="1" width="6.5703125" style="1" customWidth="1"/>
    <col min="2" max="2" width="11.7109375" style="1" customWidth="1"/>
    <col min="3" max="3" width="16.5703125" style="1" customWidth="1"/>
    <col min="4" max="4" width="3.7109375" style="1" customWidth="1"/>
    <col min="5" max="5" width="13.5703125" style="1" customWidth="1"/>
    <col min="6" max="6" width="16.7109375" style="1" customWidth="1"/>
    <col min="7" max="10" width="11.42578125" style="1"/>
    <col min="11" max="11" width="13.42578125" style="1" bestFit="1" customWidth="1"/>
    <col min="12" max="16384" width="11.42578125" style="1"/>
  </cols>
  <sheetData>
    <row r="1" spans="2:14" x14ac:dyDescent="0.25">
      <c r="B1" s="640" t="s">
        <v>0</v>
      </c>
      <c r="C1" s="640"/>
      <c r="D1" s="640"/>
      <c r="E1" s="640"/>
      <c r="F1" s="640"/>
      <c r="G1" s="20"/>
      <c r="H1" s="20"/>
    </row>
    <row r="2" spans="2:14" x14ac:dyDescent="0.25">
      <c r="B2" s="640" t="s">
        <v>30</v>
      </c>
      <c r="C2" s="640"/>
      <c r="D2" s="640"/>
      <c r="E2" s="640"/>
      <c r="F2" s="640"/>
      <c r="G2" s="21"/>
      <c r="H2" s="21"/>
    </row>
    <row r="3" spans="2:14" x14ac:dyDescent="0.25">
      <c r="B3" s="640" t="s">
        <v>51</v>
      </c>
      <c r="C3" s="640"/>
      <c r="D3" s="640"/>
      <c r="E3" s="640"/>
      <c r="F3" s="640"/>
      <c r="G3" s="21"/>
      <c r="H3" s="21"/>
    </row>
    <row r="4" spans="2:14" x14ac:dyDescent="0.25">
      <c r="B4" s="640" t="s">
        <v>275</v>
      </c>
      <c r="C4" s="640"/>
      <c r="D4" s="640"/>
      <c r="E4" s="640"/>
      <c r="F4" s="640"/>
      <c r="G4" s="20"/>
      <c r="H4" s="20"/>
    </row>
    <row r="5" spans="2:14" x14ac:dyDescent="0.25">
      <c r="B5" s="640" t="s">
        <v>3</v>
      </c>
      <c r="C5" s="640"/>
      <c r="D5" s="640"/>
      <c r="E5" s="640"/>
      <c r="F5" s="640"/>
      <c r="G5" s="21"/>
      <c r="H5" s="21"/>
    </row>
    <row r="6" spans="2:14" x14ac:dyDescent="0.25">
      <c r="B6" s="642" t="s">
        <v>52</v>
      </c>
      <c r="C6" s="642"/>
      <c r="D6" s="642"/>
      <c r="E6" s="642"/>
      <c r="F6" s="642"/>
      <c r="G6"/>
      <c r="H6"/>
      <c r="I6"/>
      <c r="J6"/>
      <c r="K6"/>
      <c r="L6"/>
      <c r="M6"/>
      <c r="N6"/>
    </row>
    <row r="7" spans="2:14" ht="13.5" customHeight="1" x14ac:dyDescent="0.25">
      <c r="B7" s="429"/>
      <c r="C7" s="558" t="s">
        <v>53</v>
      </c>
      <c r="D7" s="558"/>
      <c r="E7" s="566" t="s">
        <v>54</v>
      </c>
      <c r="F7" s="566" t="s">
        <v>55</v>
      </c>
      <c r="G7"/>
      <c r="H7"/>
      <c r="I7"/>
      <c r="J7"/>
      <c r="K7"/>
      <c r="L7"/>
      <c r="M7"/>
      <c r="N7"/>
    </row>
    <row r="8" spans="2:14" x14ac:dyDescent="0.25">
      <c r="B8" s="333" t="s">
        <v>22</v>
      </c>
      <c r="C8" s="567">
        <v>88568980.689999998</v>
      </c>
      <c r="D8" s="567"/>
      <c r="E8" s="567">
        <v>12077588.279999999</v>
      </c>
      <c r="F8" s="568">
        <f t="shared" ref="F8:F14" si="0">+C8+E8</f>
        <v>100646568.97</v>
      </c>
      <c r="G8"/>
      <c r="H8"/>
      <c r="I8"/>
      <c r="J8"/>
      <c r="K8"/>
      <c r="L8"/>
      <c r="M8"/>
      <c r="N8"/>
    </row>
    <row r="9" spans="2:14" x14ac:dyDescent="0.25">
      <c r="B9" s="333" t="s">
        <v>21</v>
      </c>
      <c r="C9" s="567">
        <v>88868078.280000001</v>
      </c>
      <c r="D9" s="567"/>
      <c r="E9" s="567">
        <v>12118374.310000001</v>
      </c>
      <c r="F9" s="568">
        <f t="shared" si="0"/>
        <v>100986452.59</v>
      </c>
      <c r="G9"/>
      <c r="H9"/>
      <c r="I9"/>
      <c r="J9"/>
      <c r="K9"/>
      <c r="L9"/>
      <c r="M9"/>
      <c r="N9"/>
    </row>
    <row r="10" spans="2:14" x14ac:dyDescent="0.25">
      <c r="B10" s="333" t="s">
        <v>20</v>
      </c>
      <c r="C10" s="567">
        <v>89317010.370000005</v>
      </c>
      <c r="D10" s="567"/>
      <c r="E10" s="567">
        <v>12179592.32</v>
      </c>
      <c r="F10" s="568">
        <f t="shared" si="0"/>
        <v>101496602.69</v>
      </c>
      <c r="G10"/>
      <c r="H10"/>
      <c r="I10"/>
      <c r="J10"/>
      <c r="K10"/>
      <c r="L10"/>
      <c r="M10"/>
      <c r="N10"/>
    </row>
    <row r="11" spans="2:14" x14ac:dyDescent="0.25">
      <c r="B11" s="569" t="s">
        <v>23</v>
      </c>
      <c r="C11" s="570">
        <f>SUM(C8:C10)</f>
        <v>266754069.34</v>
      </c>
      <c r="D11" s="570"/>
      <c r="E11" s="570">
        <f>SUM(E8:E10)</f>
        <v>36375554.909999996</v>
      </c>
      <c r="F11" s="570">
        <f t="shared" si="0"/>
        <v>303129624.25</v>
      </c>
      <c r="G11"/>
      <c r="H11"/>
      <c r="I11"/>
      <c r="J11"/>
      <c r="K11"/>
      <c r="L11"/>
      <c r="M11"/>
      <c r="N11"/>
    </row>
    <row r="12" spans="2:14" hidden="1" x14ac:dyDescent="0.25">
      <c r="B12" s="57" t="s">
        <v>16</v>
      </c>
      <c r="C12" s="538">
        <v>95864876.870000005</v>
      </c>
      <c r="D12" s="538"/>
      <c r="E12" s="538">
        <v>13072483.210000001</v>
      </c>
      <c r="F12" s="53">
        <f t="shared" si="0"/>
        <v>108937360.08000001</v>
      </c>
      <c r="G12"/>
      <c r="H12" s="110"/>
      <c r="I12" s="110"/>
      <c r="J12"/>
      <c r="K12"/>
      <c r="L12"/>
      <c r="M12"/>
      <c r="N12"/>
    </row>
    <row r="13" spans="2:14" hidden="1" x14ac:dyDescent="0.25">
      <c r="B13" s="57" t="s">
        <v>17</v>
      </c>
      <c r="C13" s="538">
        <v>89437997.010000005</v>
      </c>
      <c r="D13" s="538"/>
      <c r="E13" s="538">
        <v>12196090.5</v>
      </c>
      <c r="F13" s="53">
        <f t="shared" si="0"/>
        <v>101634087.51000001</v>
      </c>
      <c r="G13"/>
      <c r="H13"/>
      <c r="I13"/>
      <c r="J13"/>
      <c r="K13"/>
      <c r="L13"/>
      <c r="M13"/>
      <c r="N13"/>
    </row>
    <row r="14" spans="2:14" hidden="1" x14ac:dyDescent="0.25">
      <c r="B14" s="57" t="s">
        <v>18</v>
      </c>
      <c r="C14" s="538">
        <v>90726862.260000005</v>
      </c>
      <c r="D14" s="538"/>
      <c r="E14" s="538">
        <v>12371844.85</v>
      </c>
      <c r="F14" s="53">
        <f t="shared" si="0"/>
        <v>103098707.11</v>
      </c>
      <c r="G14"/>
      <c r="H14"/>
      <c r="I14"/>
      <c r="J14"/>
      <c r="K14"/>
      <c r="L14"/>
      <c r="M14"/>
      <c r="N14"/>
    </row>
    <row r="15" spans="2:14" ht="23.25" hidden="1" customHeight="1" x14ac:dyDescent="0.25">
      <c r="B15" s="181" t="s">
        <v>19</v>
      </c>
      <c r="C15" s="540">
        <f>SUM(C12:C14)</f>
        <v>276029736.13999999</v>
      </c>
      <c r="D15" s="540"/>
      <c r="E15" s="540">
        <f>SUM(E12:E14)</f>
        <v>37640418.560000002</v>
      </c>
      <c r="F15" s="540">
        <f>SUM(F12:F14)</f>
        <v>313670154.70000005</v>
      </c>
      <c r="G15"/>
      <c r="H15"/>
      <c r="I15"/>
      <c r="J15"/>
      <c r="K15"/>
      <c r="L15"/>
      <c r="M15"/>
      <c r="N15"/>
    </row>
    <row r="16" spans="2:14" hidden="1" x14ac:dyDescent="0.25">
      <c r="B16" s="158" t="s">
        <v>14</v>
      </c>
      <c r="C16" s="539"/>
      <c r="D16" s="539"/>
      <c r="E16" s="539"/>
      <c r="F16" s="53">
        <f>+C16+E16</f>
        <v>0</v>
      </c>
      <c r="G16"/>
      <c r="H16" s="110"/>
      <c r="I16" s="110"/>
      <c r="J16"/>
      <c r="K16"/>
      <c r="L16"/>
      <c r="M16"/>
      <c r="N16"/>
    </row>
    <row r="17" spans="2:14" hidden="1" x14ac:dyDescent="0.25">
      <c r="B17" s="158" t="s">
        <v>13</v>
      </c>
      <c r="C17" s="539"/>
      <c r="D17" s="539"/>
      <c r="E17" s="539"/>
      <c r="F17" s="53">
        <f>+C17+E17</f>
        <v>0</v>
      </c>
      <c r="G17"/>
      <c r="H17"/>
      <c r="I17"/>
      <c r="J17"/>
      <c r="K17"/>
      <c r="L17"/>
      <c r="M17"/>
      <c r="N17"/>
    </row>
    <row r="18" spans="2:14" hidden="1" x14ac:dyDescent="0.25">
      <c r="B18" s="158" t="s">
        <v>12</v>
      </c>
      <c r="C18" s="539"/>
      <c r="D18" s="539"/>
      <c r="E18" s="539"/>
      <c r="F18" s="53">
        <f>+C18+E18</f>
        <v>0</v>
      </c>
      <c r="G18"/>
      <c r="H18"/>
      <c r="I18"/>
      <c r="J18"/>
      <c r="K18"/>
      <c r="L18"/>
      <c r="M18"/>
      <c r="N18"/>
    </row>
    <row r="19" spans="2:14" hidden="1" x14ac:dyDescent="0.25">
      <c r="B19" s="23" t="s">
        <v>15</v>
      </c>
      <c r="C19" s="541">
        <f>SUM(C16:C18)</f>
        <v>0</v>
      </c>
      <c r="D19" s="541"/>
      <c r="E19" s="541">
        <f>SUM(E16:E18)</f>
        <v>0</v>
      </c>
      <c r="F19" s="541">
        <f>SUM(F16:F18)</f>
        <v>0</v>
      </c>
      <c r="G19"/>
      <c r="H19"/>
      <c r="I19"/>
      <c r="J19"/>
      <c r="K19"/>
      <c r="L19"/>
      <c r="M19"/>
      <c r="N19"/>
    </row>
    <row r="20" spans="2:14" hidden="1" x14ac:dyDescent="0.25">
      <c r="B20" s="158" t="s">
        <v>39</v>
      </c>
      <c r="C20" s="539"/>
      <c r="D20" s="539"/>
      <c r="E20" s="539"/>
      <c r="F20" s="53">
        <f>+C20+E20</f>
        <v>0</v>
      </c>
      <c r="G20"/>
      <c r="H20" s="110"/>
      <c r="I20" s="110"/>
      <c r="J20"/>
      <c r="K20"/>
      <c r="L20"/>
      <c r="M20"/>
      <c r="N20"/>
    </row>
    <row r="21" spans="2:14" hidden="1" x14ac:dyDescent="0.25">
      <c r="B21" s="158" t="s">
        <v>21</v>
      </c>
      <c r="C21" s="539"/>
      <c r="D21" s="539"/>
      <c r="E21" s="539"/>
      <c r="F21" s="53">
        <f>+C21+E21</f>
        <v>0</v>
      </c>
      <c r="G21"/>
      <c r="H21"/>
      <c r="I21"/>
      <c r="J21"/>
      <c r="K21"/>
      <c r="L21"/>
      <c r="M21"/>
      <c r="N21"/>
    </row>
    <row r="22" spans="2:14" hidden="1" x14ac:dyDescent="0.25">
      <c r="B22" s="158" t="s">
        <v>22</v>
      </c>
      <c r="C22" s="539"/>
      <c r="D22" s="539"/>
      <c r="E22" s="539"/>
      <c r="F22" s="53">
        <f>+C22+E22</f>
        <v>0</v>
      </c>
      <c r="G22"/>
      <c r="H22"/>
      <c r="I22"/>
      <c r="J22"/>
      <c r="K22"/>
      <c r="L22"/>
      <c r="M22"/>
      <c r="N22"/>
    </row>
    <row r="23" spans="2:14" hidden="1" x14ac:dyDescent="0.25">
      <c r="B23" s="23" t="s">
        <v>23</v>
      </c>
      <c r="C23" s="541">
        <f>SUM(C20:C22)</f>
        <v>0</v>
      </c>
      <c r="D23" s="541"/>
      <c r="E23" s="541">
        <f>SUM(E20:E22)</f>
        <v>0</v>
      </c>
      <c r="F23" s="541">
        <f>SUM(F20:F22)</f>
        <v>0</v>
      </c>
      <c r="G23"/>
      <c r="H23"/>
      <c r="I23"/>
      <c r="J23"/>
      <c r="K23"/>
      <c r="L23"/>
      <c r="M23"/>
      <c r="N23"/>
    </row>
    <row r="24" spans="2:14" hidden="1" x14ac:dyDescent="0.25">
      <c r="B24" s="158" t="s">
        <v>24</v>
      </c>
      <c r="C24" s="539"/>
      <c r="D24" s="539"/>
      <c r="E24" s="539"/>
      <c r="F24" s="53">
        <f>+C24+E24</f>
        <v>0</v>
      </c>
      <c r="G24"/>
      <c r="H24" s="110"/>
      <c r="I24" s="110"/>
      <c r="J24"/>
      <c r="K24"/>
      <c r="L24"/>
      <c r="M24"/>
      <c r="N24"/>
    </row>
    <row r="25" spans="2:14" hidden="1" x14ac:dyDescent="0.25">
      <c r="B25" s="158" t="s">
        <v>25</v>
      </c>
      <c r="C25" s="539"/>
      <c r="D25" s="539"/>
      <c r="E25" s="539"/>
      <c r="F25" s="53">
        <f>+C25+E25</f>
        <v>0</v>
      </c>
      <c r="G25"/>
      <c r="H25"/>
      <c r="I25"/>
      <c r="J25"/>
      <c r="K25"/>
      <c r="L25"/>
      <c r="M25"/>
      <c r="N25"/>
    </row>
    <row r="26" spans="2:14" ht="15.75" hidden="1" customHeight="1" x14ac:dyDescent="0.25">
      <c r="B26" s="158" t="s">
        <v>26</v>
      </c>
      <c r="C26" s="539"/>
      <c r="D26" s="539"/>
      <c r="E26" s="539"/>
      <c r="F26" s="53">
        <f>+C26+E26</f>
        <v>0</v>
      </c>
      <c r="G26"/>
      <c r="H26"/>
      <c r="I26"/>
      <c r="J26"/>
      <c r="K26"/>
      <c r="L26"/>
      <c r="M26"/>
      <c r="N26"/>
    </row>
    <row r="27" spans="2:14" ht="32.25" hidden="1" customHeight="1" x14ac:dyDescent="0.25">
      <c r="B27" s="23" t="s">
        <v>27</v>
      </c>
      <c r="C27" s="541">
        <f>SUM(C24:C26)</f>
        <v>0</v>
      </c>
      <c r="D27" s="541"/>
      <c r="E27" s="541">
        <f>SUM(E24:E26)</f>
        <v>0</v>
      </c>
      <c r="F27" s="541">
        <f>SUM(F24:F26)</f>
        <v>0</v>
      </c>
      <c r="G27"/>
      <c r="H27"/>
      <c r="I27"/>
      <c r="J27"/>
      <c r="K27"/>
      <c r="L27"/>
      <c r="M27"/>
      <c r="N27"/>
    </row>
    <row r="28" spans="2:14" ht="17.25" hidden="1" customHeight="1" x14ac:dyDescent="0.25">
      <c r="B28" s="182" t="s">
        <v>28</v>
      </c>
      <c r="C28" s="542">
        <f>+C15+C11</f>
        <v>542783805.48000002</v>
      </c>
      <c r="D28" s="542"/>
      <c r="E28" s="542">
        <f>+E15+E11</f>
        <v>74015973.469999999</v>
      </c>
      <c r="F28" s="542">
        <f>+F15+F11</f>
        <v>616799778.95000005</v>
      </c>
      <c r="G28"/>
      <c r="H28"/>
      <c r="I28"/>
      <c r="J28"/>
      <c r="K28"/>
      <c r="L28"/>
      <c r="M28"/>
      <c r="N28"/>
    </row>
    <row r="29" spans="2:14" ht="16.5" customHeight="1" x14ac:dyDescent="0.25">
      <c r="B29" s="87"/>
      <c r="C29" s="543">
        <f>C11/F11</f>
        <v>0.88</v>
      </c>
      <c r="D29" s="544"/>
      <c r="E29" s="543">
        <f>E11/F11</f>
        <v>0.11999999999999998</v>
      </c>
      <c r="F29" s="261"/>
      <c r="G29"/>
      <c r="H29"/>
      <c r="I29"/>
      <c r="J29"/>
      <c r="K29"/>
      <c r="L29"/>
      <c r="M29"/>
      <c r="N29"/>
    </row>
    <row r="30" spans="2:14" x14ac:dyDescent="0.25">
      <c r="B30" s="156" t="s">
        <v>50</v>
      </c>
      <c r="C30" s="140"/>
      <c r="D30" s="140"/>
      <c r="E30"/>
      <c r="F30"/>
      <c r="G30"/>
      <c r="H30"/>
      <c r="I30"/>
      <c r="J30"/>
      <c r="K30"/>
      <c r="L30"/>
      <c r="M30"/>
      <c r="N30"/>
    </row>
    <row r="31" spans="2:14" x14ac:dyDescent="0.2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x14ac:dyDescent="0.2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x14ac:dyDescent="0.2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x14ac:dyDescent="0.2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x14ac:dyDescent="0.25">
      <c r="B35"/>
      <c r="C35"/>
      <c r="D35"/>
      <c r="E35"/>
      <c r="F35"/>
      <c r="G35"/>
      <c r="H35"/>
      <c r="I35"/>
      <c r="J35"/>
      <c r="K35"/>
      <c r="L35" s="200"/>
      <c r="M35"/>
      <c r="N35"/>
    </row>
    <row r="36" spans="2:14" x14ac:dyDescent="0.25">
      <c r="B36"/>
      <c r="C36"/>
      <c r="D36"/>
      <c r="E36"/>
      <c r="F36"/>
      <c r="G36"/>
      <c r="H36"/>
      <c r="I36" s="111"/>
      <c r="J36" s="111"/>
      <c r="K36" s="111"/>
      <c r="L36" s="200"/>
      <c r="M36" s="111"/>
      <c r="N36" s="103"/>
    </row>
    <row r="37" spans="2:14" x14ac:dyDescent="0.25">
      <c r="B37"/>
      <c r="C37"/>
      <c r="D37"/>
      <c r="E37"/>
      <c r="F37"/>
      <c r="G37"/>
      <c r="H37"/>
      <c r="I37"/>
      <c r="J37"/>
      <c r="K37"/>
      <c r="L37" s="200"/>
      <c r="M37"/>
      <c r="N37"/>
    </row>
    <row r="38" spans="2:14" x14ac:dyDescent="0.25">
      <c r="B38"/>
      <c r="C38"/>
      <c r="D38"/>
      <c r="E38"/>
      <c r="F38"/>
      <c r="G38"/>
      <c r="H38"/>
      <c r="I38"/>
      <c r="J38"/>
      <c r="K38"/>
      <c r="L38" s="61"/>
      <c r="M38"/>
      <c r="N38"/>
    </row>
    <row r="39" spans="2:14" x14ac:dyDescent="0.25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14" x14ac:dyDescent="0.25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2:14" x14ac:dyDescent="0.25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x14ac:dyDescent="0.25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x14ac:dyDescent="0.25">
      <c r="B43" s="44"/>
      <c r="C43" s="109"/>
      <c r="D43" s="109"/>
      <c r="E43" s="109"/>
      <c r="F43" s="22"/>
    </row>
    <row r="44" spans="2:14" x14ac:dyDescent="0.25">
      <c r="B44" s="44"/>
      <c r="C44" s="109"/>
      <c r="D44" s="109"/>
      <c r="E44" s="109"/>
      <c r="F44" s="22"/>
    </row>
  </sheetData>
  <mergeCells count="6">
    <mergeCell ref="B6:F6"/>
    <mergeCell ref="B1:F1"/>
    <mergeCell ref="B2:F2"/>
    <mergeCell ref="B3:F3"/>
    <mergeCell ref="B5:F5"/>
    <mergeCell ref="B4:F4"/>
  </mergeCells>
  <pageMargins left="0.7" right="0.7" top="0.75" bottom="0.75" header="0.3" footer="0.3"/>
  <pageSetup paperSize="9" scale="58" orientation="portrait" r:id="rId1"/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J47"/>
  <sheetViews>
    <sheetView showGridLines="0" topLeftCell="A4" zoomScale="160" zoomScaleNormal="160" zoomScaleSheetLayoutView="115" workbookViewId="0">
      <selection activeCell="E17" sqref="E17"/>
    </sheetView>
  </sheetViews>
  <sheetFormatPr baseColWidth="10" defaultColWidth="11.42578125" defaultRowHeight="15" x14ac:dyDescent="0.25"/>
  <cols>
    <col min="1" max="1" width="21.42578125" style="1" customWidth="1"/>
    <col min="2" max="2" width="15.7109375" style="1" customWidth="1"/>
    <col min="3" max="3" width="21.140625" style="1" customWidth="1"/>
    <col min="4" max="4" width="16.7109375" style="1" customWidth="1"/>
    <col min="5" max="16384" width="11.42578125" style="1"/>
  </cols>
  <sheetData>
    <row r="1" spans="1:9" x14ac:dyDescent="0.25">
      <c r="A1" s="640" t="s">
        <v>0</v>
      </c>
      <c r="B1" s="640"/>
      <c r="C1" s="640"/>
      <c r="D1" s="640"/>
    </row>
    <row r="2" spans="1:9" x14ac:dyDescent="0.25">
      <c r="A2" s="640" t="s">
        <v>30</v>
      </c>
      <c r="B2" s="640"/>
      <c r="C2" s="640"/>
      <c r="D2" s="640"/>
    </row>
    <row r="3" spans="1:9" x14ac:dyDescent="0.25">
      <c r="A3" s="640" t="s">
        <v>57</v>
      </c>
      <c r="B3" s="640"/>
      <c r="C3" s="640"/>
      <c r="D3" s="640"/>
    </row>
    <row r="4" spans="1:9" x14ac:dyDescent="0.25">
      <c r="A4" s="640" t="s">
        <v>275</v>
      </c>
      <c r="B4" s="640"/>
      <c r="C4" s="640"/>
      <c r="D4" s="640"/>
    </row>
    <row r="5" spans="1:9" x14ac:dyDescent="0.25">
      <c r="A5" s="640" t="s">
        <v>3</v>
      </c>
      <c r="B5" s="640"/>
      <c r="C5" s="640"/>
      <c r="D5" s="640"/>
    </row>
    <row r="6" spans="1:9" x14ac:dyDescent="0.25">
      <c r="A6" s="642" t="s">
        <v>57</v>
      </c>
      <c r="B6" s="642"/>
      <c r="C6" s="642"/>
      <c r="D6" s="642"/>
      <c r="E6"/>
      <c r="F6"/>
      <c r="G6"/>
    </row>
    <row r="7" spans="1:9" x14ac:dyDescent="0.25">
      <c r="A7" s="429"/>
      <c r="B7" s="87" t="s">
        <v>58</v>
      </c>
      <c r="C7" s="87" t="s">
        <v>59</v>
      </c>
      <c r="D7" s="87" t="s">
        <v>60</v>
      </c>
      <c r="E7"/>
      <c r="F7"/>
      <c r="G7"/>
    </row>
    <row r="8" spans="1:9" x14ac:dyDescent="0.25">
      <c r="A8" s="283" t="s">
        <v>22</v>
      </c>
      <c r="B8" s="291">
        <v>29123</v>
      </c>
      <c r="C8" s="104">
        <f>+B8-B9</f>
        <v>-181</v>
      </c>
      <c r="D8" s="571">
        <f>+C8/B9</f>
        <v>-6.1766311766311768E-3</v>
      </c>
      <c r="E8"/>
      <c r="F8"/>
      <c r="G8"/>
      <c r="H8" s="69"/>
    </row>
    <row r="9" spans="1:9" x14ac:dyDescent="0.25">
      <c r="A9" s="283" t="s">
        <v>21</v>
      </c>
      <c r="B9" s="291">
        <v>29304</v>
      </c>
      <c r="C9" s="104">
        <f>+B9-B10</f>
        <v>-142</v>
      </c>
      <c r="D9" s="571">
        <f>+C9/B10</f>
        <v>-4.8223867418325066E-3</v>
      </c>
      <c r="E9"/>
      <c r="F9"/>
      <c r="G9"/>
      <c r="H9" s="69"/>
    </row>
    <row r="10" spans="1:9" x14ac:dyDescent="0.25">
      <c r="A10" s="283" t="s">
        <v>20</v>
      </c>
      <c r="B10" s="291">
        <v>29446</v>
      </c>
      <c r="C10" s="104">
        <f>+B10-B12</f>
        <v>-117</v>
      </c>
      <c r="D10" s="571">
        <f>+C10/B12</f>
        <v>-3.9576497649088391E-3</v>
      </c>
      <c r="E10"/>
      <c r="F10"/>
      <c r="G10"/>
      <c r="H10" s="69"/>
    </row>
    <row r="11" spans="1:9" ht="30" customHeight="1" x14ac:dyDescent="0.25">
      <c r="A11" s="284" t="s">
        <v>23</v>
      </c>
      <c r="B11" s="572">
        <f>SUM(B8:B10)</f>
        <v>87873</v>
      </c>
      <c r="C11" s="546">
        <f>+B11-B15</f>
        <v>-2865</v>
      </c>
      <c r="D11" s="573">
        <f>C11/B15</f>
        <v>-3.1574423064206839E-2</v>
      </c>
      <c r="E11"/>
      <c r="F11"/>
      <c r="G11"/>
      <c r="H11" s="295"/>
    </row>
    <row r="12" spans="1:9" ht="24" hidden="1" customHeight="1" x14ac:dyDescent="0.25">
      <c r="A12" s="44" t="s">
        <v>12</v>
      </c>
      <c r="B12" s="98">
        <v>29563</v>
      </c>
      <c r="C12" s="113">
        <f>+B12-B10</f>
        <v>117</v>
      </c>
      <c r="D12" s="162">
        <f>C12/95277</f>
        <v>1.2279983626688497E-3</v>
      </c>
      <c r="E12"/>
      <c r="F12"/>
      <c r="G12"/>
      <c r="H12"/>
      <c r="I12"/>
    </row>
    <row r="13" spans="1:9" ht="19.5" hidden="1" customHeight="1" x14ac:dyDescent="0.25">
      <c r="A13" s="44" t="s">
        <v>13</v>
      </c>
      <c r="B13" s="98">
        <v>30791</v>
      </c>
      <c r="C13" s="113">
        <f>+B13-B12</f>
        <v>1228</v>
      </c>
      <c r="D13" s="162">
        <f>C13/95277</f>
        <v>1.2888734951772202E-2</v>
      </c>
      <c r="E13"/>
      <c r="F13"/>
      <c r="G13"/>
      <c r="H13"/>
      <c r="I13"/>
    </row>
    <row r="14" spans="1:9" ht="16.5" hidden="1" customHeight="1" x14ac:dyDescent="0.25">
      <c r="A14" s="44" t="s">
        <v>14</v>
      </c>
      <c r="B14" s="98">
        <v>30384</v>
      </c>
      <c r="C14" s="113">
        <f>+B14-B13</f>
        <v>-407</v>
      </c>
      <c r="D14" s="162">
        <f>C14/95277</f>
        <v>-4.2717549880873663E-3</v>
      </c>
      <c r="E14"/>
      <c r="F14"/>
      <c r="G14"/>
      <c r="H14"/>
      <c r="I14"/>
    </row>
    <row r="15" spans="1:9" ht="27.75" hidden="1" customHeight="1" x14ac:dyDescent="0.25">
      <c r="A15" s="23" t="s">
        <v>15</v>
      </c>
      <c r="B15" s="8">
        <f>SUM(B12:B14)</f>
        <v>90738</v>
      </c>
      <c r="C15" s="60" t="e">
        <f>+B15-#REF!</f>
        <v>#REF!</v>
      </c>
      <c r="D15" s="162" t="e">
        <f>C15/95277</f>
        <v>#REF!</v>
      </c>
      <c r="E15"/>
      <c r="F15"/>
      <c r="G15"/>
      <c r="H15"/>
      <c r="I15"/>
    </row>
    <row r="16" spans="1:9" ht="15" customHeight="1" x14ac:dyDescent="0.25">
      <c r="A16" s="643" t="s">
        <v>61</v>
      </c>
      <c r="B16" s="643"/>
      <c r="C16" s="643"/>
      <c r="D16" s="643"/>
      <c r="E16"/>
      <c r="F16"/>
      <c r="G16"/>
    </row>
    <row r="17" spans="1:10" ht="22.5" customHeight="1" x14ac:dyDescent="0.25">
      <c r="A17" s="644" t="s">
        <v>292</v>
      </c>
      <c r="B17" s="644"/>
      <c r="C17" s="644"/>
      <c r="D17" s="644"/>
      <c r="E17" s="121"/>
      <c r="F17"/>
      <c r="G17"/>
    </row>
    <row r="18" spans="1:10" ht="13.5" customHeight="1" x14ac:dyDescent="0.25">
      <c r="A18" s="643"/>
      <c r="B18" s="643"/>
      <c r="C18" s="643"/>
      <c r="D18" s="643"/>
      <c r="E18" s="103"/>
      <c r="F18" s="103"/>
      <c r="G18"/>
    </row>
    <row r="19" spans="1:10" ht="12.75" customHeight="1" x14ac:dyDescent="0.25"/>
    <row r="20" spans="1:10" x14ac:dyDescent="0.25">
      <c r="A20"/>
      <c r="B20"/>
      <c r="C20"/>
      <c r="D20"/>
    </row>
    <row r="21" spans="1:10" x14ac:dyDescent="0.25">
      <c r="A21"/>
      <c r="B21"/>
      <c r="C21"/>
      <c r="D21"/>
      <c r="E21"/>
      <c r="F21"/>
      <c r="G21"/>
    </row>
    <row r="22" spans="1:10" x14ac:dyDescent="0.25">
      <c r="A22"/>
      <c r="B22"/>
      <c r="C22"/>
      <c r="D22"/>
      <c r="E22"/>
      <c r="F22"/>
      <c r="G22"/>
      <c r="J22" s="27"/>
    </row>
    <row r="23" spans="1:10" x14ac:dyDescent="0.25">
      <c r="A23"/>
      <c r="B23"/>
      <c r="C23"/>
      <c r="D23"/>
      <c r="E23"/>
      <c r="F23"/>
      <c r="G23"/>
    </row>
    <row r="24" spans="1:10" x14ac:dyDescent="0.25">
      <c r="A24"/>
      <c r="B24"/>
      <c r="C24"/>
      <c r="D24"/>
      <c r="E24"/>
      <c r="F24"/>
      <c r="G24"/>
    </row>
    <row r="25" spans="1:10" x14ac:dyDescent="0.25">
      <c r="A25"/>
      <c r="B25"/>
      <c r="C25"/>
      <c r="D25"/>
      <c r="E25"/>
      <c r="F25"/>
      <c r="G25"/>
    </row>
    <row r="26" spans="1:10" x14ac:dyDescent="0.25">
      <c r="A26"/>
      <c r="B26"/>
      <c r="C26"/>
      <c r="D26"/>
      <c r="E26"/>
      <c r="F26"/>
      <c r="G26"/>
    </row>
    <row r="27" spans="1:10" x14ac:dyDescent="0.25">
      <c r="A27"/>
      <c r="B27"/>
      <c r="C27"/>
      <c r="D27"/>
      <c r="E27"/>
      <c r="F27"/>
      <c r="G27"/>
    </row>
    <row r="28" spans="1:10" x14ac:dyDescent="0.25">
      <c r="A28"/>
      <c r="B28"/>
      <c r="C28"/>
      <c r="D28"/>
      <c r="E28"/>
      <c r="F28"/>
      <c r="G28"/>
    </row>
    <row r="29" spans="1:10" x14ac:dyDescent="0.25">
      <c r="A29"/>
      <c r="B29"/>
      <c r="C29"/>
      <c r="D29"/>
      <c r="E29"/>
      <c r="F29"/>
      <c r="G29"/>
    </row>
    <row r="30" spans="1:10" x14ac:dyDescent="0.25">
      <c r="A30"/>
      <c r="B30"/>
      <c r="C30"/>
      <c r="D30"/>
      <c r="E30"/>
      <c r="F30"/>
      <c r="G30"/>
    </row>
    <row r="31" spans="1:10" ht="14.25" customHeight="1" x14ac:dyDescent="0.25">
      <c r="A31"/>
      <c r="B31"/>
      <c r="C31"/>
      <c r="D31"/>
      <c r="E31"/>
      <c r="F31"/>
      <c r="G31"/>
    </row>
    <row r="32" spans="1:10" hidden="1" x14ac:dyDescent="0.25">
      <c r="A32"/>
      <c r="B32"/>
      <c r="C32"/>
      <c r="D32"/>
      <c r="E32"/>
      <c r="F32"/>
      <c r="G32"/>
    </row>
    <row r="33" spans="1:4" hidden="1" x14ac:dyDescent="0.25"/>
    <row r="34" spans="1:4" hidden="1" x14ac:dyDescent="0.25">
      <c r="A34" s="44"/>
      <c r="B34" s="98"/>
      <c r="C34" s="104"/>
      <c r="D34" s="112"/>
    </row>
    <row r="35" spans="1:4" hidden="1" x14ac:dyDescent="0.25">
      <c r="A35" s="44"/>
      <c r="B35" s="98"/>
      <c r="C35" s="104"/>
      <c r="D35" s="19"/>
    </row>
    <row r="36" spans="1:4" hidden="1" x14ac:dyDescent="0.25"/>
    <row r="37" spans="1:4" hidden="1" x14ac:dyDescent="0.25"/>
    <row r="38" spans="1:4" hidden="1" x14ac:dyDescent="0.25"/>
    <row r="39" spans="1:4" hidden="1" x14ac:dyDescent="0.25"/>
    <row r="40" spans="1:4" hidden="1" x14ac:dyDescent="0.25"/>
    <row r="41" spans="1:4" hidden="1" x14ac:dyDescent="0.25"/>
    <row r="42" spans="1:4" hidden="1" x14ac:dyDescent="0.25"/>
    <row r="43" spans="1:4" hidden="1" x14ac:dyDescent="0.25"/>
    <row r="44" spans="1:4" hidden="1" x14ac:dyDescent="0.25"/>
    <row r="45" spans="1:4" hidden="1" x14ac:dyDescent="0.25"/>
    <row r="46" spans="1:4" hidden="1" x14ac:dyDescent="0.25"/>
    <row r="47" spans="1:4" hidden="1" x14ac:dyDescent="0.25"/>
  </sheetData>
  <mergeCells count="9">
    <mergeCell ref="A18:D18"/>
    <mergeCell ref="A17:D17"/>
    <mergeCell ref="A16:D16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I62"/>
  <sheetViews>
    <sheetView showGridLines="0" zoomScaleNormal="100" zoomScaleSheetLayoutView="130" workbookViewId="0">
      <selection activeCell="F31" sqref="F31"/>
    </sheetView>
  </sheetViews>
  <sheetFormatPr baseColWidth="10" defaultColWidth="11.42578125" defaultRowHeight="15" x14ac:dyDescent="0.25"/>
  <cols>
    <col min="1" max="1" width="15" style="1" customWidth="1"/>
    <col min="2" max="2" width="22" style="1" customWidth="1"/>
    <col min="3" max="3" width="20.42578125" style="1" customWidth="1"/>
    <col min="4" max="4" width="22.42578125" style="1" customWidth="1"/>
    <col min="5" max="16384" width="11.42578125" style="1"/>
  </cols>
  <sheetData>
    <row r="1" spans="1:9" x14ac:dyDescent="0.25">
      <c r="A1" s="645" t="s">
        <v>0</v>
      </c>
      <c r="B1" s="645"/>
      <c r="C1" s="645"/>
      <c r="D1" s="645"/>
      <c r="E1" s="21"/>
      <c r="F1" s="21"/>
      <c r="G1" s="21"/>
    </row>
    <row r="2" spans="1:9" x14ac:dyDescent="0.25">
      <c r="A2" s="640" t="s">
        <v>30</v>
      </c>
      <c r="B2" s="640"/>
      <c r="C2" s="640"/>
      <c r="D2" s="640"/>
      <c r="E2" s="21"/>
      <c r="F2" s="21"/>
      <c r="G2" s="21"/>
    </row>
    <row r="3" spans="1:9" x14ac:dyDescent="0.25">
      <c r="A3" s="640" t="s">
        <v>62</v>
      </c>
      <c r="B3" s="640"/>
      <c r="C3" s="640"/>
      <c r="D3" s="640"/>
      <c r="E3" s="21"/>
      <c r="F3" s="21"/>
      <c r="G3" s="21"/>
    </row>
    <row r="4" spans="1:9" x14ac:dyDescent="0.25">
      <c r="A4" s="645" t="s">
        <v>275</v>
      </c>
      <c r="B4" s="645"/>
      <c r="C4" s="645"/>
      <c r="D4" s="645"/>
      <c r="E4" s="20"/>
      <c r="F4" s="21"/>
      <c r="G4" s="21"/>
    </row>
    <row r="5" spans="1:9" x14ac:dyDescent="0.25">
      <c r="A5" s="640" t="s">
        <v>3</v>
      </c>
      <c r="B5" s="640"/>
      <c r="C5" s="640"/>
      <c r="D5" s="640"/>
      <c r="E5" s="21"/>
      <c r="F5" s="21"/>
      <c r="G5" s="21"/>
    </row>
    <row r="6" spans="1:9" ht="15" customHeight="1" x14ac:dyDescent="0.25">
      <c r="A6" s="642" t="s">
        <v>62</v>
      </c>
      <c r="B6" s="642"/>
      <c r="C6" s="642"/>
      <c r="D6" s="642"/>
      <c r="E6"/>
      <c r="F6"/>
    </row>
    <row r="7" spans="1:9" ht="25.5" customHeight="1" x14ac:dyDescent="0.25">
      <c r="A7" s="429" t="s">
        <v>4</v>
      </c>
      <c r="B7" s="398" t="s">
        <v>63</v>
      </c>
      <c r="C7" s="398" t="s">
        <v>64</v>
      </c>
      <c r="D7" s="398" t="s">
        <v>65</v>
      </c>
      <c r="E7"/>
      <c r="F7"/>
      <c r="G7"/>
      <c r="H7"/>
      <c r="I7"/>
    </row>
    <row r="8" spans="1:9" s="21" customFormat="1" ht="17.25" customHeight="1" x14ac:dyDescent="0.25">
      <c r="A8" s="283" t="s">
        <v>22</v>
      </c>
      <c r="B8" s="114">
        <v>3</v>
      </c>
      <c r="C8" s="114">
        <v>3</v>
      </c>
      <c r="D8" s="545">
        <v>7094767.4900000002</v>
      </c>
      <c r="E8" s="261"/>
      <c r="F8"/>
      <c r="G8"/>
      <c r="H8"/>
      <c r="I8"/>
    </row>
    <row r="9" spans="1:9" ht="17.25" customHeight="1" x14ac:dyDescent="0.25">
      <c r="A9" s="283" t="s">
        <v>21</v>
      </c>
      <c r="B9" s="114">
        <v>0</v>
      </c>
      <c r="C9" s="114">
        <v>5</v>
      </c>
      <c r="D9" s="545">
        <v>0</v>
      </c>
      <c r="E9"/>
      <c r="F9"/>
      <c r="G9"/>
      <c r="H9"/>
      <c r="I9"/>
    </row>
    <row r="10" spans="1:9" ht="19.5" customHeight="1" x14ac:dyDescent="0.25">
      <c r="A10" s="283" t="s">
        <v>20</v>
      </c>
      <c r="B10" s="114">
        <v>261</v>
      </c>
      <c r="C10" s="114">
        <v>3</v>
      </c>
      <c r="D10" s="545">
        <v>211975809.62</v>
      </c>
      <c r="E10"/>
      <c r="F10"/>
      <c r="G10"/>
      <c r="H10"/>
      <c r="I10"/>
    </row>
    <row r="11" spans="1:9" ht="21" customHeight="1" x14ac:dyDescent="0.25">
      <c r="A11" s="284" t="s">
        <v>23</v>
      </c>
      <c r="B11" s="546">
        <f>SUM(B8:B10)</f>
        <v>264</v>
      </c>
      <c r="C11" s="546">
        <f>SUM(C8:C10)</f>
        <v>11</v>
      </c>
      <c r="D11" s="547">
        <f>SUM(D8:D10)</f>
        <v>219070577.11000001</v>
      </c>
      <c r="E11"/>
      <c r="F11" s="61"/>
    </row>
    <row r="12" spans="1:9" ht="0.75" hidden="1" customHeight="1" x14ac:dyDescent="0.25">
      <c r="A12" s="151" t="s">
        <v>16</v>
      </c>
      <c r="B12" s="114">
        <v>162</v>
      </c>
      <c r="C12" s="114">
        <v>5</v>
      </c>
      <c r="D12" s="183">
        <v>124127103.37</v>
      </c>
      <c r="E12"/>
      <c r="F12"/>
    </row>
    <row r="13" spans="1:9" hidden="1" x14ac:dyDescent="0.25">
      <c r="A13" s="151" t="s">
        <v>17</v>
      </c>
      <c r="B13" s="114">
        <v>1</v>
      </c>
      <c r="C13" s="114">
        <v>1</v>
      </c>
      <c r="D13" s="183">
        <v>4407042.8099999996</v>
      </c>
      <c r="E13"/>
      <c r="F13"/>
      <c r="G13" s="44"/>
    </row>
    <row r="14" spans="1:9" ht="10.5" hidden="1" customHeight="1" x14ac:dyDescent="0.25">
      <c r="A14" s="151" t="s">
        <v>18</v>
      </c>
      <c r="B14" s="114">
        <v>210</v>
      </c>
      <c r="C14" s="114">
        <v>1</v>
      </c>
      <c r="D14" s="183">
        <v>174414722.21000001</v>
      </c>
      <c r="E14"/>
      <c r="F14"/>
      <c r="G14" s="44"/>
    </row>
    <row r="15" spans="1:9" ht="14.25" hidden="1" customHeight="1" x14ac:dyDescent="0.25">
      <c r="A15" s="23" t="s">
        <v>19</v>
      </c>
      <c r="B15" s="8">
        <f>SUM(B12:B14)</f>
        <v>373</v>
      </c>
      <c r="C15" s="67">
        <f>SUM(C12:C14)</f>
        <v>7</v>
      </c>
      <c r="D15" s="161">
        <f>SUM(D12:D14)</f>
        <v>302948868.38999999</v>
      </c>
      <c r="E15"/>
      <c r="F15"/>
      <c r="G15" s="44"/>
    </row>
    <row r="16" spans="1:9" ht="0.75" hidden="1" customHeight="1" x14ac:dyDescent="0.25">
      <c r="E16"/>
      <c r="F16"/>
    </row>
    <row r="17" spans="1:6" hidden="1" x14ac:dyDescent="0.25">
      <c r="E17"/>
      <c r="F17"/>
    </row>
    <row r="18" spans="1:6" hidden="1" x14ac:dyDescent="0.25">
      <c r="E18"/>
      <c r="F18"/>
    </row>
    <row r="19" spans="1:6" hidden="1" x14ac:dyDescent="0.25">
      <c r="E19"/>
      <c r="F19"/>
    </row>
    <row r="20" spans="1:6" hidden="1" x14ac:dyDescent="0.25">
      <c r="A20" s="44" t="s">
        <v>39</v>
      </c>
      <c r="B20" s="114"/>
      <c r="C20" s="114"/>
      <c r="D20" s="114"/>
      <c r="E20"/>
      <c r="F20"/>
    </row>
    <row r="21" spans="1:6" hidden="1" x14ac:dyDescent="0.25">
      <c r="A21" s="44" t="s">
        <v>21</v>
      </c>
      <c r="B21" s="114"/>
      <c r="C21" s="114"/>
      <c r="D21" s="114"/>
      <c r="E21"/>
      <c r="F21"/>
    </row>
    <row r="22" spans="1:6" hidden="1" x14ac:dyDescent="0.25">
      <c r="A22" s="44" t="s">
        <v>22</v>
      </c>
      <c r="B22" s="114"/>
      <c r="C22" s="114"/>
      <c r="D22" s="114"/>
      <c r="E22"/>
      <c r="F22"/>
    </row>
    <row r="23" spans="1:6" hidden="1" x14ac:dyDescent="0.25">
      <c r="A23" s="23" t="s">
        <v>66</v>
      </c>
      <c r="B23" s="8">
        <f>SUM(B20:B22)</f>
        <v>0</v>
      </c>
      <c r="C23" s="8">
        <f>SUM(C20:C22)</f>
        <v>0</v>
      </c>
      <c r="D23" s="8"/>
      <c r="E23"/>
      <c r="F23"/>
    </row>
    <row r="24" spans="1:6" hidden="1" x14ac:dyDescent="0.25">
      <c r="A24" s="44" t="s">
        <v>24</v>
      </c>
      <c r="B24" s="114"/>
      <c r="C24" s="114"/>
      <c r="D24" s="114"/>
      <c r="E24"/>
      <c r="F24"/>
    </row>
    <row r="25" spans="1:6" hidden="1" x14ac:dyDescent="0.25">
      <c r="A25" s="44" t="s">
        <v>25</v>
      </c>
      <c r="B25" s="114"/>
      <c r="C25" s="114"/>
      <c r="D25" s="114"/>
      <c r="E25"/>
      <c r="F25"/>
    </row>
    <row r="26" spans="1:6" hidden="1" x14ac:dyDescent="0.25">
      <c r="A26" s="44" t="s">
        <v>26</v>
      </c>
      <c r="B26" s="114"/>
      <c r="C26" s="114"/>
      <c r="D26" s="114"/>
      <c r="E26"/>
      <c r="F26"/>
    </row>
    <row r="27" spans="1:6" hidden="1" x14ac:dyDescent="0.25">
      <c r="A27" s="23" t="s">
        <v>67</v>
      </c>
      <c r="B27" s="8">
        <f>SUM(B24:B26)</f>
        <v>0</v>
      </c>
      <c r="C27" s="8">
        <f>SUM(C24:C26)</f>
        <v>0</v>
      </c>
      <c r="D27" s="8"/>
      <c r="E27"/>
      <c r="F27"/>
    </row>
    <row r="28" spans="1:6" hidden="1" x14ac:dyDescent="0.25">
      <c r="A28" s="184" t="s">
        <v>28</v>
      </c>
      <c r="B28" s="185">
        <f>+B15+B11</f>
        <v>637</v>
      </c>
      <c r="C28" s="185">
        <f>+C15+C11</f>
        <v>18</v>
      </c>
      <c r="D28" s="186">
        <f>+D11+D15</f>
        <v>522019445.5</v>
      </c>
      <c r="E28"/>
      <c r="F28"/>
    </row>
    <row r="29" spans="1:6" x14ac:dyDescent="0.25">
      <c r="A29" s="156"/>
      <c r="B29" s="156"/>
      <c r="C29" s="156"/>
      <c r="D29" s="156"/>
      <c r="E29"/>
      <c r="F29"/>
    </row>
    <row r="30" spans="1:6" ht="12" customHeight="1" x14ac:dyDescent="0.25">
      <c r="A30" s="156" t="s">
        <v>68</v>
      </c>
      <c r="B30"/>
      <c r="C30"/>
      <c r="D30"/>
      <c r="E30"/>
      <c r="F30"/>
    </row>
    <row r="31" spans="1:6" x14ac:dyDescent="0.25">
      <c r="A31" s="586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 s="44"/>
      <c r="F37" s="94"/>
    </row>
    <row r="38" spans="1:6" x14ac:dyDescent="0.25">
      <c r="A38"/>
      <c r="B38"/>
      <c r="C38"/>
      <c r="D38"/>
      <c r="E38" s="44"/>
      <c r="F38" s="109"/>
    </row>
    <row r="39" spans="1:6" x14ac:dyDescent="0.25">
      <c r="A39"/>
      <c r="B39"/>
      <c r="C39"/>
      <c r="D39"/>
      <c r="E39" s="44"/>
      <c r="F39" s="109"/>
    </row>
    <row r="40" spans="1:6" x14ac:dyDescent="0.25">
      <c r="A40"/>
      <c r="B40"/>
      <c r="C40"/>
      <c r="D40"/>
      <c r="E40"/>
      <c r="F40" s="109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6" spans="1:6" ht="14.25" customHeight="1" x14ac:dyDescent="0.25"/>
    <row r="47" spans="1:6" hidden="1" x14ac:dyDescent="0.25">
      <c r="A47" s="44"/>
      <c r="B47" s="114"/>
      <c r="C47" s="114"/>
      <c r="D47" s="114"/>
    </row>
    <row r="48" spans="1:6" hidden="1" x14ac:dyDescent="0.25">
      <c r="A48" s="44"/>
      <c r="B48" s="114"/>
      <c r="C48" s="114"/>
      <c r="D48" s="114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B1:Q88"/>
  <sheetViews>
    <sheetView showGridLines="0" zoomScale="130" zoomScaleNormal="130" workbookViewId="0">
      <selection activeCell="B26" sqref="B26:I26"/>
    </sheetView>
  </sheetViews>
  <sheetFormatPr baseColWidth="10" defaultColWidth="11.42578125" defaultRowHeight="15" x14ac:dyDescent="0.25"/>
  <cols>
    <col min="1" max="1" width="5.140625" style="1" customWidth="1"/>
    <col min="2" max="2" width="12" style="1" customWidth="1"/>
    <col min="3" max="3" width="18.85546875" style="1" customWidth="1"/>
    <col min="4" max="4" width="17.5703125" style="1" customWidth="1"/>
    <col min="5" max="5" width="19" style="1" customWidth="1"/>
    <col min="6" max="6" width="18" style="1" bestFit="1" customWidth="1"/>
    <col min="7" max="7" width="11.42578125" style="1"/>
    <col min="8" max="8" width="18" style="1" customWidth="1"/>
    <col min="9" max="9" width="17.7109375" style="1" bestFit="1" customWidth="1"/>
    <col min="10" max="10" width="18.140625" style="1" customWidth="1"/>
    <col min="11" max="12" width="16.28515625" style="1" customWidth="1"/>
    <col min="13" max="13" width="20.5703125" style="1" bestFit="1" customWidth="1"/>
    <col min="14" max="17" width="16.28515625" style="1" customWidth="1"/>
    <col min="18" max="16384" width="11.42578125" style="1"/>
  </cols>
  <sheetData>
    <row r="1" spans="2:17" x14ac:dyDescent="0.25">
      <c r="B1" s="639" t="s">
        <v>0</v>
      </c>
      <c r="C1" s="639"/>
      <c r="D1" s="639"/>
      <c r="E1" s="639"/>
      <c r="F1" s="639"/>
      <c r="G1" s="639"/>
      <c r="H1" s="639"/>
      <c r="I1" s="639"/>
    </row>
    <row r="2" spans="2:17" x14ac:dyDescent="0.25">
      <c r="B2" s="639" t="s">
        <v>69</v>
      </c>
      <c r="C2" s="639"/>
      <c r="D2" s="639"/>
      <c r="E2" s="639"/>
      <c r="F2" s="639"/>
      <c r="G2" s="639"/>
      <c r="H2" s="639"/>
      <c r="I2" s="639"/>
    </row>
    <row r="3" spans="2:17" x14ac:dyDescent="0.25">
      <c r="B3" s="639" t="s">
        <v>70</v>
      </c>
      <c r="C3" s="639"/>
      <c r="D3" s="639"/>
      <c r="E3" s="639"/>
      <c r="F3" s="639"/>
      <c r="G3" s="639"/>
      <c r="H3" s="639"/>
      <c r="I3" s="639"/>
    </row>
    <row r="4" spans="2:17" x14ac:dyDescent="0.25">
      <c r="B4" s="639" t="s">
        <v>275</v>
      </c>
      <c r="C4" s="639"/>
      <c r="D4" s="639"/>
      <c r="E4" s="639"/>
      <c r="F4" s="639"/>
      <c r="G4" s="639"/>
      <c r="H4" s="639"/>
      <c r="I4" s="639"/>
    </row>
    <row r="5" spans="2:17" x14ac:dyDescent="0.25">
      <c r="B5" s="639" t="s">
        <v>3</v>
      </c>
      <c r="C5" s="639"/>
      <c r="D5" s="639"/>
      <c r="E5" s="639"/>
      <c r="F5" s="639"/>
      <c r="G5" s="639"/>
      <c r="H5" s="639"/>
      <c r="I5" s="639"/>
    </row>
    <row r="6" spans="2:17" x14ac:dyDescent="0.25">
      <c r="B6" s="330"/>
      <c r="C6" s="649" t="s">
        <v>71</v>
      </c>
      <c r="D6" s="649"/>
      <c r="E6" s="649"/>
      <c r="F6" s="649" t="s">
        <v>72</v>
      </c>
      <c r="G6" s="649"/>
      <c r="H6" s="649"/>
      <c r="I6" s="649"/>
    </row>
    <row r="7" spans="2:17" ht="15" customHeight="1" x14ac:dyDescent="0.25">
      <c r="B7" s="329" t="s">
        <v>4</v>
      </c>
      <c r="C7" s="642" t="s">
        <v>73</v>
      </c>
      <c r="D7" s="642" t="s">
        <v>74</v>
      </c>
      <c r="E7" s="642" t="s">
        <v>75</v>
      </c>
      <c r="F7" s="642" t="s">
        <v>76</v>
      </c>
      <c r="G7" s="642"/>
      <c r="H7" s="642" t="s">
        <v>7</v>
      </c>
      <c r="I7" s="642"/>
    </row>
    <row r="8" spans="2:17" x14ac:dyDescent="0.25">
      <c r="B8" s="329"/>
      <c r="C8" s="642"/>
      <c r="D8" s="642"/>
      <c r="E8" s="642"/>
      <c r="F8" s="642"/>
      <c r="G8" s="642"/>
      <c r="H8" s="642"/>
      <c r="I8" s="642"/>
    </row>
    <row r="9" spans="2:17" ht="12" customHeight="1" x14ac:dyDescent="0.25">
      <c r="B9" s="574"/>
      <c r="C9" s="398" t="s">
        <v>8</v>
      </c>
      <c r="D9" s="398" t="s">
        <v>8</v>
      </c>
      <c r="E9" s="398" t="s">
        <v>8</v>
      </c>
      <c r="F9" s="398" t="s">
        <v>9</v>
      </c>
      <c r="G9" s="398" t="s">
        <v>10</v>
      </c>
      <c r="H9" s="398" t="s">
        <v>9</v>
      </c>
      <c r="I9" s="398" t="s">
        <v>10</v>
      </c>
    </row>
    <row r="10" spans="2:17" ht="0.75" customHeight="1" x14ac:dyDescent="0.25">
      <c r="B10" s="575" t="s">
        <v>11</v>
      </c>
      <c r="C10" s="576"/>
      <c r="D10" s="576"/>
      <c r="E10" s="577"/>
      <c r="F10" s="95"/>
      <c r="G10" s="578" t="e">
        <f>(F10/E10)</f>
        <v>#DIV/0!</v>
      </c>
      <c r="H10" s="577">
        <f>+E10-F10</f>
        <v>0</v>
      </c>
      <c r="I10" s="560" t="e">
        <f>(H10/E10)</f>
        <v>#DIV/0!</v>
      </c>
      <c r="J10" s="62"/>
    </row>
    <row r="11" spans="2:17" x14ac:dyDescent="0.25">
      <c r="B11" s="579" t="s">
        <v>22</v>
      </c>
      <c r="C11" s="580">
        <v>3257761860.8500004</v>
      </c>
      <c r="D11" s="580">
        <v>5001192.17</v>
      </c>
      <c r="E11" s="580">
        <v>3301711987.9300003</v>
      </c>
      <c r="F11" s="580">
        <v>3292515180.7900004</v>
      </c>
      <c r="G11" s="581">
        <f>+F11/E11</f>
        <v>0.99721453380136715</v>
      </c>
      <c r="H11" s="580">
        <f>+E11-F11</f>
        <v>9196807.1399998665</v>
      </c>
      <c r="I11" s="582">
        <v>2.7854661986328436E-3</v>
      </c>
      <c r="J11"/>
      <c r="K11"/>
      <c r="L11"/>
      <c r="M11"/>
      <c r="N11"/>
      <c r="O11"/>
      <c r="P11"/>
      <c r="Q11"/>
    </row>
    <row r="12" spans="2:17" x14ac:dyDescent="0.25">
      <c r="B12" s="579" t="s">
        <v>21</v>
      </c>
      <c r="C12" s="580">
        <v>3217509651.9100003</v>
      </c>
      <c r="D12" s="580">
        <v>4550465.18</v>
      </c>
      <c r="E12" s="580">
        <v>3251320675.2399998</v>
      </c>
      <c r="F12" s="580">
        <v>3212371740.3299999</v>
      </c>
      <c r="G12" s="581">
        <f>+F12/E12</f>
        <v>0.98802058031168372</v>
      </c>
      <c r="H12" s="580">
        <f t="shared" ref="H12:H13" si="0">+E12-F12</f>
        <v>38948934.909999847</v>
      </c>
      <c r="I12" s="582">
        <v>1.1979419688316284E-2</v>
      </c>
      <c r="J12" s="187"/>
      <c r="K12"/>
      <c r="L12"/>
      <c r="M12"/>
      <c r="N12"/>
      <c r="O12"/>
      <c r="P12"/>
      <c r="Q12"/>
    </row>
    <row r="13" spans="2:17" x14ac:dyDescent="0.25">
      <c r="B13" s="579" t="s">
        <v>20</v>
      </c>
      <c r="C13" s="580">
        <v>3166752626.4000006</v>
      </c>
      <c r="D13" s="580">
        <v>1023912.1399999999</v>
      </c>
      <c r="E13" s="580">
        <v>3226852365.96</v>
      </c>
      <c r="F13" s="580">
        <v>3197591807.8100004</v>
      </c>
      <c r="G13" s="581">
        <f>+F13/E13</f>
        <v>0.99093216706823384</v>
      </c>
      <c r="H13" s="580">
        <f t="shared" si="0"/>
        <v>29260558.149999619</v>
      </c>
      <c r="I13" s="582">
        <v>9.06783293176615E-3</v>
      </c>
      <c r="J13"/>
      <c r="K13"/>
      <c r="L13"/>
      <c r="M13"/>
      <c r="N13"/>
      <c r="O13"/>
      <c r="P13"/>
      <c r="Q13"/>
    </row>
    <row r="14" spans="2:17" ht="19.5" customHeight="1" x14ac:dyDescent="0.25">
      <c r="B14" s="583" t="s">
        <v>23</v>
      </c>
      <c r="C14" s="327">
        <f>+C11+C12+C13</f>
        <v>9642024139.1599998</v>
      </c>
      <c r="D14" s="327">
        <f>+D11+D12+D13</f>
        <v>10575569.49</v>
      </c>
      <c r="E14" s="327">
        <f>+E11+E12+E13</f>
        <v>9779885029.1300011</v>
      </c>
      <c r="F14" s="327">
        <f>+F11+F12+F13</f>
        <v>9702478728.9300003</v>
      </c>
      <c r="G14" s="328">
        <f>+F14/E14</f>
        <v>0.99208515233364791</v>
      </c>
      <c r="H14" s="327">
        <f>+(H18+C14+D14)-F14</f>
        <v>9176807.1399974823</v>
      </c>
      <c r="I14" s="328">
        <f>+H14/(C14+D14+H18)</f>
        <v>9.449271657045456E-4</v>
      </c>
      <c r="J14"/>
      <c r="K14"/>
      <c r="L14"/>
      <c r="M14"/>
      <c r="N14"/>
      <c r="O14"/>
      <c r="P14"/>
      <c r="Q14"/>
    </row>
    <row r="15" spans="2:17" ht="19.5" hidden="1" customHeight="1" x14ac:dyDescent="0.25">
      <c r="B15" s="71" t="s">
        <v>12</v>
      </c>
      <c r="C15" s="320">
        <v>3155991435.9400001</v>
      </c>
      <c r="D15" s="320">
        <v>1059726.92</v>
      </c>
      <c r="E15" s="320">
        <v>3191027890.6199994</v>
      </c>
      <c r="F15" s="321">
        <v>3131972063.1999998</v>
      </c>
      <c r="G15" s="312">
        <v>0.98148701667558291</v>
      </c>
      <c r="H15" s="321">
        <v>59055827.419999599</v>
      </c>
      <c r="I15" s="314">
        <v>1.8506835240642592E-2</v>
      </c>
      <c r="J15"/>
      <c r="K15"/>
      <c r="L15"/>
      <c r="M15"/>
      <c r="N15"/>
      <c r="O15"/>
      <c r="P15"/>
      <c r="Q15"/>
    </row>
    <row r="16" spans="2:17" ht="15" hidden="1" customHeight="1" x14ac:dyDescent="0.25">
      <c r="B16" s="71" t="s">
        <v>13</v>
      </c>
      <c r="C16" s="320">
        <v>3143190720.0000005</v>
      </c>
      <c r="D16" s="320">
        <v>557941.93000000005</v>
      </c>
      <c r="E16" s="320">
        <v>3133552588.0299993</v>
      </c>
      <c r="F16" s="321">
        <v>3099575860.27</v>
      </c>
      <c r="G16" s="312">
        <v>0.98915519124736007</v>
      </c>
      <c r="H16" s="321">
        <v>33976727.759999275</v>
      </c>
      <c r="I16" s="314">
        <v>1.0842877789825046E-2</v>
      </c>
      <c r="J16"/>
      <c r="K16"/>
      <c r="L16"/>
      <c r="M16"/>
      <c r="N16"/>
      <c r="O16"/>
      <c r="P16"/>
      <c r="Q16"/>
    </row>
    <row r="17" spans="2:17" ht="23.25" hidden="1" customHeight="1" x14ac:dyDescent="0.25">
      <c r="B17" s="71" t="s">
        <v>14</v>
      </c>
      <c r="C17" s="320">
        <v>3003939801.5499997</v>
      </c>
      <c r="D17" s="320">
        <v>426396.11</v>
      </c>
      <c r="E17" s="320">
        <v>3050777948.019999</v>
      </c>
      <c r="F17" s="321">
        <v>3060974021.9200001</v>
      </c>
      <c r="G17" s="312">
        <v>1.003342589772519</v>
      </c>
      <c r="H17" s="322">
        <v>-10196073.900001049</v>
      </c>
      <c r="I17" s="323">
        <v>-3.3421225909340451E-3</v>
      </c>
      <c r="J17"/>
      <c r="K17"/>
      <c r="L17"/>
      <c r="M17"/>
      <c r="N17"/>
      <c r="O17"/>
      <c r="P17"/>
      <c r="Q17"/>
    </row>
    <row r="18" spans="2:17" ht="22.5" hidden="1" customHeight="1" x14ac:dyDescent="0.25">
      <c r="B18" s="324" t="s">
        <v>15</v>
      </c>
      <c r="C18" s="325">
        <v>9303121957.4899998</v>
      </c>
      <c r="D18" s="325">
        <v>2044064.96</v>
      </c>
      <c r="E18" s="325">
        <v>9375358426.6699982</v>
      </c>
      <c r="F18" s="325">
        <v>9292521945.3899994</v>
      </c>
      <c r="G18" s="326">
        <v>0.99368493436565275</v>
      </c>
      <c r="H18" s="325">
        <v>59055827.419998169</v>
      </c>
      <c r="I18" s="326">
        <v>6.3150656343472699E-3</v>
      </c>
      <c r="J18"/>
      <c r="K18"/>
      <c r="L18"/>
      <c r="M18"/>
      <c r="N18"/>
      <c r="O18"/>
      <c r="P18"/>
      <c r="Q18"/>
    </row>
    <row r="19" spans="2:17" ht="17.25" hidden="1" customHeight="1" x14ac:dyDescent="0.25">
      <c r="B19" s="71" t="s">
        <v>16</v>
      </c>
      <c r="C19" s="320">
        <f>+(2202010103.82+652587516.8+174918000)-38997425.06</f>
        <v>2990518195.5599999</v>
      </c>
      <c r="D19" s="320">
        <v>362421.02</v>
      </c>
      <c r="E19" s="320">
        <f>+C19+(D19+H18)</f>
        <v>3049936443.9999981</v>
      </c>
      <c r="F19" s="321">
        <v>2993540874.0500002</v>
      </c>
      <c r="G19" s="312">
        <f>+(F19-D19)/(C19+H18)</f>
        <v>0.98150706638860696</v>
      </c>
      <c r="H19" s="321">
        <f>+E19-F19</f>
        <v>56395569.949997902</v>
      </c>
      <c r="I19" s="314">
        <f>+H19/E19</f>
        <v>1.8490736113843408E-2</v>
      </c>
      <c r="J19"/>
      <c r="K19"/>
      <c r="L19"/>
      <c r="M19"/>
      <c r="N19"/>
      <c r="O19"/>
      <c r="P19"/>
      <c r="Q19"/>
    </row>
    <row r="20" spans="2:17" ht="17.25" hidden="1" customHeight="1" x14ac:dyDescent="0.25">
      <c r="B20" s="71" t="s">
        <v>17</v>
      </c>
      <c r="C20" s="320">
        <f>+(2182267579.45+651594009.61+157368000)-38997425.06</f>
        <v>2952232164</v>
      </c>
      <c r="D20" s="320">
        <v>374463.47000000003</v>
      </c>
      <c r="E20" s="320">
        <f>+C20+(D20+H19)</f>
        <v>3009002197.4199977</v>
      </c>
      <c r="F20" s="321">
        <v>2942532044.6999998</v>
      </c>
      <c r="G20" s="312">
        <f>+(F20-D20)/(C20+H19)</f>
        <v>0.97790682045175137</v>
      </c>
      <c r="H20" s="321">
        <f>+E20-F20</f>
        <v>66470152.719997883</v>
      </c>
      <c r="I20" s="314">
        <f>+H20/E20</f>
        <v>2.2090430102374548E-2</v>
      </c>
      <c r="J20"/>
      <c r="K20"/>
      <c r="L20"/>
      <c r="M20"/>
      <c r="N20"/>
      <c r="O20"/>
      <c r="P20"/>
      <c r="Q20"/>
    </row>
    <row r="21" spans="2:17" ht="17.25" hidden="1" customHeight="1" x14ac:dyDescent="0.25">
      <c r="B21" s="71" t="s">
        <v>18</v>
      </c>
      <c r="C21" s="320">
        <f>(2163662086.6+670884752.18+153056000)</f>
        <v>2987602838.7799997</v>
      </c>
      <c r="D21" s="320">
        <v>0</v>
      </c>
      <c r="E21" s="320">
        <f>+C21+D21</f>
        <v>2987602838.7799997</v>
      </c>
      <c r="F21" s="321">
        <v>2948605413.7200003</v>
      </c>
      <c r="G21" s="312">
        <f>(F21/E21)</f>
        <v>0.98694691792570255</v>
      </c>
      <c r="H21" s="321">
        <f>+E21-F21</f>
        <v>38997425.059999466</v>
      </c>
      <c r="I21" s="314">
        <f>+H21/E21</f>
        <v>1.3053082074297475E-2</v>
      </c>
      <c r="J21"/>
      <c r="K21"/>
      <c r="L21"/>
      <c r="M21"/>
      <c r="N21"/>
      <c r="O21"/>
      <c r="P21"/>
      <c r="Q21"/>
    </row>
    <row r="22" spans="2:17" ht="0.75" hidden="1" customHeight="1" x14ac:dyDescent="0.25">
      <c r="B22" s="310" t="s">
        <v>11</v>
      </c>
      <c r="C22" s="311"/>
      <c r="D22" s="311"/>
      <c r="E22" s="311"/>
      <c r="F22" s="312"/>
      <c r="G22" s="312"/>
      <c r="H22" s="313"/>
      <c r="I22" s="314"/>
      <c r="J22"/>
      <c r="K22"/>
      <c r="L22"/>
      <c r="M22"/>
      <c r="N22"/>
      <c r="O22"/>
      <c r="P22"/>
      <c r="Q22"/>
    </row>
    <row r="23" spans="2:17" ht="21.75" hidden="1" customHeight="1" x14ac:dyDescent="0.25">
      <c r="B23" s="324" t="s">
        <v>19</v>
      </c>
      <c r="C23" s="325">
        <f>SUM(C20:C22)</f>
        <v>5939835002.7799997</v>
      </c>
      <c r="D23" s="325">
        <f>SUM(D20:D22)</f>
        <v>374463.47000000003</v>
      </c>
      <c r="E23" s="325">
        <f>SUM(E20:E22)</f>
        <v>5996605036.1999969</v>
      </c>
      <c r="F23" s="325">
        <f>SUM(F20:F22)</f>
        <v>5891137458.4200001</v>
      </c>
      <c r="G23" s="326">
        <f>+(F23-D23)/C23</f>
        <v>0.99173848973800904</v>
      </c>
      <c r="H23" s="325">
        <f>(C23+D23)-F23</f>
        <v>49072007.829999924</v>
      </c>
      <c r="I23" s="326">
        <f>+H23/(C23+D23)</f>
        <v>8.2609894665850291E-3</v>
      </c>
      <c r="J23"/>
      <c r="K23"/>
      <c r="L23"/>
      <c r="M23"/>
      <c r="N23"/>
      <c r="O23"/>
      <c r="P23"/>
      <c r="Q23"/>
    </row>
    <row r="24" spans="2:17" ht="19.5" hidden="1" customHeight="1" x14ac:dyDescent="0.25">
      <c r="B24" s="315" t="s">
        <v>28</v>
      </c>
      <c r="C24" s="316" t="e">
        <f>+C18+C14+#REF!+C23</f>
        <v>#REF!</v>
      </c>
      <c r="D24" s="316"/>
      <c r="E24" s="316"/>
      <c r="F24" s="316" t="e">
        <f>+F18+F14+#REF!+F23</f>
        <v>#REF!</v>
      </c>
      <c r="G24" s="317" t="e">
        <f>(F24/C24)</f>
        <v>#REF!</v>
      </c>
      <c r="H24" s="318" t="e">
        <f>+H18+H14+#REF!+H23</f>
        <v>#REF!</v>
      </c>
      <c r="I24" s="317">
        <v>1</v>
      </c>
      <c r="J24"/>
      <c r="K24"/>
      <c r="L24"/>
      <c r="M24"/>
      <c r="N24"/>
      <c r="O24"/>
      <c r="P24"/>
      <c r="Q24"/>
    </row>
    <row r="25" spans="2:17" ht="25.9" customHeight="1" x14ac:dyDescent="0.25">
      <c r="B25" s="647" t="s">
        <v>298</v>
      </c>
      <c r="C25" s="647"/>
      <c r="D25" s="647"/>
      <c r="E25" s="647"/>
      <c r="F25" s="647"/>
      <c r="G25" s="647"/>
      <c r="H25" s="647"/>
      <c r="I25" s="647"/>
      <c r="J25"/>
      <c r="K25"/>
      <c r="L25"/>
      <c r="M25"/>
      <c r="N25"/>
      <c r="O25"/>
      <c r="P25"/>
      <c r="Q25"/>
    </row>
    <row r="26" spans="2:17" ht="26.25" customHeight="1" x14ac:dyDescent="0.25">
      <c r="B26" s="648" t="s">
        <v>290</v>
      </c>
      <c r="C26" s="648"/>
      <c r="D26" s="648"/>
      <c r="E26" s="648"/>
      <c r="F26" s="648"/>
      <c r="G26" s="648"/>
      <c r="H26" s="648"/>
      <c r="I26" s="648"/>
      <c r="J26" s="13"/>
      <c r="K26" s="90"/>
    </row>
    <row r="27" spans="2:17" ht="11.25" customHeight="1" x14ac:dyDescent="0.25">
      <c r="B27" s="646" t="s">
        <v>77</v>
      </c>
      <c r="C27" s="646"/>
      <c r="D27" s="646"/>
      <c r="E27" s="646"/>
      <c r="F27" s="646"/>
      <c r="G27" s="646"/>
      <c r="H27" s="646"/>
      <c r="I27" s="646"/>
      <c r="K27" s="27"/>
      <c r="M27" s="13"/>
    </row>
    <row r="28" spans="2:17" x14ac:dyDescent="0.25">
      <c r="C28" s="29"/>
      <c r="D28" s="29"/>
      <c r="E28" s="29"/>
      <c r="F28" s="29"/>
      <c r="G28" s="17"/>
      <c r="H28" s="29"/>
      <c r="I28" s="29"/>
      <c r="J28" s="13"/>
    </row>
    <row r="29" spans="2:17" ht="14.25" customHeight="1" x14ac:dyDescent="0.25">
      <c r="F29" s="30"/>
    </row>
    <row r="30" spans="2:17" hidden="1" x14ac:dyDescent="0.25"/>
    <row r="31" spans="2:17" hidden="1" x14ac:dyDescent="0.25"/>
    <row r="32" spans="2:1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2:16" hidden="1" x14ac:dyDescent="0.25"/>
    <row r="50" spans="2:16" hidden="1" x14ac:dyDescent="0.25">
      <c r="J50" s="4"/>
    </row>
    <row r="51" spans="2:16" hidden="1" x14ac:dyDescent="0.25"/>
    <row r="52" spans="2:16" hidden="1" x14ac:dyDescent="0.25">
      <c r="J52" s="4"/>
    </row>
    <row r="53" spans="2:16" hidden="1" x14ac:dyDescent="0.25"/>
    <row r="55" spans="2:16" x14ac:dyDescent="0.25">
      <c r="E55" s="30"/>
    </row>
    <row r="61" spans="2:16" x14ac:dyDescent="0.25">
      <c r="P61" s="69"/>
    </row>
    <row r="62" spans="2:16" x14ac:dyDescent="0.25">
      <c r="P62" s="69"/>
    </row>
    <row r="63" spans="2:16" x14ac:dyDescent="0.25">
      <c r="B63" s="646"/>
      <c r="C63" s="646"/>
      <c r="D63" s="646"/>
      <c r="E63" s="646"/>
      <c r="F63" s="646"/>
      <c r="G63" s="646"/>
      <c r="H63" s="646"/>
      <c r="I63" s="646"/>
      <c r="P63" s="69"/>
    </row>
    <row r="64" spans="2:16" x14ac:dyDescent="0.25">
      <c r="B64" s="142"/>
      <c r="C64" s="140"/>
      <c r="D64"/>
      <c r="E64" s="61"/>
      <c r="F64"/>
      <c r="G64"/>
      <c r="H64"/>
      <c r="I64"/>
      <c r="P64" s="319"/>
    </row>
    <row r="65" spans="2:9" x14ac:dyDescent="0.25">
      <c r="B65"/>
      <c r="C65" s="121"/>
      <c r="D65"/>
      <c r="E65" s="121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ht="15" customHeight="1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ht="15" hidden="1" customHeight="1" x14ac:dyDescent="0.25">
      <c r="B85"/>
      <c r="C85"/>
      <c r="D85"/>
      <c r="E85"/>
      <c r="F85"/>
      <c r="G85"/>
      <c r="H85"/>
      <c r="I85"/>
    </row>
    <row r="86" spans="2:9" x14ac:dyDescent="0.25">
      <c r="C86" s="71"/>
      <c r="D86" s="98"/>
      <c r="E86" s="115"/>
      <c r="F86" s="98"/>
      <c r="G86" s="99"/>
      <c r="H86" s="2"/>
      <c r="I86" s="59"/>
    </row>
    <row r="88" spans="2:9" x14ac:dyDescent="0.25">
      <c r="C88" s="71"/>
      <c r="D88" s="115"/>
      <c r="E88" s="98"/>
      <c r="F88" s="98"/>
      <c r="G88" s="99"/>
      <c r="H88" s="2"/>
      <c r="I88" s="92"/>
    </row>
  </sheetData>
  <mergeCells count="16">
    <mergeCell ref="B27:I27"/>
    <mergeCell ref="B63:I63"/>
    <mergeCell ref="B25:I25"/>
    <mergeCell ref="B26:I26"/>
    <mergeCell ref="B1:I1"/>
    <mergeCell ref="B2:I2"/>
    <mergeCell ref="B3:I3"/>
    <mergeCell ref="B5:I5"/>
    <mergeCell ref="F7:G8"/>
    <mergeCell ref="H7:I8"/>
    <mergeCell ref="C7:C8"/>
    <mergeCell ref="B4:I4"/>
    <mergeCell ref="D7:D8"/>
    <mergeCell ref="E7:E8"/>
    <mergeCell ref="C6:E6"/>
    <mergeCell ref="F6:I6"/>
  </mergeCells>
  <pageMargins left="0.7" right="0.7" top="0.75" bottom="0.75" header="0.3" footer="0.3"/>
  <pageSetup paperSize="9" scale="6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AO104"/>
  <sheetViews>
    <sheetView showGridLines="0" topLeftCell="A9" zoomScaleNormal="100" zoomScaleSheetLayoutView="115" workbookViewId="0">
      <selection activeCell="D12" sqref="D12"/>
    </sheetView>
  </sheetViews>
  <sheetFormatPr baseColWidth="10" defaultColWidth="11.42578125" defaultRowHeight="15" x14ac:dyDescent="0.25"/>
  <cols>
    <col min="1" max="1" width="9.7109375" style="1" customWidth="1"/>
    <col min="2" max="2" width="10.28515625" style="1" customWidth="1"/>
    <col min="3" max="3" width="10.85546875" style="1" customWidth="1"/>
    <col min="4" max="4" width="17.28515625" style="1" bestFit="1" customWidth="1"/>
    <col min="5" max="5" width="12.85546875" style="1" customWidth="1"/>
    <col min="6" max="6" width="12.140625" style="1" customWidth="1"/>
    <col min="7" max="7" width="15.85546875" style="1" bestFit="1" customWidth="1"/>
    <col min="8" max="8" width="12.85546875" style="1" customWidth="1"/>
    <col min="9" max="9" width="12.140625" style="1" customWidth="1"/>
    <col min="10" max="10" width="17.28515625" style="1" bestFit="1" customWidth="1"/>
    <col min="11" max="11" width="10.28515625" style="1" customWidth="1"/>
    <col min="12" max="12" width="10.85546875" style="1" customWidth="1"/>
    <col min="13" max="13" width="16.85546875" style="1" bestFit="1" customWidth="1"/>
    <col min="14" max="14" width="11" style="1" customWidth="1"/>
    <col min="15" max="15" width="15.42578125" style="1" hidden="1" customWidth="1"/>
    <col min="16" max="16" width="16.42578125" style="1" hidden="1" customWidth="1"/>
    <col min="17" max="17" width="14.7109375" style="1" hidden="1" customWidth="1"/>
    <col min="18" max="18" width="17.7109375" style="1" hidden="1" customWidth="1"/>
    <col min="19" max="19" width="16.7109375" style="1" hidden="1" customWidth="1"/>
    <col min="20" max="20" width="12.28515625" style="1" hidden="1" customWidth="1"/>
    <col min="21" max="21" width="17.7109375" style="1" hidden="1" customWidth="1"/>
    <col min="22" max="22" width="0" style="1" hidden="1" customWidth="1"/>
    <col min="23" max="23" width="17.140625" style="1" bestFit="1" customWidth="1"/>
    <col min="24" max="24" width="22" style="1" customWidth="1"/>
    <col min="25" max="26" width="14.5703125" style="1" customWidth="1"/>
    <col min="27" max="27" width="17.140625" style="1" customWidth="1"/>
    <col min="28" max="28" width="11.7109375" style="1" customWidth="1"/>
    <col min="29" max="29" width="20.42578125" style="1" customWidth="1"/>
    <col min="30" max="30" width="17.140625" style="1" customWidth="1"/>
    <col min="31" max="31" width="11.42578125" style="1"/>
    <col min="32" max="32" width="20.5703125" style="1" customWidth="1"/>
    <col min="33" max="33" width="15" style="1" bestFit="1" customWidth="1"/>
    <col min="34" max="34" width="29.5703125" style="1" customWidth="1"/>
    <col min="35" max="16384" width="11.42578125" style="1"/>
  </cols>
  <sheetData>
    <row r="1" spans="1:41" x14ac:dyDescent="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21"/>
    </row>
    <row r="2" spans="1:41" x14ac:dyDescent="0.25">
      <c r="A2" s="639" t="s">
        <v>69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</row>
    <row r="3" spans="1:41" x14ac:dyDescent="0.25">
      <c r="A3" s="639" t="s">
        <v>78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</row>
    <row r="4" spans="1:41" x14ac:dyDescent="0.25">
      <c r="A4" s="639" t="s">
        <v>275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</row>
    <row r="5" spans="1:41" x14ac:dyDescent="0.25">
      <c r="A5" s="639" t="s">
        <v>3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</row>
    <row r="6" spans="1:41" x14ac:dyDescent="0.25">
      <c r="A6" s="103"/>
      <c r="B6" s="651" t="s">
        <v>79</v>
      </c>
      <c r="C6" s="651"/>
      <c r="D6" s="651"/>
      <c r="E6" s="654" t="s">
        <v>80</v>
      </c>
      <c r="F6" s="654"/>
      <c r="G6" s="654"/>
      <c r="H6" s="652" t="s">
        <v>81</v>
      </c>
      <c r="I6" s="652"/>
      <c r="J6" s="652"/>
      <c r="K6" s="653" t="s">
        <v>82</v>
      </c>
      <c r="L6" s="653"/>
      <c r="M6" s="653"/>
    </row>
    <row r="7" spans="1:41" ht="22.5" x14ac:dyDescent="0.25">
      <c r="A7" s="201" t="s">
        <v>4</v>
      </c>
      <c r="B7" s="201" t="s">
        <v>83</v>
      </c>
      <c r="C7" s="201" t="s">
        <v>84</v>
      </c>
      <c r="D7" s="201" t="s">
        <v>8</v>
      </c>
      <c r="E7" s="201" t="s">
        <v>83</v>
      </c>
      <c r="F7" s="201" t="s">
        <v>84</v>
      </c>
      <c r="G7" s="201" t="s">
        <v>8</v>
      </c>
      <c r="H7" s="201" t="s">
        <v>83</v>
      </c>
      <c r="I7" s="201" t="s">
        <v>84</v>
      </c>
      <c r="J7" s="201" t="s">
        <v>8</v>
      </c>
      <c r="K7" s="201" t="s">
        <v>83</v>
      </c>
      <c r="L7" s="201" t="s">
        <v>84</v>
      </c>
      <c r="M7" s="201" t="s">
        <v>8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28" customFormat="1" ht="15.75" hidden="1" customHeight="1" x14ac:dyDescent="0.25">
      <c r="A8" s="202" t="s">
        <v>11</v>
      </c>
      <c r="B8" s="203"/>
      <c r="C8" s="203"/>
      <c r="D8" s="203"/>
      <c r="E8" s="204"/>
      <c r="F8" s="204"/>
      <c r="G8" s="204"/>
      <c r="H8" s="204"/>
      <c r="I8" s="204"/>
      <c r="J8" s="204"/>
      <c r="K8" s="205">
        <f>+H8+E8+B8</f>
        <v>0</v>
      </c>
      <c r="L8" s="205">
        <f>+C8+F8+I8</f>
        <v>0</v>
      </c>
      <c r="M8" s="205">
        <f>+D8+G8+J8</f>
        <v>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28" customFormat="1" ht="15.75" customHeight="1" x14ac:dyDescent="0.25">
      <c r="A9" s="333" t="s">
        <v>22</v>
      </c>
      <c r="B9" s="334">
        <v>137127</v>
      </c>
      <c r="C9" s="334">
        <v>149692</v>
      </c>
      <c r="D9" s="335">
        <v>2340502159.2800002</v>
      </c>
      <c r="E9" s="334">
        <v>36486</v>
      </c>
      <c r="F9" s="334">
        <v>36486</v>
      </c>
      <c r="G9" s="335">
        <v>218916000</v>
      </c>
      <c r="H9" s="334">
        <v>24891</v>
      </c>
      <c r="I9" s="334">
        <v>25022</v>
      </c>
      <c r="J9" s="335">
        <v>678297485.95000005</v>
      </c>
      <c r="K9" s="336">
        <f>+SUM(B9,E9,H9)</f>
        <v>198504</v>
      </c>
      <c r="L9" s="336">
        <f>+SUM(C9,F9,I9)</f>
        <v>211200</v>
      </c>
      <c r="M9" s="337">
        <f t="shared" ref="M9:M10" si="0">+SUM(D9,G9,J9)</f>
        <v>3237715645.2300005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28" customFormat="1" ht="15.75" customHeight="1" x14ac:dyDescent="0.25">
      <c r="A10" s="333" t="s">
        <v>21</v>
      </c>
      <c r="B10" s="334">
        <v>135821</v>
      </c>
      <c r="C10" s="338">
        <v>148356</v>
      </c>
      <c r="D10" s="335">
        <v>2292239272.1599998</v>
      </c>
      <c r="E10" s="334">
        <v>35031</v>
      </c>
      <c r="F10" s="334">
        <v>35031</v>
      </c>
      <c r="G10" s="335">
        <v>210186000</v>
      </c>
      <c r="H10" s="334">
        <v>24917</v>
      </c>
      <c r="I10" s="334">
        <v>25029</v>
      </c>
      <c r="J10" s="335">
        <v>677831516.33000004</v>
      </c>
      <c r="K10" s="336">
        <f t="shared" ref="K10:K11" si="1">+SUM(B10,E10,H10)</f>
        <v>195769</v>
      </c>
      <c r="L10" s="336">
        <f t="shared" ref="L10:L11" si="2">+SUM(C10,F10,I10)</f>
        <v>208416</v>
      </c>
      <c r="M10" s="337">
        <f t="shared" si="0"/>
        <v>3180256788.4899998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128" customFormat="1" ht="15.75" customHeight="1" x14ac:dyDescent="0.25">
      <c r="A11" s="333" t="s">
        <v>20</v>
      </c>
      <c r="B11" s="334">
        <v>136012</v>
      </c>
      <c r="C11" s="334">
        <v>148632</v>
      </c>
      <c r="D11" s="335">
        <v>2285752067.23</v>
      </c>
      <c r="E11" s="334">
        <v>34420</v>
      </c>
      <c r="F11" s="334">
        <v>34420</v>
      </c>
      <c r="G11" s="335">
        <v>206520000</v>
      </c>
      <c r="H11" s="334">
        <v>24961</v>
      </c>
      <c r="I11" s="334">
        <v>25055</v>
      </c>
      <c r="J11" s="335">
        <v>677178595.20000005</v>
      </c>
      <c r="K11" s="336">
        <f t="shared" si="1"/>
        <v>195393</v>
      </c>
      <c r="L11" s="336">
        <f t="shared" si="2"/>
        <v>208107</v>
      </c>
      <c r="M11" s="337">
        <f>+SUM(D11,G11,J11)</f>
        <v>3169450662.4300003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28" customFormat="1" ht="20.25" customHeight="1" x14ac:dyDescent="0.25">
      <c r="A12" s="339" t="s">
        <v>23</v>
      </c>
      <c r="B12" s="340">
        <f>+B9</f>
        <v>137127</v>
      </c>
      <c r="C12" s="340">
        <f>+C9</f>
        <v>149692</v>
      </c>
      <c r="D12" s="341">
        <f>+SUM(D9:D11)</f>
        <v>6918493498.6700001</v>
      </c>
      <c r="E12" s="340">
        <f>E9</f>
        <v>36486</v>
      </c>
      <c r="F12" s="340">
        <f>+F9</f>
        <v>36486</v>
      </c>
      <c r="G12" s="341">
        <f>+SUM(G9:G11)</f>
        <v>635622000</v>
      </c>
      <c r="H12" s="340">
        <f>+H9</f>
        <v>24891</v>
      </c>
      <c r="I12" s="340">
        <f>+I9</f>
        <v>25022</v>
      </c>
      <c r="J12" s="341">
        <f>SUM(J9:J11)</f>
        <v>2033307597.4800003</v>
      </c>
      <c r="K12" s="340">
        <f>B12+E12+H12</f>
        <v>198504</v>
      </c>
      <c r="L12" s="340">
        <f>SUM(C12,F12,I12)</f>
        <v>211200</v>
      </c>
      <c r="M12" s="341">
        <f>+SUM(D12,G12,J12)</f>
        <v>9587423096.1499996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0.75" hidden="1" customHeight="1" x14ac:dyDescent="0.25">
      <c r="A13" s="124" t="s">
        <v>16</v>
      </c>
      <c r="B13" s="206">
        <v>131472</v>
      </c>
      <c r="C13" s="207">
        <v>143955</v>
      </c>
      <c r="D13" s="204">
        <v>2168518692.8400002</v>
      </c>
      <c r="E13" s="204">
        <v>28481</v>
      </c>
      <c r="F13" s="204">
        <v>28481</v>
      </c>
      <c r="G13" s="204">
        <v>170886000</v>
      </c>
      <c r="H13" s="204">
        <v>24038</v>
      </c>
      <c r="I13" s="204">
        <v>24120</v>
      </c>
      <c r="J13" s="208">
        <v>627907662.75</v>
      </c>
      <c r="K13" s="209">
        <f t="shared" ref="K13:M15" si="3">+B13+H13+E13</f>
        <v>183991</v>
      </c>
      <c r="L13" s="210">
        <f t="shared" si="3"/>
        <v>196556</v>
      </c>
      <c r="M13" s="209">
        <f t="shared" si="3"/>
        <v>2967312355.5900002</v>
      </c>
      <c r="U13" s="85">
        <f>+U35/1000000</f>
        <v>21889.275431490005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33.75" hidden="1" customHeight="1" x14ac:dyDescent="0.25">
      <c r="A14" s="124" t="s">
        <v>17</v>
      </c>
      <c r="B14" s="206">
        <v>130586</v>
      </c>
      <c r="C14" s="211">
        <v>143067</v>
      </c>
      <c r="D14" s="207">
        <v>2139856652.8</v>
      </c>
      <c r="E14" s="207">
        <v>26212</v>
      </c>
      <c r="F14" s="207">
        <v>26212</v>
      </c>
      <c r="G14" s="207">
        <v>157272000</v>
      </c>
      <c r="H14" s="207">
        <v>24014</v>
      </c>
      <c r="I14" s="207">
        <v>24094</v>
      </c>
      <c r="J14" s="207">
        <v>626541522.04999995</v>
      </c>
      <c r="K14" s="209">
        <f t="shared" si="3"/>
        <v>180812</v>
      </c>
      <c r="L14" s="210">
        <f t="shared" si="3"/>
        <v>193373</v>
      </c>
      <c r="M14" s="209">
        <f t="shared" si="3"/>
        <v>2923670174.8499999</v>
      </c>
      <c r="Q14" s="29">
        <f>+L15-L14</f>
        <v>-2408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42.75" hidden="1" customHeight="1" x14ac:dyDescent="0.25">
      <c r="A15" s="124" t="s">
        <v>18</v>
      </c>
      <c r="B15" s="206">
        <v>129713</v>
      </c>
      <c r="C15" s="207">
        <v>142180</v>
      </c>
      <c r="D15" s="207">
        <v>2120108544.4200001</v>
      </c>
      <c r="E15" s="207">
        <v>24723</v>
      </c>
      <c r="F15" s="207">
        <v>24723</v>
      </c>
      <c r="G15" s="207">
        <v>148338000</v>
      </c>
      <c r="H15" s="207">
        <v>23983</v>
      </c>
      <c r="I15" s="207">
        <v>24062</v>
      </c>
      <c r="J15" s="207">
        <v>625129302.96000004</v>
      </c>
      <c r="K15" s="209">
        <f t="shared" si="3"/>
        <v>178419</v>
      </c>
      <c r="L15" s="210">
        <f t="shared" si="3"/>
        <v>190965</v>
      </c>
      <c r="M15" s="212">
        <f t="shared" si="3"/>
        <v>2893575847.3800001</v>
      </c>
      <c r="S15" s="27"/>
      <c r="V15" s="1">
        <f>+U35/1000000</f>
        <v>21889.275431490005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80.25" hidden="1" customHeight="1" x14ac:dyDescent="0.25">
      <c r="A16" s="213" t="s">
        <v>19</v>
      </c>
      <c r="B16" s="214">
        <f>+B13</f>
        <v>131472</v>
      </c>
      <c r="C16" s="214">
        <f>+C13</f>
        <v>143955</v>
      </c>
      <c r="D16" s="214">
        <f>SUM(D8:D15)</f>
        <v>20265470887.400002</v>
      </c>
      <c r="E16" s="214">
        <f>+E13</f>
        <v>28481</v>
      </c>
      <c r="F16" s="214">
        <f>+F13</f>
        <v>28481</v>
      </c>
      <c r="G16" s="214">
        <f>SUM(G8:G15)</f>
        <v>1747740000</v>
      </c>
      <c r="H16" s="214">
        <f>+H13</f>
        <v>24038</v>
      </c>
      <c r="I16" s="214">
        <f>+I13</f>
        <v>24120</v>
      </c>
      <c r="J16" s="215">
        <f>SUM(J8:J15)</f>
        <v>5946193682.7200012</v>
      </c>
      <c r="K16" s="214">
        <f>+K13</f>
        <v>183991</v>
      </c>
      <c r="L16" s="214">
        <f>+L13</f>
        <v>196556</v>
      </c>
      <c r="M16" s="215">
        <f>SUM(M8:M15)</f>
        <v>27959404570.120003</v>
      </c>
      <c r="S16" s="650" t="s">
        <v>85</v>
      </c>
      <c r="T16" s="650"/>
      <c r="U16" s="650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3" hidden="1" customHeight="1" x14ac:dyDescent="0.25">
      <c r="A17" s="124" t="s">
        <v>14</v>
      </c>
      <c r="B17" s="216"/>
      <c r="C17" s="217"/>
      <c r="D17" s="217">
        <f>SUM(D8:D15)</f>
        <v>20265470887.400002</v>
      </c>
      <c r="E17" s="217"/>
      <c r="F17" s="217"/>
      <c r="G17" s="217">
        <f>SUM(G8:G15)</f>
        <v>1747740000</v>
      </c>
      <c r="H17" s="217"/>
      <c r="I17" s="217"/>
      <c r="J17" s="217">
        <f>SUM(J8:J15)</f>
        <v>5946193682.7200012</v>
      </c>
      <c r="K17" s="209">
        <f t="shared" ref="K17:M19" si="4">+B17+H17+E17</f>
        <v>0</v>
      </c>
      <c r="L17" s="210">
        <f t="shared" si="4"/>
        <v>0</v>
      </c>
      <c r="M17" s="209">
        <f t="shared" si="4"/>
        <v>27959404570.120003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2.25" hidden="1" customHeight="1" x14ac:dyDescent="0.25">
      <c r="A18" s="124" t="s">
        <v>13</v>
      </c>
      <c r="B18" s="216"/>
      <c r="C18" s="218"/>
      <c r="D18" s="217"/>
      <c r="E18" s="217"/>
      <c r="F18" s="217"/>
      <c r="G18" s="217"/>
      <c r="H18" s="217"/>
      <c r="I18" s="217"/>
      <c r="J18" s="217"/>
      <c r="K18" s="209">
        <f t="shared" si="4"/>
        <v>0</v>
      </c>
      <c r="L18" s="210">
        <f t="shared" si="4"/>
        <v>0</v>
      </c>
      <c r="M18" s="209">
        <f t="shared" si="4"/>
        <v>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9.5" hidden="1" customHeight="1" x14ac:dyDescent="0.25">
      <c r="A19" s="124" t="s">
        <v>12</v>
      </c>
      <c r="B19" s="216"/>
      <c r="C19" s="217"/>
      <c r="D19" s="217"/>
      <c r="E19" s="217"/>
      <c r="F19" s="217"/>
      <c r="G19" s="217"/>
      <c r="H19" s="217"/>
      <c r="I19" s="217"/>
      <c r="J19" s="217"/>
      <c r="K19" s="209">
        <f t="shared" si="4"/>
        <v>0</v>
      </c>
      <c r="L19" s="210">
        <f t="shared" si="4"/>
        <v>0</v>
      </c>
      <c r="M19" s="209">
        <f t="shared" si="4"/>
        <v>0</v>
      </c>
      <c r="Q19" s="29">
        <f>+M15-M14</f>
        <v>-30094327.46999979</v>
      </c>
      <c r="S19" s="27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9.5" hidden="1" customHeight="1" x14ac:dyDescent="0.25">
      <c r="A20" s="213" t="s">
        <v>15</v>
      </c>
      <c r="B20" s="214">
        <f>+B19</f>
        <v>0</v>
      </c>
      <c r="C20" s="214">
        <f>+C19</f>
        <v>0</v>
      </c>
      <c r="D20" s="214">
        <f>+SUM(D17:D19)</f>
        <v>20265470887.400002</v>
      </c>
      <c r="E20" s="214">
        <f>+E19</f>
        <v>0</v>
      </c>
      <c r="F20" s="214">
        <f>+F19</f>
        <v>0</v>
      </c>
      <c r="G20" s="214">
        <f>+SUM(G17:G19)</f>
        <v>1747740000</v>
      </c>
      <c r="H20" s="214">
        <f>+H19</f>
        <v>0</v>
      </c>
      <c r="I20" s="214">
        <f>+I19</f>
        <v>0</v>
      </c>
      <c r="J20" s="214">
        <f>+SUM(J17:J19)</f>
        <v>5946193682.7200012</v>
      </c>
      <c r="K20" s="214">
        <f>+K19</f>
        <v>0</v>
      </c>
      <c r="L20" s="219">
        <f>+L19</f>
        <v>0</v>
      </c>
      <c r="M20" s="214">
        <f>+SUM(M17:M19)</f>
        <v>27959404570.120003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9.5" hidden="1" customHeight="1" x14ac:dyDescent="0.25">
      <c r="A21" s="124" t="s">
        <v>39</v>
      </c>
      <c r="B21" s="216"/>
      <c r="C21" s="217"/>
      <c r="D21" s="217"/>
      <c r="E21" s="217"/>
      <c r="F21" s="217"/>
      <c r="G21" s="217"/>
      <c r="H21" s="217"/>
      <c r="I21" s="217"/>
      <c r="J21" s="217"/>
      <c r="K21" s="209">
        <f t="shared" ref="K21:M23" si="5">+B21+H21+E21</f>
        <v>0</v>
      </c>
      <c r="L21" s="210">
        <f t="shared" si="5"/>
        <v>0</v>
      </c>
      <c r="M21" s="209">
        <f t="shared" si="5"/>
        <v>0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9.5" hidden="1" customHeight="1" x14ac:dyDescent="0.25">
      <c r="A22" s="124" t="s">
        <v>21</v>
      </c>
      <c r="B22" s="216"/>
      <c r="C22" s="218"/>
      <c r="D22" s="217"/>
      <c r="E22" s="217"/>
      <c r="F22" s="217"/>
      <c r="G22" s="217"/>
      <c r="H22" s="217"/>
      <c r="I22" s="217"/>
      <c r="J22" s="217"/>
      <c r="K22" s="209">
        <f t="shared" si="5"/>
        <v>0</v>
      </c>
      <c r="L22" s="210">
        <f t="shared" si="5"/>
        <v>0</v>
      </c>
      <c r="M22" s="209">
        <f t="shared" si="5"/>
        <v>0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19.5" hidden="1" customHeight="1" x14ac:dyDescent="0.25">
      <c r="A23" s="124" t="s">
        <v>22</v>
      </c>
      <c r="B23" s="216"/>
      <c r="C23" s="217"/>
      <c r="D23" s="217"/>
      <c r="E23" s="217"/>
      <c r="F23" s="217"/>
      <c r="G23" s="217"/>
      <c r="H23" s="217"/>
      <c r="I23" s="217"/>
      <c r="J23" s="217"/>
      <c r="K23" s="209">
        <f t="shared" si="5"/>
        <v>0</v>
      </c>
      <c r="L23" s="210">
        <f t="shared" si="5"/>
        <v>0</v>
      </c>
      <c r="M23" s="209">
        <f t="shared" si="5"/>
        <v>0</v>
      </c>
      <c r="S23" s="27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2" hidden="1" customHeight="1" x14ac:dyDescent="0.25">
      <c r="A24" s="213" t="s">
        <v>23</v>
      </c>
      <c r="B24" s="214">
        <f>+B23</f>
        <v>0</v>
      </c>
      <c r="C24" s="214">
        <f>+C23</f>
        <v>0</v>
      </c>
      <c r="D24" s="214">
        <f>+SUM(D21:D23)</f>
        <v>0</v>
      </c>
      <c r="E24" s="214">
        <f>+E23</f>
        <v>0</v>
      </c>
      <c r="F24" s="214">
        <f>+F23</f>
        <v>0</v>
      </c>
      <c r="G24" s="214">
        <f>+SUM(G21:G23)</f>
        <v>0</v>
      </c>
      <c r="H24" s="214">
        <f>+H23</f>
        <v>0</v>
      </c>
      <c r="I24" s="214">
        <f>+I23</f>
        <v>0</v>
      </c>
      <c r="J24" s="214">
        <f>+SUM(J21:J23)</f>
        <v>0</v>
      </c>
      <c r="K24" s="214">
        <f>+K23</f>
        <v>0</v>
      </c>
      <c r="L24" s="219">
        <f>+L23</f>
        <v>0</v>
      </c>
      <c r="M24" s="214">
        <f>+SUM(M21:M23)</f>
        <v>0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24" hidden="1" customHeight="1" x14ac:dyDescent="0.25">
      <c r="A25" s="124" t="s">
        <v>24</v>
      </c>
      <c r="B25" s="216"/>
      <c r="C25" s="217"/>
      <c r="D25" s="217"/>
      <c r="E25" s="217"/>
      <c r="F25" s="217"/>
      <c r="G25" s="217"/>
      <c r="H25" s="217"/>
      <c r="I25" s="217"/>
      <c r="J25" s="217"/>
      <c r="K25" s="209">
        <f t="shared" ref="K25:M28" si="6">+B25+H25+E25</f>
        <v>0</v>
      </c>
      <c r="L25" s="210">
        <f t="shared" si="6"/>
        <v>0</v>
      </c>
      <c r="M25" s="209">
        <f t="shared" si="6"/>
        <v>0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45.75" hidden="1" customHeight="1" x14ac:dyDescent="0.25">
      <c r="A26" s="124" t="s">
        <v>25</v>
      </c>
      <c r="B26" s="216"/>
      <c r="C26" s="218"/>
      <c r="D26" s="217"/>
      <c r="E26" s="217"/>
      <c r="F26" s="217"/>
      <c r="G26" s="217"/>
      <c r="H26" s="217"/>
      <c r="I26" s="217"/>
      <c r="J26" s="217"/>
      <c r="K26" s="209">
        <f t="shared" si="6"/>
        <v>0</v>
      </c>
      <c r="L26" s="210">
        <f t="shared" si="6"/>
        <v>0</v>
      </c>
      <c r="M26" s="209">
        <f t="shared" si="6"/>
        <v>0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0.75" hidden="1" customHeight="1" x14ac:dyDescent="0.25">
      <c r="A27" s="124" t="s">
        <v>26</v>
      </c>
      <c r="B27" s="216"/>
      <c r="C27" s="217"/>
      <c r="D27" s="217"/>
      <c r="E27" s="217"/>
      <c r="F27" s="217"/>
      <c r="G27" s="217"/>
      <c r="H27" s="217"/>
      <c r="I27" s="217"/>
      <c r="J27" s="217"/>
      <c r="K27" s="209">
        <f t="shared" si="6"/>
        <v>0</v>
      </c>
      <c r="L27" s="210">
        <f t="shared" si="6"/>
        <v>0</v>
      </c>
      <c r="M27" s="209">
        <f t="shared" si="6"/>
        <v>0</v>
      </c>
      <c r="S27" s="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3.5" hidden="1" customHeight="1" x14ac:dyDescent="0.25">
      <c r="A28" s="124" t="s">
        <v>11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09">
        <f t="shared" si="6"/>
        <v>0</v>
      </c>
      <c r="L28" s="210">
        <f t="shared" si="6"/>
        <v>0</v>
      </c>
      <c r="M28" s="209">
        <f t="shared" si="6"/>
        <v>0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2" hidden="1" customHeight="1" x14ac:dyDescent="0.25">
      <c r="A29" s="213" t="s">
        <v>27</v>
      </c>
      <c r="B29" s="214">
        <f>+B28</f>
        <v>0</v>
      </c>
      <c r="C29" s="214">
        <f>+C28</f>
        <v>0</v>
      </c>
      <c r="D29" s="214">
        <f>+SUM(D25:D28)</f>
        <v>0</v>
      </c>
      <c r="E29" s="214">
        <f>+E28</f>
        <v>0</v>
      </c>
      <c r="F29" s="214">
        <f>+F28</f>
        <v>0</v>
      </c>
      <c r="G29" s="214">
        <f>+SUM(G25:G28)</f>
        <v>0</v>
      </c>
      <c r="H29" s="214">
        <f>+H28</f>
        <v>0</v>
      </c>
      <c r="I29" s="214">
        <f>+I28</f>
        <v>0</v>
      </c>
      <c r="J29" s="214">
        <f>+SUM(J25:J28)</f>
        <v>0</v>
      </c>
      <c r="K29" s="214">
        <f>+K28</f>
        <v>0</v>
      </c>
      <c r="L29" s="219">
        <f>+L28</f>
        <v>0</v>
      </c>
      <c r="M29" s="214">
        <f>+SUM(M25:M28)</f>
        <v>0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9.75" hidden="1" customHeight="1" x14ac:dyDescent="0.25">
      <c r="A30" s="220" t="s">
        <v>28</v>
      </c>
      <c r="B30" s="221">
        <f>+B29</f>
        <v>0</v>
      </c>
      <c r="C30" s="221">
        <f>+C29</f>
        <v>0</v>
      </c>
      <c r="D30" s="221">
        <f>+D16+D20+D24+D29</f>
        <v>40530941774.800003</v>
      </c>
      <c r="E30" s="221">
        <f>+E29</f>
        <v>0</v>
      </c>
      <c r="F30" s="221">
        <f>+F29</f>
        <v>0</v>
      </c>
      <c r="G30" s="221">
        <f>+G16+G20+G24+G29</f>
        <v>3495480000</v>
      </c>
      <c r="H30" s="221">
        <f>+H29</f>
        <v>0</v>
      </c>
      <c r="I30" s="221">
        <f>+I29</f>
        <v>0</v>
      </c>
      <c r="J30" s="221">
        <f>+J16+J20+J24+J29</f>
        <v>11892387365.440002</v>
      </c>
      <c r="K30" s="221">
        <f>+K29</f>
        <v>0</v>
      </c>
      <c r="L30" s="222">
        <f>+L29</f>
        <v>0</v>
      </c>
      <c r="M30" s="221">
        <f>+M16+M20+M24+M29</f>
        <v>55918809140.240005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6" hidden="1" customHeight="1" x14ac:dyDescent="0.25">
      <c r="A31" s="103" t="s">
        <v>27</v>
      </c>
      <c r="B31" s="223"/>
      <c r="C31" s="223"/>
      <c r="D31" s="224">
        <f>+D16/M16</f>
        <v>0.72481768474631791</v>
      </c>
      <c r="E31" s="225"/>
      <c r="F31" s="225"/>
      <c r="G31" s="224">
        <f>+G16/M16</f>
        <v>6.2509914888094431E-2</v>
      </c>
      <c r="H31" s="225"/>
      <c r="I31" s="225"/>
      <c r="J31" s="224">
        <f>+J16/M16</f>
        <v>0.2126724003655876</v>
      </c>
      <c r="K31" s="223"/>
      <c r="L31" s="223"/>
      <c r="M31" s="223"/>
      <c r="R31" s="29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x14ac:dyDescent="0.25">
      <c r="A32"/>
      <c r="B32"/>
      <c r="C32"/>
      <c r="D32" s="533">
        <f>+D12/M12</f>
        <v>0.72162179860908027</v>
      </c>
      <c r="E32"/>
      <c r="F32"/>
      <c r="G32" s="533">
        <f>+G12/M12</f>
        <v>6.6297480942010933E-2</v>
      </c>
      <c r="H32"/>
      <c r="I32"/>
      <c r="J32" s="533">
        <f>+J12/M12</f>
        <v>0.21208072044890885</v>
      </c>
      <c r="K32" s="180"/>
      <c r="L32" s="121"/>
      <c r="M32" s="470">
        <f>+SUM(D32,G32,J32)</f>
        <v>1</v>
      </c>
      <c r="Q32" s="1" t="s">
        <v>86</v>
      </c>
      <c r="S32" s="534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x14ac:dyDescent="0.25">
      <c r="A33" s="103" t="s">
        <v>289</v>
      </c>
      <c r="B33" s="140"/>
      <c r="C33"/>
      <c r="D33" s="188"/>
      <c r="E33"/>
      <c r="F33"/>
      <c r="G33" s="188"/>
      <c r="H33"/>
      <c r="I33"/>
      <c r="J33" s="188"/>
      <c r="K33" s="121"/>
      <c r="L33" s="262"/>
      <c r="M33" s="187"/>
      <c r="P33" s="1" t="s">
        <v>87</v>
      </c>
      <c r="Q33" s="28" t="s">
        <v>88</v>
      </c>
      <c r="R33" s="63" t="s">
        <v>8</v>
      </c>
      <c r="S33" s="28" t="s">
        <v>89</v>
      </c>
      <c r="T33" s="63" t="s">
        <v>88</v>
      </c>
      <c r="U33" s="1" t="s">
        <v>8</v>
      </c>
      <c r="W33" s="622" t="s">
        <v>79</v>
      </c>
      <c r="X33" s="623" t="s">
        <v>80</v>
      </c>
      <c r="Y33" s="624" t="s">
        <v>81</v>
      </c>
      <c r="Z33"/>
      <c r="AA33"/>
      <c r="AB33"/>
      <c r="AC33"/>
      <c r="AD33"/>
      <c r="AE33"/>
      <c r="AF33"/>
      <c r="AG33"/>
      <c r="AH33"/>
      <c r="AI33"/>
    </row>
    <row r="34" spans="1:41" x14ac:dyDescent="0.25">
      <c r="A34"/>
      <c r="B34"/>
      <c r="C34"/>
      <c r="E34" s="188"/>
      <c r="F34" s="188"/>
      <c r="H34" s="536"/>
      <c r="I34" s="535"/>
      <c r="K34" s="187"/>
      <c r="L34"/>
      <c r="M34" s="187"/>
      <c r="Q34" s="61"/>
      <c r="R34" s="30"/>
      <c r="S34" s="62">
        <v>145883</v>
      </c>
      <c r="T34" s="13">
        <v>158341</v>
      </c>
      <c r="U34" s="13">
        <v>6070129138.6299992</v>
      </c>
      <c r="W34" s="625">
        <f>+D32</f>
        <v>0.72162179860908027</v>
      </c>
      <c r="X34" s="625">
        <f>+G32</f>
        <v>6.6297480942010933E-2</v>
      </c>
      <c r="Y34" s="625">
        <f>+J32</f>
        <v>0.21208072044890885</v>
      </c>
      <c r="Z34"/>
      <c r="AA34"/>
      <c r="AB34"/>
      <c r="AC34"/>
      <c r="AD34"/>
      <c r="AE34"/>
      <c r="AF34"/>
      <c r="AG34"/>
      <c r="AH34"/>
      <c r="AI34"/>
    </row>
    <row r="35" spans="1:41" x14ac:dyDescent="0.25">
      <c r="A35"/>
      <c r="B35"/>
      <c r="C35"/>
      <c r="D35"/>
      <c r="E35"/>
      <c r="F35"/>
      <c r="G35"/>
      <c r="H35"/>
      <c r="I35"/>
      <c r="K35"/>
      <c r="L35"/>
      <c r="M35" s="187"/>
      <c r="Q35" s="68"/>
      <c r="R35" s="68"/>
      <c r="S35" s="29">
        <f>+K16-S34</f>
        <v>38108</v>
      </c>
      <c r="T35" s="29">
        <f>+L16-T34</f>
        <v>38215</v>
      </c>
      <c r="U35" s="29">
        <f>+M16-U34</f>
        <v>21889275431.490005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R36" s="30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S38" s="69">
        <f>+(K16-S34)/S34</f>
        <v>0.26122303489782911</v>
      </c>
      <c r="T38" s="69">
        <f>+(L16-T34)/T34</f>
        <v>0.24134620849937793</v>
      </c>
      <c r="U38" s="69">
        <f>+(M16-U34)/U34</f>
        <v>3.6060642091101074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S41" s="1" t="s">
        <v>90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S42" s="90" t="s">
        <v>89</v>
      </c>
      <c r="T42" s="90" t="s">
        <v>88</v>
      </c>
      <c r="U42" s="90" t="s">
        <v>8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S43" s="90">
        <v>139458</v>
      </c>
      <c r="T43" s="90">
        <v>151810</v>
      </c>
      <c r="U43" s="90">
        <v>5844095640.5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S44" s="90">
        <f>K16-S43</f>
        <v>44533</v>
      </c>
      <c r="T44" s="90">
        <f>L16-T43</f>
        <v>44746</v>
      </c>
      <c r="U44" s="90">
        <f>M16-U43</f>
        <v>22115308929.620003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S45" s="90"/>
      <c r="T45" s="90"/>
      <c r="U45" s="90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S46" s="90"/>
      <c r="T46" s="90"/>
      <c r="U46" s="90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S47" s="69">
        <f>+(K16-S43)/S43</f>
        <v>0.31932911701013927</v>
      </c>
      <c r="T47" s="69">
        <f>+(L16-T43)/T43</f>
        <v>0.29475001646795335</v>
      </c>
      <c r="U47" s="69">
        <f>+(M16-U43)/U43</f>
        <v>3.7842140666486244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W50"/>
      <c r="X50"/>
    </row>
    <row r="51" spans="1:4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W51"/>
      <c r="X51"/>
    </row>
    <row r="52" spans="1:41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41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4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4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4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41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41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41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41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41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41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41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9" spans="2:14" x14ac:dyDescent="0.25">
      <c r="B69" s="35"/>
      <c r="C69" s="116"/>
      <c r="D69" s="91"/>
      <c r="E69" s="91"/>
      <c r="F69" s="91"/>
      <c r="G69" s="91"/>
      <c r="H69" s="91"/>
      <c r="I69" s="91"/>
      <c r="J69" s="91"/>
      <c r="K69" s="91"/>
      <c r="L69" s="31"/>
      <c r="M69" s="32"/>
      <c r="N69" s="31"/>
    </row>
    <row r="71" spans="2:14" x14ac:dyDescent="0.25">
      <c r="B71" s="35"/>
      <c r="C71" s="116"/>
      <c r="D71" s="91"/>
      <c r="E71" s="91"/>
      <c r="F71" s="91"/>
      <c r="G71" s="91"/>
      <c r="H71" s="91"/>
      <c r="I71" s="91"/>
      <c r="J71" s="91"/>
      <c r="K71" s="91"/>
      <c r="L71" s="31"/>
      <c r="M71" s="32"/>
      <c r="N71" s="93"/>
    </row>
    <row r="73" spans="2:14" ht="5.25" customHeight="1" x14ac:dyDescent="0.25"/>
    <row r="74" spans="2:14" hidden="1" x14ac:dyDescent="0.25"/>
    <row r="75" spans="2:14" hidden="1" x14ac:dyDescent="0.25"/>
    <row r="76" spans="2:14" hidden="1" x14ac:dyDescent="0.25"/>
    <row r="77" spans="2:14" hidden="1" x14ac:dyDescent="0.25"/>
    <row r="78" spans="2:14" hidden="1" x14ac:dyDescent="0.25"/>
    <row r="79" spans="2:14" hidden="1" x14ac:dyDescent="0.25"/>
    <row r="80" spans="2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</sheetData>
  <mergeCells count="10">
    <mergeCell ref="S16:U16"/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56" orientation="portrait" r:id="rId1"/>
  <colBreaks count="1" manualBreakCount="1">
    <brk id="14" max="1048575" man="1"/>
  </colBreaks>
  <ignoredErrors>
    <ignoredError sqref="K16 L1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B1:S54"/>
  <sheetViews>
    <sheetView showGridLines="0" topLeftCell="A17" zoomScaleNormal="100" zoomScaleSheetLayoutView="70" workbookViewId="0">
      <selection activeCell="J24" sqref="J24"/>
    </sheetView>
  </sheetViews>
  <sheetFormatPr baseColWidth="10" defaultColWidth="11.42578125" defaultRowHeight="15" x14ac:dyDescent="0.25"/>
  <cols>
    <col min="1" max="1" width="11.42578125" style="1"/>
    <col min="2" max="2" width="12.28515625" style="1" customWidth="1"/>
    <col min="3" max="3" width="11.28515625" style="1" customWidth="1"/>
    <col min="4" max="4" width="13.140625" style="1" bestFit="1" customWidth="1"/>
    <col min="5" max="5" width="11.5703125" style="1" customWidth="1"/>
    <col min="6" max="6" width="13" style="1" customWidth="1"/>
    <col min="7" max="7" width="13.140625" style="1" customWidth="1"/>
    <col min="8" max="8" width="7.85546875" style="1" customWidth="1"/>
    <col min="9" max="9" width="13.140625" style="1" customWidth="1"/>
    <col min="10" max="10" width="12.42578125" style="1" customWidth="1"/>
    <col min="11" max="11" width="11.42578125" style="1" customWidth="1"/>
    <col min="12" max="12" width="10.42578125" style="1" customWidth="1"/>
    <col min="13" max="13" width="16.5703125" style="1" bestFit="1" customWidth="1"/>
    <col min="14" max="14" width="14.140625" style="1" bestFit="1" customWidth="1"/>
    <col min="15" max="15" width="17.5703125" style="1" bestFit="1" customWidth="1"/>
    <col min="16" max="16" width="14.140625" style="1" bestFit="1" customWidth="1"/>
    <col min="17" max="17" width="12.5703125" style="1" customWidth="1"/>
    <col min="18" max="18" width="18.140625" style="1" bestFit="1" customWidth="1"/>
    <col min="19" max="19" width="17" style="1" customWidth="1"/>
    <col min="20" max="16384" width="11.42578125" style="1"/>
  </cols>
  <sheetData>
    <row r="1" spans="2:19" x14ac:dyDescent="0.25">
      <c r="B1" s="639" t="s">
        <v>0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</row>
    <row r="2" spans="2:19" x14ac:dyDescent="0.25">
      <c r="B2" s="639" t="s">
        <v>69</v>
      </c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</row>
    <row r="3" spans="2:19" x14ac:dyDescent="0.25">
      <c r="B3" s="639" t="s">
        <v>91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</row>
    <row r="4" spans="2:19" x14ac:dyDescent="0.25">
      <c r="B4" s="639" t="s">
        <v>275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</row>
    <row r="5" spans="2:19" x14ac:dyDescent="0.25">
      <c r="B5" s="639" t="s">
        <v>3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</row>
    <row r="6" spans="2:19" ht="35.25" customHeight="1" x14ac:dyDescent="0.25">
      <c r="B6" s="234"/>
      <c r="C6" s="658" t="s">
        <v>92</v>
      </c>
      <c r="D6" s="658"/>
      <c r="E6" s="658"/>
      <c r="F6" s="658"/>
      <c r="G6" s="658"/>
      <c r="H6" s="657" t="s">
        <v>93</v>
      </c>
      <c r="I6" s="657"/>
      <c r="J6" s="657"/>
      <c r="K6" s="657"/>
      <c r="L6" s="657"/>
      <c r="M6" s="659" t="s">
        <v>94</v>
      </c>
      <c r="N6" s="659"/>
      <c r="O6" s="665" t="s">
        <v>95</v>
      </c>
      <c r="P6" s="665"/>
      <c r="Q6" s="666" t="s">
        <v>82</v>
      </c>
      <c r="R6" s="666"/>
      <c r="S6" s="21"/>
    </row>
    <row r="7" spans="2:19" ht="25.5" customHeight="1" x14ac:dyDescent="0.25">
      <c r="B7" s="201" t="s">
        <v>4</v>
      </c>
      <c r="C7" s="201" t="s">
        <v>96</v>
      </c>
      <c r="D7" s="201" t="s">
        <v>97</v>
      </c>
      <c r="E7" s="201" t="s">
        <v>98</v>
      </c>
      <c r="F7" s="201" t="s">
        <v>99</v>
      </c>
      <c r="G7" s="201" t="s">
        <v>100</v>
      </c>
      <c r="H7" s="201" t="s">
        <v>96</v>
      </c>
      <c r="I7" s="201" t="s">
        <v>97</v>
      </c>
      <c r="J7" s="201" t="s">
        <v>98</v>
      </c>
      <c r="K7" s="201" t="s">
        <v>99</v>
      </c>
      <c r="L7" s="201" t="s">
        <v>100</v>
      </c>
      <c r="M7" s="201" t="s">
        <v>96</v>
      </c>
      <c r="N7" s="201" t="s">
        <v>97</v>
      </c>
      <c r="O7" s="201" t="s">
        <v>96</v>
      </c>
      <c r="P7" s="201" t="s">
        <v>101</v>
      </c>
      <c r="Q7" s="201" t="s">
        <v>96</v>
      </c>
      <c r="R7" s="201" t="s">
        <v>97</v>
      </c>
    </row>
    <row r="8" spans="2:19" hidden="1" x14ac:dyDescent="0.25">
      <c r="B8" s="124" t="s">
        <v>11</v>
      </c>
      <c r="C8" s="235"/>
      <c r="D8" s="235"/>
      <c r="E8" s="235" t="s">
        <v>102</v>
      </c>
      <c r="F8" s="235" t="s">
        <v>102</v>
      </c>
      <c r="G8" s="235"/>
      <c r="H8" s="235"/>
      <c r="I8" s="236"/>
      <c r="J8" s="236"/>
      <c r="K8" s="236" t="s">
        <v>102</v>
      </c>
      <c r="L8" s="236"/>
      <c r="M8" s="235"/>
      <c r="N8" s="235"/>
      <c r="O8" s="235"/>
      <c r="P8" s="235"/>
      <c r="Q8" s="236" t="e">
        <f>C8+#REF!+M8+O8</f>
        <v>#REF!</v>
      </c>
      <c r="R8" s="235">
        <f>D8+I8+N8+P8</f>
        <v>0</v>
      </c>
    </row>
    <row r="9" spans="2:19" x14ac:dyDescent="0.25">
      <c r="B9" s="283" t="s">
        <v>22</v>
      </c>
      <c r="C9" s="344">
        <v>214</v>
      </c>
      <c r="D9" s="345">
        <v>2340014.7400000002</v>
      </c>
      <c r="E9" s="345">
        <v>233299.46</v>
      </c>
      <c r="F9" s="345">
        <v>70200.44</v>
      </c>
      <c r="G9" s="345">
        <v>2036514.84</v>
      </c>
      <c r="H9" s="155">
        <v>2</v>
      </c>
      <c r="I9" s="47">
        <v>25000</v>
      </c>
      <c r="J9" s="47">
        <v>2492.5</v>
      </c>
      <c r="K9" s="47">
        <v>750</v>
      </c>
      <c r="L9" s="47">
        <v>21757.5</v>
      </c>
      <c r="M9" s="155">
        <v>539</v>
      </c>
      <c r="N9" s="47">
        <v>9219327.1300000008</v>
      </c>
      <c r="O9" s="155">
        <v>715</v>
      </c>
      <c r="P9" s="342">
        <v>8393497.1300000008</v>
      </c>
      <c r="Q9" s="350">
        <f>+C9++M9+H9+O9</f>
        <v>1470</v>
      </c>
      <c r="R9" s="351">
        <f>D9+I9+N9+P9</f>
        <v>19977839</v>
      </c>
    </row>
    <row r="10" spans="2:19" x14ac:dyDescent="0.25">
      <c r="B10" s="283" t="s">
        <v>21</v>
      </c>
      <c r="C10" s="344">
        <v>213</v>
      </c>
      <c r="D10" s="345">
        <v>2321169</v>
      </c>
      <c r="E10" s="345">
        <v>231420.54</v>
      </c>
      <c r="F10" s="345">
        <v>69635.06</v>
      </c>
      <c r="G10" s="345">
        <v>2020113.4</v>
      </c>
      <c r="H10" s="155">
        <v>2</v>
      </c>
      <c r="I10" s="47">
        <v>25000</v>
      </c>
      <c r="J10" s="47">
        <v>2492.5</v>
      </c>
      <c r="K10" s="47">
        <v>750</v>
      </c>
      <c r="L10" s="47">
        <v>21757.5</v>
      </c>
      <c r="M10" s="155">
        <v>534</v>
      </c>
      <c r="N10" s="47">
        <v>9171928.8399999999</v>
      </c>
      <c r="O10" s="155">
        <v>712</v>
      </c>
      <c r="P10" s="342">
        <v>8339803.4100000001</v>
      </c>
      <c r="Q10" s="350">
        <f>+C10++M10+H10+O10</f>
        <v>1461</v>
      </c>
      <c r="R10" s="351">
        <f>D10+I10+N10+P10</f>
        <v>19857901.25</v>
      </c>
    </row>
    <row r="11" spans="2:19" x14ac:dyDescent="0.25">
      <c r="B11" s="283" t="s">
        <v>20</v>
      </c>
      <c r="C11" s="344">
        <v>214</v>
      </c>
      <c r="D11" s="345">
        <v>2359263.92</v>
      </c>
      <c r="E11" s="345">
        <v>235218.6</v>
      </c>
      <c r="F11" s="345">
        <v>70777.91</v>
      </c>
      <c r="G11" s="345">
        <v>2053267.41</v>
      </c>
      <c r="H11" s="155">
        <v>2</v>
      </c>
      <c r="I11" s="47">
        <v>25000</v>
      </c>
      <c r="J11" s="47">
        <v>2492.5</v>
      </c>
      <c r="K11" s="47">
        <v>750</v>
      </c>
      <c r="L11" s="47">
        <v>21757.5</v>
      </c>
      <c r="M11" s="155">
        <v>540</v>
      </c>
      <c r="N11" s="47">
        <v>9217445.0899999999</v>
      </c>
      <c r="O11" s="155">
        <v>710</v>
      </c>
      <c r="P11" s="342">
        <v>8318603.8099999996</v>
      </c>
      <c r="Q11" s="350">
        <f>+C11++M11+H11+O11</f>
        <v>1466</v>
      </c>
      <c r="R11" s="351">
        <f>D11+I11+N11+P11</f>
        <v>19920312.82</v>
      </c>
    </row>
    <row r="12" spans="2:19" ht="19.5" customHeight="1" x14ac:dyDescent="0.25">
      <c r="B12" s="284" t="s">
        <v>23</v>
      </c>
      <c r="C12" s="346">
        <f>+C9</f>
        <v>214</v>
      </c>
      <c r="D12" s="347">
        <f t="shared" ref="D12:K12" si="0">+SUM(D9:D11)</f>
        <v>7020447.6600000001</v>
      </c>
      <c r="E12" s="347">
        <f t="shared" si="0"/>
        <v>699938.6</v>
      </c>
      <c r="F12" s="347">
        <f t="shared" si="0"/>
        <v>210613.41</v>
      </c>
      <c r="G12" s="347">
        <f t="shared" si="0"/>
        <v>6109895.6500000004</v>
      </c>
      <c r="H12" s="343">
        <v>2</v>
      </c>
      <c r="I12" s="346">
        <f t="shared" si="0"/>
        <v>75000</v>
      </c>
      <c r="J12" s="346">
        <f t="shared" si="0"/>
        <v>7477.5</v>
      </c>
      <c r="K12" s="346">
        <f t="shared" si="0"/>
        <v>2250</v>
      </c>
      <c r="L12" s="347">
        <f>+SUM(L9:L11)</f>
        <v>65272.5</v>
      </c>
      <c r="M12" s="346">
        <f>+M9</f>
        <v>539</v>
      </c>
      <c r="N12" s="347">
        <f>+SUM(N9:N11)</f>
        <v>27608701.059999999</v>
      </c>
      <c r="O12" s="346">
        <f>+O9</f>
        <v>715</v>
      </c>
      <c r="P12" s="347">
        <f>+SUM(P9:P11)</f>
        <v>25051904.350000001</v>
      </c>
      <c r="Q12" s="346">
        <f>+C12+M12+H12+O12</f>
        <v>1470</v>
      </c>
      <c r="R12" s="349">
        <f>+SUM(R9:R11)</f>
        <v>59756053.07</v>
      </c>
      <c r="S12" s="348"/>
    </row>
    <row r="13" spans="2:19" ht="0.75" hidden="1" customHeight="1" x14ac:dyDescent="0.25">
      <c r="B13" s="124" t="s">
        <v>16</v>
      </c>
      <c r="C13" s="235">
        <v>197</v>
      </c>
      <c r="D13" s="235">
        <v>2179212.89</v>
      </c>
      <c r="E13" s="235">
        <v>217267.52</v>
      </c>
      <c r="F13" s="235">
        <v>65376.38</v>
      </c>
      <c r="G13" s="235">
        <v>1896568.99</v>
      </c>
      <c r="H13" s="235"/>
      <c r="I13" s="236">
        <v>25000</v>
      </c>
      <c r="J13" s="236"/>
      <c r="K13" s="236">
        <v>750</v>
      </c>
      <c r="L13" s="236"/>
      <c r="M13" s="235">
        <v>513</v>
      </c>
      <c r="N13" s="235">
        <v>8546125.8599999994</v>
      </c>
      <c r="O13" s="235">
        <v>666</v>
      </c>
      <c r="P13" s="235">
        <v>7640214.7599999998</v>
      </c>
      <c r="Q13" s="237" t="e">
        <f>+M13+O13+C13+#REF!</f>
        <v>#REF!</v>
      </c>
      <c r="R13" s="237">
        <f>+N13+P13+D13+I13</f>
        <v>18390553.509999998</v>
      </c>
    </row>
    <row r="14" spans="2:19" hidden="1" x14ac:dyDescent="0.25">
      <c r="B14" s="124" t="s">
        <v>17</v>
      </c>
      <c r="C14" s="235">
        <v>193</v>
      </c>
      <c r="D14" s="235">
        <v>2121784.19</v>
      </c>
      <c r="E14" s="235">
        <v>211541.89</v>
      </c>
      <c r="F14" s="235">
        <v>63653.52</v>
      </c>
      <c r="G14" s="235">
        <v>1846588.79</v>
      </c>
      <c r="H14" s="235"/>
      <c r="I14" s="236">
        <v>10000</v>
      </c>
      <c r="J14" s="236"/>
      <c r="K14" s="236">
        <v>300</v>
      </c>
      <c r="L14" s="236"/>
      <c r="M14" s="235">
        <v>508</v>
      </c>
      <c r="N14" s="235">
        <v>8389327.0199999996</v>
      </c>
      <c r="O14" s="235">
        <v>654</v>
      </c>
      <c r="P14" s="235">
        <v>7508917.3399999999</v>
      </c>
      <c r="Q14" s="237" t="e">
        <f>+M14+O14+C14+#REF!</f>
        <v>#REF!</v>
      </c>
      <c r="R14" s="237">
        <f>+N14+P14+D14+I14</f>
        <v>18030028.550000001</v>
      </c>
    </row>
    <row r="15" spans="2:19" hidden="1" x14ac:dyDescent="0.25">
      <c r="B15" s="124" t="s">
        <v>18</v>
      </c>
      <c r="C15" s="235">
        <v>196</v>
      </c>
      <c r="D15" s="235">
        <v>2150339.13</v>
      </c>
      <c r="E15" s="235">
        <v>214388.81</v>
      </c>
      <c r="F15" s="235">
        <v>64510.17</v>
      </c>
      <c r="G15" s="235">
        <v>1871440.16</v>
      </c>
      <c r="H15" s="235"/>
      <c r="I15" s="236">
        <v>10000</v>
      </c>
      <c r="J15" s="236"/>
      <c r="K15" s="236">
        <v>300</v>
      </c>
      <c r="L15" s="236"/>
      <c r="M15" s="235">
        <v>501</v>
      </c>
      <c r="N15" s="235">
        <v>8211484.8200000003</v>
      </c>
      <c r="O15" s="235">
        <v>649</v>
      </c>
      <c r="P15" s="235">
        <v>7441713.2999999998</v>
      </c>
      <c r="Q15" s="237" t="e">
        <f>+M15+O15+C15+#REF!</f>
        <v>#REF!</v>
      </c>
      <c r="R15" s="237">
        <f>+N15+P15+D15+I15</f>
        <v>17813537.25</v>
      </c>
    </row>
    <row r="16" spans="2:19" hidden="1" x14ac:dyDescent="0.25">
      <c r="B16" s="213" t="s">
        <v>19</v>
      </c>
      <c r="C16" s="238">
        <f>+C13</f>
        <v>197</v>
      </c>
      <c r="D16" s="239">
        <f>+SUM(D8:D15)</f>
        <v>20492231.530000001</v>
      </c>
      <c r="E16" s="238">
        <f>+SUM(E13:E15)</f>
        <v>643198.22</v>
      </c>
      <c r="F16" s="238">
        <f>+SUM(F13:F15)</f>
        <v>193540.07</v>
      </c>
      <c r="G16" s="238">
        <f>+SUM(G8:G15)</f>
        <v>17834389.240000002</v>
      </c>
      <c r="H16" s="238"/>
      <c r="I16" s="240">
        <f>SUM(I8:I15)</f>
        <v>195000</v>
      </c>
      <c r="J16" s="240"/>
      <c r="K16" s="240">
        <f>SUM(K13:K15)</f>
        <v>1350</v>
      </c>
      <c r="L16" s="240"/>
      <c r="M16" s="238">
        <f>+M13</f>
        <v>513</v>
      </c>
      <c r="N16" s="238">
        <f>+SUM(N8:N15)</f>
        <v>80364339.819999993</v>
      </c>
      <c r="O16" s="238">
        <f>+O13</f>
        <v>666</v>
      </c>
      <c r="P16" s="238">
        <f>+SUM(P8:P15)</f>
        <v>72694654.099999994</v>
      </c>
      <c r="Q16" s="238" t="e">
        <f>+Q13</f>
        <v>#REF!</v>
      </c>
      <c r="R16" s="238">
        <f>SUM(R8:R15)</f>
        <v>173746225.45000002</v>
      </c>
    </row>
    <row r="17" spans="2:19" ht="41.25" customHeight="1" x14ac:dyDescent="0.25">
      <c r="B17" s="655" t="s">
        <v>293</v>
      </c>
      <c r="C17" s="655"/>
      <c r="D17" s="352">
        <f>+D12/R12</f>
        <v>0.11748512994618371</v>
      </c>
      <c r="E17" s="353"/>
      <c r="F17" s="353"/>
      <c r="G17" s="353"/>
      <c r="H17" s="353"/>
      <c r="I17" s="352">
        <f>I12/R12</f>
        <v>1.2551029752942817E-3</v>
      </c>
      <c r="J17" s="354"/>
      <c r="K17" s="355"/>
      <c r="L17" s="355"/>
      <c r="M17" s="353"/>
      <c r="N17" s="352">
        <f>N12/R12</f>
        <v>0.46202350459221853</v>
      </c>
      <c r="O17" s="353"/>
      <c r="P17" s="352">
        <f>+P12/R12</f>
        <v>0.41923626248630347</v>
      </c>
      <c r="Q17" s="587"/>
      <c r="R17" s="241">
        <f>+SUM(D17,I17,N17,P17)</f>
        <v>1</v>
      </c>
    </row>
    <row r="18" spans="2:19" ht="45.75" customHeight="1" x14ac:dyDescent="0.25">
      <c r="B18" s="14"/>
      <c r="C18" s="14"/>
      <c r="D18" s="14"/>
      <c r="E18" s="14"/>
      <c r="F18" s="14"/>
      <c r="G18" s="14"/>
      <c r="H18" s="14"/>
      <c r="I18" s="656"/>
      <c r="J18" s="656"/>
      <c r="K18" s="656"/>
      <c r="L18" s="343"/>
      <c r="M18" s="14"/>
      <c r="N18" s="14"/>
      <c r="O18" s="14"/>
      <c r="P18" s="14"/>
      <c r="Q18" s="14"/>
      <c r="R18" s="30"/>
    </row>
    <row r="20" spans="2:19" ht="33.75" x14ac:dyDescent="0.25">
      <c r="P20" s="617" t="s">
        <v>92</v>
      </c>
      <c r="Q20" s="618" t="s">
        <v>93</v>
      </c>
      <c r="R20" s="619" t="s">
        <v>94</v>
      </c>
      <c r="S20" s="620" t="s">
        <v>95</v>
      </c>
    </row>
    <row r="21" spans="2:19" x14ac:dyDescent="0.25">
      <c r="P21" s="621">
        <f>+D17</f>
        <v>0.11748512994618371</v>
      </c>
      <c r="Q21" s="621">
        <f>+I17</f>
        <v>1.2551029752942817E-3</v>
      </c>
      <c r="R21" s="621">
        <f>+N17</f>
        <v>0.46202350459221853</v>
      </c>
      <c r="S21" s="621">
        <f>+P17</f>
        <v>0.41923626248630347</v>
      </c>
    </row>
    <row r="22" spans="2:19" ht="52.5" customHeight="1" x14ac:dyDescent="0.25">
      <c r="C22" s="602"/>
      <c r="D22" s="602"/>
      <c r="E22" s="602"/>
      <c r="Q22" s="29"/>
    </row>
    <row r="23" spans="2:19" ht="42" customHeight="1" x14ac:dyDescent="0.25">
      <c r="B23" s="358" t="s">
        <v>4</v>
      </c>
      <c r="C23" s="663" t="s">
        <v>103</v>
      </c>
      <c r="D23" s="663"/>
      <c r="E23" s="660" t="s">
        <v>93</v>
      </c>
      <c r="F23" s="660"/>
      <c r="G23" s="664" t="s">
        <v>104</v>
      </c>
      <c r="H23" s="664"/>
      <c r="I23" s="664"/>
      <c r="J23" s="226"/>
      <c r="K23" s="661" t="s">
        <v>105</v>
      </c>
      <c r="L23" s="661"/>
      <c r="M23" s="661"/>
      <c r="N23" s="662" t="s">
        <v>82</v>
      </c>
      <c r="O23" s="662"/>
      <c r="Q23" s="29"/>
    </row>
    <row r="24" spans="2:19" ht="42" customHeight="1" x14ac:dyDescent="0.25">
      <c r="B24" s="36" t="s">
        <v>4</v>
      </c>
      <c r="C24" s="36" t="s">
        <v>96</v>
      </c>
      <c r="D24" s="36" t="s">
        <v>97</v>
      </c>
      <c r="E24" s="630" t="s">
        <v>96</v>
      </c>
      <c r="F24" s="36" t="s">
        <v>97</v>
      </c>
      <c r="G24" s="36" t="s">
        <v>96</v>
      </c>
      <c r="H24" s="36"/>
      <c r="I24" s="36" t="s">
        <v>97</v>
      </c>
      <c r="J24" s="36"/>
      <c r="K24" s="36" t="s">
        <v>299</v>
      </c>
      <c r="L24" s="191"/>
      <c r="M24" s="36" t="s">
        <v>8</v>
      </c>
      <c r="N24" s="36" t="s">
        <v>96</v>
      </c>
      <c r="O24" s="36" t="s">
        <v>97</v>
      </c>
      <c r="P24"/>
      <c r="R24" s="29"/>
    </row>
    <row r="25" spans="2:19" ht="42" hidden="1" customHeight="1" x14ac:dyDescent="0.25">
      <c r="B25" s="35" t="s">
        <v>11</v>
      </c>
      <c r="C25" s="192">
        <v>0</v>
      </c>
      <c r="D25" s="26" t="s">
        <v>102</v>
      </c>
      <c r="E25" s="193">
        <v>0</v>
      </c>
      <c r="F25" s="193" t="s">
        <v>102</v>
      </c>
      <c r="G25" s="192">
        <v>0</v>
      </c>
      <c r="H25" s="192"/>
      <c r="I25" s="26" t="s">
        <v>102</v>
      </c>
      <c r="J25" s="26"/>
      <c r="K25" s="193">
        <v>0</v>
      </c>
      <c r="L25" s="193"/>
      <c r="M25" s="155" t="s">
        <v>102</v>
      </c>
      <c r="N25" s="160">
        <v>0</v>
      </c>
      <c r="O25" s="192" t="s">
        <v>102</v>
      </c>
    </row>
    <row r="26" spans="2:19" ht="42" hidden="1" customHeight="1" x14ac:dyDescent="0.25">
      <c r="B26" s="35" t="s">
        <v>16</v>
      </c>
      <c r="C26" s="192">
        <v>5</v>
      </c>
      <c r="D26" s="154">
        <v>1158542.3999999999</v>
      </c>
      <c r="E26" s="193">
        <v>1</v>
      </c>
      <c r="F26" s="193">
        <v>264542</v>
      </c>
      <c r="G26" s="192">
        <v>11</v>
      </c>
      <c r="H26" s="192"/>
      <c r="I26" s="26">
        <v>3397817.2</v>
      </c>
      <c r="J26" s="26"/>
      <c r="K26" s="193">
        <v>12</v>
      </c>
      <c r="L26" s="193"/>
      <c r="M26" s="155">
        <v>1605447</v>
      </c>
      <c r="N26" s="194">
        <f>+G26+K26+C26+E26</f>
        <v>29</v>
      </c>
      <c r="O26" s="194">
        <f>+I26+M26+D26+F26</f>
        <v>6426348.5999999996</v>
      </c>
    </row>
    <row r="27" spans="2:19" ht="42" hidden="1" customHeight="1" x14ac:dyDescent="0.25">
      <c r="B27" s="35" t="s">
        <v>17</v>
      </c>
      <c r="C27" s="171">
        <v>0</v>
      </c>
      <c r="D27" s="171">
        <v>0</v>
      </c>
      <c r="E27" s="189">
        <v>0</v>
      </c>
      <c r="F27" s="190">
        <v>0</v>
      </c>
      <c r="G27" s="192">
        <v>11</v>
      </c>
      <c r="H27" s="192"/>
      <c r="I27" s="26">
        <v>5613866.4000000004</v>
      </c>
      <c r="J27" s="26"/>
      <c r="K27" s="193">
        <v>6</v>
      </c>
      <c r="L27" s="193"/>
      <c r="M27" s="155">
        <v>1860940.2</v>
      </c>
      <c r="N27" s="194">
        <f>+G27+K27+C27+E27</f>
        <v>17</v>
      </c>
      <c r="O27" s="194">
        <f>+I27+M27+D27+F27</f>
        <v>7474806.6000000006</v>
      </c>
    </row>
    <row r="28" spans="2:19" ht="42" hidden="1" customHeight="1" x14ac:dyDescent="0.25">
      <c r="B28" s="35" t="s">
        <v>18</v>
      </c>
      <c r="C28" s="155">
        <v>6</v>
      </c>
      <c r="D28" s="154">
        <v>765128</v>
      </c>
      <c r="E28" s="189">
        <v>0</v>
      </c>
      <c r="F28" s="189">
        <v>0</v>
      </c>
      <c r="G28" s="155">
        <v>8</v>
      </c>
      <c r="H28" s="155"/>
      <c r="I28" s="155">
        <v>1854945.8</v>
      </c>
      <c r="J28" s="155"/>
      <c r="K28" s="193">
        <v>6</v>
      </c>
      <c r="L28" s="193"/>
      <c r="M28" s="155">
        <v>2264481</v>
      </c>
      <c r="N28" s="194">
        <f>+G28+K28+C28+E28</f>
        <v>20</v>
      </c>
      <c r="O28" s="194">
        <f>+I28+M28+D28+F28</f>
        <v>4884554.8</v>
      </c>
    </row>
    <row r="29" spans="2:19" ht="42" hidden="1" customHeight="1" x14ac:dyDescent="0.25">
      <c r="B29" s="23" t="s">
        <v>19</v>
      </c>
      <c r="C29" s="195">
        <f>SUM(C26:C28)</f>
        <v>11</v>
      </c>
      <c r="D29" s="195">
        <f>+SUM(D26:D28)</f>
        <v>1923670.4</v>
      </c>
      <c r="E29" s="196">
        <f>SUM(E26:E28)</f>
        <v>1</v>
      </c>
      <c r="F29" s="196">
        <f>SUM(F26:F28)</f>
        <v>264542</v>
      </c>
      <c r="G29" s="195">
        <f>SUM(G26:G28)</f>
        <v>30</v>
      </c>
      <c r="H29" s="195"/>
      <c r="I29" s="195">
        <f>+SUM(I26:I28)</f>
        <v>10866629.400000002</v>
      </c>
      <c r="J29" s="195"/>
      <c r="K29" s="196">
        <f>SUM(K26:K28)</f>
        <v>24</v>
      </c>
      <c r="L29" s="196"/>
      <c r="M29" s="195">
        <f>+SUM(M26:M28)</f>
        <v>5730868.2000000002</v>
      </c>
      <c r="N29" s="195">
        <f>SUM(N26:N28)</f>
        <v>66</v>
      </c>
      <c r="O29" s="195">
        <f>SUM(O26:O28)</f>
        <v>18785710</v>
      </c>
    </row>
    <row r="30" spans="2:19" ht="21" customHeight="1" x14ac:dyDescent="0.25">
      <c r="B30" s="70" t="s">
        <v>22</v>
      </c>
      <c r="C30" s="603">
        <v>4</v>
      </c>
      <c r="D30" s="359">
        <v>1494929</v>
      </c>
      <c r="E30" s="361">
        <v>0</v>
      </c>
      <c r="F30" s="361">
        <v>0</v>
      </c>
      <c r="G30" s="361">
        <v>12</v>
      </c>
      <c r="H30" s="594"/>
      <c r="I30" s="595">
        <v>3703611.3</v>
      </c>
      <c r="J30" s="264"/>
      <c r="K30" s="361">
        <v>7</v>
      </c>
      <c r="L30" s="594"/>
      <c r="M30" s="595">
        <v>1884061.86</v>
      </c>
      <c r="N30" s="596">
        <f>+SUM(K30,G30,E30,C30)</f>
        <v>23</v>
      </c>
      <c r="O30" s="597">
        <f>+SUM(M30,I30,F30,D30)</f>
        <v>7082602.1600000001</v>
      </c>
    </row>
    <row r="31" spans="2:19" x14ac:dyDescent="0.25">
      <c r="B31" s="70" t="s">
        <v>21</v>
      </c>
      <c r="C31" s="603">
        <v>1</v>
      </c>
      <c r="D31" s="359">
        <v>92589.9</v>
      </c>
      <c r="E31" s="361">
        <v>0</v>
      </c>
      <c r="F31" s="361">
        <v>0</v>
      </c>
      <c r="G31" s="361">
        <v>4</v>
      </c>
      <c r="H31" s="594"/>
      <c r="I31" s="595">
        <v>1789244</v>
      </c>
      <c r="J31" s="264"/>
      <c r="K31" s="361">
        <v>5</v>
      </c>
      <c r="L31" s="594"/>
      <c r="M31" s="595">
        <v>831250.2</v>
      </c>
      <c r="N31" s="596">
        <f t="shared" ref="N31:N32" si="1">+SUM(K31,G31,E31,C31)</f>
        <v>10</v>
      </c>
      <c r="O31" s="597">
        <f t="shared" ref="O31:O32" si="2">+SUM(M31,I31,F31,D31)</f>
        <v>2713084.1</v>
      </c>
    </row>
    <row r="32" spans="2:19" x14ac:dyDescent="0.25">
      <c r="B32" s="70" t="s">
        <v>20</v>
      </c>
      <c r="C32" s="603">
        <v>9</v>
      </c>
      <c r="D32" s="359">
        <v>906658.3</v>
      </c>
      <c r="E32" s="361">
        <v>0</v>
      </c>
      <c r="F32" s="361">
        <v>0</v>
      </c>
      <c r="G32" s="361">
        <v>13</v>
      </c>
      <c r="H32" s="594"/>
      <c r="I32" s="595">
        <v>2158334.4</v>
      </c>
      <c r="J32" s="264"/>
      <c r="K32" s="361">
        <v>8</v>
      </c>
      <c r="L32" s="594"/>
      <c r="M32" s="595">
        <v>2122089</v>
      </c>
      <c r="N32" s="596">
        <f t="shared" si="1"/>
        <v>30</v>
      </c>
      <c r="O32" s="597">
        <f t="shared" si="2"/>
        <v>5187081.7</v>
      </c>
    </row>
    <row r="33" spans="2:15" x14ac:dyDescent="0.25">
      <c r="B33" s="257" t="s">
        <v>23</v>
      </c>
      <c r="C33" s="356">
        <f>SUM(C30:C32)</f>
        <v>14</v>
      </c>
      <c r="D33" s="357">
        <f>SUM(D30:D32)</f>
        <v>2494177.2000000002</v>
      </c>
      <c r="E33" s="598"/>
      <c r="F33" s="599">
        <f>+SUM(F30:F32)</f>
        <v>0</v>
      </c>
      <c r="G33" s="356">
        <f>SUM(G30:G32)</f>
        <v>29</v>
      </c>
      <c r="H33" s="265"/>
      <c r="I33" s="360">
        <f>SUM(I30:I32)</f>
        <v>7651189.6999999993</v>
      </c>
      <c r="J33" s="266"/>
      <c r="K33" s="356">
        <f>SUM(K30:K32)</f>
        <v>20</v>
      </c>
      <c r="L33" s="265"/>
      <c r="M33" s="360">
        <f>SUM(M30:M32)</f>
        <v>4837401.0600000005</v>
      </c>
      <c r="N33" s="356">
        <f>SUM(N30:N32)</f>
        <v>63</v>
      </c>
      <c r="O33" s="360">
        <f>SUM(O30:O32)</f>
        <v>14982767.960000001</v>
      </c>
    </row>
    <row r="34" spans="2:15" ht="15" customHeight="1" x14ac:dyDescent="0.25">
      <c r="B34" s="655" t="s">
        <v>293</v>
      </c>
      <c r="C34" s="655"/>
      <c r="D34" s="600">
        <f>+D33/O33</f>
        <v>0.16646972085924236</v>
      </c>
      <c r="E34" s="601"/>
      <c r="F34" s="600">
        <f>+F33/O33</f>
        <v>0</v>
      </c>
      <c r="G34" s="601"/>
      <c r="H34" s="601"/>
      <c r="I34" s="600">
        <f>+I33/O33</f>
        <v>0.51066596775887052</v>
      </c>
      <c r="J34" s="600"/>
      <c r="K34" s="601"/>
      <c r="L34" s="601"/>
      <c r="M34" s="600">
        <f>+M33/O33</f>
        <v>0.32286431138188704</v>
      </c>
      <c r="N34" s="601"/>
      <c r="O34" s="600">
        <f>+SUM(D34,I34,M34)</f>
        <v>1</v>
      </c>
    </row>
    <row r="35" spans="2:15" x14ac:dyDescent="0.25">
      <c r="B35" s="655"/>
      <c r="C35" s="655"/>
    </row>
    <row r="36" spans="2:15" x14ac:dyDescent="0.25">
      <c r="B36" s="655"/>
      <c r="C36" s="655"/>
      <c r="F36" s="139"/>
      <c r="O36" s="30"/>
    </row>
    <row r="37" spans="2:15" x14ac:dyDescent="0.25">
      <c r="O37" s="62"/>
    </row>
    <row r="39" spans="2:15" ht="12" customHeight="1" x14ac:dyDescent="0.25"/>
    <row r="40" spans="2:15" ht="41.25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ht="38.25" customHeight="1" x14ac:dyDescent="0.25">
      <c r="B41"/>
      <c r="F41" s="613" t="s">
        <v>103</v>
      </c>
      <c r="G41" s="614" t="s">
        <v>93</v>
      </c>
      <c r="H41" s="226" t="s">
        <v>104</v>
      </c>
      <c r="I41" s="615" t="s">
        <v>105</v>
      </c>
    </row>
    <row r="42" spans="2:15" ht="15" hidden="1" customHeight="1" x14ac:dyDescent="0.25">
      <c r="B42"/>
      <c r="F42" s="157"/>
      <c r="G42" s="157"/>
      <c r="H42" s="157"/>
      <c r="I42" s="157"/>
    </row>
    <row r="43" spans="2:15" ht="15" customHeight="1" x14ac:dyDescent="0.25">
      <c r="B43"/>
      <c r="F43" s="616">
        <f>+D34</f>
        <v>0.16646972085924236</v>
      </c>
      <c r="G43" s="616">
        <f>+F34</f>
        <v>0</v>
      </c>
      <c r="H43" s="616">
        <f>+I34</f>
        <v>0.51066596775887052</v>
      </c>
      <c r="I43" s="616">
        <f>+M34</f>
        <v>0.32286431138188704</v>
      </c>
    </row>
    <row r="44" spans="2:15" x14ac:dyDescent="0.25">
      <c r="B44"/>
    </row>
    <row r="45" spans="2:15" x14ac:dyDescent="0.25">
      <c r="B45"/>
    </row>
    <row r="46" spans="2:15" x14ac:dyDescent="0.25">
      <c r="B46"/>
    </row>
    <row r="47" spans="2:15" x14ac:dyDescent="0.25">
      <c r="B47"/>
    </row>
    <row r="48" spans="2:15" x14ac:dyDescent="0.25">
      <c r="B48"/>
    </row>
    <row r="49" spans="2:13" ht="15" customHeight="1" x14ac:dyDescent="0.25">
      <c r="B49"/>
    </row>
    <row r="50" spans="2:13" x14ac:dyDescent="0.25">
      <c r="B50"/>
    </row>
    <row r="51" spans="2:13" x14ac:dyDescent="0.25">
      <c r="B51"/>
    </row>
    <row r="52" spans="2:13" x14ac:dyDescent="0.25">
      <c r="B52"/>
    </row>
    <row r="53" spans="2:13" x14ac:dyDescent="0.25">
      <c r="B53"/>
      <c r="C53"/>
      <c r="D53"/>
      <c r="E53"/>
      <c r="F53"/>
      <c r="G53"/>
      <c r="H53"/>
      <c r="I53"/>
      <c r="J53"/>
      <c r="K53"/>
      <c r="L53"/>
      <c r="M53"/>
    </row>
    <row r="54" spans="2:13" x14ac:dyDescent="0.25">
      <c r="B54"/>
      <c r="C54"/>
      <c r="D54"/>
      <c r="E54"/>
      <c r="F54"/>
      <c r="G54"/>
      <c r="H54"/>
      <c r="I54"/>
      <c r="J54"/>
      <c r="K54"/>
      <c r="L54"/>
      <c r="M54"/>
    </row>
  </sheetData>
  <mergeCells count="18">
    <mergeCell ref="Q6:R6"/>
    <mergeCell ref="B1:S1"/>
    <mergeCell ref="B2:S2"/>
    <mergeCell ref="B3:S3"/>
    <mergeCell ref="B4:S4"/>
    <mergeCell ref="B5:S5"/>
    <mergeCell ref="B34:C36"/>
    <mergeCell ref="I18:K18"/>
    <mergeCell ref="H6:L6"/>
    <mergeCell ref="C6:G6"/>
    <mergeCell ref="M6:N6"/>
    <mergeCell ref="E23:F23"/>
    <mergeCell ref="K23:M23"/>
    <mergeCell ref="N23:O23"/>
    <mergeCell ref="C23:D23"/>
    <mergeCell ref="G23:I23"/>
    <mergeCell ref="O6:P6"/>
    <mergeCell ref="B17:C17"/>
  </mergeCells>
  <pageMargins left="0.7" right="0.7" top="0.75" bottom="0.75" header="0.3" footer="0.3"/>
  <pageSetup paperSize="9" scale="43" orientation="landscape" r:id="rId1"/>
  <ignoredErrors>
    <ignoredError sqref="C16 E16 F16 O16 Q13:Q16 R13:R15 K16 M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1dedf2-7fe3-44f9-874d-7599cd1f9e7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93686329ED34BB3FCA57F9547B145" ma:contentTypeVersion="15" ma:contentTypeDescription="Create a new document." ma:contentTypeScope="" ma:versionID="4ad2ad0628d58af04a36219439df2f1a">
  <xsd:schema xmlns:xsd="http://www.w3.org/2001/XMLSchema" xmlns:xs="http://www.w3.org/2001/XMLSchema" xmlns:p="http://schemas.microsoft.com/office/2006/metadata/properties" xmlns:ns3="5f679dd1-4131-4e79-bfbb-2ef5f7b29f1c" xmlns:ns4="631dedf2-7fe3-44f9-874d-7599cd1f9e78" targetNamespace="http://schemas.microsoft.com/office/2006/metadata/properties" ma:root="true" ma:fieldsID="0a4fd4dab5bf08fef466177875255070" ns3:_="" ns4:_="">
    <xsd:import namespace="5f679dd1-4131-4e79-bfbb-2ef5f7b29f1c"/>
    <xsd:import namespace="631dedf2-7fe3-44f9-874d-7599cd1f9e7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79dd1-4131-4e79-bfbb-2ef5f7b29f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dedf2-7fe3-44f9-874d-7599cd1f9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0D8E8-5630-4E86-BA1E-D985097EFB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2B29A6-FD56-4305-AD98-66C8C88A9453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631dedf2-7fe3-44f9-874d-7599cd1f9e78"/>
    <ds:schemaRef ds:uri="5f679dd1-4131-4e79-bfbb-2ef5f7b29f1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B4720F8-1715-4450-8987-9A5F2A8EC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679dd1-4131-4e79-bfbb-2ef5f7b29f1c"/>
    <ds:schemaRef ds:uri="631dedf2-7fe3-44f9-874d-7599cd1f9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Presupuesto Adm.</vt:lpstr>
      <vt:lpstr>Afiliados y Cotizantes</vt:lpstr>
      <vt:lpstr>Cotizantes</vt:lpstr>
      <vt:lpstr>Empleador</vt:lpstr>
      <vt:lpstr>Aportes</vt:lpstr>
      <vt:lpstr>Traspaso</vt:lpstr>
      <vt:lpstr>Presupuesto de Pensiones</vt:lpstr>
      <vt:lpstr>Nómina</vt:lpstr>
      <vt:lpstr>Autoseguro</vt:lpstr>
      <vt:lpstr>Movimientos</vt:lpstr>
      <vt:lpstr>Hoja1</vt:lpstr>
      <vt:lpstr>Tipo de Pension</vt:lpstr>
      <vt:lpstr>Modalidad</vt:lpstr>
      <vt:lpstr>Retroactivos</vt:lpstr>
      <vt:lpstr>Reintegros</vt:lpstr>
      <vt:lpstr>Créditos Rechazados</vt:lpstr>
      <vt:lpstr>Pago Único</vt:lpstr>
      <vt:lpstr>Recuperación Fondos</vt:lpstr>
      <vt:lpstr>Servicios</vt:lpstr>
      <vt:lpstr>'Afiliados y Cotizantes'!Área_de_impresión</vt:lpstr>
      <vt:lpstr>Aportes!Área_de_impresión</vt:lpstr>
      <vt:lpstr>Autoseguro!Área_de_impresión</vt:lpstr>
      <vt:lpstr>Cotizantes!Área_de_impresión</vt:lpstr>
      <vt:lpstr>Modalidad!Área_de_impresión</vt:lpstr>
      <vt:lpstr>Movimientos!Área_de_impresión</vt:lpstr>
      <vt:lpstr>Nómina!Área_de_impresión</vt:lpstr>
      <vt:lpstr>'Presupuesto de Pensiones'!Área_de_impresión</vt:lpstr>
      <vt:lpstr>'Recuperación Fondos'!Área_de_impresión</vt:lpstr>
      <vt:lpstr>Retroactivos!Área_de_impresión</vt:lpstr>
      <vt:lpstr>Servicios!Área_de_impresión</vt:lpstr>
      <vt:lpstr>'Tipo de Pension'!Área_de_impresión</vt:lpstr>
      <vt:lpstr>Traspaso!Área_de_impresión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Roa</dc:creator>
  <cp:keywords/>
  <dc:description/>
  <cp:lastModifiedBy>Yoel Emilio Bottier Peguero</cp:lastModifiedBy>
  <cp:revision/>
  <cp:lastPrinted>2023-07-10T20:26:58Z</cp:lastPrinted>
  <dcterms:created xsi:type="dcterms:W3CDTF">2019-06-03T16:17:46Z</dcterms:created>
  <dcterms:modified xsi:type="dcterms:W3CDTF">2023-10-10T12:40:13Z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0x010100A1493686329ED34BB3FCA57F9547B145</vt:lpwstr>
  </property>
</Properties>
</file>