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7.xml" ContentType="application/vnd.openxmlformats-officedocument.drawingml.chart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4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4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drawings/drawing20.xml" ContentType="application/vnd.openxmlformats-officedocument.drawing+xml"/>
  <Override PartName="/xl/charts/chart4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4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GJP 2023\Entregables\Boletín Estadístico\T2\"/>
    </mc:Choice>
  </mc:AlternateContent>
  <xr:revisionPtr revIDLastSave="0" documentId="13_ncr:1_{C51E4813-2DA7-4BF9-90FA-8DA6776C82AE}" xr6:coauthVersionLast="47" xr6:coauthVersionMax="47" xr10:uidLastSave="{00000000-0000-0000-0000-000000000000}"/>
  <bookViews>
    <workbookView xWindow="-108" yWindow="-108" windowWidth="23256" windowHeight="12576" firstSheet="8" activeTab="8" xr2:uid="{00000000-000D-0000-FFFF-FFFF00000000}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Recuperación Fondos" sheetId="15" r:id="rId17"/>
    <sheet name="Servicios" sheetId="13" r:id="rId18"/>
  </sheets>
  <externalReferences>
    <externalReference r:id="rId19"/>
  </externalReferences>
  <definedNames>
    <definedName name="_xlnm.Print_Area" localSheetId="1">'Afiliados y Cotizantes'!$A$1:$S$78</definedName>
    <definedName name="_xlnm.Print_Area" localSheetId="4">Aportes!$A$1:$D$43</definedName>
    <definedName name="_xlnm.Print_Area" localSheetId="8">Autoseguro!$A$1:$X$73</definedName>
    <definedName name="_xlnm.Print_Area" localSheetId="2">Cotizantes!$A$1:$K$42</definedName>
    <definedName name="_xlnm.Print_Area" localSheetId="12">Modalidad!$A$1:$R$54</definedName>
    <definedName name="_xlnm.Print_Area" localSheetId="9">Movimientos!$A$1:$Q$45</definedName>
    <definedName name="_xlnm.Print_Area" localSheetId="7">Nómina!$A$1:$O$66</definedName>
    <definedName name="_xlnm.Print_Area" localSheetId="6">'Presupuesto de Pensiones'!$A$1:$H$87</definedName>
    <definedName name="_xlnm.Print_Area" localSheetId="16">'Recuperación Fondos'!$A$1:$G$60</definedName>
    <definedName name="_xlnm.Print_Area" localSheetId="13">Retroactivos!$A$1:$J$48</definedName>
    <definedName name="_xlnm.Print_Area" localSheetId="17">Servicios!$A$1:$Z$76</definedName>
    <definedName name="_xlnm.Print_Area" localSheetId="11">'Tipo de Pension'!$A$1:$AH$72</definedName>
    <definedName name="_xlnm.Print_Area" localSheetId="5">Traspaso!$A$1:$I$45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22" l="1"/>
  <c r="P11" i="22"/>
  <c r="P9" i="22"/>
  <c r="I12" i="22"/>
  <c r="K12" i="22"/>
  <c r="J10" i="11" l="1"/>
  <c r="I10" i="11"/>
  <c r="H10" i="11"/>
  <c r="P13" i="10"/>
  <c r="P10" i="10"/>
  <c r="L13" i="10"/>
  <c r="H13" i="10"/>
  <c r="D13" i="10"/>
  <c r="R10" i="10"/>
  <c r="O10" i="10"/>
  <c r="N10" i="10"/>
  <c r="O10" i="9"/>
  <c r="O11" i="9"/>
  <c r="N10" i="9"/>
  <c r="L10" i="8"/>
  <c r="L11" i="8"/>
  <c r="M9" i="8"/>
  <c r="L9" i="8"/>
  <c r="K9" i="8"/>
  <c r="C11" i="6"/>
  <c r="D9" i="4"/>
  <c r="D10" i="4"/>
  <c r="D8" i="4"/>
  <c r="D11" i="4" s="1"/>
  <c r="G10" i="21"/>
  <c r="E8" i="21"/>
  <c r="E9" i="21"/>
  <c r="E7" i="21"/>
  <c r="F67" i="12" l="1"/>
  <c r="G61" i="12" s="1"/>
  <c r="H67" i="12"/>
  <c r="L56" i="12"/>
  <c r="D67" i="12"/>
  <c r="E60" i="12" s="1"/>
  <c r="L34" i="12"/>
  <c r="L35" i="12"/>
  <c r="L36" i="12"/>
  <c r="L37" i="12"/>
  <c r="L38" i="12"/>
  <c r="L39" i="12"/>
  <c r="L40" i="12"/>
  <c r="L41" i="12"/>
  <c r="L42" i="12"/>
  <c r="L43" i="12"/>
  <c r="L44" i="12"/>
  <c r="L45" i="12"/>
  <c r="L33" i="12"/>
  <c r="J36" i="12"/>
  <c r="J37" i="12"/>
  <c r="J38" i="12"/>
  <c r="J39" i="12"/>
  <c r="J40" i="12"/>
  <c r="J41" i="12"/>
  <c r="J42" i="12"/>
  <c r="J43" i="12"/>
  <c r="J44" i="12"/>
  <c r="J45" i="12"/>
  <c r="J33" i="12"/>
  <c r="J34" i="12"/>
  <c r="J35" i="12"/>
  <c r="F46" i="12"/>
  <c r="G35" i="12" s="1"/>
  <c r="B46" i="12"/>
  <c r="C35" i="12" s="1"/>
  <c r="K10" i="12"/>
  <c r="J10" i="12"/>
  <c r="G38" i="12" l="1"/>
  <c r="G34" i="12"/>
  <c r="G33" i="12"/>
  <c r="G45" i="12"/>
  <c r="G44" i="12"/>
  <c r="E65" i="12"/>
  <c r="E59" i="12"/>
  <c r="L46" i="12"/>
  <c r="E64" i="12"/>
  <c r="E58" i="12"/>
  <c r="G40" i="12"/>
  <c r="C41" i="12"/>
  <c r="E63" i="12"/>
  <c r="E57" i="12"/>
  <c r="I57" i="12"/>
  <c r="G39" i="12"/>
  <c r="J46" i="12"/>
  <c r="K34" i="12" s="1"/>
  <c r="E62" i="12"/>
  <c r="E56" i="12"/>
  <c r="E61" i="12"/>
  <c r="E66" i="12"/>
  <c r="I56" i="12"/>
  <c r="I60" i="12"/>
  <c r="I62" i="12"/>
  <c r="I61" i="12"/>
  <c r="I66" i="12"/>
  <c r="I65" i="12"/>
  <c r="I59" i="12"/>
  <c r="I64" i="12"/>
  <c r="I58" i="12"/>
  <c r="I63" i="12"/>
  <c r="G66" i="12"/>
  <c r="G60" i="12"/>
  <c r="G57" i="12"/>
  <c r="G65" i="12"/>
  <c r="G59" i="12"/>
  <c r="G64" i="12"/>
  <c r="G58" i="12"/>
  <c r="G62" i="12"/>
  <c r="G63" i="12"/>
  <c r="G56" i="12"/>
  <c r="G43" i="12"/>
  <c r="G37" i="12"/>
  <c r="G42" i="12"/>
  <c r="G36" i="12"/>
  <c r="G41" i="12"/>
  <c r="C33" i="12"/>
  <c r="C40" i="12"/>
  <c r="C34" i="12"/>
  <c r="C45" i="12"/>
  <c r="C39" i="12"/>
  <c r="C44" i="12"/>
  <c r="C38" i="12"/>
  <c r="C43" i="12"/>
  <c r="C37" i="12"/>
  <c r="C42" i="12"/>
  <c r="C36" i="12"/>
  <c r="K36" i="12" l="1"/>
  <c r="K40" i="12"/>
  <c r="K42" i="12"/>
  <c r="K33" i="12"/>
  <c r="K37" i="12"/>
  <c r="K41" i="12"/>
  <c r="K38" i="12"/>
  <c r="K44" i="12"/>
  <c r="K45" i="12"/>
  <c r="M37" i="12"/>
  <c r="M43" i="12"/>
  <c r="M38" i="12"/>
  <c r="M44" i="12"/>
  <c r="M33" i="12"/>
  <c r="K35" i="12"/>
  <c r="K39" i="12"/>
  <c r="M34" i="12"/>
  <c r="M42" i="12"/>
  <c r="M40" i="12"/>
  <c r="M35" i="12"/>
  <c r="M39" i="12"/>
  <c r="M41" i="12"/>
  <c r="K43" i="12"/>
  <c r="M45" i="12"/>
  <c r="M36" i="12"/>
  <c r="K46" i="12" l="1"/>
  <c r="M46" i="12"/>
  <c r="L10" i="12" l="1"/>
  <c r="L11" i="12"/>
  <c r="L12" i="12"/>
  <c r="L13" i="12"/>
  <c r="L14" i="12"/>
  <c r="L15" i="12"/>
  <c r="L16" i="12"/>
  <c r="L17" i="12"/>
  <c r="L18" i="12"/>
  <c r="J11" i="12"/>
  <c r="J12" i="12"/>
  <c r="J13" i="12"/>
  <c r="J14" i="12"/>
  <c r="J15" i="12"/>
  <c r="J16" i="12"/>
  <c r="J17" i="12"/>
  <c r="J18" i="12"/>
  <c r="H19" i="12"/>
  <c r="F19" i="12"/>
  <c r="G16" i="12" s="1"/>
  <c r="I11" i="12" l="1"/>
  <c r="G15" i="12"/>
  <c r="G14" i="12"/>
  <c r="G10" i="12"/>
  <c r="G13" i="12"/>
  <c r="G18" i="12"/>
  <c r="G12" i="12"/>
  <c r="G17" i="12"/>
  <c r="G11" i="12"/>
  <c r="I16" i="12"/>
  <c r="I15" i="12"/>
  <c r="I14" i="12"/>
  <c r="I10" i="12"/>
  <c r="I13" i="12"/>
  <c r="I18" i="12"/>
  <c r="I12" i="12"/>
  <c r="I17" i="12"/>
  <c r="G19" i="12" l="1"/>
  <c r="M24" i="13" l="1"/>
  <c r="L24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11" i="13"/>
  <c r="N24" i="13" l="1"/>
  <c r="D7" i="21"/>
  <c r="C10" i="21"/>
  <c r="E10" i="21"/>
  <c r="B10" i="21"/>
  <c r="M71" i="13"/>
  <c r="L71" i="13"/>
  <c r="M53" i="13" l="1"/>
  <c r="N45" i="13"/>
  <c r="N46" i="13"/>
  <c r="N47" i="13"/>
  <c r="N48" i="13"/>
  <c r="N49" i="13"/>
  <c r="N50" i="13"/>
  <c r="N51" i="13"/>
  <c r="N52" i="13"/>
  <c r="N34" i="13"/>
  <c r="N35" i="13"/>
  <c r="N36" i="13"/>
  <c r="N37" i="13"/>
  <c r="N38" i="13"/>
  <c r="N39" i="13"/>
  <c r="N40" i="13"/>
  <c r="N41" i="13"/>
  <c r="N42" i="13"/>
  <c r="N43" i="13"/>
  <c r="F8" i="15" l="1"/>
  <c r="G8" i="15" s="1"/>
  <c r="F9" i="15"/>
  <c r="G9" i="15" s="1"/>
  <c r="F7" i="15"/>
  <c r="G7" i="15" s="1"/>
  <c r="E10" i="15"/>
  <c r="D10" i="15"/>
  <c r="C10" i="15"/>
  <c r="B10" i="15"/>
  <c r="H11" i="11"/>
  <c r="G11" i="11"/>
  <c r="F11" i="11"/>
  <c r="D11" i="11"/>
  <c r="J11" i="11" s="1"/>
  <c r="C11" i="11"/>
  <c r="G10" i="11"/>
  <c r="F10" i="11"/>
  <c r="D10" i="11"/>
  <c r="C10" i="11"/>
  <c r="E12" i="11"/>
  <c r="B12" i="11"/>
  <c r="D16" i="11"/>
  <c r="E16" i="11"/>
  <c r="D20" i="11"/>
  <c r="E20" i="11"/>
  <c r="D24" i="11"/>
  <c r="E24" i="11"/>
  <c r="D28" i="11"/>
  <c r="E28" i="11"/>
  <c r="J15" i="11"/>
  <c r="G13" i="10"/>
  <c r="C13" i="10"/>
  <c r="E13" i="10"/>
  <c r="I13" i="10"/>
  <c r="K13" i="10"/>
  <c r="M13" i="10"/>
  <c r="J13" i="10"/>
  <c r="Q12" i="10"/>
  <c r="Q11" i="10"/>
  <c r="Q10" i="10"/>
  <c r="Q13" i="10" s="1"/>
  <c r="P11" i="10"/>
  <c r="P12" i="10"/>
  <c r="O11" i="10"/>
  <c r="O12" i="10"/>
  <c r="R12" i="10" s="1"/>
  <c r="N11" i="10"/>
  <c r="N12" i="10"/>
  <c r="N13" i="10"/>
  <c r="F13" i="10"/>
  <c r="B13" i="10"/>
  <c r="F12" i="11" l="1"/>
  <c r="R11" i="10"/>
  <c r="G12" i="11"/>
  <c r="C12" i="11"/>
  <c r="O13" i="10"/>
  <c r="R13" i="10" s="1"/>
  <c r="F10" i="15"/>
  <c r="G10" i="15" s="1"/>
  <c r="H12" i="11"/>
  <c r="I11" i="11"/>
  <c r="I12" i="11" s="1"/>
  <c r="D29" i="11"/>
  <c r="J12" i="11"/>
  <c r="D12" i="11"/>
  <c r="E29" i="11"/>
  <c r="G31" i="11" l="1"/>
  <c r="D31" i="11"/>
  <c r="J31" i="11"/>
  <c r="Q35" i="10"/>
  <c r="I13" i="9"/>
  <c r="M13" i="9"/>
  <c r="K13" i="9"/>
  <c r="G13" i="9"/>
  <c r="E13" i="9"/>
  <c r="C13" i="9"/>
  <c r="N11" i="9"/>
  <c r="N12" i="9"/>
  <c r="N13" i="9" l="1"/>
  <c r="O35" i="10"/>
  <c r="R35" i="10" s="1"/>
  <c r="O12" i="9"/>
  <c r="B13" i="9"/>
  <c r="L13" i="9"/>
  <c r="J13" i="9"/>
  <c r="H13" i="9"/>
  <c r="F13" i="9"/>
  <c r="D13" i="9"/>
  <c r="E33" i="22"/>
  <c r="D12" i="22"/>
  <c r="C33" i="22"/>
  <c r="F33" i="22"/>
  <c r="H33" i="22"/>
  <c r="H34" i="22" s="1"/>
  <c r="J33" i="22"/>
  <c r="L33" i="22"/>
  <c r="M33" i="22"/>
  <c r="N33" i="22"/>
  <c r="B33" i="22"/>
  <c r="L34" i="22" l="1"/>
  <c r="E34" i="22"/>
  <c r="C34" i="22"/>
  <c r="O13" i="9"/>
  <c r="N34" i="22"/>
  <c r="H29" i="22" l="1"/>
  <c r="E29" i="22"/>
  <c r="O12" i="22" l="1"/>
  <c r="N12" i="22"/>
  <c r="M12" i="22"/>
  <c r="L12" i="22"/>
  <c r="C12" i="22"/>
  <c r="B12" i="22"/>
  <c r="P12" i="22" s="1"/>
  <c r="J12" i="22"/>
  <c r="H12" i="22"/>
  <c r="F12" i="22"/>
  <c r="E12" i="22"/>
  <c r="Q9" i="22"/>
  <c r="Q10" i="22"/>
  <c r="Q11" i="22"/>
  <c r="Q12" i="22" l="1"/>
  <c r="C17" i="22" s="1"/>
  <c r="H17" i="22" l="1"/>
  <c r="O17" i="22"/>
  <c r="M17" i="22"/>
  <c r="C18" i="2"/>
  <c r="G12" i="8"/>
  <c r="D12" i="8"/>
  <c r="K10" i="8"/>
  <c r="K11" i="8"/>
  <c r="E12" i="8"/>
  <c r="C12" i="8"/>
  <c r="H12" i="8"/>
  <c r="M10" i="8"/>
  <c r="M11" i="8"/>
  <c r="J12" i="8"/>
  <c r="I12" i="8"/>
  <c r="F12" i="8"/>
  <c r="B12" i="8"/>
  <c r="H16" i="2"/>
  <c r="H17" i="2"/>
  <c r="H15" i="2"/>
  <c r="C14" i="2"/>
  <c r="D14" i="2"/>
  <c r="E14" i="2"/>
  <c r="D18" i="2"/>
  <c r="E18" i="2"/>
  <c r="B18" i="2"/>
  <c r="B14" i="2"/>
  <c r="G13" i="2"/>
  <c r="H13" i="2" s="1"/>
  <c r="D11" i="6"/>
  <c r="D15" i="6"/>
  <c r="C10" i="5"/>
  <c r="D10" i="5" s="1"/>
  <c r="C9" i="5"/>
  <c r="D9" i="5" s="1"/>
  <c r="C8" i="5"/>
  <c r="D8" i="5" s="1"/>
  <c r="C12" i="5"/>
  <c r="D12" i="5" s="1"/>
  <c r="C13" i="5"/>
  <c r="D13" i="5" s="1"/>
  <c r="C14" i="5"/>
  <c r="B11" i="5"/>
  <c r="C11" i="5" s="1"/>
  <c r="D11" i="5" s="1"/>
  <c r="D8" i="7"/>
  <c r="D9" i="7"/>
  <c r="D10" i="7"/>
  <c r="C11" i="7"/>
  <c r="B11" i="7"/>
  <c r="F7" i="21"/>
  <c r="E9" i="4"/>
  <c r="E10" i="4"/>
  <c r="F8" i="4"/>
  <c r="F9" i="4"/>
  <c r="F10" i="4"/>
  <c r="E8" i="4"/>
  <c r="B11" i="4"/>
  <c r="E11" i="4" s="1"/>
  <c r="C11" i="4"/>
  <c r="D28" i="6" l="1"/>
  <c r="F11" i="4"/>
  <c r="H18" i="2"/>
  <c r="M12" i="8"/>
  <c r="G32" i="8" s="1"/>
  <c r="F18" i="2"/>
  <c r="D11" i="7"/>
  <c r="C29" i="7" s="1"/>
  <c r="L12" i="8"/>
  <c r="K12" i="8"/>
  <c r="F14" i="2"/>
  <c r="G14" i="2"/>
  <c r="H14" i="2" s="1"/>
  <c r="D32" i="8" l="1"/>
  <c r="B29" i="7"/>
  <c r="J32" i="8"/>
  <c r="F8" i="21"/>
  <c r="F9" i="21"/>
  <c r="F11" i="21"/>
  <c r="D8" i="21"/>
  <c r="D9" i="21"/>
  <c r="D11" i="21"/>
  <c r="C13" i="1"/>
  <c r="B13" i="1"/>
  <c r="E12" i="1"/>
  <c r="F12" i="1" s="1"/>
  <c r="D12" i="1"/>
  <c r="E11" i="1"/>
  <c r="F11" i="1" s="1"/>
  <c r="D11" i="1"/>
  <c r="E10" i="1"/>
  <c r="F10" i="1" s="1"/>
  <c r="D10" i="1"/>
  <c r="D10" i="21" l="1"/>
  <c r="F10" i="21"/>
  <c r="D13" i="1"/>
  <c r="E13" i="1"/>
  <c r="F13" i="1" s="1"/>
  <c r="J71" i="13" l="1"/>
  <c r="I71" i="13"/>
  <c r="G71" i="13"/>
  <c r="F71" i="13"/>
  <c r="D71" i="13"/>
  <c r="C71" i="13"/>
  <c r="K70" i="13"/>
  <c r="H70" i="13"/>
  <c r="E70" i="13"/>
  <c r="K69" i="13"/>
  <c r="H69" i="13"/>
  <c r="E69" i="13"/>
  <c r="K68" i="13"/>
  <c r="H68" i="13"/>
  <c r="E68" i="13"/>
  <c r="K67" i="13"/>
  <c r="H67" i="13"/>
  <c r="E67" i="13"/>
  <c r="L53" i="13"/>
  <c r="H71" i="13" l="1"/>
  <c r="K71" i="13"/>
  <c r="E71" i="13"/>
  <c r="J14" i="11" l="1"/>
  <c r="J13" i="11"/>
  <c r="I14" i="11"/>
  <c r="I13" i="11"/>
  <c r="H13" i="11"/>
  <c r="O16" i="9"/>
  <c r="O15" i="9"/>
  <c r="O14" i="9"/>
  <c r="N16" i="9"/>
  <c r="N15" i="9"/>
  <c r="N14" i="9"/>
  <c r="D16" i="8"/>
  <c r="G17" i="9" l="1"/>
  <c r="F17" i="9"/>
  <c r="E17" i="9"/>
  <c r="D17" i="9"/>
  <c r="D14" i="5" l="1"/>
  <c r="L17" i="10" l="1"/>
  <c r="H17" i="10"/>
  <c r="D17" i="10"/>
  <c r="C17" i="1" l="1"/>
  <c r="B17" i="1"/>
  <c r="E9" i="1"/>
  <c r="F9" i="1" s="1"/>
  <c r="D9" i="1"/>
  <c r="M17" i="10" l="1"/>
  <c r="K17" i="10"/>
  <c r="I17" i="10"/>
  <c r="G17" i="10"/>
  <c r="E17" i="10"/>
  <c r="C17" i="10"/>
  <c r="Q8" i="22"/>
  <c r="P8" i="22"/>
  <c r="J16" i="8"/>
  <c r="G16" i="8"/>
  <c r="G11" i="2" l="1"/>
  <c r="J56" i="12" l="1"/>
  <c r="H17" i="9" l="1"/>
  <c r="M27" i="22"/>
  <c r="M28" i="22"/>
  <c r="M26" i="22"/>
  <c r="N27" i="22"/>
  <c r="N28" i="22"/>
  <c r="N26" i="22"/>
  <c r="J29" i="22"/>
  <c r="D29" i="22"/>
  <c r="F29" i="22"/>
  <c r="B29" i="22"/>
  <c r="M29" i="22" l="1"/>
  <c r="Q14" i="22" l="1"/>
  <c r="Q13" i="22"/>
  <c r="P13" i="22"/>
  <c r="P14" i="22"/>
  <c r="P15" i="22"/>
  <c r="Q15" i="22"/>
  <c r="J16" i="22"/>
  <c r="B14" i="21" l="1"/>
  <c r="K38" i="13" l="1"/>
  <c r="H38" i="13"/>
  <c r="E38" i="13"/>
  <c r="D46" i="12" l="1"/>
  <c r="H46" i="12"/>
  <c r="I37" i="12" l="1"/>
  <c r="I43" i="12"/>
  <c r="I45" i="12"/>
  <c r="I40" i="12"/>
  <c r="I42" i="12"/>
  <c r="I38" i="12"/>
  <c r="I44" i="12"/>
  <c r="I39" i="12"/>
  <c r="I34" i="12"/>
  <c r="I33" i="12"/>
  <c r="I35" i="12"/>
  <c r="I41" i="12"/>
  <c r="I36" i="12"/>
  <c r="E44" i="12"/>
  <c r="E45" i="12"/>
  <c r="E34" i="12"/>
  <c r="E40" i="12"/>
  <c r="E33" i="12"/>
  <c r="E36" i="12"/>
  <c r="E42" i="12"/>
  <c r="E35" i="12"/>
  <c r="E41" i="12"/>
  <c r="E37" i="12"/>
  <c r="E43" i="12"/>
  <c r="E38" i="12"/>
  <c r="E39" i="12"/>
  <c r="I17" i="9"/>
  <c r="L29" i="22"/>
  <c r="C29" i="22"/>
  <c r="N16" i="22"/>
  <c r="L16" i="22"/>
  <c r="E16" i="22"/>
  <c r="D16" i="22"/>
  <c r="B16" i="22"/>
  <c r="P16" i="22"/>
  <c r="N29" i="22" l="1"/>
  <c r="D12" i="21" l="1"/>
  <c r="F12" i="21"/>
  <c r="D13" i="21"/>
  <c r="F13" i="21"/>
  <c r="C14" i="21"/>
  <c r="E14" i="21"/>
  <c r="G14" i="21"/>
  <c r="D15" i="21"/>
  <c r="F15" i="21"/>
  <c r="D16" i="21"/>
  <c r="F16" i="21"/>
  <c r="D17" i="21"/>
  <c r="F17" i="21"/>
  <c r="B18" i="21"/>
  <c r="B27" i="21" s="1"/>
  <c r="C18" i="21"/>
  <c r="E18" i="21"/>
  <c r="D19" i="21"/>
  <c r="F19" i="21"/>
  <c r="D20" i="21"/>
  <c r="F20" i="21"/>
  <c r="D21" i="21"/>
  <c r="F21" i="21"/>
  <c r="B22" i="21"/>
  <c r="C22" i="21"/>
  <c r="E22" i="21"/>
  <c r="D23" i="21"/>
  <c r="F23" i="21"/>
  <c r="D24" i="21"/>
  <c r="F24" i="21"/>
  <c r="D25" i="21"/>
  <c r="F25" i="21"/>
  <c r="B26" i="21"/>
  <c r="C26" i="21"/>
  <c r="E26" i="21"/>
  <c r="D22" i="21" l="1"/>
  <c r="D18" i="21"/>
  <c r="F18" i="21"/>
  <c r="C27" i="21"/>
  <c r="D27" i="21" s="1"/>
  <c r="F26" i="21"/>
  <c r="D26" i="21"/>
  <c r="F22" i="21"/>
  <c r="E27" i="21"/>
  <c r="F27" i="21" s="1"/>
  <c r="F14" i="21"/>
  <c r="D14" i="21"/>
  <c r="F11" i="15"/>
  <c r="L58" i="12" l="1"/>
  <c r="L59" i="12"/>
  <c r="L60" i="12"/>
  <c r="L61" i="12"/>
  <c r="L62" i="12"/>
  <c r="L63" i="12"/>
  <c r="L64" i="12"/>
  <c r="L65" i="12"/>
  <c r="L66" i="12"/>
  <c r="L57" i="12"/>
  <c r="J58" i="12"/>
  <c r="J59" i="12"/>
  <c r="J60" i="12"/>
  <c r="J61" i="12"/>
  <c r="J62" i="12"/>
  <c r="J63" i="12"/>
  <c r="J64" i="12"/>
  <c r="J65" i="12"/>
  <c r="J66" i="12"/>
  <c r="J57" i="12"/>
  <c r="L67" i="12" l="1"/>
  <c r="J67" i="12"/>
  <c r="K56" i="12" s="1"/>
  <c r="E46" i="12"/>
  <c r="C46" i="12"/>
  <c r="G46" i="12"/>
  <c r="I46" i="12"/>
  <c r="M60" i="12" l="1"/>
  <c r="M56" i="12"/>
  <c r="M57" i="12"/>
  <c r="M58" i="12"/>
  <c r="M62" i="12"/>
  <c r="M64" i="12"/>
  <c r="M63" i="12"/>
  <c r="M65" i="12"/>
  <c r="M59" i="12"/>
  <c r="M61" i="12"/>
  <c r="M66" i="12"/>
  <c r="K66" i="12"/>
  <c r="K60" i="12"/>
  <c r="K63" i="12"/>
  <c r="K58" i="12"/>
  <c r="K59" i="12"/>
  <c r="K61" i="12"/>
  <c r="K57" i="12"/>
  <c r="K65" i="12"/>
  <c r="K62" i="12"/>
  <c r="K64" i="12"/>
  <c r="K11" i="12"/>
  <c r="K12" i="12"/>
  <c r="K13" i="12"/>
  <c r="K14" i="12"/>
  <c r="K15" i="12"/>
  <c r="K16" i="12"/>
  <c r="K17" i="12"/>
  <c r="K18" i="12"/>
  <c r="M67" i="12" l="1"/>
  <c r="K67" i="12"/>
  <c r="B19" i="12"/>
  <c r="D19" i="12"/>
  <c r="E15" i="12" l="1"/>
  <c r="E16" i="12"/>
  <c r="E11" i="12"/>
  <c r="E17" i="12"/>
  <c r="E12" i="12"/>
  <c r="E18" i="12"/>
  <c r="E13" i="12"/>
  <c r="E10" i="12"/>
  <c r="E14" i="12"/>
  <c r="C12" i="12"/>
  <c r="C18" i="12"/>
  <c r="C13" i="12"/>
  <c r="C10" i="12"/>
  <c r="C14" i="12"/>
  <c r="C15" i="12"/>
  <c r="C16" i="12"/>
  <c r="C11" i="12"/>
  <c r="C17" i="12"/>
  <c r="K19" i="12"/>
  <c r="J19" i="12"/>
  <c r="L19" i="12"/>
  <c r="M19" i="12"/>
  <c r="M17" i="12" l="1"/>
  <c r="M11" i="12"/>
  <c r="M10" i="12"/>
  <c r="M13" i="12"/>
  <c r="M18" i="12"/>
  <c r="M16" i="12"/>
  <c r="M14" i="12"/>
  <c r="M15" i="12"/>
  <c r="M12" i="12"/>
  <c r="I19" i="12"/>
  <c r="C19" i="12"/>
  <c r="E19" i="12"/>
  <c r="G16" i="11" l="1"/>
  <c r="F16" i="11"/>
  <c r="C16" i="11"/>
  <c r="B16" i="11"/>
  <c r="K8" i="8"/>
  <c r="L8" i="8"/>
  <c r="M8" i="8"/>
  <c r="F10" i="2"/>
  <c r="G10" i="2" l="1"/>
  <c r="H10" i="2" l="1"/>
  <c r="Q16" i="10" l="1"/>
  <c r="Q9" i="10" l="1"/>
  <c r="P9" i="10"/>
  <c r="O9" i="10"/>
  <c r="N9" i="10"/>
  <c r="I16" i="8" l="1"/>
  <c r="H16" i="8"/>
  <c r="E16" i="8"/>
  <c r="D17" i="8"/>
  <c r="G17" i="8"/>
  <c r="J17" i="8"/>
  <c r="D14" i="1" l="1"/>
  <c r="H18" i="10" l="1"/>
  <c r="G11" i="15"/>
  <c r="F13" i="15"/>
  <c r="G13" i="15" s="1"/>
  <c r="I15" i="11"/>
  <c r="I16" i="11" s="1"/>
  <c r="H15" i="11"/>
  <c r="J17" i="10"/>
  <c r="F17" i="10"/>
  <c r="B17" i="10"/>
  <c r="P16" i="10"/>
  <c r="O16" i="10"/>
  <c r="N16" i="10"/>
  <c r="Q14" i="10"/>
  <c r="P14" i="10"/>
  <c r="O14" i="10"/>
  <c r="N14" i="10"/>
  <c r="N17" i="10" s="1"/>
  <c r="F16" i="8"/>
  <c r="C16" i="8"/>
  <c r="B16" i="8"/>
  <c r="M13" i="8"/>
  <c r="L13" i="8"/>
  <c r="L16" i="8" s="1"/>
  <c r="K13" i="8"/>
  <c r="K16" i="8" s="1"/>
  <c r="M15" i="8"/>
  <c r="L15" i="8"/>
  <c r="K15" i="8"/>
  <c r="F13" i="2" l="1"/>
  <c r="F11" i="2"/>
  <c r="H11" i="2" l="1"/>
  <c r="D14" i="7"/>
  <c r="D12" i="7"/>
  <c r="D14" i="4"/>
  <c r="F14" i="4" s="1"/>
  <c r="D12" i="4"/>
  <c r="E14" i="1"/>
  <c r="E16" i="1"/>
  <c r="D16" i="1"/>
  <c r="B27" i="2"/>
  <c r="E27" i="2"/>
  <c r="F12" i="4" l="1"/>
  <c r="E12" i="4"/>
  <c r="F14" i="1"/>
  <c r="F16" i="1"/>
  <c r="G12" i="2"/>
  <c r="F27" i="2"/>
  <c r="B28" i="2"/>
  <c r="F12" i="2"/>
  <c r="E14" i="4"/>
  <c r="G27" i="2"/>
  <c r="H27" i="2" s="1"/>
  <c r="E28" i="2"/>
  <c r="H12" i="2" l="1"/>
  <c r="F28" i="2"/>
  <c r="G28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G9" i="16" l="1"/>
  <c r="F9" i="16"/>
  <c r="C9" i="16"/>
  <c r="B9" i="16"/>
  <c r="L55" i="12" l="1"/>
  <c r="J55" i="12"/>
  <c r="B67" i="12" l="1"/>
  <c r="C61" i="12" l="1"/>
  <c r="C56" i="12"/>
  <c r="C62" i="12"/>
  <c r="C57" i="12"/>
  <c r="C63" i="12"/>
  <c r="C58" i="12"/>
  <c r="C64" i="12"/>
  <c r="C59" i="12"/>
  <c r="C65" i="12"/>
  <c r="C60" i="12"/>
  <c r="C66" i="12"/>
  <c r="E55" i="12"/>
  <c r="E67" i="12" l="1"/>
  <c r="P39" i="17" l="1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E11" i="16"/>
  <c r="E24" i="16" s="1"/>
  <c r="D11" i="16"/>
  <c r="C11" i="16"/>
  <c r="B11" i="16"/>
  <c r="I10" i="16"/>
  <c r="H10" i="16"/>
  <c r="I9" i="16"/>
  <c r="H9" i="16"/>
  <c r="I8" i="16"/>
  <c r="H8" i="16"/>
  <c r="F24" i="16" l="1"/>
  <c r="B24" i="16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5" i="4"/>
  <c r="B17" i="9" l="1"/>
  <c r="E15" i="1"/>
  <c r="E17" i="1" s="1"/>
  <c r="C15" i="4" l="1"/>
  <c r="C17" i="9" l="1"/>
  <c r="C14" i="15" l="1"/>
  <c r="E14" i="15" l="1"/>
  <c r="D14" i="15"/>
  <c r="B14" i="15"/>
  <c r="C15" i="6"/>
  <c r="B15" i="6"/>
  <c r="B15" i="5"/>
  <c r="C15" i="7"/>
  <c r="B15" i="7"/>
  <c r="B28" i="7" s="1"/>
  <c r="C15" i="5" l="1"/>
  <c r="B28" i="5"/>
  <c r="C28" i="7"/>
  <c r="C55" i="12"/>
  <c r="C67" i="12" s="1"/>
  <c r="D17" i="1"/>
  <c r="D15" i="5" l="1"/>
  <c r="C28" i="5"/>
  <c r="D28" i="5" s="1"/>
  <c r="J53" i="13"/>
  <c r="I53" i="13"/>
  <c r="G53" i="13"/>
  <c r="F53" i="13"/>
  <c r="D53" i="13"/>
  <c r="C53" i="13"/>
  <c r="K47" i="13"/>
  <c r="H47" i="13"/>
  <c r="E47" i="13"/>
  <c r="K46" i="13"/>
  <c r="H46" i="13"/>
  <c r="E46" i="13"/>
  <c r="N44" i="13"/>
  <c r="K44" i="13"/>
  <c r="H44" i="13"/>
  <c r="E44" i="13"/>
  <c r="K43" i="13"/>
  <c r="H43" i="13"/>
  <c r="E43" i="13"/>
  <c r="K42" i="13"/>
  <c r="H42" i="13"/>
  <c r="E42" i="13"/>
  <c r="K41" i="13"/>
  <c r="H41" i="13"/>
  <c r="E41" i="13"/>
  <c r="K37" i="13"/>
  <c r="H37" i="13"/>
  <c r="E37" i="13"/>
  <c r="K36" i="13"/>
  <c r="H36" i="13"/>
  <c r="E36" i="13"/>
  <c r="K35" i="13"/>
  <c r="H35" i="13"/>
  <c r="E35" i="13"/>
  <c r="K34" i="13"/>
  <c r="H34" i="13"/>
  <c r="E34" i="13"/>
  <c r="J24" i="13"/>
  <c r="I24" i="13"/>
  <c r="G24" i="13"/>
  <c r="F24" i="13"/>
  <c r="D24" i="13"/>
  <c r="C24" i="13"/>
  <c r="E26" i="15"/>
  <c r="D26" i="15"/>
  <c r="C26" i="15"/>
  <c r="B26" i="15"/>
  <c r="F25" i="15"/>
  <c r="G25" i="15" s="1"/>
  <c r="F24" i="15"/>
  <c r="G24" i="15" s="1"/>
  <c r="F23" i="15"/>
  <c r="G23" i="15" s="1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F12" i="15"/>
  <c r="G12" i="15" s="1"/>
  <c r="G28" i="11"/>
  <c r="F28" i="11"/>
  <c r="C28" i="11"/>
  <c r="B28" i="11"/>
  <c r="J27" i="11"/>
  <c r="I27" i="11"/>
  <c r="H27" i="11"/>
  <c r="J26" i="11"/>
  <c r="I26" i="11"/>
  <c r="H26" i="11"/>
  <c r="J25" i="11"/>
  <c r="I25" i="11"/>
  <c r="H25" i="11"/>
  <c r="G24" i="11"/>
  <c r="F24" i="11"/>
  <c r="C24" i="11"/>
  <c r="B24" i="11"/>
  <c r="J23" i="11"/>
  <c r="I23" i="11"/>
  <c r="H23" i="11"/>
  <c r="J22" i="11"/>
  <c r="I22" i="11"/>
  <c r="H22" i="11"/>
  <c r="J21" i="11"/>
  <c r="I21" i="11"/>
  <c r="H21" i="11"/>
  <c r="G20" i="11"/>
  <c r="F20" i="11"/>
  <c r="C20" i="11"/>
  <c r="B20" i="11"/>
  <c r="J19" i="11"/>
  <c r="I19" i="11"/>
  <c r="H19" i="11"/>
  <c r="J18" i="11"/>
  <c r="I18" i="11"/>
  <c r="H18" i="11"/>
  <c r="J17" i="11"/>
  <c r="I17" i="11"/>
  <c r="H17" i="11"/>
  <c r="J16" i="11"/>
  <c r="H14" i="11"/>
  <c r="H16" i="11" s="1"/>
  <c r="I30" i="10"/>
  <c r="H30" i="10"/>
  <c r="H31" i="10" s="1"/>
  <c r="G30" i="10"/>
  <c r="F30" i="10"/>
  <c r="F31" i="10" s="1"/>
  <c r="M30" i="10"/>
  <c r="L30" i="10"/>
  <c r="L31" i="10" s="1"/>
  <c r="K30" i="10"/>
  <c r="J30" i="10"/>
  <c r="J31" i="10" s="1"/>
  <c r="E30" i="10"/>
  <c r="D30" i="10"/>
  <c r="D31" i="10" s="1"/>
  <c r="C30" i="10"/>
  <c r="B30" i="10"/>
  <c r="B31" i="10" s="1"/>
  <c r="Q29" i="10"/>
  <c r="P29" i="10"/>
  <c r="O29" i="10"/>
  <c r="N29" i="10"/>
  <c r="Q28" i="10"/>
  <c r="P28" i="10"/>
  <c r="P30" i="10" s="1"/>
  <c r="P31" i="10" s="1"/>
  <c r="O28" i="10"/>
  <c r="N28" i="10"/>
  <c r="N30" i="10" s="1"/>
  <c r="N31" i="10" s="1"/>
  <c r="Q27" i="10"/>
  <c r="P27" i="10"/>
  <c r="O27" i="10"/>
  <c r="N27" i="10"/>
  <c r="Q26" i="10"/>
  <c r="P26" i="10"/>
  <c r="O26" i="10"/>
  <c r="N26" i="10"/>
  <c r="I25" i="10"/>
  <c r="H25" i="10"/>
  <c r="G25" i="10"/>
  <c r="F25" i="10"/>
  <c r="M25" i="10"/>
  <c r="L25" i="10"/>
  <c r="K25" i="10"/>
  <c r="J25" i="10"/>
  <c r="E25" i="10"/>
  <c r="D25" i="10"/>
  <c r="C25" i="10"/>
  <c r="B25" i="10"/>
  <c r="Q24" i="10"/>
  <c r="P24" i="10"/>
  <c r="P25" i="10" s="1"/>
  <c r="O24" i="10"/>
  <c r="N24" i="10"/>
  <c r="N25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Q15" i="10"/>
  <c r="Q17" i="10" s="1"/>
  <c r="P15" i="10"/>
  <c r="P17" i="10" s="1"/>
  <c r="O15" i="10"/>
  <c r="O17" i="10" s="1"/>
  <c r="N15" i="10"/>
  <c r="G55" i="12"/>
  <c r="M29" i="9"/>
  <c r="L29" i="9"/>
  <c r="K29" i="9"/>
  <c r="J29" i="9"/>
  <c r="I29" i="9"/>
  <c r="H29" i="9"/>
  <c r="C29" i="9"/>
  <c r="B29" i="9"/>
  <c r="O28" i="9"/>
  <c r="N28" i="9"/>
  <c r="O27" i="9"/>
  <c r="N27" i="9"/>
  <c r="O26" i="9"/>
  <c r="N26" i="9"/>
  <c r="M25" i="9"/>
  <c r="L25" i="9"/>
  <c r="K25" i="9"/>
  <c r="J25" i="9"/>
  <c r="I25" i="9"/>
  <c r="H25" i="9"/>
  <c r="C25" i="9"/>
  <c r="B25" i="9"/>
  <c r="O24" i="9"/>
  <c r="N24" i="9"/>
  <c r="O23" i="9"/>
  <c r="N23" i="9"/>
  <c r="O22" i="9"/>
  <c r="N22" i="9"/>
  <c r="M21" i="9"/>
  <c r="L21" i="9"/>
  <c r="K21" i="9"/>
  <c r="J21" i="9"/>
  <c r="I21" i="9"/>
  <c r="H21" i="9"/>
  <c r="C21" i="9"/>
  <c r="B21" i="9"/>
  <c r="O20" i="9"/>
  <c r="N20" i="9"/>
  <c r="O19" i="9"/>
  <c r="N19" i="9"/>
  <c r="O18" i="9"/>
  <c r="N18" i="9"/>
  <c r="M17" i="9"/>
  <c r="L17" i="9"/>
  <c r="K17" i="9"/>
  <c r="J17" i="9"/>
  <c r="G29" i="8"/>
  <c r="F29" i="8"/>
  <c r="F30" i="8" s="1"/>
  <c r="E29" i="8"/>
  <c r="E30" i="8" s="1"/>
  <c r="J29" i="8"/>
  <c r="I29" i="8"/>
  <c r="I30" i="8" s="1"/>
  <c r="H29" i="8"/>
  <c r="H30" i="8" s="1"/>
  <c r="D29" i="8"/>
  <c r="C29" i="8"/>
  <c r="C30" i="8" s="1"/>
  <c r="B29" i="8"/>
  <c r="B30" i="8" s="1"/>
  <c r="M28" i="8"/>
  <c r="L28" i="8"/>
  <c r="L29" i="8" s="1"/>
  <c r="L30" i="8" s="1"/>
  <c r="K28" i="8"/>
  <c r="K29" i="8" s="1"/>
  <c r="K30" i="8" s="1"/>
  <c r="M27" i="8"/>
  <c r="L27" i="8"/>
  <c r="K27" i="8"/>
  <c r="M26" i="8"/>
  <c r="L26" i="8"/>
  <c r="K26" i="8"/>
  <c r="M25" i="8"/>
  <c r="L25" i="8"/>
  <c r="K25" i="8"/>
  <c r="G24" i="8"/>
  <c r="F24" i="8"/>
  <c r="E24" i="8"/>
  <c r="J24" i="8"/>
  <c r="I24" i="8"/>
  <c r="H24" i="8"/>
  <c r="D24" i="8"/>
  <c r="C24" i="8"/>
  <c r="B24" i="8"/>
  <c r="M23" i="8"/>
  <c r="L23" i="8"/>
  <c r="L24" i="8" s="1"/>
  <c r="K23" i="8"/>
  <c r="K24" i="8" s="1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M14" i="8"/>
  <c r="M16" i="8" s="1"/>
  <c r="L14" i="8"/>
  <c r="K14" i="8"/>
  <c r="C27" i="6"/>
  <c r="B27" i="6"/>
  <c r="C23" i="6"/>
  <c r="B23" i="6"/>
  <c r="C28" i="6"/>
  <c r="B11" i="6"/>
  <c r="B28" i="6" s="1"/>
  <c r="B27" i="5"/>
  <c r="C26" i="5"/>
  <c r="D26" i="5" s="1"/>
  <c r="C25" i="5"/>
  <c r="D25" i="5" s="1"/>
  <c r="C24" i="5"/>
  <c r="D24" i="5" s="1"/>
  <c r="B23" i="5"/>
  <c r="C22" i="5"/>
  <c r="D22" i="5" s="1"/>
  <c r="C21" i="5"/>
  <c r="D21" i="5" s="1"/>
  <c r="C20" i="5"/>
  <c r="D20" i="5" s="1"/>
  <c r="B19" i="5"/>
  <c r="C18" i="5"/>
  <c r="D18" i="5" s="1"/>
  <c r="C17" i="5"/>
  <c r="D17" i="5" s="1"/>
  <c r="C16" i="5"/>
  <c r="D16" i="5" s="1"/>
  <c r="C27" i="7"/>
  <c r="B27" i="7"/>
  <c r="D26" i="7"/>
  <c r="D25" i="7"/>
  <c r="D24" i="7"/>
  <c r="C23" i="7"/>
  <c r="B23" i="7"/>
  <c r="D22" i="7"/>
  <c r="D21" i="7"/>
  <c r="D20" i="7"/>
  <c r="C19" i="7"/>
  <c r="B19" i="7"/>
  <c r="D18" i="7"/>
  <c r="D17" i="7"/>
  <c r="D16" i="7"/>
  <c r="D13" i="7"/>
  <c r="C27" i="4"/>
  <c r="C28" i="4" s="1"/>
  <c r="B27" i="4"/>
  <c r="B28" i="4" s="1"/>
  <c r="D26" i="4"/>
  <c r="F26" i="4" s="1"/>
  <c r="D25" i="4"/>
  <c r="D24" i="4"/>
  <c r="F24" i="4" s="1"/>
  <c r="F27" i="4" s="1"/>
  <c r="C23" i="4"/>
  <c r="B23" i="4"/>
  <c r="D22" i="4"/>
  <c r="F22" i="4" s="1"/>
  <c r="D21" i="4"/>
  <c r="F21" i="4" s="1"/>
  <c r="D20" i="4"/>
  <c r="F20" i="4" s="1"/>
  <c r="F23" i="4" s="1"/>
  <c r="C19" i="4"/>
  <c r="B19" i="4"/>
  <c r="D18" i="4"/>
  <c r="E18" i="4" s="1"/>
  <c r="D17" i="4"/>
  <c r="E17" i="4" s="1"/>
  <c r="D16" i="4"/>
  <c r="F16" i="4" s="1"/>
  <c r="F19" i="4" s="1"/>
  <c r="D13" i="4"/>
  <c r="E30" i="1"/>
  <c r="C30" i="1"/>
  <c r="B30" i="1"/>
  <c r="F29" i="1"/>
  <c r="D29" i="1"/>
  <c r="F28" i="1"/>
  <c r="D28" i="1"/>
  <c r="F27" i="1"/>
  <c r="D27" i="1"/>
  <c r="F26" i="1"/>
  <c r="D26" i="1"/>
  <c r="E25" i="1"/>
  <c r="C25" i="1"/>
  <c r="B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F15" i="1"/>
  <c r="D15" i="1"/>
  <c r="H24" i="13" l="1"/>
  <c r="S17" i="10"/>
  <c r="S32" i="10" s="1"/>
  <c r="C31" i="1"/>
  <c r="B27" i="15"/>
  <c r="D27" i="15"/>
  <c r="K24" i="13"/>
  <c r="E53" i="13"/>
  <c r="C30" i="9"/>
  <c r="K53" i="13"/>
  <c r="F17" i="4"/>
  <c r="J30" i="9"/>
  <c r="H30" i="9"/>
  <c r="N25" i="9"/>
  <c r="B30" i="9"/>
  <c r="D30" i="1"/>
  <c r="H53" i="13"/>
  <c r="I20" i="11"/>
  <c r="L30" i="9"/>
  <c r="N29" i="9"/>
  <c r="C27" i="15"/>
  <c r="D25" i="1"/>
  <c r="C27" i="5"/>
  <c r="D27" i="5" s="1"/>
  <c r="M30" i="9"/>
  <c r="G29" i="11"/>
  <c r="J24" i="11"/>
  <c r="E24" i="13"/>
  <c r="F25" i="1"/>
  <c r="F30" i="1"/>
  <c r="D27" i="7"/>
  <c r="N21" i="9"/>
  <c r="E16" i="4"/>
  <c r="E19" i="4" s="1"/>
  <c r="E24" i="4"/>
  <c r="E27" i="4" s="1"/>
  <c r="D23" i="7"/>
  <c r="F18" i="4"/>
  <c r="D15" i="4"/>
  <c r="D19" i="4"/>
  <c r="T47" i="8"/>
  <c r="T44" i="8"/>
  <c r="K31" i="10"/>
  <c r="B31" i="1"/>
  <c r="D27" i="4"/>
  <c r="D28" i="4" s="1"/>
  <c r="E26" i="4"/>
  <c r="E27" i="15"/>
  <c r="O29" i="9"/>
  <c r="D19" i="7"/>
  <c r="S35" i="8"/>
  <c r="S47" i="8"/>
  <c r="S44" i="8"/>
  <c r="O21" i="9"/>
  <c r="O25" i="9"/>
  <c r="H24" i="11"/>
  <c r="D15" i="7"/>
  <c r="E21" i="4"/>
  <c r="F18" i="15"/>
  <c r="G18" i="15" s="1"/>
  <c r="F22" i="15"/>
  <c r="G22" i="15" s="1"/>
  <c r="F26" i="15"/>
  <c r="G26" i="15" s="1"/>
  <c r="D21" i="1"/>
  <c r="D23" i="4"/>
  <c r="C23" i="5"/>
  <c r="D23" i="5" s="1"/>
  <c r="I30" i="9"/>
  <c r="O21" i="10"/>
  <c r="F21" i="1"/>
  <c r="E25" i="4"/>
  <c r="E28" i="4" s="1"/>
  <c r="I31" i="10"/>
  <c r="E20" i="4"/>
  <c r="E23" i="4" s="1"/>
  <c r="E22" i="4"/>
  <c r="F25" i="4"/>
  <c r="F28" i="4" s="1"/>
  <c r="K30" i="9"/>
  <c r="F29" i="11"/>
  <c r="H20" i="11"/>
  <c r="I24" i="11"/>
  <c r="H28" i="11"/>
  <c r="J28" i="11"/>
  <c r="M31" i="10"/>
  <c r="O30" i="10"/>
  <c r="I28" i="11"/>
  <c r="J20" i="11"/>
  <c r="B29" i="11"/>
  <c r="C29" i="11"/>
  <c r="N53" i="13"/>
  <c r="I55" i="12"/>
  <c r="O17" i="9"/>
  <c r="S38" i="8"/>
  <c r="E13" i="4"/>
  <c r="E15" i="4" s="1"/>
  <c r="F13" i="4"/>
  <c r="Q25" i="10"/>
  <c r="G31" i="10"/>
  <c r="Q30" i="10"/>
  <c r="Q21" i="10"/>
  <c r="O25" i="10"/>
  <c r="E31" i="10"/>
  <c r="F14" i="15"/>
  <c r="N17" i="9"/>
  <c r="Q19" i="8"/>
  <c r="M20" i="8"/>
  <c r="J30" i="8"/>
  <c r="M24" i="8"/>
  <c r="M29" i="8"/>
  <c r="Q14" i="8"/>
  <c r="F17" i="1"/>
  <c r="G67" i="12"/>
  <c r="T38" i="8"/>
  <c r="T35" i="8"/>
  <c r="D30" i="8"/>
  <c r="G30" i="8"/>
  <c r="C19" i="5"/>
  <c r="D19" i="5" s="1"/>
  <c r="M32" i="8" l="1"/>
  <c r="D28" i="7"/>
  <c r="O30" i="9"/>
  <c r="D31" i="1"/>
  <c r="I29" i="11"/>
  <c r="N30" i="9"/>
  <c r="Q32" i="10"/>
  <c r="U47" i="8"/>
  <c r="U44" i="8"/>
  <c r="U38" i="8"/>
  <c r="U35" i="8"/>
  <c r="G31" i="8"/>
  <c r="M30" i="8"/>
  <c r="H29" i="11"/>
  <c r="O31" i="10"/>
  <c r="J31" i="8"/>
  <c r="J29" i="11"/>
  <c r="Q31" i="10"/>
  <c r="F15" i="4"/>
  <c r="D31" i="8"/>
  <c r="I67" i="12"/>
  <c r="E31" i="1"/>
  <c r="F31" i="1" s="1"/>
  <c r="G14" i="15"/>
  <c r="F27" i="15"/>
  <c r="G27" i="15" s="1"/>
  <c r="O32" i="10" l="1"/>
  <c r="U13" i="8"/>
  <c r="V15" i="8"/>
  <c r="C31" i="10" l="1"/>
  <c r="C16" i="22" l="1"/>
  <c r="F16" i="22"/>
  <c r="H16" i="22"/>
  <c r="M16" i="22"/>
  <c r="O16" i="22"/>
  <c r="Q16" i="22"/>
  <c r="Q17" i="22" l="1"/>
</calcChain>
</file>

<file path=xl/sharedStrings.xml><?xml version="1.0" encoding="utf-8"?>
<sst xmlns="http://schemas.openxmlformats.org/spreadsheetml/2006/main" count="911" uniqueCount="300">
  <si>
    <t>Dirección General de Jubilaciones y Pensiones a Cargo del Estado</t>
  </si>
  <si>
    <t>Departamento Administrativo y Financiero</t>
  </si>
  <si>
    <t>Ejecución Presupuesto Administrativo</t>
  </si>
  <si>
    <t>Estadísticas Trimestre abril-junio</t>
  </si>
  <si>
    <t>Año 2023</t>
  </si>
  <si>
    <t>Mes</t>
  </si>
  <si>
    <t>Presupuesto Programado</t>
  </si>
  <si>
    <t>Presupuesto Ejecutado</t>
  </si>
  <si>
    <t>Restante</t>
  </si>
  <si>
    <t>Monto</t>
  </si>
  <si>
    <t>Absoluto (RD$)</t>
  </si>
  <si>
    <t>Relativo</t>
  </si>
  <si>
    <t>Regalía</t>
  </si>
  <si>
    <t>Junio</t>
  </si>
  <si>
    <t>Mayo</t>
  </si>
  <si>
    <t>Abril</t>
  </si>
  <si>
    <t>2do Trimestre</t>
  </si>
  <si>
    <t>Marzo</t>
  </si>
  <si>
    <t>Febrero</t>
  </si>
  <si>
    <t>Enero</t>
  </si>
  <si>
    <t>1er Trimestre</t>
  </si>
  <si>
    <t xml:space="preserve">Julio </t>
  </si>
  <si>
    <t>Agosto</t>
  </si>
  <si>
    <t>Septiembre</t>
  </si>
  <si>
    <t>3er Trimestre</t>
  </si>
  <si>
    <t>Octubre</t>
  </si>
  <si>
    <t>Noviembre</t>
  </si>
  <si>
    <t>Diciembre</t>
  </si>
  <si>
    <t>4to Trimestre</t>
  </si>
  <si>
    <t>Total</t>
  </si>
  <si>
    <r>
      <t xml:space="preserve">Fuente: </t>
    </r>
    <r>
      <rPr>
        <sz val="8"/>
        <color rgb="FF000000"/>
        <rFont val="Calibri"/>
        <family val="2"/>
        <scheme val="minor"/>
      </rPr>
      <t>Departamento Financiero,SIGEF</t>
    </r>
  </si>
  <si>
    <t>División de Seguimiento al Sistema de Reparto</t>
  </si>
  <si>
    <t>Afiliados y Cotizantes</t>
  </si>
  <si>
    <t>Afiliados al Sistema de Reparto</t>
  </si>
  <si>
    <t>Cotizantes</t>
  </si>
  <si>
    <t>% Cotizantes</t>
  </si>
  <si>
    <t>No Cotizantes</t>
  </si>
  <si>
    <t>% No Cotizantes</t>
  </si>
  <si>
    <t>Afiliados Policia Nacional</t>
  </si>
  <si>
    <t>Junio*</t>
  </si>
  <si>
    <t>Promedio
2do Trimestre</t>
  </si>
  <si>
    <t>Promedio 1er Trimestre</t>
  </si>
  <si>
    <t>Julio</t>
  </si>
  <si>
    <t>Promedio
3er Trimestre</t>
  </si>
  <si>
    <t>Promedio
4to Trimestre</t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</si>
  <si>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Dato de Afiliados Policia Nacional en el mes de jumio corresponde a proyecciones.</t>
    </r>
  </si>
  <si>
    <r>
      <rPr>
        <b/>
        <sz val="8"/>
        <color rgb="FF000000"/>
        <rFont val="Calibri"/>
        <family val="2"/>
      </rPr>
      <t>Fuente:</t>
    </r>
    <r>
      <rPr>
        <sz val="8"/>
        <color rgb="FF000000"/>
        <rFont val="Calibri"/>
        <family val="2"/>
      </rPr>
      <t xml:space="preserve"> Departamento de Gestión del Sistema de Reparto y Control de Pensionados.</t>
    </r>
  </si>
  <si>
    <t xml:space="preserve"> </t>
  </si>
  <si>
    <t>Distribución de Cotizantes por Tipo de Empleador</t>
  </si>
  <si>
    <t>Cantidad de Cotizantes por Tipo de Empleador</t>
  </si>
  <si>
    <t xml:space="preserve">Público 
</t>
  </si>
  <si>
    <t>Privado</t>
  </si>
  <si>
    <t>% Público</t>
  </si>
  <si>
    <t>% Privado</t>
  </si>
  <si>
    <t>Promedio
1er Trimestre</t>
  </si>
  <si>
    <r>
      <rPr>
        <b/>
        <sz val="8"/>
        <color rgb="FF000000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</si>
  <si>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El mes de junio es proyectado</t>
    </r>
  </si>
  <si>
    <t>Individualización por tipo de Empleador</t>
  </si>
  <si>
    <t>Individualización de aportes por tipo de Empleador</t>
  </si>
  <si>
    <t>Público (RD$)</t>
  </si>
  <si>
    <t>Privado (RD$)</t>
  </si>
  <si>
    <t>Total (RD$)</t>
  </si>
  <si>
    <t>Porcentaje</t>
  </si>
  <si>
    <t>Distribución de Aportes</t>
  </si>
  <si>
    <t>Cantidad de Aportes</t>
  </si>
  <si>
    <t>Δ Absoluta</t>
  </si>
  <si>
    <t>Δ Relativa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</si>
  <si>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Data extraída de UNIPAGO, analizada por la División de Seguimiento al Sistema de Reparto</t>
    </r>
  </si>
  <si>
    <t>Cantidad de Traspasos</t>
  </si>
  <si>
    <t>Recibidos (SCI a Reparto)</t>
  </si>
  <si>
    <t>Cedidos (Reparto a SCI)</t>
  </si>
  <si>
    <t>Monto Traspasado (RD$)</t>
  </si>
  <si>
    <t>T3</t>
  </si>
  <si>
    <t>T4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</si>
  <si>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</si>
  <si>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t>Departamento de Gestión Financiera de Pensiones</t>
  </si>
  <si>
    <t>Ejecución Presupuesto Pensionados</t>
  </si>
  <si>
    <t>Programación Presupuestaria</t>
  </si>
  <si>
    <t>Ejecución Presupuestaria</t>
  </si>
  <si>
    <t>Programación Ordinaria (RD$)</t>
  </si>
  <si>
    <t>Ajuste de Partidas Devengadas</t>
  </si>
  <si>
    <t>Programación Total</t>
  </si>
  <si>
    <t xml:space="preserve"> Ejecutado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</si>
  <si>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 xml:space="preserve">: Se presenta la información en base a los trámites gestionados dentro del mes por las distintas divisiones del departamento de Gestión Financiera. 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</si>
  <si>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El monto de ajuste de partidas deventadas, corresponde a los rechazos en transferencia, reintegro de cheques, recuperaciones y devoluciones de pensiones de las diferentes nominas (civil, policia, solidaria y adicionales)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</si>
  <si>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SIGEF, División de Presupuesto de Pensiones</t>
    </r>
  </si>
  <si>
    <t>Nómina de Pensionados</t>
  </si>
  <si>
    <t>Pensiones Civiles</t>
  </si>
  <si>
    <t>Pensiones Solidarias</t>
  </si>
  <si>
    <t>PN</t>
  </si>
  <si>
    <t>TOTAL</t>
  </si>
  <si>
    <t>Cantidad Pensionados</t>
  </si>
  <si>
    <t>Cantidad Pensiones</t>
  </si>
  <si>
    <t>Enero-Abril 2021</t>
  </si>
  <si>
    <t>Abril-Junio 2019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</si>
  <si>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</t>
    </r>
  </si>
  <si>
    <t>Variaciones</t>
  </si>
  <si>
    <t>Pensiones</t>
  </si>
  <si>
    <t>Pensionados</t>
  </si>
  <si>
    <t>Abril-Junio 2020</t>
  </si>
  <si>
    <t>Nóminas Autoseguro</t>
  </si>
  <si>
    <t>Nómina Mensual Discapacidad Civil</t>
  </si>
  <si>
    <t>Nómina Mensual Discapacidad Policía Nacional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</si>
  <si>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</si>
  <si>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</si>
  <si>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</si>
  <si>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</si>
  <si>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</si>
  <si>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</si>
  <si>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</si>
  <si>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Monto
(RD$)</t>
  </si>
  <si>
    <t>-</t>
  </si>
  <si>
    <t>Fuente: EasyNómina</t>
  </si>
  <si>
    <t>Nómina Deuda Retroactiva 
Discapacidad Civil</t>
  </si>
  <si>
    <t>Nómina Deuda Retroactiva
Sobrevivencia Civil</t>
  </si>
  <si>
    <t>Nómina Deuda Retroactiva
Sobrevivencia Policía Nacional</t>
  </si>
  <si>
    <t>Cantidad
 Beneficiarios</t>
  </si>
  <si>
    <t>Movimientos en Nómina</t>
  </si>
  <si>
    <t>TOTAL GENERAL</t>
  </si>
  <si>
    <t>Inclusiones</t>
  </si>
  <si>
    <t>Pensiones por Sobrevivencia</t>
  </si>
  <si>
    <t>Reactivaciones &amp; Reinclusiones</t>
  </si>
  <si>
    <t>Ajustes Monto Pensiones</t>
  </si>
  <si>
    <t>Exclusiones</t>
  </si>
  <si>
    <t>Suspensiones</t>
  </si>
  <si>
    <t>Cantidad</t>
  </si>
  <si>
    <t>Tipo Cantidad Porcentaje Monto Porcentaje</t>
  </si>
  <si>
    <t>PENSIÓN</t>
  </si>
  <si>
    <t>CIVIL</t>
  </si>
  <si>
    <t>IDSS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</si>
  <si>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</si>
  <si>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</si>
  <si>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</si>
  <si>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</si>
  <si>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</si>
  <si>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</si>
  <si>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</si>
  <si>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</si>
  <si>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</si>
  <si>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</si>
  <si>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</si>
  <si>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</si>
  <si>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</si>
  <si>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</si>
  <si>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</si>
  <si>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</si>
  <si>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Rango</t>
  </si>
  <si>
    <t>Cantidad*</t>
  </si>
  <si>
    <t>Monto*</t>
  </si>
  <si>
    <t>Menos</t>
  </si>
  <si>
    <t>de</t>
  </si>
  <si>
    <t>RD$5117.50</t>
  </si>
  <si>
    <t>Igual</t>
  </si>
  <si>
    <t>a</t>
  </si>
  <si>
    <t>RD$5117.51</t>
  </si>
  <si>
    <t>&gt;=100,000.00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</si>
  <si>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</si>
  <si>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</si>
  <si>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</si>
  <si>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</si>
  <si>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</si>
  <si>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</si>
  <si>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</si>
  <si>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</si>
  <si>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con</t>
  </si>
  <si>
    <t>Nacimiento</t>
  </si>
  <si>
    <t>Trimestre Abril-Junio
Al 30 de Junio 2021</t>
  </si>
  <si>
    <t xml:space="preserve">Cantidad </t>
  </si>
  <si>
    <t xml:space="preserve">Tipo de Pensión </t>
  </si>
  <si>
    <t>Trimestre abril-junio
Al 30 de junio 2022</t>
  </si>
  <si>
    <t>Trimestre abril-junio
Al 30 de junio 2023</t>
  </si>
  <si>
    <t xml:space="preserve">Tipo  </t>
  </si>
  <si>
    <t>Cantidad 
 Absoluta</t>
  </si>
  <si>
    <t>Porcentual</t>
  </si>
  <si>
    <t>Monto
 Absoluto</t>
  </si>
  <si>
    <t xml:space="preserve"> Porcentual</t>
  </si>
  <si>
    <t>PENSIÓN CIVIL</t>
  </si>
  <si>
    <t>GLORIAS DEL DEPORTE</t>
  </si>
  <si>
    <t>PABELLÓN DE LA FAMA</t>
  </si>
  <si>
    <t>PODER LEGISLATIVO</t>
  </si>
  <si>
    <t>PODER EJECUTIVO</t>
  </si>
  <si>
    <t>POLICÍA NACIONAL</t>
  </si>
  <si>
    <t>PENSIÓN SOLIDARIA</t>
  </si>
  <si>
    <t>PENSION POR SOBREVIVENCIA</t>
  </si>
  <si>
    <t>TOTALES: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</si>
  <si>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SIJUPEN.</t>
    </r>
  </si>
  <si>
    <t>Pensiones por Monto</t>
  </si>
  <si>
    <t>Por %</t>
  </si>
  <si>
    <t>Cantidad 
(Var Absoluta)</t>
  </si>
  <si>
    <t>Porcentaje
(Var Porcentual)</t>
  </si>
  <si>
    <t>Monto
(Var Absoluta)</t>
  </si>
  <si>
    <t>Menos de RD$5117.50</t>
  </si>
  <si>
    <t>Igual a RD$5117.51</t>
  </si>
  <si>
    <t>5,117.50 - 10,000.00</t>
  </si>
  <si>
    <t>10,000.00 - 20,000.00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</si>
  <si>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</si>
  <si>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</si>
  <si>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</si>
  <si>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</si>
  <si>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</si>
  <si>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</si>
  <si>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</si>
  <si>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</si>
  <si>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No incluye los pensionados de la Policía Nacional 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</si>
  <si>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Incluye los montos y cantidad de Pensiones Solidarias.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</si>
  <si>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SIJUPEN.</t>
    </r>
  </si>
  <si>
    <t>Pensiones por Edad</t>
  </si>
  <si>
    <t xml:space="preserve">Cantidad* </t>
  </si>
  <si>
    <t>Monto
 Absoluta</t>
  </si>
  <si>
    <t>Menos 18 años</t>
  </si>
  <si>
    <t>0-18</t>
  </si>
  <si>
    <t>Sin fecha de nacimiento</t>
  </si>
  <si>
    <r>
      <rPr>
        <b/>
        <sz val="8"/>
        <color rgb="FF000000"/>
        <rFont val="Calibri"/>
        <family val="2"/>
        <scheme val="minor"/>
      </rPr>
      <t>Nota 1: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</si>
  <si>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r>
      <rPr>
        <b/>
        <sz val="8"/>
        <color rgb="FF000000"/>
        <rFont val="Calibri"/>
        <family val="2"/>
        <scheme val="minor"/>
      </rPr>
      <t>Nota 2:</t>
    </r>
    <r>
      <rPr>
        <sz val="8"/>
        <color rgb="FF000000"/>
        <rFont val="Calibri"/>
        <family val="2"/>
        <scheme val="minor"/>
      </rPr>
      <t xml:space="preserve"> Existe una diferencia de 1 pensionado y RD$60,000.00 pesos en el monto, debido a problemas con la sincronización de sistemas.</t>
    </r>
  </si>
  <si>
    <t>Nota: D</t>
  </si>
  <si>
    <t>Modalidad de Pago</t>
  </si>
  <si>
    <t>Electrónico</t>
  </si>
  <si>
    <t>Cheque</t>
  </si>
  <si>
    <t xml:space="preserve">Electrónico </t>
  </si>
  <si>
    <t>Total Monto</t>
  </si>
  <si>
    <t>Cantidad de Pensiones</t>
  </si>
  <si>
    <t>Cantidad  Pensiones</t>
  </si>
  <si>
    <t>Cantidad Electrónico</t>
  </si>
  <si>
    <t>Cantidad Cheque</t>
  </si>
  <si>
    <t>Electrónico Cheque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</si>
  <si>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</t>
    </r>
  </si>
  <si>
    <t>Pago de Retroactivos</t>
  </si>
  <si>
    <t>Cantidad 
Pensionados</t>
  </si>
  <si>
    <t>Cantidad 
Pensiones</t>
  </si>
  <si>
    <t>Regalia</t>
  </si>
  <si>
    <t>Diciembre**</t>
  </si>
  <si>
    <t xml:space="preserve"> **Estos totales incluyen las nóminas adicionales de regalía de pensionados inactivos.</t>
  </si>
  <si>
    <t>Direccion General de Jubilaciones y Pensiones a Cargo del Estado</t>
  </si>
  <si>
    <t>Reintegro de Cheques</t>
  </si>
  <si>
    <t>Estadíticas Trimestre Abril-Junio</t>
  </si>
  <si>
    <t>Año 2021</t>
  </si>
  <si>
    <t>DGJP</t>
  </si>
  <si>
    <t>Cantidad 
de Cheques</t>
  </si>
  <si>
    <t xml:space="preserve"> *Estos totales incluyen las nóminas adicionales de regalía de pensionados inactivos.</t>
  </si>
  <si>
    <t>Fuente: SIJUPEN</t>
  </si>
  <si>
    <t>Créditos Rechazados</t>
  </si>
  <si>
    <t>Estadíticas Trimestre Enero-Marzo</t>
  </si>
  <si>
    <t xml:space="preserve">Cantidad 
</t>
  </si>
  <si>
    <t>Recuperación de Fondos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</si>
  <si>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</si>
  <si>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</si>
  <si>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</si>
  <si>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</si>
  <si>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</si>
  <si>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% Recuperado</t>
  </si>
  <si>
    <t>Dirección de Servicios y Trámite de Pensiones</t>
  </si>
  <si>
    <t>Gestión de Servicios a Pensionados</t>
  </si>
  <si>
    <t>Solicitudes Recibidas</t>
  </si>
  <si>
    <t xml:space="preserve">Descripción </t>
  </si>
  <si>
    <t>Recibidas</t>
  </si>
  <si>
    <t>Procesadas</t>
  </si>
  <si>
    <t>% Eficiencia</t>
  </si>
  <si>
    <t>Modificación Datos Críticos</t>
  </si>
  <si>
    <t>Pensión por sobrevivencia</t>
  </si>
  <si>
    <t>Registro de Poderes</t>
  </si>
  <si>
    <t>Solicitud Aplicación/Suspensión de Descuento 2%</t>
  </si>
  <si>
    <t>Solicitud Pago Único Compensatorio</t>
  </si>
  <si>
    <t>Solicitud Pensión</t>
  </si>
  <si>
    <t>Solicitud Re-activación/Re-inclusión Pensión</t>
  </si>
  <si>
    <t>Solicitud Traspaso</t>
  </si>
  <si>
    <t>Solicitud de Exclusión</t>
  </si>
  <si>
    <t>Solicitud de Inclusión a Nómina</t>
  </si>
  <si>
    <t>Solicitud de Reajuste de Pensión</t>
  </si>
  <si>
    <t>Solicitud de Reclamación de Deuda</t>
  </si>
  <si>
    <t>Solicitud de actualización de datos  Pensionados</t>
  </si>
  <si>
    <t>Total: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</si>
  <si>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SJP, Division de Atencion al Publico</t>
    </r>
  </si>
  <si>
    <t>Cantidad de Tramites Procesados</t>
  </si>
  <si>
    <t>Aplicación Descuento 2%</t>
  </si>
  <si>
    <t>Pensión por Sobrevivencia Concubin@</t>
  </si>
  <si>
    <t>Pensión por Sobrevivencia Conyuge</t>
  </si>
  <si>
    <t>Pensión por Sobrevivencia Menor</t>
  </si>
  <si>
    <t>Pensión por Sobrevivencia Padre/Madre</t>
  </si>
  <si>
    <t>Pensión por Sobrevivencia Estudiante PN</t>
  </si>
  <si>
    <t>Pensión por Sobrevivencia Hijo Discapacitado PN</t>
  </si>
  <si>
    <t>Reactivación</t>
  </si>
  <si>
    <t xml:space="preserve">Reembolso </t>
  </si>
  <si>
    <t>Reinclusión</t>
  </si>
  <si>
    <t xml:space="preserve">Retroactivo </t>
  </si>
  <si>
    <t>Retroactivo Interno</t>
  </si>
  <si>
    <t>Solicitud Inclusión a Nómina</t>
  </si>
  <si>
    <t>Suspensión Descuento 2%</t>
  </si>
  <si>
    <t>Solicitud Modificación Monto Pensión</t>
  </si>
  <si>
    <t xml:space="preserve">IDSS </t>
  </si>
  <si>
    <t>Convenio España-RD</t>
  </si>
  <si>
    <t xml:space="preserve">Solicitud de Pensión </t>
  </si>
  <si>
    <t>Reajuste de Pensión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</si>
  <si>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SJP,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Departamento de Trámite de Pensiones</t>
    </r>
  </si>
  <si>
    <t>Solicitudes Recibidas y otorgadas Autoseguro</t>
  </si>
  <si>
    <t>Otorgadas</t>
  </si>
  <si>
    <t>Sobrevivencia Civil</t>
  </si>
  <si>
    <t>Sobrevivencia Policía Nacional</t>
  </si>
  <si>
    <t>Discapacidad Civil</t>
  </si>
  <si>
    <t>Discapacidad Policía Nacional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</si>
  <si>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Departamento de Autoseguro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</si>
</sst>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  <numFmt numFmtId="169" formatCode="#,##0.0"/>
    <numFmt numFmtId="170" formatCode="#,##0.0_);\(#,##0.0\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rgb="FF000000"/>
      <name val="Arial"/>
    </font>
    <font>
      <sz val="9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73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Alignment="1">
      <alignment horizontal="center" vertical="center"/>
    </xf>
    <xf numFmtId="9" fontId="7" fillId="7" borderId="0" xfId="0" applyNumberFormat="1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  <protection locked="0"/>
    </xf>
    <xf numFmtId="165" fontId="6" fillId="7" borderId="0" xfId="0" applyNumberFormat="1" applyFont="1" applyFill="1" applyAlignment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Alignment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3" fillId="0" borderId="0" xfId="0" applyNumberFormat="1" applyFont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center" vertical="top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3" fillId="0" borderId="0" xfId="2" applyFont="1" applyFill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6" fillId="10" borderId="0" xfId="0" applyFont="1" applyFill="1" applyAlignment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 vertical="top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Alignment="1">
      <alignment horizontal="center" vertical="center"/>
    </xf>
    <xf numFmtId="3" fontId="17" fillId="7" borderId="0" xfId="0" applyNumberFormat="1" applyFont="1" applyFill="1" applyAlignment="1">
      <alignment horizontal="center" vertical="center"/>
    </xf>
    <xf numFmtId="165" fontId="0" fillId="12" borderId="0" xfId="0" applyNumberFormat="1" applyFill="1" applyProtection="1">
      <protection locked="0"/>
    </xf>
    <xf numFmtId="0" fontId="0" fillId="13" borderId="0" xfId="0" applyFill="1" applyProtection="1">
      <protection locked="0"/>
    </xf>
    <xf numFmtId="10" fontId="0" fillId="0" borderId="0" xfId="1" applyNumberFormat="1" applyFo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5" borderId="0" xfId="0" applyFont="1" applyFill="1" applyAlignment="1">
      <alignment horizontal="left" vertic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14" fontId="0" fillId="0" borderId="0" xfId="0" applyNumberFormat="1"/>
    <xf numFmtId="167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43" fontId="0" fillId="0" borderId="0" xfId="2" applyFont="1" applyProtection="1">
      <protection locked="0"/>
    </xf>
    <xf numFmtId="165" fontId="4" fillId="0" borderId="0" xfId="2" applyNumberFormat="1" applyFont="1" applyBorder="1" applyAlignment="1" applyProtection="1">
      <alignment horizontal="center"/>
    </xf>
    <xf numFmtId="165" fontId="22" fillId="0" borderId="0" xfId="2" applyNumberFormat="1" applyFont="1" applyFill="1" applyBorder="1" applyAlignment="1" applyProtection="1">
      <alignment horizontal="center" vertic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Alignment="1">
      <alignment vertical="center"/>
    </xf>
    <xf numFmtId="0" fontId="25" fillId="0" borderId="0" xfId="0" applyFont="1"/>
    <xf numFmtId="0" fontId="14" fillId="0" borderId="0" xfId="0" applyFont="1"/>
    <xf numFmtId="3" fontId="0" fillId="0" borderId="0" xfId="0" applyNumberFormat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2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9" fontId="0" fillId="0" borderId="0" xfId="1" applyFont="1" applyProtection="1"/>
    <xf numFmtId="0" fontId="20" fillId="0" borderId="0" xfId="0" applyFont="1"/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 horizont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65" fontId="0" fillId="0" borderId="0" xfId="0" applyNumberFormat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3" fontId="4" fillId="0" borderId="0" xfId="2" applyNumberFormat="1" applyFont="1" applyBorder="1" applyAlignment="1" applyProtection="1"/>
    <xf numFmtId="0" fontId="9" fillId="5" borderId="0" xfId="0" applyFont="1" applyFill="1"/>
    <xf numFmtId="0" fontId="4" fillId="0" borderId="0" xfId="0" applyFont="1" applyAlignment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26" fillId="14" borderId="0" xfId="0" applyFont="1" applyFill="1" applyProtection="1">
      <protection locked="0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Alignment="1">
      <alignment vertical="center"/>
    </xf>
    <xf numFmtId="0" fontId="4" fillId="14" borderId="0" xfId="0" applyFont="1" applyFill="1" applyAlignment="1">
      <alignment horizontal="left" vertical="center"/>
    </xf>
    <xf numFmtId="165" fontId="3" fillId="14" borderId="0" xfId="0" applyNumberFormat="1" applyFont="1" applyFill="1" applyAlignment="1">
      <alignment horizontal="center" vertical="center" wrapText="1"/>
    </xf>
    <xf numFmtId="43" fontId="3" fillId="14" borderId="0" xfId="0" applyNumberFormat="1" applyFont="1" applyFill="1" applyAlignment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9" fontId="0" fillId="0" borderId="0" xfId="0" applyNumberFormat="1" applyProtection="1">
      <protection locked="0"/>
    </xf>
    <xf numFmtId="0" fontId="0" fillId="14" borderId="0" xfId="0" applyFill="1"/>
    <xf numFmtId="3" fontId="4" fillId="0" borderId="0" xfId="2" applyNumberFormat="1" applyFont="1" applyBorder="1" applyAlignment="1" applyProtection="1">
      <alignment horizontal="right"/>
      <protection locked="0"/>
    </xf>
    <xf numFmtId="0" fontId="4" fillId="14" borderId="0" xfId="0" applyFont="1" applyFill="1"/>
    <xf numFmtId="0" fontId="14" fillId="14" borderId="0" xfId="0" applyFont="1" applyFill="1"/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Alignment="1">
      <alignment horizontal="right"/>
    </xf>
    <xf numFmtId="0" fontId="21" fillId="14" borderId="0" xfId="0" applyFont="1" applyFill="1"/>
    <xf numFmtId="0" fontId="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27" fillId="7" borderId="0" xfId="0" applyFont="1" applyFill="1" applyAlignment="1">
      <alignment horizontal="left" vertical="center" wrapText="1"/>
    </xf>
    <xf numFmtId="3" fontId="4" fillId="0" borderId="0" xfId="0" applyNumberFormat="1" applyFont="1" applyAlignment="1" applyProtection="1">
      <alignment horizontal="center"/>
      <protection locked="0"/>
    </xf>
    <xf numFmtId="165" fontId="4" fillId="0" borderId="0" xfId="2" applyNumberFormat="1" applyFont="1" applyBorder="1" applyAlignment="1" applyProtection="1"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0" fontId="29" fillId="0" borderId="0" xfId="0" applyFont="1"/>
    <xf numFmtId="165" fontId="32" fillId="0" borderId="0" xfId="0" applyNumberFormat="1" applyFont="1" applyProtection="1">
      <protection locked="0"/>
    </xf>
    <xf numFmtId="3" fontId="16" fillId="7" borderId="0" xfId="0" applyNumberFormat="1" applyFont="1" applyFill="1" applyAlignment="1">
      <alignment horizontal="center" vertical="center"/>
    </xf>
    <xf numFmtId="3" fontId="24" fillId="14" borderId="0" xfId="0" applyNumberFormat="1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6" fillId="7" borderId="0" xfId="2" applyNumberFormat="1" applyFont="1" applyFill="1" applyAlignment="1">
      <alignment horizontal="right" vertical="center"/>
    </xf>
    <xf numFmtId="9" fontId="22" fillId="0" borderId="0" xfId="1" applyFont="1" applyFill="1" applyBorder="1" applyAlignment="1" applyProtection="1">
      <alignment horizontal="center" vertical="center" wrapText="1"/>
    </xf>
    <xf numFmtId="9" fontId="17" fillId="7" borderId="0" xfId="1" applyFont="1" applyFill="1" applyBorder="1" applyAlignment="1" applyProtection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left"/>
    </xf>
    <xf numFmtId="3" fontId="0" fillId="14" borderId="0" xfId="0" applyNumberFormat="1" applyFill="1" applyAlignment="1">
      <alignment horizontal="center"/>
    </xf>
    <xf numFmtId="164" fontId="0" fillId="14" borderId="0" xfId="1" applyNumberFormat="1" applyFont="1" applyFill="1" applyBorder="1" applyAlignment="1" applyProtection="1">
      <alignment horizontal="center"/>
    </xf>
    <xf numFmtId="10" fontId="0" fillId="14" borderId="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0" fontId="10" fillId="0" borderId="0" xfId="0" applyFont="1"/>
    <xf numFmtId="0" fontId="21" fillId="0" borderId="0" xfId="0" applyFont="1" applyAlignment="1">
      <alignment wrapText="1"/>
    </xf>
    <xf numFmtId="0" fontId="2" fillId="5" borderId="0" xfId="0" applyFont="1" applyFill="1" applyAlignment="1">
      <alignment horizontal="center"/>
    </xf>
    <xf numFmtId="1" fontId="4" fillId="0" borderId="0" xfId="2" applyNumberFormat="1" applyFont="1" applyBorder="1" applyAlignment="1" applyProtection="1">
      <alignment horizontal="center"/>
      <protection locked="0"/>
    </xf>
    <xf numFmtId="168" fontId="5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165" fontId="3" fillId="0" borderId="0" xfId="2" applyNumberFormat="1" applyFont="1" applyFill="1" applyAlignment="1">
      <alignment horizontal="center" vertical="center" wrapText="1"/>
    </xf>
    <xf numFmtId="165" fontId="4" fillId="0" borderId="0" xfId="2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9" fontId="0" fillId="0" borderId="0" xfId="1" applyFont="1" applyFill="1" applyBorder="1" applyAlignment="1" applyProtection="1">
      <alignment horizontal="right" vertical="center"/>
    </xf>
    <xf numFmtId="165" fontId="3" fillId="0" borderId="0" xfId="2" applyNumberFormat="1" applyFont="1" applyFill="1" applyAlignment="1">
      <alignment horizontal="right" vertical="center" wrapText="1"/>
    </xf>
    <xf numFmtId="3" fontId="24" fillId="0" borderId="0" xfId="0" applyNumberFormat="1" applyFont="1" applyAlignment="1">
      <alignment horizontal="right" vertical="center"/>
    </xf>
    <xf numFmtId="3" fontId="16" fillId="7" borderId="0" xfId="0" applyNumberFormat="1" applyFont="1" applyFill="1" applyAlignment="1">
      <alignment horizontal="right" vertical="center"/>
    </xf>
    <xf numFmtId="9" fontId="16" fillId="7" borderId="0" xfId="1" applyFont="1" applyFill="1" applyBorder="1" applyAlignment="1" applyProtection="1">
      <alignment horizontal="right" vertical="center"/>
    </xf>
    <xf numFmtId="3" fontId="7" fillId="7" borderId="0" xfId="0" applyNumberFormat="1" applyFont="1" applyFill="1" applyAlignment="1">
      <alignment horizontal="center" vertical="center"/>
    </xf>
    <xf numFmtId="3" fontId="32" fillId="7" borderId="0" xfId="0" applyNumberFormat="1" applyFont="1" applyFill="1" applyAlignment="1">
      <alignment horizontal="center" vertical="center"/>
    </xf>
    <xf numFmtId="9" fontId="35" fillId="7" borderId="0" xfId="1" applyFont="1" applyFill="1" applyBorder="1" applyAlignment="1" applyProtection="1">
      <alignment horizontal="center" vertical="center"/>
    </xf>
    <xf numFmtId="43" fontId="0" fillId="0" borderId="0" xfId="2" applyFont="1"/>
    <xf numFmtId="0" fontId="7" fillId="7" borderId="0" xfId="0" applyFont="1" applyFill="1" applyAlignment="1">
      <alignment horizontal="left" vertical="center"/>
    </xf>
    <xf numFmtId="0" fontId="35" fillId="7" borderId="0" xfId="0" applyFont="1" applyFill="1" applyAlignment="1">
      <alignment horizontal="left" vertical="center"/>
    </xf>
    <xf numFmtId="3" fontId="35" fillId="7" borderId="0" xfId="0" applyNumberFormat="1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9" fontId="2" fillId="17" borderId="0" xfId="1" applyFont="1" applyFill="1" applyAlignment="1" applyProtection="1">
      <alignment horizontal="center" vertical="center"/>
    </xf>
    <xf numFmtId="0" fontId="35" fillId="15" borderId="0" xfId="0" applyFont="1" applyFill="1" applyAlignment="1">
      <alignment horizontal="center" vertical="center" wrapText="1"/>
    </xf>
    <xf numFmtId="3" fontId="35" fillId="15" borderId="0" xfId="0" applyNumberFormat="1" applyFont="1" applyFill="1" applyAlignment="1">
      <alignment horizontal="center" vertical="center" wrapText="1"/>
    </xf>
    <xf numFmtId="0" fontId="7" fillId="17" borderId="0" xfId="0" applyFont="1" applyFill="1" applyAlignment="1">
      <alignment horizontal="left" vertical="center" wrapText="1"/>
    </xf>
    <xf numFmtId="3" fontId="7" fillId="17" borderId="0" xfId="0" applyNumberFormat="1" applyFont="1" applyFill="1" applyAlignment="1">
      <alignment horizontal="center" vertical="center" wrapText="1"/>
    </xf>
    <xf numFmtId="9" fontId="17" fillId="17" borderId="0" xfId="1" applyFont="1" applyFill="1" applyBorder="1" applyAlignment="1" applyProtection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7" fillId="7" borderId="0" xfId="0" applyNumberFormat="1" applyFont="1" applyFill="1" applyAlignment="1">
      <alignment horizontal="right" vertical="center"/>
    </xf>
    <xf numFmtId="165" fontId="1" fillId="0" borderId="0" xfId="2" applyNumberFormat="1" applyFont="1" applyAlignment="1" applyProtection="1">
      <alignment horizontal="right" vertical="center"/>
      <protection locked="0"/>
    </xf>
    <xf numFmtId="0" fontId="6" fillId="15" borderId="0" xfId="0" applyFont="1" applyFill="1" applyAlignment="1">
      <alignment horizontal="left" vertical="center" wrapText="1"/>
    </xf>
    <xf numFmtId="3" fontId="2" fillId="15" borderId="0" xfId="0" applyNumberFormat="1" applyFont="1" applyFill="1" applyAlignment="1">
      <alignment horizontal="center"/>
    </xf>
    <xf numFmtId="165" fontId="2" fillId="15" borderId="0" xfId="0" applyNumberFormat="1" applyFont="1" applyFill="1"/>
    <xf numFmtId="0" fontId="36" fillId="0" borderId="0" xfId="0" applyFont="1" applyProtection="1">
      <protection locked="0"/>
    </xf>
    <xf numFmtId="9" fontId="2" fillId="12" borderId="0" xfId="1" applyFont="1" applyFill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43" fontId="3" fillId="0" borderId="0" xfId="2" applyFont="1" applyFill="1" applyBorder="1" applyAlignment="1" applyProtection="1">
      <alignment horizontal="center"/>
      <protection locked="0"/>
    </xf>
    <xf numFmtId="43" fontId="12" fillId="10" borderId="0" xfId="2" applyFont="1" applyFill="1" applyBorder="1" applyAlignment="1" applyProtection="1">
      <alignment horizontal="center"/>
      <protection locked="0"/>
    </xf>
    <xf numFmtId="1" fontId="4" fillId="0" borderId="0" xfId="2" applyNumberFormat="1" applyFont="1" applyBorder="1" applyAlignment="1" applyProtection="1">
      <protection locked="0"/>
    </xf>
    <xf numFmtId="1" fontId="4" fillId="0" borderId="0" xfId="2" applyNumberFormat="1" applyFont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3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vertical="center"/>
      <protection locked="0"/>
    </xf>
    <xf numFmtId="3" fontId="3" fillId="10" borderId="0" xfId="2" applyNumberFormat="1" applyFont="1" applyFill="1" applyBorder="1" applyAlignment="1" applyProtection="1">
      <alignment horizontal="center"/>
    </xf>
    <xf numFmtId="37" fontId="12" fillId="10" borderId="0" xfId="2" applyNumberFormat="1" applyFont="1" applyFill="1" applyBorder="1" applyAlignment="1" applyProtection="1">
      <alignment horizontal="center"/>
      <protection locked="0"/>
    </xf>
    <xf numFmtId="37" fontId="4" fillId="0" borderId="0" xfId="2" applyNumberFormat="1" applyFont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0" fontId="2" fillId="12" borderId="0" xfId="1" applyNumberFormat="1" applyFont="1" applyFill="1" applyAlignment="1">
      <alignment horizontal="center"/>
    </xf>
    <xf numFmtId="9" fontId="2" fillId="0" borderId="0" xfId="1" applyFont="1" applyAlignment="1">
      <alignment horizontal="center"/>
    </xf>
    <xf numFmtId="3" fontId="4" fillId="14" borderId="0" xfId="0" applyNumberFormat="1" applyFont="1" applyFill="1" applyAlignment="1">
      <alignment horizontal="center"/>
    </xf>
    <xf numFmtId="0" fontId="3" fillId="5" borderId="0" xfId="0" applyFont="1" applyFill="1" applyAlignment="1">
      <alignment vertical="center"/>
    </xf>
    <xf numFmtId="165" fontId="3" fillId="7" borderId="0" xfId="2" applyNumberFormat="1" applyFont="1" applyFill="1" applyAlignment="1">
      <alignment horizontal="center" vertical="center" wrapText="1"/>
    </xf>
    <xf numFmtId="165" fontId="3" fillId="7" borderId="0" xfId="2" applyNumberFormat="1" applyFont="1" applyFill="1" applyAlignment="1">
      <alignment horizontal="left" vertical="center" wrapText="1"/>
    </xf>
    <xf numFmtId="9" fontId="3" fillId="7" borderId="0" xfId="1" applyFont="1" applyFill="1" applyAlignment="1">
      <alignment horizontal="center" vertical="center" wrapText="1"/>
    </xf>
    <xf numFmtId="9" fontId="0" fillId="0" borderId="9" xfId="1" applyFont="1" applyBorder="1" applyProtection="1">
      <protection locked="0"/>
    </xf>
    <xf numFmtId="3" fontId="35" fillId="0" borderId="0" xfId="0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3" fontId="2" fillId="0" borderId="0" xfId="0" applyNumberFormat="1" applyFont="1" applyAlignment="1" applyProtection="1">
      <alignment horizontal="center"/>
      <protection locked="0"/>
    </xf>
    <xf numFmtId="9" fontId="16" fillId="7" borderId="0" xfId="1" applyFont="1" applyFill="1" applyBorder="1" applyAlignment="1" applyProtection="1">
      <alignment horizontal="center" vertical="center"/>
    </xf>
    <xf numFmtId="164" fontId="2" fillId="0" borderId="0" xfId="1" applyNumberFormat="1" applyFont="1" applyAlignment="1" applyProtection="1">
      <alignment horizontal="center" vertical="center"/>
    </xf>
    <xf numFmtId="9" fontId="4" fillId="0" borderId="0" xfId="1" applyFont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165" fontId="21" fillId="0" borderId="0" xfId="2" applyNumberFormat="1" applyFont="1" applyBorder="1" applyAlignment="1" applyProtection="1">
      <alignment horizontal="center"/>
      <protection locked="0"/>
    </xf>
    <xf numFmtId="165" fontId="38" fillId="0" borderId="0" xfId="2" applyNumberFormat="1" applyFont="1" applyBorder="1" applyAlignment="1" applyProtection="1">
      <alignment horizontal="center"/>
      <protection locked="0"/>
    </xf>
    <xf numFmtId="165" fontId="23" fillId="14" borderId="0" xfId="0" applyNumberFormat="1" applyFont="1" applyFill="1" applyAlignment="1">
      <alignment horizontal="center" vertical="center" wrapText="1"/>
    </xf>
    <xf numFmtId="165" fontId="21" fillId="7" borderId="0" xfId="2" applyNumberFormat="1" applyFont="1" applyFill="1" applyBorder="1" applyAlignment="1" applyProtection="1">
      <alignment horizontal="center" vertical="center"/>
      <protection locked="0"/>
    </xf>
    <xf numFmtId="165" fontId="21" fillId="10" borderId="0" xfId="2" applyNumberFormat="1" applyFont="1" applyFill="1" applyBorder="1" applyAlignment="1" applyProtection="1">
      <alignment horizontal="center" vertical="center"/>
      <protection locked="0"/>
    </xf>
    <xf numFmtId="43" fontId="21" fillId="10" borderId="0" xfId="2" applyFont="1" applyFill="1" applyBorder="1" applyAlignment="1" applyProtection="1">
      <alignment horizontal="center" vertical="center"/>
      <protection locked="0"/>
    </xf>
    <xf numFmtId="165" fontId="21" fillId="19" borderId="0" xfId="2" applyNumberFormat="1" applyFont="1" applyFill="1" applyBorder="1" applyAlignment="1" applyProtection="1">
      <alignment horizontal="center" vertical="center"/>
      <protection locked="0"/>
    </xf>
    <xf numFmtId="43" fontId="21" fillId="19" borderId="0" xfId="2" applyFont="1" applyFill="1" applyBorder="1" applyAlignment="1" applyProtection="1">
      <alignment horizontal="center" vertical="center"/>
      <protection locked="0"/>
    </xf>
    <xf numFmtId="0" fontId="33" fillId="18" borderId="0" xfId="0" applyFont="1" applyFill="1" applyAlignment="1">
      <alignment horizontal="center" vertical="center"/>
    </xf>
    <xf numFmtId="37" fontId="33" fillId="18" borderId="0" xfId="2" applyNumberFormat="1" applyFont="1" applyFill="1" applyBorder="1" applyAlignment="1" applyProtection="1">
      <alignment horizontal="center" vertical="center"/>
      <protection locked="0"/>
    </xf>
    <xf numFmtId="43" fontId="33" fillId="18" borderId="0" xfId="2" applyFont="1" applyFill="1" applyBorder="1" applyAlignment="1" applyProtection="1">
      <alignment horizontal="center" vertical="center"/>
      <protection locked="0"/>
    </xf>
    <xf numFmtId="165" fontId="14" fillId="0" borderId="0" xfId="2" applyNumberFormat="1" applyFont="1" applyBorder="1" applyAlignment="1" applyProtection="1">
      <protection locked="0"/>
    </xf>
    <xf numFmtId="165" fontId="14" fillId="0" borderId="0" xfId="2" applyNumberFormat="1" applyFont="1" applyBorder="1" applyAlignment="1" applyProtection="1">
      <alignment horizontal="center"/>
      <protection locked="0"/>
    </xf>
    <xf numFmtId="43" fontId="38" fillId="0" borderId="0" xfId="2" applyFont="1" applyBorder="1" applyAlignment="1" applyProtection="1">
      <alignment horizontal="center"/>
      <protection locked="0"/>
    </xf>
    <xf numFmtId="165" fontId="15" fillId="0" borderId="0" xfId="2" applyNumberFormat="1" applyFont="1" applyFill="1" applyBorder="1" applyAlignment="1" applyProtection="1">
      <alignment horizontal="center"/>
    </xf>
    <xf numFmtId="165" fontId="15" fillId="0" borderId="0" xfId="2" applyNumberFormat="1" applyFont="1" applyFill="1" applyBorder="1" applyAlignment="1" applyProtection="1">
      <alignment horizontal="center" vertical="center"/>
    </xf>
    <xf numFmtId="165" fontId="14" fillId="0" borderId="0" xfId="2" applyNumberFormat="1" applyFont="1" applyBorder="1" applyAlignment="1" applyProtection="1">
      <alignment horizontal="center" vertical="center"/>
      <protection locked="0"/>
    </xf>
    <xf numFmtId="165" fontId="23" fillId="0" borderId="0" xfId="2" applyNumberFormat="1" applyFont="1" applyFill="1" applyBorder="1" applyAlignment="1" applyProtection="1">
      <alignment horizontal="center"/>
    </xf>
    <xf numFmtId="0" fontId="39" fillId="7" borderId="0" xfId="0" applyFont="1" applyFill="1" applyAlignment="1">
      <alignment horizontal="left" vertical="center"/>
    </xf>
    <xf numFmtId="165" fontId="37" fillId="7" borderId="0" xfId="2" applyNumberFormat="1" applyFont="1" applyFill="1" applyBorder="1" applyAlignment="1" applyProtection="1">
      <alignment horizontal="center"/>
    </xf>
    <xf numFmtId="165" fontId="40" fillId="7" borderId="0" xfId="2" applyNumberFormat="1" applyFont="1" applyFill="1" applyBorder="1" applyAlignment="1" applyProtection="1">
      <alignment horizontal="center"/>
    </xf>
    <xf numFmtId="165" fontId="14" fillId="0" borderId="0" xfId="2" applyNumberFormat="1" applyFont="1" applyBorder="1" applyAlignment="1" applyProtection="1"/>
    <xf numFmtId="165" fontId="14" fillId="0" borderId="0" xfId="2" applyNumberFormat="1" applyFont="1" applyBorder="1" applyAlignment="1" applyProtection="1">
      <alignment horizontal="center"/>
    </xf>
    <xf numFmtId="165" fontId="14" fillId="0" borderId="0" xfId="2" applyNumberFormat="1" applyFont="1" applyBorder="1" applyAlignment="1" applyProtection="1">
      <alignment horizontal="center" vertical="center"/>
    </xf>
    <xf numFmtId="165" fontId="37" fillId="7" borderId="0" xfId="2" applyNumberFormat="1" applyFont="1" applyFill="1" applyBorder="1" applyAlignment="1" applyProtection="1">
      <alignment horizontal="center" vertical="center"/>
    </xf>
    <xf numFmtId="0" fontId="39" fillId="10" borderId="0" xfId="0" applyFont="1" applyFill="1" applyAlignment="1">
      <alignment horizontal="left" vertical="center" wrapText="1"/>
    </xf>
    <xf numFmtId="165" fontId="37" fillId="10" borderId="0" xfId="2" applyNumberFormat="1" applyFont="1" applyFill="1" applyBorder="1" applyAlignment="1" applyProtection="1">
      <alignment horizontal="center"/>
    </xf>
    <xf numFmtId="165" fontId="37" fillId="10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9" fontId="15" fillId="0" borderId="0" xfId="1" applyFont="1" applyAlignment="1" applyProtection="1">
      <alignment horizontal="center"/>
    </xf>
    <xf numFmtId="0" fontId="15" fillId="0" borderId="0" xfId="0" applyFont="1" applyAlignment="1">
      <alignment horizontal="center"/>
    </xf>
    <xf numFmtId="10" fontId="15" fillId="12" borderId="0" xfId="1" applyNumberFormat="1" applyFont="1" applyFill="1" applyAlignment="1" applyProtection="1">
      <alignment horizontal="center"/>
    </xf>
    <xf numFmtId="43" fontId="14" fillId="0" borderId="0" xfId="2" applyFont="1"/>
    <xf numFmtId="165" fontId="14" fillId="0" borderId="0" xfId="0" applyNumberFormat="1" applyFont="1"/>
    <xf numFmtId="9" fontId="15" fillId="12" borderId="0" xfId="1" applyFont="1" applyFill="1" applyAlignment="1">
      <alignment horizontal="center"/>
    </xf>
    <xf numFmtId="165" fontId="23" fillId="15" borderId="0" xfId="2" applyNumberFormat="1" applyFont="1" applyFill="1" applyAlignment="1">
      <alignment horizontal="center" vertical="center" wrapText="1"/>
    </xf>
    <xf numFmtId="43" fontId="23" fillId="15" borderId="0" xfId="2" applyFont="1" applyFill="1" applyAlignment="1">
      <alignment horizontal="center" vertical="center" wrapText="1"/>
    </xf>
    <xf numFmtId="43" fontId="21" fillId="7" borderId="0" xfId="2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8" fontId="3" fillId="10" borderId="0" xfId="2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168" fontId="4" fillId="0" borderId="0" xfId="2" applyNumberFormat="1" applyFont="1" applyBorder="1" applyAlignment="1" applyProtection="1">
      <alignment horizontal="center"/>
      <protection locked="0"/>
    </xf>
    <xf numFmtId="4" fontId="3" fillId="10" borderId="0" xfId="2" applyNumberFormat="1" applyFont="1" applyFill="1" applyBorder="1" applyAlignment="1" applyProtection="1">
      <alignment horizontal="center"/>
    </xf>
    <xf numFmtId="0" fontId="4" fillId="10" borderId="0" xfId="0" applyFont="1" applyFill="1" applyProtection="1">
      <protection locked="0"/>
    </xf>
    <xf numFmtId="9" fontId="3" fillId="12" borderId="0" xfId="1" applyFont="1" applyFill="1" applyAlignment="1" applyProtection="1">
      <alignment horizontal="center"/>
      <protection locked="0"/>
    </xf>
    <xf numFmtId="9" fontId="3" fillId="0" borderId="0" xfId="1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43" fontId="14" fillId="0" borderId="0" xfId="2" applyFont="1" applyBorder="1" applyAlignment="1" applyProtection="1">
      <alignment horizontal="center" vertical="center"/>
      <protection locked="0"/>
    </xf>
    <xf numFmtId="0" fontId="18" fillId="7" borderId="0" xfId="0" applyFont="1" applyFill="1" applyAlignment="1">
      <alignment horizontal="center" vertical="center"/>
    </xf>
    <xf numFmtId="3" fontId="18" fillId="7" borderId="0" xfId="0" applyNumberFormat="1" applyFont="1" applyFill="1" applyAlignment="1">
      <alignment horizontal="center" vertical="center"/>
    </xf>
    <xf numFmtId="168" fontId="14" fillId="0" borderId="0" xfId="2" applyNumberFormat="1" applyFont="1" applyBorder="1" applyAlignment="1" applyProtection="1">
      <alignment horizontal="center" vertical="center"/>
      <protection locked="0"/>
    </xf>
    <xf numFmtId="168" fontId="18" fillId="7" borderId="0" xfId="0" applyNumberFormat="1" applyFont="1" applyFill="1" applyAlignment="1">
      <alignment horizontal="center" vertical="center"/>
    </xf>
    <xf numFmtId="168" fontId="23" fillId="7" borderId="0" xfId="0" applyNumberFormat="1" applyFont="1" applyFill="1" applyAlignment="1">
      <alignment horizontal="center" vertical="center"/>
    </xf>
    <xf numFmtId="169" fontId="18" fillId="7" borderId="0" xfId="0" applyNumberFormat="1" applyFont="1" applyFill="1" applyAlignment="1">
      <alignment horizontal="center" vertical="center"/>
    </xf>
    <xf numFmtId="165" fontId="21" fillId="0" borderId="0" xfId="2" applyNumberFormat="1" applyFont="1" applyBorder="1" applyAlignment="1" applyProtection="1">
      <alignment horizontal="center" vertical="center"/>
      <protection locked="0"/>
    </xf>
    <xf numFmtId="43" fontId="14" fillId="0" borderId="0" xfId="2" applyFont="1" applyBorder="1" applyAlignment="1" applyProtection="1">
      <alignment horizontal="center" vertical="center"/>
    </xf>
    <xf numFmtId="39" fontId="14" fillId="0" borderId="0" xfId="2" applyNumberFormat="1" applyFont="1" applyBorder="1" applyAlignment="1" applyProtection="1">
      <alignment horizontal="center" vertical="center"/>
      <protection locked="0"/>
    </xf>
    <xf numFmtId="37" fontId="14" fillId="0" borderId="0" xfId="2" applyNumberFormat="1" applyFont="1" applyBorder="1" applyAlignment="1" applyProtection="1">
      <alignment horizontal="center" vertical="center"/>
      <protection locked="0"/>
    </xf>
    <xf numFmtId="170" fontId="14" fillId="0" borderId="0" xfId="2" applyNumberFormat="1" applyFont="1" applyBorder="1" applyAlignment="1" applyProtection="1">
      <alignment horizontal="right" vertical="center"/>
      <protection locked="0"/>
    </xf>
    <xf numFmtId="39" fontId="14" fillId="0" borderId="0" xfId="2" applyNumberFormat="1" applyFont="1" applyBorder="1" applyAlignment="1" applyProtection="1">
      <alignment horizontal="right" vertical="center"/>
      <protection locked="0"/>
    </xf>
    <xf numFmtId="37" fontId="15" fillId="10" borderId="0" xfId="2" applyNumberFormat="1" applyFont="1" applyFill="1" applyBorder="1" applyAlignment="1" applyProtection="1">
      <alignment horizontal="center" vertical="center"/>
      <protection locked="0"/>
    </xf>
    <xf numFmtId="170" fontId="15" fillId="10" borderId="0" xfId="2" applyNumberFormat="1" applyFont="1" applyFill="1" applyBorder="1" applyAlignment="1" applyProtection="1">
      <alignment horizontal="right" vertical="center"/>
      <protection locked="0"/>
    </xf>
    <xf numFmtId="37" fontId="14" fillId="0" borderId="0" xfId="2" applyNumberFormat="1" applyFont="1" applyBorder="1" applyAlignment="1" applyProtection="1">
      <alignment horizontal="right" vertical="center"/>
      <protection locked="0"/>
    </xf>
    <xf numFmtId="165" fontId="14" fillId="0" borderId="0" xfId="2" applyNumberFormat="1" applyFont="1" applyBorder="1" applyAlignment="1" applyProtection="1">
      <alignment vertical="center"/>
      <protection locked="0"/>
    </xf>
    <xf numFmtId="165" fontId="37" fillId="7" borderId="0" xfId="2" applyNumberFormat="1" applyFont="1" applyFill="1" applyBorder="1" applyAlignment="1" applyProtection="1">
      <alignment vertical="center"/>
    </xf>
    <xf numFmtId="37" fontId="37" fillId="7" borderId="0" xfId="2" applyNumberFormat="1" applyFont="1" applyFill="1" applyBorder="1" applyAlignment="1" applyProtection="1">
      <alignment horizontal="right" vertical="center"/>
    </xf>
    <xf numFmtId="39" fontId="14" fillId="0" borderId="0" xfId="2" applyNumberFormat="1" applyFont="1" applyBorder="1" applyAlignment="1" applyProtection="1">
      <alignment horizontal="center" vertical="center"/>
    </xf>
    <xf numFmtId="165" fontId="37" fillId="10" borderId="0" xfId="2" applyNumberFormat="1" applyFont="1" applyFill="1" applyBorder="1" applyAlignment="1" applyProtection="1">
      <alignment vertical="center"/>
    </xf>
    <xf numFmtId="37" fontId="37" fillId="10" borderId="0" xfId="2" applyNumberFormat="1" applyFont="1" applyFill="1" applyBorder="1" applyAlignment="1" applyProtection="1">
      <alignment horizontal="right" vertical="center"/>
    </xf>
    <xf numFmtId="0" fontId="15" fillId="15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/>
    </xf>
    <xf numFmtId="9" fontId="15" fillId="9" borderId="0" xfId="1" applyFont="1" applyFill="1" applyBorder="1" applyAlignment="1" applyProtection="1">
      <alignment horizontal="center"/>
    </xf>
    <xf numFmtId="0" fontId="15" fillId="9" borderId="0" xfId="0" applyFont="1" applyFill="1"/>
    <xf numFmtId="0" fontId="15" fillId="9" borderId="0" xfId="0" applyFont="1" applyFill="1" applyAlignment="1">
      <alignment horizontal="left"/>
    </xf>
    <xf numFmtId="165" fontId="14" fillId="0" borderId="0" xfId="0" applyNumberFormat="1" applyFont="1" applyProtection="1">
      <protection locked="0"/>
    </xf>
    <xf numFmtId="0" fontId="35" fillId="7" borderId="0" xfId="0" applyFont="1" applyFill="1" applyAlignment="1">
      <alignment horizontal="center" vertical="center"/>
    </xf>
    <xf numFmtId="10" fontId="7" fillId="7" borderId="0" xfId="1" applyNumberFormat="1" applyFont="1" applyFill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/>
      <protection locked="0"/>
    </xf>
    <xf numFmtId="9" fontId="48" fillId="0" borderId="0" xfId="1" applyFont="1" applyBorder="1" applyAlignment="1" applyProtection="1">
      <alignment horizontal="center" vertical="top"/>
    </xf>
    <xf numFmtId="10" fontId="48" fillId="0" borderId="0" xfId="1" applyNumberFormat="1" applyFont="1" applyBorder="1" applyAlignment="1" applyProtection="1">
      <alignment horizontal="center" vertical="top"/>
    </xf>
    <xf numFmtId="10" fontId="48" fillId="12" borderId="0" xfId="1" applyNumberFormat="1" applyFont="1" applyFill="1" applyBorder="1" applyAlignment="1" applyProtection="1">
      <alignment horizontal="center" vertical="top"/>
    </xf>
    <xf numFmtId="10" fontId="34" fillId="0" borderId="0" xfId="1" applyNumberFormat="1" applyFont="1" applyBorder="1" applyAlignment="1" applyProtection="1">
      <alignment horizontal="center"/>
    </xf>
    <xf numFmtId="0" fontId="50" fillId="0" borderId="0" xfId="0" applyFont="1"/>
    <xf numFmtId="165" fontId="51" fillId="0" borderId="0" xfId="2" applyNumberFormat="1" applyFont="1" applyAlignment="1">
      <alignment horizontal="center" vertical="center" wrapText="1"/>
    </xf>
    <xf numFmtId="165" fontId="4" fillId="0" borderId="0" xfId="2" applyNumberFormat="1" applyFont="1" applyAlignment="1">
      <alignment horizontal="center" vertical="center" wrapText="1"/>
    </xf>
    <xf numFmtId="165" fontId="14" fillId="0" borderId="0" xfId="0" applyNumberFormat="1" applyFont="1" applyAlignment="1" applyProtection="1">
      <alignment horizontal="center" vertical="center"/>
      <protection locked="0"/>
    </xf>
    <xf numFmtId="165" fontId="3" fillId="14" borderId="0" xfId="2" applyNumberFormat="1" applyFont="1" applyFill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9" fontId="2" fillId="0" borderId="9" xfId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2" fillId="0" borderId="9" xfId="1" applyNumberFormat="1" applyFont="1" applyBorder="1" applyProtection="1">
      <protection locked="0"/>
    </xf>
    <xf numFmtId="3" fontId="4" fillId="0" borderId="0" xfId="0" applyNumberFormat="1" applyFont="1" applyAlignment="1">
      <alignment horizontal="right" vertical="center"/>
    </xf>
    <xf numFmtId="0" fontId="54" fillId="0" borderId="0" xfId="0" applyFont="1"/>
    <xf numFmtId="3" fontId="2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9" fontId="16" fillId="7" borderId="0" xfId="0" applyNumberFormat="1" applyFont="1" applyFill="1" applyAlignment="1">
      <alignment horizontal="center" vertical="center"/>
    </xf>
    <xf numFmtId="165" fontId="17" fillId="7" borderId="0" xfId="0" applyNumberFormat="1" applyFont="1" applyFill="1" applyAlignment="1">
      <alignment horizontal="center" vertical="center"/>
    </xf>
    <xf numFmtId="0" fontId="15" fillId="0" borderId="0" xfId="0" applyFont="1" applyProtection="1">
      <protection locked="0"/>
    </xf>
    <xf numFmtId="0" fontId="14" fillId="14" borderId="0" xfId="0" applyFont="1" applyFill="1" applyProtection="1">
      <protection locked="0"/>
    </xf>
    <xf numFmtId="0" fontId="52" fillId="0" borderId="0" xfId="0" applyFont="1" applyProtection="1">
      <protection locked="0"/>
    </xf>
    <xf numFmtId="164" fontId="52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wrapText="1"/>
      <protection locked="0"/>
    </xf>
    <xf numFmtId="3" fontId="14" fillId="0" borderId="0" xfId="2" applyNumberFormat="1" applyFont="1" applyBorder="1" applyAlignment="1" applyProtection="1">
      <alignment horizontal="center"/>
      <protection locked="0"/>
    </xf>
    <xf numFmtId="3" fontId="20" fillId="0" borderId="0" xfId="2" applyNumberFormat="1" applyFont="1" applyBorder="1" applyAlignment="1" applyProtection="1">
      <alignment horizontal="center"/>
      <protection locked="0"/>
    </xf>
    <xf numFmtId="43" fontId="13" fillId="0" borderId="0" xfId="2" applyFont="1" applyFill="1" applyBorder="1" applyAlignment="1" applyProtection="1">
      <alignment horizontal="center"/>
      <protection locked="0"/>
    </xf>
    <xf numFmtId="3" fontId="15" fillId="10" borderId="0" xfId="2" applyNumberFormat="1" applyFont="1" applyFill="1" applyBorder="1" applyAlignment="1" applyProtection="1">
      <alignment horizontal="center"/>
      <protection locked="0"/>
    </xf>
    <xf numFmtId="43" fontId="13" fillId="10" borderId="0" xfId="2" applyFont="1" applyFill="1" applyBorder="1" applyAlignment="1" applyProtection="1">
      <alignment horizontal="center"/>
      <protection locked="0"/>
    </xf>
    <xf numFmtId="3" fontId="37" fillId="14" borderId="0" xfId="0" applyNumberFormat="1" applyFont="1" applyFill="1" applyAlignment="1" applyProtection="1">
      <alignment horizontal="center" vertical="center"/>
      <protection locked="0"/>
    </xf>
    <xf numFmtId="3" fontId="37" fillId="7" borderId="0" xfId="0" applyNumberFormat="1" applyFont="1" applyFill="1" applyAlignment="1" applyProtection="1">
      <alignment horizontal="center" vertical="center"/>
      <protection locked="0"/>
    </xf>
    <xf numFmtId="3" fontId="37" fillId="7" borderId="0" xfId="0" applyNumberFormat="1" applyFont="1" applyFill="1" applyAlignment="1">
      <alignment horizontal="center" vertical="center"/>
    </xf>
    <xf numFmtId="3" fontId="53" fillId="7" borderId="0" xfId="0" applyNumberFormat="1" applyFont="1" applyFill="1" applyAlignment="1" applyProtection="1">
      <alignment horizontal="center" vertical="center"/>
      <protection locked="0"/>
    </xf>
    <xf numFmtId="9" fontId="15" fillId="12" borderId="0" xfId="1" applyFont="1" applyFill="1" applyBorder="1" applyAlignment="1" applyProtection="1">
      <alignment horizontal="center" vertical="center"/>
      <protection locked="0"/>
    </xf>
    <xf numFmtId="164" fontId="15" fillId="12" borderId="0" xfId="1" applyNumberFormat="1" applyFont="1" applyFill="1" applyBorder="1" applyAlignment="1" applyProtection="1">
      <alignment horizontal="center" vertical="center"/>
      <protection locked="0"/>
    </xf>
    <xf numFmtId="3" fontId="13" fillId="0" borderId="0" xfId="2" applyNumberFormat="1" applyFont="1" applyFill="1" applyBorder="1" applyAlignment="1" applyProtection="1">
      <alignment horizontal="center"/>
      <protection locked="0"/>
    </xf>
    <xf numFmtId="3" fontId="13" fillId="10" borderId="0" xfId="2" applyNumberFormat="1" applyFont="1" applyFill="1" applyBorder="1" applyAlignment="1" applyProtection="1">
      <alignment horizontal="center"/>
      <protection locked="0"/>
    </xf>
    <xf numFmtId="0" fontId="43" fillId="0" borderId="0" xfId="0" applyFont="1"/>
    <xf numFmtId="9" fontId="7" fillId="7" borderId="0" xfId="1" applyFont="1" applyFill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7" fillId="7" borderId="0" xfId="0" applyFont="1" applyFill="1" applyAlignment="1">
      <alignment horizontal="left" vertical="center" wrapText="1"/>
    </xf>
    <xf numFmtId="10" fontId="0" fillId="0" borderId="0" xfId="1" applyNumberFormat="1" applyFont="1" applyAlignment="1" applyProtection="1">
      <alignment horizontal="center"/>
      <protection locked="0"/>
    </xf>
    <xf numFmtId="43" fontId="0" fillId="0" borderId="0" xfId="2" applyFont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13" fillId="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/>
    </xf>
    <xf numFmtId="9" fontId="34" fillId="0" borderId="0" xfId="1" applyFont="1" applyBorder="1" applyAlignment="1" applyProtection="1">
      <alignment horizontal="center"/>
    </xf>
    <xf numFmtId="3" fontId="49" fillId="0" borderId="0" xfId="0" applyNumberFormat="1" applyFont="1" applyAlignment="1" applyProtection="1">
      <alignment horizontal="center" vertical="top"/>
      <protection locked="0"/>
    </xf>
    <xf numFmtId="9" fontId="34" fillId="0" borderId="0" xfId="1" applyFont="1" applyBorder="1" applyAlignment="1" applyProtection="1">
      <alignment horizontal="center"/>
      <protection locked="0"/>
    </xf>
    <xf numFmtId="0" fontId="13" fillId="0" borderId="0" xfId="0" applyFont="1" applyAlignment="1">
      <alignment vertical="top"/>
    </xf>
    <xf numFmtId="0" fontId="18" fillId="21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center" vertical="center"/>
    </xf>
    <xf numFmtId="43" fontId="5" fillId="0" borderId="0" xfId="1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6" fontId="13" fillId="12" borderId="0" xfId="0" applyNumberFormat="1" applyFont="1" applyFill="1" applyAlignment="1">
      <alignment vertical="center"/>
    </xf>
    <xf numFmtId="9" fontId="34" fillId="12" borderId="0" xfId="1" applyFont="1" applyFill="1" applyBorder="1" applyAlignment="1" applyProtection="1">
      <alignment horizontal="center"/>
    </xf>
    <xf numFmtId="166" fontId="13" fillId="0" borderId="0" xfId="0" applyNumberFormat="1" applyFont="1" applyAlignment="1">
      <alignment vertical="center"/>
    </xf>
    <xf numFmtId="9" fontId="34" fillId="0" borderId="0" xfId="1" applyFont="1" applyFill="1" applyBorder="1" applyAlignment="1" applyProtection="1">
      <alignment horizontal="center"/>
    </xf>
    <xf numFmtId="0" fontId="11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top"/>
    </xf>
    <xf numFmtId="37" fontId="0" fillId="0" borderId="0" xfId="0" applyNumberFormat="1" applyProtection="1">
      <protection locked="0"/>
    </xf>
    <xf numFmtId="4" fontId="8" fillId="0" borderId="0" xfId="0" applyNumberFormat="1" applyFont="1" applyAlignment="1">
      <alignment vertical="top"/>
    </xf>
    <xf numFmtId="0" fontId="14" fillId="5" borderId="0" xfId="0" applyFont="1" applyFill="1"/>
    <xf numFmtId="0" fontId="15" fillId="0" borderId="0" xfId="0" applyFont="1" applyAlignment="1">
      <alignment horizontal="left" vertical="center"/>
    </xf>
    <xf numFmtId="0" fontId="39" fillId="10" borderId="0" xfId="0" applyFont="1" applyFill="1" applyAlignment="1">
      <alignment horizontal="center" vertical="center"/>
    </xf>
    <xf numFmtId="165" fontId="41" fillId="17" borderId="0" xfId="2" applyNumberFormat="1" applyFont="1" applyFill="1" applyBorder="1" applyAlignment="1" applyProtection="1">
      <alignment horizontal="center" vertical="center"/>
    </xf>
    <xf numFmtId="0" fontId="41" fillId="17" borderId="0" xfId="0" applyFont="1" applyFill="1" applyAlignment="1" applyProtection="1">
      <alignment horizontal="center"/>
      <protection locked="0"/>
    </xf>
    <xf numFmtId="0" fontId="39" fillId="7" borderId="0" xfId="0" applyFont="1" applyFill="1" applyAlignment="1">
      <alignment horizontal="center" vertical="center"/>
    </xf>
    <xf numFmtId="165" fontId="44" fillId="17" borderId="0" xfId="2" applyNumberFormat="1" applyFont="1" applyFill="1" applyBorder="1" applyAlignment="1" applyProtection="1">
      <alignment vertical="center"/>
    </xf>
    <xf numFmtId="165" fontId="41" fillId="17" borderId="0" xfId="0" applyNumberFormat="1" applyFont="1" applyFill="1" applyAlignment="1" applyProtection="1">
      <alignment horizontal="center"/>
      <protection locked="0"/>
    </xf>
    <xf numFmtId="43" fontId="41" fillId="17" borderId="0" xfId="2" applyFont="1" applyFill="1" applyBorder="1" applyAlignment="1" applyProtection="1">
      <alignment horizontal="center" vertical="center"/>
    </xf>
    <xf numFmtId="37" fontId="44" fillId="17" borderId="0" xfId="2" applyNumberFormat="1" applyFont="1" applyFill="1" applyBorder="1" applyAlignment="1" applyProtection="1">
      <alignment horizontal="right" vertical="center"/>
    </xf>
    <xf numFmtId="0" fontId="41" fillId="17" borderId="0" xfId="0" applyFont="1" applyFill="1" applyAlignment="1">
      <alignment horizontal="left"/>
    </xf>
    <xf numFmtId="10" fontId="41" fillId="17" borderId="0" xfId="1" applyNumberFormat="1" applyFont="1" applyFill="1" applyBorder="1" applyAlignment="1" applyProtection="1">
      <alignment horizontal="center"/>
    </xf>
    <xf numFmtId="0" fontId="25" fillId="17" borderId="0" xfId="0" applyFont="1" applyFill="1"/>
    <xf numFmtId="165" fontId="25" fillId="17" borderId="0" xfId="0" applyNumberFormat="1" applyFont="1" applyFill="1"/>
    <xf numFmtId="0" fontId="25" fillId="17" borderId="0" xfId="0" applyFont="1" applyFill="1" applyProtection="1">
      <protection locked="0"/>
    </xf>
    <xf numFmtId="165" fontId="25" fillId="17" borderId="0" xfId="0" applyNumberFormat="1" applyFont="1" applyFill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165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 locked="0"/>
    </xf>
    <xf numFmtId="165" fontId="41" fillId="0" borderId="0" xfId="0" applyNumberFormat="1" applyFont="1" applyAlignment="1">
      <alignment horizontal="center" vertical="center"/>
    </xf>
    <xf numFmtId="168" fontId="41" fillId="0" borderId="0" xfId="2" applyNumberFormat="1" applyFont="1" applyFill="1" applyBorder="1" applyAlignment="1" applyProtection="1">
      <alignment horizontal="center" vertical="center"/>
    </xf>
    <xf numFmtId="165" fontId="41" fillId="0" borderId="0" xfId="0" applyNumberFormat="1" applyFont="1" applyAlignment="1">
      <alignment horizontal="center" vertical="center" wrapText="1"/>
    </xf>
    <xf numFmtId="168" fontId="25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 applyProtection="1">
      <alignment horizontal="center"/>
      <protection locked="0"/>
    </xf>
    <xf numFmtId="168" fontId="41" fillId="0" borderId="0" xfId="0" applyNumberFormat="1" applyFont="1" applyAlignment="1">
      <alignment horizontal="center" vertical="center"/>
    </xf>
    <xf numFmtId="0" fontId="41" fillId="9" borderId="0" xfId="0" applyFont="1" applyFill="1" applyAlignment="1">
      <alignment horizontal="left"/>
    </xf>
    <xf numFmtId="10" fontId="41" fillId="9" borderId="0" xfId="1" applyNumberFormat="1" applyFont="1" applyFill="1" applyBorder="1" applyAlignment="1" applyProtection="1">
      <alignment horizontal="center"/>
    </xf>
    <xf numFmtId="10" fontId="41" fillId="9" borderId="0" xfId="0" applyNumberFormat="1" applyFont="1" applyFill="1" applyAlignment="1" applyProtection="1">
      <alignment horizontal="center"/>
      <protection locked="0"/>
    </xf>
    <xf numFmtId="170" fontId="15" fillId="0" borderId="0" xfId="2" applyNumberFormat="1" applyFont="1" applyFill="1" applyBorder="1" applyAlignment="1" applyProtection="1">
      <alignment horizontal="right" vertical="center"/>
      <protection locked="0"/>
    </xf>
    <xf numFmtId="0" fontId="18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left" vertical="center"/>
    </xf>
    <xf numFmtId="0" fontId="7" fillId="7" borderId="0" xfId="0" applyFont="1" applyFill="1" applyAlignment="1">
      <alignment vertical="center"/>
    </xf>
    <xf numFmtId="165" fontId="7" fillId="7" borderId="0" xfId="2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35" fillId="10" borderId="0" xfId="0" applyFont="1" applyFill="1" applyAlignment="1">
      <alignment horizontal="left" vertical="center"/>
    </xf>
    <xf numFmtId="0" fontId="35" fillId="10" borderId="0" xfId="0" applyFont="1" applyFill="1" applyAlignment="1">
      <alignment horizontal="center" vertical="center"/>
    </xf>
    <xf numFmtId="9" fontId="35" fillId="10" borderId="0" xfId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7" borderId="0" xfId="0" applyFont="1" applyFill="1" applyAlignment="1" applyProtection="1">
      <alignment horizontal="left" vertical="center" wrapText="1"/>
      <protection locked="0"/>
    </xf>
    <xf numFmtId="9" fontId="35" fillId="7" borderId="0" xfId="1" applyFont="1" applyFill="1" applyAlignment="1" applyProtection="1">
      <alignment horizontal="center" vertical="center" wrapText="1"/>
      <protection locked="0"/>
    </xf>
    <xf numFmtId="0" fontId="35" fillId="7" borderId="0" xfId="0" applyFont="1" applyFill="1" applyAlignment="1" applyProtection="1">
      <alignment vertical="center" wrapText="1"/>
      <protection locked="0"/>
    </xf>
    <xf numFmtId="165" fontId="35" fillId="7" borderId="0" xfId="2" applyNumberFormat="1" applyFont="1" applyFill="1" applyAlignment="1" applyProtection="1">
      <alignment vertical="center" wrapText="1"/>
      <protection locked="0"/>
    </xf>
    <xf numFmtId="165" fontId="35" fillId="7" borderId="0" xfId="2" applyNumberFormat="1" applyFont="1" applyFill="1" applyAlignment="1" applyProtection="1">
      <alignment horizontal="center" vertical="center" wrapText="1"/>
      <protection locked="0"/>
    </xf>
    <xf numFmtId="43" fontId="35" fillId="7" borderId="0" xfId="2" applyFont="1" applyFill="1" applyAlignment="1">
      <alignment horizontal="center" vertical="center"/>
    </xf>
    <xf numFmtId="9" fontId="35" fillId="7" borderId="0" xfId="1" applyFont="1" applyFill="1" applyAlignment="1">
      <alignment horizontal="center" vertical="center"/>
    </xf>
    <xf numFmtId="10" fontId="35" fillId="7" borderId="0" xfId="1" applyNumberFormat="1" applyFont="1" applyFill="1" applyAlignment="1">
      <alignment horizontal="center" vertical="center"/>
    </xf>
    <xf numFmtId="165" fontId="35" fillId="7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/>
    </xf>
    <xf numFmtId="165" fontId="7" fillId="7" borderId="0" xfId="0" applyNumberFormat="1" applyFont="1" applyFill="1" applyAlignment="1">
      <alignment horizontal="center" vertical="center" wrapText="1"/>
    </xf>
    <xf numFmtId="43" fontId="14" fillId="0" borderId="0" xfId="0" applyNumberFormat="1" applyFont="1" applyAlignment="1" applyProtection="1">
      <alignment horizontal="center" vertical="center"/>
      <protection locked="0"/>
    </xf>
    <xf numFmtId="43" fontId="4" fillId="0" borderId="0" xfId="0" applyNumberFormat="1" applyFont="1" applyAlignment="1" applyProtection="1">
      <alignment horizontal="center"/>
      <protection locked="0"/>
    </xf>
    <xf numFmtId="43" fontId="3" fillId="10" borderId="0" xfId="2" applyFont="1" applyFill="1" applyBorder="1" applyAlignment="1" applyProtection="1">
      <alignment horizont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4" fontId="49" fillId="0" borderId="0" xfId="0" applyNumberFormat="1" applyFont="1" applyAlignment="1" applyProtection="1">
      <alignment horizontal="center" vertical="top"/>
      <protection locked="0"/>
    </xf>
    <xf numFmtId="9" fontId="34" fillId="0" borderId="14" xfId="1" applyFont="1" applyBorder="1" applyAlignment="1" applyProtection="1">
      <alignment horizontal="center"/>
    </xf>
    <xf numFmtId="3" fontId="18" fillId="21" borderId="15" xfId="0" applyNumberFormat="1" applyFont="1" applyFill="1" applyBorder="1" applyAlignment="1">
      <alignment horizontal="center" vertical="center"/>
    </xf>
    <xf numFmtId="9" fontId="18" fillId="21" borderId="16" xfId="1" applyFont="1" applyFill="1" applyBorder="1" applyAlignment="1" applyProtection="1">
      <alignment horizontal="center" vertical="center"/>
    </xf>
    <xf numFmtId="4" fontId="23" fillId="21" borderId="16" xfId="0" applyNumberFormat="1" applyFont="1" applyFill="1" applyBorder="1" applyAlignment="1">
      <alignment horizontal="center" vertical="center"/>
    </xf>
    <xf numFmtId="9" fontId="18" fillId="21" borderId="17" xfId="1" applyFont="1" applyFill="1" applyBorder="1" applyAlignment="1" applyProtection="1">
      <alignment horizontal="center" vertical="center"/>
    </xf>
    <xf numFmtId="3" fontId="48" fillId="0" borderId="13" xfId="0" applyNumberFormat="1" applyFont="1" applyBorder="1" applyAlignment="1">
      <alignment horizontal="center" vertical="top"/>
    </xf>
    <xf numFmtId="4" fontId="34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48" fillId="0" borderId="0" xfId="0" applyNumberFormat="1" applyFont="1" applyAlignment="1" applyProtection="1">
      <alignment horizontal="center" vertical="top"/>
      <protection locked="0"/>
    </xf>
    <xf numFmtId="3" fontId="48" fillId="0" borderId="0" xfId="0" applyNumberFormat="1" applyFont="1" applyAlignment="1">
      <alignment horizontal="center" vertical="top"/>
    </xf>
    <xf numFmtId="3" fontId="18" fillId="21" borderId="16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10" fontId="34" fillId="0" borderId="14" xfId="1" applyNumberFormat="1" applyFont="1" applyBorder="1" applyAlignment="1" applyProtection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4" fontId="48" fillId="0" borderId="0" xfId="0" applyNumberFormat="1" applyFont="1" applyAlignment="1">
      <alignment horizontal="center" vertical="top"/>
    </xf>
    <xf numFmtId="10" fontId="48" fillId="0" borderId="14" xfId="1" applyNumberFormat="1" applyFont="1" applyBorder="1" applyAlignment="1" applyProtection="1">
      <alignment horizontal="center" vertical="top"/>
    </xf>
    <xf numFmtId="3" fontId="23" fillId="21" borderId="15" xfId="0" applyNumberFormat="1" applyFont="1" applyFill="1" applyBorder="1" applyAlignment="1">
      <alignment horizontal="center" vertical="center"/>
    </xf>
    <xf numFmtId="3" fontId="23" fillId="21" borderId="16" xfId="0" applyNumberFormat="1" applyFont="1" applyFill="1" applyBorder="1" applyAlignment="1">
      <alignment horizontal="center" vertical="center"/>
    </xf>
    <xf numFmtId="9" fontId="34" fillId="12" borderId="14" xfId="1" applyFont="1" applyFill="1" applyBorder="1" applyAlignment="1" applyProtection="1">
      <alignment horizontal="center"/>
    </xf>
    <xf numFmtId="4" fontId="48" fillId="0" borderId="0" xfId="0" applyNumberFormat="1" applyFont="1" applyAlignment="1" applyProtection="1">
      <alignment horizontal="center" vertical="top"/>
      <protection locked="0"/>
    </xf>
    <xf numFmtId="4" fontId="34" fillId="0" borderId="0" xfId="0" applyNumberFormat="1" applyFont="1" applyAlignment="1" applyProtection="1">
      <alignment horizontal="center"/>
      <protection locked="0"/>
    </xf>
    <xf numFmtId="4" fontId="15" fillId="21" borderId="16" xfId="0" applyNumberFormat="1" applyFont="1" applyFill="1" applyBorder="1" applyProtection="1">
      <protection locked="0"/>
    </xf>
    <xf numFmtId="37" fontId="15" fillId="10" borderId="0" xfId="2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/>
    </xf>
    <xf numFmtId="164" fontId="34" fillId="0" borderId="0" xfId="1" applyNumberFormat="1" applyFont="1" applyFill="1" applyBorder="1" applyAlignment="1" applyProtection="1">
      <alignment horizontal="center"/>
    </xf>
    <xf numFmtId="0" fontId="47" fillId="7" borderId="0" xfId="0" applyFont="1" applyFill="1" applyAlignment="1">
      <alignment horizontal="left" vertical="center"/>
    </xf>
    <xf numFmtId="3" fontId="27" fillId="7" borderId="0" xfId="0" applyNumberFormat="1" applyFont="1" applyFill="1" applyAlignment="1">
      <alignment horizontal="center" vertical="center"/>
    </xf>
    <xf numFmtId="9" fontId="27" fillId="7" borderId="0" xfId="1" applyFont="1" applyFill="1" applyBorder="1" applyAlignment="1" applyProtection="1">
      <alignment horizontal="center" vertical="center"/>
    </xf>
    <xf numFmtId="0" fontId="45" fillId="5" borderId="18" xfId="0" applyFont="1" applyFill="1" applyBorder="1"/>
    <xf numFmtId="0" fontId="13" fillId="5" borderId="18" xfId="0" applyFont="1" applyFill="1" applyBorder="1" applyAlignment="1">
      <alignment vertical="center"/>
    </xf>
    <xf numFmtId="165" fontId="34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3" fontId="56" fillId="0" borderId="13" xfId="0" applyNumberFormat="1" applyFont="1" applyBorder="1" applyAlignment="1">
      <alignment horizontal="center" vertical="top"/>
    </xf>
    <xf numFmtId="10" fontId="57" fillId="0" borderId="0" xfId="1" applyNumberFormat="1" applyFont="1" applyBorder="1" applyAlignment="1" applyProtection="1">
      <alignment horizontal="center" vertical="top"/>
    </xf>
    <xf numFmtId="3" fontId="57" fillId="0" borderId="0" xfId="0" applyNumberFormat="1" applyFont="1" applyAlignment="1">
      <alignment horizontal="center" vertical="top"/>
    </xf>
    <xf numFmtId="10" fontId="46" fillId="0" borderId="0" xfId="1" applyNumberFormat="1" applyFont="1" applyBorder="1" applyAlignment="1" applyProtection="1">
      <alignment horizontal="center"/>
    </xf>
    <xf numFmtId="0" fontId="31" fillId="14" borderId="0" xfId="0" applyFont="1" applyFill="1" applyAlignment="1">
      <alignment horizontal="left" vertical="center" wrapText="1"/>
    </xf>
    <xf numFmtId="0" fontId="30" fillId="14" borderId="0" xfId="0" applyFont="1" applyFill="1" applyAlignment="1">
      <alignment horizontal="left" vertical="center" wrapText="1"/>
    </xf>
    <xf numFmtId="0" fontId="18" fillId="14" borderId="0" xfId="0" applyFont="1" applyFill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20" fillId="0" borderId="0" xfId="0" applyFont="1" applyAlignment="1" applyProtection="1">
      <alignment horizontal="center" wrapText="1"/>
      <protection locked="0"/>
    </xf>
    <xf numFmtId="0" fontId="15" fillId="16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/>
    </xf>
    <xf numFmtId="0" fontId="42" fillId="22" borderId="0" xfId="0" applyFont="1" applyFill="1" applyAlignment="1">
      <alignment horizontal="center" vertical="center"/>
    </xf>
    <xf numFmtId="0" fontId="15" fillId="21" borderId="0" xfId="0" applyFont="1" applyFill="1" applyAlignment="1">
      <alignment horizontal="center" vertical="center" wrapText="1"/>
    </xf>
    <xf numFmtId="0" fontId="15" fillId="20" borderId="0" xfId="0" applyFont="1" applyFill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13" fillId="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1" defaultTableStyle="TableStyleMedium2" defaultPivotStyle="PivotStyleLight16">
    <tableStyle name="Invisible" pivot="0" table="0" count="0" xr9:uid="{EB55D738-EBA8-42B6-A2D2-EFAB11F34F90}"/>
  </tableStyles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0416099915951E-3"/>
                  <c:y val="0.42968747988164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-1.031542386507586E-3"/>
                  <c:y val="0.18099243678652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4.2734695700544483E-3"/>
                  <c:y val="0.2916540055159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Adm.'!$A$14:$A$16</c:f>
            </c:multiLvlStrRef>
          </c:cat>
          <c:val>
            <c:numRef>
              <c:f>'Presupuesto Adm.'!$B$14:$B$16</c:f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805669807399E-3"/>
                  <c:y val="0.28427588089419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5.9003210707371089E-4"/>
                  <c:y val="0.200349512137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7621514736872E-3"/>
                  <c:y val="0.26327875733595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Adm.'!$A$14:$A$16</c:f>
            </c:multiLvlStrRef>
          </c:cat>
          <c:val>
            <c:numRef>
              <c:f>'Presupuesto Adm.'!$C$14:$C$16</c:f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868388303077307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6.111546482263059E-2"/>
                  <c:y val="-0.11855343563543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Adm.'!$A$10:$D$12</c:f>
              <c:multiLvlStrCache>
                <c:ptCount val="3"/>
                <c:lvl>
                  <c:pt idx="0">
                    <c:v>98%</c:v>
                  </c:pt>
                  <c:pt idx="1">
                    <c:v>103%</c:v>
                  </c:pt>
                  <c:pt idx="2">
                    <c:v>100%</c:v>
                  </c:pt>
                </c:lvl>
                <c:lvl>
                  <c:pt idx="0">
                    <c:v>35,024,383</c:v>
                  </c:pt>
                  <c:pt idx="1">
                    <c:v>36,934,293</c:v>
                  </c:pt>
                  <c:pt idx="2">
                    <c:v>57,530,256</c:v>
                  </c:pt>
                </c:lvl>
                <c:lvl>
                  <c:pt idx="0">
                    <c:v>35,809,883</c:v>
                  </c:pt>
                  <c:pt idx="1">
                    <c:v>35,809,883</c:v>
                  </c:pt>
                  <c:pt idx="2">
                    <c:v>57,624,155</c:v>
                  </c:pt>
                </c:lvl>
                <c:lvl>
                  <c:pt idx="0">
                    <c:v>Junio</c:v>
                  </c:pt>
                  <c:pt idx="1">
                    <c:v>Mayo</c:v>
                  </c:pt>
                  <c:pt idx="2">
                    <c:v>Abril</c:v>
                  </c:pt>
                </c:lvl>
              </c:multiLvlStrCache>
            </c:multiLvlStrRef>
          </c:cat>
          <c:val>
            <c:numRef>
              <c:f>'Presupuesto Adm.'!$D$14:$D$16</c:f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Cotizantes!$A$12:$A$14</c:f>
            </c:multiLvlStrRef>
          </c:cat>
          <c:val>
            <c:numRef>
              <c:f>Cotizantes!$B$12:$B$14</c:f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Cotizantes!$A$12:$A$14</c:f>
            </c:multiLvlStrRef>
          </c:cat>
          <c:val>
            <c:numRef>
              <c:f>Cotizantes!$C$12:$C$14</c:f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Porcentaje Cotizantes por Tipo de Empleador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83FA5F-D0AB-48CE-96D6-99FDB27CB416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0.81116678097718065</c:v>
                </c:pt>
                <c:pt idx="1">
                  <c:v>0.18883321902281949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7E-42F1-A859-3F19AC5D91D9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2F1-A859-3F19AC5D91D9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7E-42F1-A859-3F19AC5D9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Cotizantes!$B$8:$B$10</c:f>
              <c:numCache>
                <c:formatCode>_(* #,##0_);_(* \(#,##0\);_(* "-"??_);_(@_)</c:formatCode>
                <c:ptCount val="3"/>
                <c:pt idx="0">
                  <c:v>23080</c:v>
                </c:pt>
                <c:pt idx="1">
                  <c:v>23667</c:v>
                </c:pt>
                <c:pt idx="2">
                  <c:v>23032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E-42F1-A859-3F19AC5D91D9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Cotizantes!$C$8:$C$10</c:f>
              <c:numCache>
                <c:formatCode>_(* #,##0_);_(* \(#,##0\);_(* "-"??_);_(@_)</c:formatCode>
                <c:ptCount val="3"/>
                <c:pt idx="0">
                  <c:v>5290</c:v>
                </c:pt>
                <c:pt idx="1">
                  <c:v>5551</c:v>
                </c:pt>
                <c:pt idx="2">
                  <c:v>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E-42F1-A859-3F19AC5D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Porcentaje Monto Total Individualizado por Tipo de Empleador</a:t>
            </a:r>
          </a:p>
        </c:rich>
      </c:tx>
      <c:layout>
        <c:manualLayout>
          <c:xMode val="edge"/>
          <c:yMode val="edge"/>
          <c:x val="0.1914858837424373"/>
          <c:y val="5.71948922709434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190878679098392E-2"/>
          <c:y val="0.39971092812218084"/>
          <c:w val="0.9065669985394762"/>
          <c:h val="0.57255937255743716"/>
        </c:manualLayout>
      </c:layout>
      <c:pie3DChart>
        <c:varyColors val="1"/>
        <c:ser>
          <c:idx val="0"/>
          <c:order val="0"/>
          <c:explosion val="27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layout>
                <c:manualLayout>
                  <c:x val="0.13498109467542085"/>
                  <c:y val="-0.2457902698194796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Pùblico
</a:t>
                    </a:r>
                    <a:fld id="{1E0124BD-4345-4E4A-B14D-12CA58C69878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-5.3430016642354125E-2"/>
                  <c:y val="5.02752824630753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Privado
</a:t>
                    </a:r>
                    <a:fld id="{9808AA45-761B-4E95-9508-605747744867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Empleador!$B$29:$C$29</c:f>
              <c:numCache>
                <c:formatCode>0%</c:formatCode>
                <c:ptCount val="2"/>
                <c:pt idx="0">
                  <c:v>0.87999999998446365</c:v>
                </c:pt>
                <c:pt idx="1">
                  <c:v>0.12000000001553639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89927860.780000001</c:v>
                </c:pt>
                <c:pt idx="1">
                  <c:v>92980731.709999993</c:v>
                </c:pt>
                <c:pt idx="2">
                  <c:v>88969411.890000001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1-42CA-BE02-9F1C2FB19D24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01-42CA-BE02-9F1C2FB19D24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01-42CA-BE02-9F1C2FB19D24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01-42CA-BE02-9F1C2FB19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12262890.109999999</c:v>
                </c:pt>
                <c:pt idx="1">
                  <c:v>12679190.689999999</c:v>
                </c:pt>
                <c:pt idx="2">
                  <c:v>12132192.529999999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1-42CA-BE02-9F1C2FB19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Aportes!$A$12:$A$14</c:f>
              <c:strCache>
                <c:ptCount val="1"/>
                <c:pt idx="0">
                  <c:v>Marzo</c:v>
                </c:pt>
              </c:strCache>
            </c:strRef>
          </c:cat>
          <c:val>
            <c:numRef>
              <c:f>Aportes!$B$12:$B$14</c:f>
              <c:numCache>
                <c:formatCode>#,##0</c:formatCode>
                <c:ptCount val="1"/>
                <c:pt idx="0">
                  <c:v>31776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F6-4354-94C8-98680B4440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F6-4354-94C8-98680B44408D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F6-4354-94C8-98680B44408D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F6-4354-94C8-98680B44408D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F6-4354-94C8-98680B444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30859</c:v>
                </c:pt>
                <c:pt idx="1">
                  <c:v>30791</c:v>
                </c:pt>
                <c:pt idx="2">
                  <c:v>30384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F6-4354-94C8-98680B444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6036422311119411E-3"/>
                  <c:y val="-3.014202351868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7-4275-A789-0D686E766E43}"/>
                </c:ext>
              </c:extLst>
            </c:dLbl>
            <c:dLbl>
              <c:idx val="1"/>
              <c:layout>
                <c:manualLayout>
                  <c:x val="-1.1232343215769955E-2"/>
                  <c:y val="-8.586006822698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7-4275-A789-0D686E76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Traspaso!$C$12:$C$14</c:f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6.4523378603867268E-2"/>
                  <c:y val="0.10996696244351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5.7008464291933403E-2"/>
                  <c:y val="-7.0331388210275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7-4275-A789-0D686E766E43}"/>
                </c:ext>
              </c:extLst>
            </c:dLbl>
            <c:dLbl>
              <c:idx val="2"/>
              <c:layout>
                <c:manualLayout>
                  <c:x val="-1.9955719893408847E-2"/>
                  <c:y val="7.0985652080353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Traspaso!$B$12:$B$14</c:f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7899037851528927E-2"/>
          <c:y val="0.91418107049277852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Traspaso!$D$12</c:f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Traspaso!$D$13</c:f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Traspaso!$D$14</c:f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6036422311119411E-3"/>
                  <c:y val="-3.014202351868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1-46B1-9810-07F548C260C8}"/>
                </c:ext>
              </c:extLst>
            </c:dLbl>
            <c:dLbl>
              <c:idx val="1"/>
              <c:layout>
                <c:manualLayout>
                  <c:x val="-3.6196754250803313E-3"/>
                  <c:y val="4.5660023290843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1-46B1-9810-07F548C260C8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1-46B1-9810-07F548C26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91-46B1-9810-07F548C2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0.1101290724927043"/>
                  <c:y val="-5.53790458348628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1-46B1-9810-07F548C260C8}"/>
                </c:ext>
              </c:extLst>
            </c:dLbl>
            <c:dLbl>
              <c:idx val="1"/>
              <c:layout>
                <c:manualLayout>
                  <c:x val="-9.8813833008946375E-2"/>
                  <c:y val="0.45715402336679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91-46B1-9810-07F548C260C8}"/>
                </c:ext>
              </c:extLst>
            </c:dLbl>
            <c:dLbl>
              <c:idx val="2"/>
              <c:layout>
                <c:manualLayout>
                  <c:x val="-8.5497489471106462E-3"/>
                  <c:y val="-2.9487759648612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91-46B1-9810-07F548C26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10</c:v>
                </c:pt>
                <c:pt idx="1">
                  <c:v>163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91-46B1-9810-07F548C26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7899037851528927E-2"/>
          <c:y val="0.91418107049277852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3268455698977"/>
          <c:y val="4.7312574196489043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4B-4172-B7C9-5BBC627FD7AE}"/>
              </c:ext>
            </c:extLst>
          </c:dPt>
          <c:dLbls>
            <c:dLbl>
              <c:idx val="0"/>
              <c:layout>
                <c:manualLayout>
                  <c:x val="-5.8586595580169655E-3"/>
                  <c:y val="0.36836673731159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B-4172-B7C9-5BBC627FD7AE}"/>
                </c:ext>
              </c:extLst>
            </c:dLbl>
            <c:dLbl>
              <c:idx val="1"/>
              <c:layout>
                <c:manualLayout>
                  <c:x val="-7.3565061700572041E-3"/>
                  <c:y val="0.31589807044063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B-4172-B7C9-5BBC627FD7AE}"/>
                </c:ext>
              </c:extLst>
            </c:dLbl>
            <c:dLbl>
              <c:idx val="2"/>
              <c:layout>
                <c:manualLayout>
                  <c:x val="5.2141995360784309E-3"/>
                  <c:y val="0.47152818372145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Adm.'!$A$10:$A$12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'Presupuesto Adm.'!$B$10:$B$12</c:f>
              <c:numCache>
                <c:formatCode>#,##0</c:formatCode>
                <c:ptCount val="3"/>
                <c:pt idx="0">
                  <c:v>35809882.759999998</c:v>
                </c:pt>
                <c:pt idx="1">
                  <c:v>35809882.759999998</c:v>
                </c:pt>
                <c:pt idx="2">
                  <c:v>57624154.560000002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B-4172-B7C9-5BBC627FD7AE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3864767983187E-3"/>
                  <c:y val="0.36603687098759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B-4172-B7C9-5BBC627FD7AE}"/>
                </c:ext>
              </c:extLst>
            </c:dLbl>
            <c:dLbl>
              <c:idx val="1"/>
              <c:layout>
                <c:manualLayout>
                  <c:x val="5.8992495825826465E-4"/>
                  <c:y val="0.31481489826872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B-4172-B7C9-5BBC627FD7AE}"/>
                </c:ext>
              </c:extLst>
            </c:dLbl>
            <c:dLbl>
              <c:idx val="2"/>
              <c:layout>
                <c:manualLayout>
                  <c:x val="-1.6168774816255433E-3"/>
                  <c:y val="0.467681232569458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Adm.'!$A$10:$A$12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'Presupuesto Adm.'!$C$10:$C$12</c:f>
              <c:numCache>
                <c:formatCode>#,##0</c:formatCode>
                <c:ptCount val="3"/>
                <c:pt idx="0">
                  <c:v>35024382.520000003</c:v>
                </c:pt>
                <c:pt idx="1">
                  <c:v>36934293</c:v>
                </c:pt>
                <c:pt idx="2">
                  <c:v>57530255.859999999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B-4172-B7C9-5BBC627FD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v>Relativo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6546224691932915E-2"/>
                  <c:y val="-0.19767779474515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B-4172-B7C9-5BBC627FD7AE}"/>
                </c:ext>
              </c:extLst>
            </c:dLbl>
            <c:dLbl>
              <c:idx val="1"/>
              <c:layout>
                <c:manualLayout>
                  <c:x val="-6.4351873179829988E-2"/>
                  <c:y val="0.106289287121420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4B-4172-B7C9-5BBC627FD7AE}"/>
                </c:ext>
              </c:extLst>
            </c:dLbl>
            <c:dLbl>
              <c:idx val="2"/>
              <c:layout>
                <c:manualLayout>
                  <c:x val="-6.1115379012467115E-2"/>
                  <c:y val="-0.24937101978487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Adm.'!$A$24:$A$29</c:f>
            </c:multiLvlStrRef>
          </c:cat>
          <c:val>
            <c:numRef>
              <c:f>'Presupuesto Adm.'!$D$10:$D$12</c:f>
              <c:numCache>
                <c:formatCode>0%</c:formatCode>
                <c:ptCount val="3"/>
                <c:pt idx="0">
                  <c:v>0.97806470785552513</c:v>
                </c:pt>
                <c:pt idx="1">
                  <c:v>1.0313994392982482</c:v>
                </c:pt>
                <c:pt idx="2">
                  <c:v>0.99837049756795593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4B-4172-B7C9-5BBC627FD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01123359580052"/>
          <c:y val="0.17726075307682398"/>
          <c:w val="0.80965543307086618"/>
          <c:h val="0.60223454575752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Traspaso!$D$8</c:f>
              <c:numCache>
                <c:formatCode>#,##0</c:formatCode>
                <c:ptCount val="1"/>
                <c:pt idx="0">
                  <c:v>9156070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5-4C00-A17B-A6FEE811A440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Traspaso!$D$9</c:f>
              <c:numCache>
                <c:formatCode>#,##0</c:formatCode>
                <c:ptCount val="1"/>
                <c:pt idx="0">
                  <c:v>126388222.56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5-4C00-A17B-A6FEE811A440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Traspaso!$D$10</c:f>
              <c:numCache>
                <c:formatCode>#,##0</c:formatCode>
                <c:ptCount val="1"/>
                <c:pt idx="0">
                  <c:v>3066427.8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5-4C00-A17B-A6FEE811A4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Programación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92952976606527E-3"/>
                  <c:y val="0.2572575505945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-4.5983469432681785E-3"/>
                  <c:y val="0.3099537432321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-2.5333231539865853E-3"/>
                  <c:y val="0.24598478649541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de Pensiones'!$A$10:$A$13</c:f>
            </c:multiLvlStrRef>
          </c:cat>
          <c:val>
            <c:numRef>
              <c:f>'Presupuesto de Pensiones'!$D$10:$D$13</c:f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56453866434961E-3"/>
                  <c:y val="0.23149365673028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44626495587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-4.5875252105605285E-3"/>
                  <c:y val="0.2355022713597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de Pensiones'!$A$10:$A$13</c:f>
            </c:multiLvlStrRef>
          </c:cat>
          <c:val>
            <c:numRef>
              <c:f>'Presupuesto de Pensiones'!$E$10:$E$13</c:f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4.0998519057577787E-2"/>
                  <c:y val="-4.617488796726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5.3040869830121101E-2"/>
                  <c:y val="-4.765357467798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de Pensiones'!$A$10:$A$13</c:f>
            </c:multiLvlStrRef>
          </c:cat>
          <c:val>
            <c:numRef>
              <c:f>'Presupuesto de Pensiones'!$F$10:$F$13</c:f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  <c:max val="3045000000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  <c:majorUnit val="20000000"/>
      </c:valAx>
      <c:valAx>
        <c:axId val="1665026160"/>
        <c:scaling>
          <c:orientation val="minMax"/>
          <c:max val="1"/>
          <c:min val="0.96000000000000008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Programación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890436814805043E-3"/>
                  <c:y val="0.56300349975897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28-48E8-89DC-63EB21E79D35}"/>
                </c:ext>
              </c:extLst>
            </c:dLbl>
            <c:dLbl>
              <c:idx val="1"/>
              <c:layout>
                <c:manualLayout>
                  <c:x val="-4.5984393899658679E-3"/>
                  <c:y val="0.54815121914896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28-48E8-89DC-63EB21E79D35}"/>
                </c:ext>
              </c:extLst>
            </c:dLbl>
            <c:dLbl>
              <c:idx val="2"/>
              <c:layout>
                <c:manualLayout>
                  <c:x val="-2.5332264622762329E-3"/>
                  <c:y val="0.2993125333473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28-48E8-89DC-63EB21E79D35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28-48E8-89DC-63EB21E79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Pensiones'!$A$15:$A$17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'Presupuesto de Pensiones'!$D$15:$D$17</c:f>
              <c:numCache>
                <c:formatCode>_(* #,##0.00_);_(* \(#,##0.00\);_(* "-"??_);_(@_)</c:formatCode>
                <c:ptCount val="3"/>
                <c:pt idx="0">
                  <c:v>3191027890.6199994</c:v>
                </c:pt>
                <c:pt idx="1">
                  <c:v>3133552588.0300002</c:v>
                </c:pt>
                <c:pt idx="2">
                  <c:v>3050777948.02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28-48E8-89DC-63EB21E79D35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279889910353899E-5"/>
                  <c:y val="0.54079478289009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28-48E8-89DC-63EB21E79D35}"/>
                </c:ext>
              </c:extLst>
            </c:dLbl>
            <c:dLbl>
              <c:idx val="1"/>
              <c:layout>
                <c:manualLayout>
                  <c:x val="1.1839395310869409E-3"/>
                  <c:y val="0.43660654949295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28-48E8-89DC-63EB21E79D35}"/>
                </c:ext>
              </c:extLst>
            </c:dLbl>
            <c:dLbl>
              <c:idx val="2"/>
              <c:layout>
                <c:manualLayout>
                  <c:x val="-4.5875755660432496E-3"/>
                  <c:y val="0.32793710175614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28-48E8-89DC-63EB21E79D35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28-48E8-89DC-63EB21E79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Pensiones'!$A$15:$A$17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'Presupuesto de Pensiones'!$E$15:$E$17</c:f>
              <c:numCache>
                <c:formatCode>_(* #,##0.00_);_(* \(#,##0.00\);_(* "-"??_);_(@_)</c:formatCode>
                <c:ptCount val="3"/>
                <c:pt idx="0">
                  <c:v>3131972063.1999998</c:v>
                </c:pt>
                <c:pt idx="1">
                  <c:v>3099575860.27</c:v>
                </c:pt>
                <c:pt idx="2">
                  <c:v>3060974021.9200001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28-48E8-89DC-63EB21E7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2A28-48E8-89DC-63EB21E79D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2A28-48E8-89DC-63EB21E79D35}"/>
              </c:ext>
            </c:extLst>
          </c:dPt>
          <c:dLbls>
            <c:dLbl>
              <c:idx val="0"/>
              <c:layout>
                <c:manualLayout>
                  <c:x val="-5.2036195653992423E-2"/>
                  <c:y val="-7.461636180710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28-48E8-89DC-63EB21E79D35}"/>
                </c:ext>
              </c:extLst>
            </c:dLbl>
            <c:dLbl>
              <c:idx val="1"/>
              <c:layout>
                <c:manualLayout>
                  <c:x val="-5.3040869830121101E-2"/>
                  <c:y val="-4.765357467798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28-48E8-89DC-63EB21E79D35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28-48E8-89DC-63EB21E79D35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28-48E8-89DC-63EB21E79D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Pensiones'!$A$15:$A$17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'Presupuesto de Pensiones'!$F$15:$F$17</c:f>
              <c:numCache>
                <c:formatCode>0%</c:formatCode>
                <c:ptCount val="3"/>
                <c:pt idx="0">
                  <c:v>0.98148701667558291</c:v>
                </c:pt>
                <c:pt idx="1">
                  <c:v>0.98915519124736007</c:v>
                </c:pt>
                <c:pt idx="2">
                  <c:v>1.003342589772519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A28-48E8-89DC-63EB21E79D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  <c:max val="320000000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  <c:max val="1.01"/>
          <c:min val="0.96000000000000008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665026160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  <a:effectLst>
      <a:outerShdw blurRad="50800" dist="50800" dir="5400000" algn="ctr" rotWithShape="0">
        <a:srgbClr val="000000">
          <a:alpha val="9000"/>
        </a:srgbClr>
      </a:outerShdw>
    </a:effectLst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Nómina!$B$13:$B$15</c:f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Nómina!$E$13:$E$15</c:f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Nómina!$H$13:$H$15</c:f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Nómina!$C$13:$C$15</c:f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Nómina!$F$13:$F$15</c:f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Nómina!$I$13:$I$15</c:f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Nómina!$D$13:$D$15</c:f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Nómina!$G$13:$G$15</c:f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Nómina!$J$13:$J$15</c:f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</a:t>
            </a:r>
            <a:r>
              <a:rPr lang="es-DO" baseline="0"/>
              <a:t> Pagado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658-4F4E-82BB-972C8E917E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58-4F4E-82BB-972C8E91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8-4F4E-82BB-972C8E917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58-4F4E-82BB-972C8E917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Solidarias </a:t>
                    </a:r>
                    <a:fld id="{90257C1E-480E-4FB7-972A-E16E1347AC8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58-4F4E-82BB-972C8E917E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8-4F4E-82BB-972C8E917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(Nómina!$D$32,Nómina!$G$32,Nómina!$J$32)</c:f>
              <c:numCache>
                <c:formatCode>0.00%</c:formatCode>
                <c:ptCount val="3"/>
                <c:pt idx="0">
                  <c:v>0.72874835367116331</c:v>
                </c:pt>
                <c:pt idx="1">
                  <c:v>5.9405076861147134E-2</c:v>
                </c:pt>
                <c:pt idx="2">
                  <c:v>0.21184656946768962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8-4F4E-82BB-972C8E917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7004289624389E-3"/>
                  <c:y val="0.46164911032582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E0-4453-855E-B5BA8976592B}"/>
                </c:ext>
              </c:extLst>
            </c:dLbl>
            <c:dLbl>
              <c:idx val="1"/>
              <c:layout>
                <c:manualLayout>
                  <c:x val="-1.9341742336070859E-4"/>
                  <c:y val="0.47350710519004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E0-4453-855E-B5BA8976592B}"/>
                </c:ext>
              </c:extLst>
            </c:dLbl>
            <c:dLbl>
              <c:idx val="2"/>
              <c:layout>
                <c:manualLayout>
                  <c:x val="5.5694137540997848E-3"/>
                  <c:y val="0.47727022917148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135160</c:v>
                </c:pt>
                <c:pt idx="1">
                  <c:v>133970</c:v>
                </c:pt>
                <c:pt idx="2">
                  <c:v>132915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E0-4453-855E-B5BA8976592B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E0-4453-855E-B5BA8976592B}"/>
                </c:ext>
              </c:extLst>
            </c:dLbl>
            <c:dLbl>
              <c:idx val="1"/>
              <c:layout>
                <c:manualLayout>
                  <c:x val="5.99825021284307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E0-4453-855E-B5BA8976592B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24937</c:v>
                </c:pt>
                <c:pt idx="1">
                  <c:v>24440</c:v>
                </c:pt>
                <c:pt idx="2">
                  <c:v>24071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E0-4453-855E-B5BA8976592B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9.7792623615519606E-17"/>
                  <c:y val="2.7479113709870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31259</c:v>
                </c:pt>
                <c:pt idx="1">
                  <c:v>30503</c:v>
                </c:pt>
                <c:pt idx="2">
                  <c:v>29597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E0-4453-855E-B5BA897659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3-4DF8-8537-624DC2611582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3-4DF8-8537-624DC2611582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Nómina!$D$9:$D$11</c:f>
              <c:numCache>
                <c:formatCode>_(* #,##0.00_);_(* \(#,##0.00\);_(* "-"??_);_(@_)</c:formatCode>
                <c:ptCount val="3"/>
                <c:pt idx="0">
                  <c:v>2268496707.9899998</c:v>
                </c:pt>
                <c:pt idx="1">
                  <c:v>2241793107.6700001</c:v>
                </c:pt>
                <c:pt idx="2">
                  <c:v>2214157759.6199999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83-4DF8-8537-624DC2611582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83-4DF8-8537-624DC2611582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3-4DF8-8537-624DC2611582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Nómina!$J$9:$J$11</c:f>
              <c:numCache>
                <c:formatCode>_(* #,##0.00_);_(* \(#,##0.00\);_(* "-"??_);_(@_)</c:formatCode>
                <c:ptCount val="3"/>
                <c:pt idx="0">
                  <c:v>675921355.21000004</c:v>
                </c:pt>
                <c:pt idx="1">
                  <c:v>649819183.35000002</c:v>
                </c:pt>
                <c:pt idx="2">
                  <c:v>629051047.88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83-4DF8-8537-624DC2611582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83-4DF8-8537-624DC2611582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3-4DF8-8537-624DC2611582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Nómina!$G$9:$G$11</c:f>
              <c:numCache>
                <c:formatCode>_(* #,##0.00_);_(* \(#,##0.00\);_(* "-"??_);_(@_)</c:formatCode>
                <c:ptCount val="3"/>
                <c:pt idx="0">
                  <c:v>187554000</c:v>
                </c:pt>
                <c:pt idx="1">
                  <c:v>183018000</c:v>
                </c:pt>
                <c:pt idx="2">
                  <c:v>177582000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83-4DF8-8537-624DC26115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A-434D-9DF3-2CAAB91C7ADC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A-434D-9DF3-2CAAB91C7ADC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147747</c:v>
                </c:pt>
                <c:pt idx="1">
                  <c:v>146536</c:v>
                </c:pt>
                <c:pt idx="2">
                  <c:v>145443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A-434D-9DF3-2CAAB91C7ADC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5A-434D-9DF3-2CAAB91C7ADC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5A-434D-9DF3-2CAAB91C7ADC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25027</c:v>
                </c:pt>
                <c:pt idx="1">
                  <c:v>24529</c:v>
                </c:pt>
                <c:pt idx="2">
                  <c:v>24157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5A-434D-9DF3-2CAAB91C7ADC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5A-434D-9DF3-2CAAB91C7ADC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5A-434D-9DF3-2CAAB91C7ADC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31259</c:v>
                </c:pt>
                <c:pt idx="1">
                  <c:v>30503</c:v>
                </c:pt>
                <c:pt idx="2">
                  <c:v>29597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5A-434D-9DF3-2CAAB91C7A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0"/>
                  <c:y val="0.238922704380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Cotizantes'!$B$11:$B$13</c:f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Cotizantes'!$C$11:$C$13</c:f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Cotizantes'!$D$11:$D$13</c:f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424-447D-B3DB-38CCAC85921B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424-447D-B3DB-38CCAC85921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424-447D-B3DB-38CCAC85921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24-447D-B3DB-38CCAC85921B}"/>
                </c:ext>
              </c:extLst>
            </c:dLbl>
            <c:dLbl>
              <c:idx val="1"/>
              <c:layout>
                <c:manualLayout>
                  <c:x val="2.4409024665433911E-2"/>
                  <c:y val="-1.38888888888888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/>
                      <a:t>Solidarias </a:t>
                    </a:r>
                    <a:fld id="{90257C1E-480E-4FB7-972A-E16E1347AC87}" type="VALUE">
                      <a:rPr lang="en-US" sz="1050"/>
                      <a:pPr>
                        <a:defRPr sz="1050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24-447D-B3DB-38CCAC85921B}"/>
                </c:ext>
              </c:extLst>
            </c:dLbl>
            <c:dLbl>
              <c:idx val="2"/>
              <c:layout>
                <c:manualLayout>
                  <c:x val="4.705067786113299E-2"/>
                  <c:y val="2.1218890680033321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424-447D-B3DB-38CCAC859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(Nómina!$D$32,Nómina!$G$32,Nómina!$J$32)</c:f>
              <c:numCache>
                <c:formatCode>0.00%</c:formatCode>
                <c:ptCount val="3"/>
                <c:pt idx="0">
                  <c:v>0.72874835367116331</c:v>
                </c:pt>
                <c:pt idx="1">
                  <c:v>5.9405076861147134E-2</c:v>
                </c:pt>
                <c:pt idx="2">
                  <c:v>0.21184656946768962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24-447D-B3DB-38CCAC8592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Nóminas Autoseguro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27703592247216358"/>
          <c:y val="2.0408251550648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823287249937635E-2"/>
          <c:y val="0.34937666470179163"/>
          <c:w val="0.93897689989547006"/>
          <c:h val="0.64884186351706041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explosion val="3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D226-4742-8E7F-C6FD6D3E0DFF}"/>
              </c:ext>
            </c:extLst>
          </c:dPt>
          <c:dPt>
            <c:idx val="1"/>
            <c:bubble3D val="0"/>
            <c:explosion val="4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226-4742-8E7F-C6FD6D3E0DFF}"/>
              </c:ext>
            </c:extLst>
          </c:dPt>
          <c:dPt>
            <c:idx val="2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226-4742-8E7F-C6FD6D3E0DFF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D226-4742-8E7F-C6FD6D3E0DFF}"/>
              </c:ext>
            </c:extLst>
          </c:dPt>
          <c:dLbls>
            <c:dLbl>
              <c:idx val="0"/>
              <c:layout>
                <c:manualLayout>
                  <c:x val="-5.200158698585397E-2"/>
                  <c:y val="-3.2605790134555353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F9C51-46E0-4294-B195-1D220E9FC5C4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r>
                      <a:rPr lang="en-US"/>
                      <a:t> Discapacidad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226-4742-8E7F-C6FD6D3E0DFF}"/>
                </c:ext>
              </c:extLst>
            </c:dLbl>
            <c:dLbl>
              <c:idx val="1"/>
              <c:layout>
                <c:manualLayout>
                  <c:x val="-2.1895405046675458E-2"/>
                  <c:y val="3.557036378119128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B0CDDD-8AED-465F-8CB0-AD4C2AA7E6E9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/>
                      <a:t> Discapacidad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226-4742-8E7F-C6FD6D3E0DF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31C39E-1E62-4572-8675-95EF26C6BE38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r>
                      <a:rPr lang="en-US"/>
                      <a:t> Sobrevivencia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26-4742-8E7F-C6FD6D3E0DF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7D688D-08E1-4C3E-B88A-5A6FCB65F87E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r>
                      <a:rPr lang="en-US"/>
                      <a:t> Sobrevivencia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226-4742-8E7F-C6FD6D3E0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(Autoseguro!$C$17,Autoseguro!$H$17,Autoseguro!$M$17,Autoseguro!$O$17)</c:f>
              <c:numCache>
                <c:formatCode>0.0%</c:formatCode>
                <c:ptCount val="4"/>
                <c:pt idx="0" formatCode="0%">
                  <c:v>0.12061331098911543</c:v>
                </c:pt>
                <c:pt idx="1">
                  <c:v>1.296454420392392E-3</c:v>
                </c:pt>
                <c:pt idx="2" formatCode="0%">
                  <c:v>0.45978466633303483</c:v>
                </c:pt>
                <c:pt idx="3" formatCode="0%">
                  <c:v>0.41830556825745729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742-8E7F-C6FD6D3E0DF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NÓMINA</a:t>
            </a:r>
            <a:r>
              <a:rPr lang="es-DO" baseline="0"/>
              <a:t> </a:t>
            </a:r>
            <a:r>
              <a:rPr lang="es-DO"/>
              <a:t>DEUDA Autoseguro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26061436868715704"/>
          <c:y val="1.6745586993906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64733075401436E-2"/>
          <c:y val="0.25781725775673314"/>
          <c:w val="0.93897689989547006"/>
          <c:h val="0.64884186351706041"/>
        </c:manualLayout>
      </c:layout>
      <c:pie3DChart>
        <c:varyColors val="1"/>
        <c:ser>
          <c:idx val="0"/>
          <c:order val="0"/>
          <c:explosion val="87"/>
          <c:dPt>
            <c:idx val="0"/>
            <c:bubble3D val="0"/>
            <c:explosion val="3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02B-4BE2-BDF5-5D01042D0DCF}"/>
              </c:ext>
            </c:extLst>
          </c:dPt>
          <c:dPt>
            <c:idx val="1"/>
            <c:bubble3D val="0"/>
            <c:explosion val="5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02B-4BE2-BDF5-5D01042D0DCF}"/>
              </c:ext>
            </c:extLst>
          </c:dPt>
          <c:dPt>
            <c:idx val="2"/>
            <c:bubble3D val="0"/>
            <c:explosion val="29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02B-4BE2-BDF5-5D01042D0DCF}"/>
              </c:ext>
            </c:extLst>
          </c:dPt>
          <c:dPt>
            <c:idx val="3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02B-4BE2-BDF5-5D01042D0DCF}"/>
              </c:ext>
            </c:extLst>
          </c:dPt>
          <c:dLbls>
            <c:dLbl>
              <c:idx val="0"/>
              <c:layout>
                <c:manualLayout>
                  <c:x val="-9.3055471448370272E-2"/>
                  <c:y val="-4.7583871978344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CF9C51-46E0-4294-B195-1D220E9FC5C4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r>
                      <a:rPr lang="en-US"/>
                      <a:t>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NDRD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02B-4BE2-BDF5-5D01042D0DCF}"/>
                </c:ext>
              </c:extLst>
            </c:dLbl>
            <c:dLbl>
              <c:idx val="1"/>
              <c:layout>
                <c:manualLayout>
                  <c:x val="3.2843107570013033E-2"/>
                  <c:y val="-1.1084073582938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B0CDDD-8AED-465F-8CB0-AD4C2AA7E6E9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r>
                      <a:rPr lang="en-US"/>
                      <a:t>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NMD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02B-4BE2-BDF5-5D01042D0DC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31C39E-1E62-4572-8675-95EF26C6BE38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/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NDRS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Civil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02B-4BE2-BDF5-5D01042D0DC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7D688D-08E1-4C3E-B88A-5A6FCB65F87E}" type="PERCENTA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/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NDRS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PN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02B-4BE2-BDF5-5D01042D0D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(Autoseguro!$C$34,Autoseguro!$E$34,Autoseguro!$H$34,Autoseguro!$L$34,Autoseguro!$N$34)</c15:sqref>
                  </c15:fullRef>
                </c:ext>
              </c:extLst>
              <c:f>(Autoseguro!$C$34,Autoseguro!$E$34,Autoseguro!$H$34,Autoseguro!$L$34)</c:f>
              <c:numCache>
                <c:formatCode>0%</c:formatCode>
                <c:ptCount val="4"/>
                <c:pt idx="0">
                  <c:v>9.8689388632715105E-2</c:v>
                </c:pt>
                <c:pt idx="1">
                  <c:v>0</c:v>
                </c:pt>
                <c:pt idx="2">
                  <c:v>0.50872979936785279</c:v>
                </c:pt>
                <c:pt idx="3">
                  <c:v>0.39258081199943212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Autoseguro!$N$34</c15:sqref>
                  <c15:explosion val="12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D02B-4BE2-BDF5-5D01042D0DC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40515670490325E-2"/>
          <c:y val="4.8999027385089912E-2"/>
          <c:w val="0.55326605273997942"/>
          <c:h val="0.83940945825033841"/>
        </c:manualLayout>
      </c:layout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Movimientos!$B$10:$B$12</c:f>
              <c:numCache>
                <c:formatCode>_(* #,##0_);_(* \(#,##0\);_(* "-"??_);_(@_)</c:formatCode>
                <c:ptCount val="3"/>
                <c:pt idx="0">
                  <c:v>2649</c:v>
                </c:pt>
                <c:pt idx="1">
                  <c:v>2496</c:v>
                </c:pt>
                <c:pt idx="2">
                  <c:v>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strRef>
              <c:f>Movimientos!$H$7</c:f>
              <c:strCache>
                <c:ptCount val="1"/>
                <c:pt idx="0">
                  <c:v>Ajustes Monto Pensiones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Movimientos!$H$10:$H$12</c:f>
              <c:numCache>
                <c:formatCode>General</c:formatCode>
                <c:ptCount val="3"/>
                <c:pt idx="0">
                  <c:v>30</c:v>
                </c:pt>
                <c:pt idx="1">
                  <c:v>130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Movimientos!$J$10:$J$12</c:f>
              <c:numCache>
                <c:formatCode>General</c:formatCode>
                <c:ptCount val="3"/>
                <c:pt idx="0">
                  <c:v>442</c:v>
                </c:pt>
                <c:pt idx="1">
                  <c:v>284</c:v>
                </c:pt>
                <c:pt idx="2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Movimientos!$L$10:$L$12</c:f>
              <c:numCache>
                <c:formatCode>General</c:formatCode>
                <c:ptCount val="3"/>
                <c:pt idx="0">
                  <c:v>109</c:v>
                </c:pt>
                <c:pt idx="1">
                  <c:v>118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Movimientos!$D$10:$D$12</c:f>
              <c:numCache>
                <c:formatCode>General</c:formatCode>
                <c:ptCount val="3"/>
                <c:pt idx="0">
                  <c:v>128</c:v>
                </c:pt>
                <c:pt idx="1">
                  <c:v>156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A3F-8F7B-3DBD08485257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Movimientos!$F$10:$F$12</c:f>
              <c:numCache>
                <c:formatCode>General</c:formatCode>
                <c:ptCount val="3"/>
                <c:pt idx="0">
                  <c:v>239</c:v>
                </c:pt>
                <c:pt idx="1">
                  <c:v>121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A-4A3F-8F7B-3DBD084852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6502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978180499944976"/>
          <c:y val="0.22769345571442065"/>
          <c:w val="0.24086942177129919"/>
          <c:h val="0.4986528695416789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0602767886642"/>
          <c:y val="3.1036146462682265E-2"/>
          <c:w val="0.73694651444513781"/>
          <c:h val="0.83128904392609693"/>
        </c:manualLayout>
      </c:layout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39366242102242716"/>
                  <c:y val="8.12842064954114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2C-4E6B-BB9F-CA473917CEC3}"/>
                </c:ext>
              </c:extLst>
            </c:dLbl>
            <c:dLbl>
              <c:idx val="1"/>
              <c:layout>
                <c:manualLayout>
                  <c:x val="-0.6025040058672922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75-4BF1-96D1-0E5D4CD269C9}"/>
                </c:ext>
              </c:extLst>
            </c:dLbl>
            <c:dLbl>
              <c:idx val="2"/>
              <c:layout>
                <c:manualLayout>
                  <c:x val="-0.6251176930636125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75-4BF1-96D1-0E5D4CD269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Movimientos!$C$10:$C$12</c:f>
              <c:numCache>
                <c:formatCode>_(* #,##0.00_);_(* \(#,##0.00\);_(* "-"??_);_(@_)</c:formatCode>
                <c:ptCount val="3"/>
                <c:pt idx="0">
                  <c:v>60165818.239999995</c:v>
                </c:pt>
                <c:pt idx="1">
                  <c:v>54065344.200000003</c:v>
                </c:pt>
                <c:pt idx="2">
                  <c:v>54178137.040000007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strRef>
              <c:f>Movimientos!$H$7</c:f>
              <c:strCache>
                <c:ptCount val="1"/>
                <c:pt idx="0">
                  <c:v>Ajustes Monto Pensiones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Movimientos!$I$10:$I$12</c:f>
              <c:numCache>
                <c:formatCode>_(* #,##0.0_);_(* \(#,##0.0\);_(* "-"??_);_(@_)</c:formatCode>
                <c:ptCount val="3"/>
                <c:pt idx="0">
                  <c:v>490033.45</c:v>
                </c:pt>
                <c:pt idx="1">
                  <c:v>2083033.44</c:v>
                </c:pt>
                <c:pt idx="2">
                  <c:v>681465.1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2147734894882381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2C-4E6B-BB9F-CA473917C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Movimientos!$K$10:$K$12</c:f>
              <c:numCache>
                <c:formatCode>_(* #,##0.0_);_(* \(#,##0.0\);_(* "-"??_);_(@_)</c:formatCode>
                <c:ptCount val="3"/>
                <c:pt idx="0">
                  <c:v>5416796.0800000001</c:v>
                </c:pt>
                <c:pt idx="1">
                  <c:v>4170118.29</c:v>
                </c:pt>
                <c:pt idx="2">
                  <c:v>3166566.91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Movimientos!$M$10:$M$12</c:f>
              <c:numCache>
                <c:formatCode>_(* #,##0.0_);_(* \(#,##0.0\);_(* "-"??_);_(@_)</c:formatCode>
                <c:ptCount val="3"/>
                <c:pt idx="0">
                  <c:v>1679636.85</c:v>
                </c:pt>
                <c:pt idx="1">
                  <c:v>1641722.3900000001</c:v>
                </c:pt>
                <c:pt idx="2">
                  <c:v>1209581.3400000001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Movimientos!$E$10:$E$12</c:f>
              <c:numCache>
                <c:formatCode>_(* #,##0.0_);_(* \(#,##0.0\);_(* "-"??_);_(@_)</c:formatCode>
                <c:ptCount val="3"/>
                <c:pt idx="0">
                  <c:v>1863264.6900000002</c:v>
                </c:pt>
                <c:pt idx="1">
                  <c:v>2111195.9</c:v>
                </c:pt>
                <c:pt idx="2">
                  <c:v>2360073.9500000002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2-4EF9-8A5D-162C790AA846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Movimientos!$A$10:$A$12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Movimientos!$G$10:$G$12</c:f>
              <c:numCache>
                <c:formatCode>_(* #,##0.0_);_(* \(#,##0.0\);_(* "-"??_);_(@_)</c:formatCode>
                <c:ptCount val="3"/>
                <c:pt idx="0">
                  <c:v>1919088.73</c:v>
                </c:pt>
                <c:pt idx="1">
                  <c:v>1391750.66</c:v>
                </c:pt>
                <c:pt idx="2">
                  <c:v>634924.06999999995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2-4EF9-8A5D-162C790AA8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2"/>
        <c:overlap val="-24"/>
        <c:axId val="1665025616"/>
        <c:axId val="1670809952"/>
      </c:barChart>
      <c:catAx>
        <c:axId val="166502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  <c:min val="50000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effectLst/>
        </c:spPr>
        <c:txPr>
          <a:bodyPr rot="0"/>
          <a:lstStyle/>
          <a:p>
            <a:pPr>
              <a:defRPr b="1"/>
            </a:pPr>
            <a:endParaRPr lang="en-US"/>
          </a:p>
        </c:txPr>
        <c:crossAx val="166502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8822752419823"/>
          <c:y val="0.25795995727249033"/>
          <c:w val="0.17195035796141289"/>
          <c:h val="0.5223477229823078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Pension'!$B$8:$E$8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Pension'!$A$10:$A$18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Pension'!$B$10:$B$18</c:f>
              <c:numCache>
                <c:formatCode>#,##0</c:formatCode>
                <c:ptCount val="9"/>
                <c:pt idx="0">
                  <c:v>31081</c:v>
                </c:pt>
                <c:pt idx="1">
                  <c:v>63371</c:v>
                </c:pt>
                <c:pt idx="2">
                  <c:v>264</c:v>
                </c:pt>
                <c:pt idx="3">
                  <c:v>154</c:v>
                </c:pt>
                <c:pt idx="4">
                  <c:v>256</c:v>
                </c:pt>
                <c:pt idx="5">
                  <c:v>22935</c:v>
                </c:pt>
                <c:pt idx="6">
                  <c:v>23604</c:v>
                </c:pt>
                <c:pt idx="7">
                  <c:v>18977</c:v>
                </c:pt>
                <c:pt idx="8">
                  <c:v>18519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strRef>
              <c:f>'Tipo de Pension'!$F$8:$I$8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Pension'!$A$10:$A$18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Pension'!$F$10:$F$18</c:f>
              <c:numCache>
                <c:formatCode>#,##0</c:formatCode>
                <c:ptCount val="9"/>
                <c:pt idx="0">
                  <c:v>33014</c:v>
                </c:pt>
                <c:pt idx="1">
                  <c:v>65273</c:v>
                </c:pt>
                <c:pt idx="2">
                  <c:v>256</c:v>
                </c:pt>
                <c:pt idx="3">
                  <c:v>167</c:v>
                </c:pt>
                <c:pt idx="4">
                  <c:v>244</c:v>
                </c:pt>
                <c:pt idx="5">
                  <c:v>29540</c:v>
                </c:pt>
                <c:pt idx="6">
                  <c:v>25027</c:v>
                </c:pt>
                <c:pt idx="7">
                  <c:v>31259</c:v>
                </c:pt>
                <c:pt idx="8">
                  <c:v>19253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179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Pension'!$B$8:$E$8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Pension'!$A$10:$A$18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Pension'!$D$10:$D$18</c:f>
              <c:numCache>
                <c:formatCode>#,##0</c:formatCode>
                <c:ptCount val="9"/>
                <c:pt idx="0" formatCode="#,##0.00">
                  <c:v>1397886833.04</c:v>
                </c:pt>
                <c:pt idx="1">
                  <c:v>1936175755.52</c:v>
                </c:pt>
                <c:pt idx="2">
                  <c:v>13375684.5</c:v>
                </c:pt>
                <c:pt idx="3">
                  <c:v>13634820.100000001</c:v>
                </c:pt>
                <c:pt idx="4">
                  <c:v>23134259.16</c:v>
                </c:pt>
                <c:pt idx="5">
                  <c:v>1788991329.4200001</c:v>
                </c:pt>
                <c:pt idx="6">
                  <c:v>1694484015</c:v>
                </c:pt>
                <c:pt idx="7">
                  <c:v>338040000</c:v>
                </c:pt>
                <c:pt idx="8">
                  <c:v>679066959.91000009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strRef>
              <c:f>'Tipo de Pension'!$F$8:$I$8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Pension'!$A$10:$A$18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Pension'!$H$10:$H$18</c:f>
              <c:numCache>
                <c:formatCode>#,##0.00</c:formatCode>
                <c:ptCount val="9"/>
                <c:pt idx="0">
                  <c:v>1547298211.74</c:v>
                </c:pt>
                <c:pt idx="1">
                  <c:v>2012630376.1400003</c:v>
                </c:pt>
                <c:pt idx="2">
                  <c:v>22981558.5</c:v>
                </c:pt>
                <c:pt idx="3">
                  <c:v>24491801.920000002</c:v>
                </c:pt>
                <c:pt idx="4">
                  <c:v>22789836.700000003</c:v>
                </c:pt>
                <c:pt idx="5">
                  <c:v>2381729361.4700003</c:v>
                </c:pt>
                <c:pt idx="6">
                  <c:v>1954791586.4400001</c:v>
                </c:pt>
                <c:pt idx="7">
                  <c:v>548154000</c:v>
                </c:pt>
                <c:pt idx="8">
                  <c:v>712526428.80999994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  <c:max val="22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8864"/>
        <c:crosses val="autoZero"/>
        <c:crossBetween val="between"/>
        <c:majorUnit val="30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Pension'!$B$31:$E$31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Pension'!$A$33:$A$45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Pension'!$B$33:$B$45</c:f>
              <c:numCache>
                <c:formatCode>#,##0</c:formatCode>
                <c:ptCount val="13"/>
                <c:pt idx="0">
                  <c:v>39</c:v>
                </c:pt>
                <c:pt idx="1">
                  <c:v>1</c:v>
                </c:pt>
                <c:pt idx="2">
                  <c:v>18997</c:v>
                </c:pt>
                <c:pt idx="3">
                  <c:v>116922</c:v>
                </c:pt>
                <c:pt idx="4">
                  <c:v>8106</c:v>
                </c:pt>
                <c:pt idx="5">
                  <c:v>4383</c:v>
                </c:pt>
                <c:pt idx="6">
                  <c:v>2049</c:v>
                </c:pt>
                <c:pt idx="7">
                  <c:v>2663</c:v>
                </c:pt>
                <c:pt idx="8">
                  <c:v>837</c:v>
                </c:pt>
                <c:pt idx="9">
                  <c:v>417</c:v>
                </c:pt>
                <c:pt idx="10">
                  <c:v>431</c:v>
                </c:pt>
                <c:pt idx="11">
                  <c:v>322</c:v>
                </c:pt>
                <c:pt idx="12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strRef>
              <c:f>'Tipo de Pension'!$F$31:$I$31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Pension'!$A$33:$A$45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Pension'!$F$33:$F$45</c:f>
              <c:numCache>
                <c:formatCode>#,##0</c:formatCode>
                <c:ptCount val="13"/>
                <c:pt idx="0">
                  <c:v>38</c:v>
                </c:pt>
                <c:pt idx="1">
                  <c:v>0</c:v>
                </c:pt>
                <c:pt idx="2">
                  <c:v>31271</c:v>
                </c:pt>
                <c:pt idx="3">
                  <c:v>123595</c:v>
                </c:pt>
                <c:pt idx="4">
                  <c:v>9199</c:v>
                </c:pt>
                <c:pt idx="5">
                  <c:v>5287</c:v>
                </c:pt>
                <c:pt idx="6">
                  <c:v>2359</c:v>
                </c:pt>
                <c:pt idx="7">
                  <c:v>3692</c:v>
                </c:pt>
                <c:pt idx="8">
                  <c:v>1044</c:v>
                </c:pt>
                <c:pt idx="9">
                  <c:v>752</c:v>
                </c:pt>
                <c:pt idx="10">
                  <c:v>746</c:v>
                </c:pt>
                <c:pt idx="11">
                  <c:v>484</c:v>
                </c:pt>
                <c:pt idx="1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  <c:max val="12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12128"/>
        <c:crosses val="autoZero"/>
        <c:crossBetween val="between"/>
        <c:majorUnit val="1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Pension'!$B$31:$E$31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Pension'!$A$33:$A$45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Pension'!$D$33:$D$45</c:f>
              <c:numCache>
                <c:formatCode>#,##0.00</c:formatCode>
                <c:ptCount val="13"/>
                <c:pt idx="0">
                  <c:v>559379.04</c:v>
                </c:pt>
                <c:pt idx="1">
                  <c:v>15352.5</c:v>
                </c:pt>
                <c:pt idx="2">
                  <c:v>338501998</c:v>
                </c:pt>
                <c:pt idx="3">
                  <c:v>3624532040.8499999</c:v>
                </c:pt>
                <c:pt idx="4">
                  <c:v>559740309.20000005</c:v>
                </c:pt>
                <c:pt idx="5">
                  <c:v>400753998.42000002</c:v>
                </c:pt>
                <c:pt idx="6">
                  <c:v>264128253.57999998</c:v>
                </c:pt>
                <c:pt idx="7">
                  <c:v>399747578.78999996</c:v>
                </c:pt>
                <c:pt idx="8">
                  <c:v>156753447.19999999</c:v>
                </c:pt>
                <c:pt idx="9">
                  <c:v>90384017.5</c:v>
                </c:pt>
                <c:pt idx="10">
                  <c:v>105397086</c:v>
                </c:pt>
                <c:pt idx="11">
                  <c:v>92773926.370000005</c:v>
                </c:pt>
                <c:pt idx="12">
                  <c:v>157018254.44999999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strRef>
              <c:f>'Tipo de Pension'!$F$31:$I$31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Pension'!$A$33:$A$45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Pension'!$H$33:$H$45</c:f>
              <c:numCache>
                <c:formatCode>#,##0</c:formatCode>
                <c:ptCount val="13"/>
                <c:pt idx="0">
                  <c:v>534379.04</c:v>
                </c:pt>
                <c:pt idx="1">
                  <c:v>0</c:v>
                </c:pt>
                <c:pt idx="2">
                  <c:v>548433692.42999995</c:v>
                </c:pt>
                <c:pt idx="3">
                  <c:v>3822286421.3299999</c:v>
                </c:pt>
                <c:pt idx="4">
                  <c:v>636144703.37</c:v>
                </c:pt>
                <c:pt idx="5">
                  <c:v>520806968.96000004</c:v>
                </c:pt>
                <c:pt idx="6">
                  <c:v>299811581.82999998</c:v>
                </c:pt>
                <c:pt idx="7">
                  <c:v>560892803.09000003</c:v>
                </c:pt>
                <c:pt idx="8">
                  <c:v>194753084.99000001</c:v>
                </c:pt>
                <c:pt idx="9">
                  <c:v>159546541.41000003</c:v>
                </c:pt>
                <c:pt idx="10">
                  <c:v>178095293.09</c:v>
                </c:pt>
                <c:pt idx="11">
                  <c:v>129724942.09000002</c:v>
                </c:pt>
                <c:pt idx="12">
                  <c:v>221571163.65000001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Pension'!$B$53:$E$53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Pension'!$A$55:$A$66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Pension'!$B$56:$B$66</c:f>
              <c:numCache>
                <c:formatCode>#,##0</c:formatCode>
                <c:ptCount val="11"/>
                <c:pt idx="0">
                  <c:v>1</c:v>
                </c:pt>
                <c:pt idx="1">
                  <c:v>8</c:v>
                </c:pt>
                <c:pt idx="2">
                  <c:v>76</c:v>
                </c:pt>
                <c:pt idx="3">
                  <c:v>561</c:v>
                </c:pt>
                <c:pt idx="4">
                  <c:v>3010</c:v>
                </c:pt>
                <c:pt idx="5">
                  <c:v>39915</c:v>
                </c:pt>
                <c:pt idx="6">
                  <c:v>49618</c:v>
                </c:pt>
                <c:pt idx="7">
                  <c:v>25235</c:v>
                </c:pt>
                <c:pt idx="8">
                  <c:v>5358</c:v>
                </c:pt>
                <c:pt idx="9">
                  <c:v>321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strRef>
              <c:f>'Tipo de Pension'!$F$53:$I$53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Pension'!$A$55:$A$66</c:f>
              <c:strCache>
                <c:ptCount val="11"/>
                <c:pt idx="0">
                  <c:v>0-18</c:v>
                </c:pt>
                <c:pt idx="1">
                  <c:v>18-30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</c:v>
                </c:pt>
                <c:pt idx="10">
                  <c:v>Sin fecha de nacimiento</c:v>
                </c:pt>
              </c:strCache>
            </c:strRef>
          </c:cat>
          <c:val>
            <c:numRef>
              <c:f>'Tipo de Pension'!$F$56:$F$66</c:f>
              <c:numCache>
                <c:formatCode>#,##0</c:formatCode>
                <c:ptCount val="11"/>
                <c:pt idx="0">
                  <c:v>1</c:v>
                </c:pt>
                <c:pt idx="1">
                  <c:v>9</c:v>
                </c:pt>
                <c:pt idx="2">
                  <c:v>65</c:v>
                </c:pt>
                <c:pt idx="3">
                  <c:v>527</c:v>
                </c:pt>
                <c:pt idx="4">
                  <c:v>2822</c:v>
                </c:pt>
                <c:pt idx="5">
                  <c:v>43703</c:v>
                </c:pt>
                <c:pt idx="6">
                  <c:v>54708</c:v>
                </c:pt>
                <c:pt idx="7">
                  <c:v>27179</c:v>
                </c:pt>
                <c:pt idx="8">
                  <c:v>5739</c:v>
                </c:pt>
                <c:pt idx="9">
                  <c:v>342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0160"/>
        <c:crosses val="autoZero"/>
        <c:crossBetween val="between"/>
        <c:majorUnit val="9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4892115814746"/>
          <c:y val="0.11479713174635285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51368759412862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Cotizantes'!$B$11:$B$13</c:f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Cotizantes'!$E$11:$E$13</c:f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733893883974762E-2"/>
                  <c:y val="-0.49844583811000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Cotizantes'!$F$11:$F$13</c:f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Pension'!$B$53:$E$53</c:f>
              <c:strCache>
                <c:ptCount val="1"/>
                <c:pt idx="0">
                  <c:v>Trimestre abril-junio
Al 30 de junio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Pension'!$A$57:$A$66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Pension'!$D$56:$D$66</c:f>
              <c:numCache>
                <c:formatCode>#,##0.00</c:formatCode>
                <c:ptCount val="11"/>
                <c:pt idx="0">
                  <c:v>10000</c:v>
                </c:pt>
                <c:pt idx="1">
                  <c:v>292922.05</c:v>
                </c:pt>
                <c:pt idx="2">
                  <c:v>4105764.74</c:v>
                </c:pt>
                <c:pt idx="3">
                  <c:v>27516539.460000001</c:v>
                </c:pt>
                <c:pt idx="4">
                  <c:v>157834082.47</c:v>
                </c:pt>
                <c:pt idx="5">
                  <c:v>1976168550.3299999</c:v>
                </c:pt>
                <c:pt idx="6">
                  <c:v>2373452057.5100002</c:v>
                </c:pt>
                <c:pt idx="7">
                  <c:v>1078440244.9300001</c:v>
                </c:pt>
                <c:pt idx="8">
                  <c:v>220944200.12</c:v>
                </c:pt>
                <c:pt idx="9">
                  <c:v>12311280.039999999</c:v>
                </c:pt>
                <c:pt idx="10">
                  <c:v>1190000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strRef>
              <c:f>'Tipo de Pension'!$F$53:$I$53</c:f>
              <c:strCache>
                <c:ptCount val="1"/>
                <c:pt idx="0">
                  <c:v>Trimestre abril-junio
Al 30 de junio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Pension'!$A$57:$A$66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Pension'!$H$56:$H$66</c:f>
              <c:numCache>
                <c:formatCode>#,##0.00</c:formatCode>
                <c:ptCount val="11"/>
                <c:pt idx="0">
                  <c:v>30000</c:v>
                </c:pt>
                <c:pt idx="1">
                  <c:v>450422.05000000005</c:v>
                </c:pt>
                <c:pt idx="2">
                  <c:v>3508748.91</c:v>
                </c:pt>
                <c:pt idx="3">
                  <c:v>28611527.600000001</c:v>
                </c:pt>
                <c:pt idx="4">
                  <c:v>164946719.48000002</c:v>
                </c:pt>
                <c:pt idx="5">
                  <c:v>2328534476</c:v>
                </c:pt>
                <c:pt idx="6">
                  <c:v>2745069713.7600002</c:v>
                </c:pt>
                <c:pt idx="7">
                  <c:v>1195580820.73</c:v>
                </c:pt>
                <c:pt idx="8">
                  <c:v>241252185.55000001</c:v>
                </c:pt>
                <c:pt idx="9">
                  <c:v>12771843.52</c:v>
                </c:pt>
                <c:pt idx="10">
                  <c:v>3631117.68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  <c:max val="2800000000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807232"/>
        <c:crosses val="autoZero"/>
        <c:crossBetween val="between"/>
        <c:majorUnit val="45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317598335221177"/>
          <c:y val="3.2352237248844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(Modalidad!$O$32,Modalidad!$Q$32)</c:f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212-429E-98C4-FFB7F0B12A0F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212-429E-98C4-FFB7F0B12A0F}"/>
              </c:ext>
            </c:extLst>
          </c:dPt>
          <c:dLbls>
            <c:dLbl>
              <c:idx val="0"/>
              <c:layout>
                <c:manualLayout>
                  <c:x val="0.3882464101904452"/>
                  <c:y val="-0.524355984710731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Electrónico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</a:t>
                    </a:r>
                    <a:fld id="{6A789905-C907-4699-A041-A6FD64461BF5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212-429E-98C4-FFB7F0B12A0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Cheque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/>
                      <a:t> </a:t>
                    </a:r>
                    <a:fld id="{928CA2D4-AB57-4300-BD4F-83CC6382AA06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12-429E-98C4-FFB7F0B12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([1]Modalidad!$O$8,[1]Modalidad!$Q$8)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(Modalidad!$O$35,Modalidad!$Q$35)</c:f>
              <c:numCache>
                <c:formatCode>0.00%</c:formatCode>
                <c:ptCount val="2"/>
                <c:pt idx="0">
                  <c:v>0.99729658391998666</c:v>
                </c:pt>
                <c:pt idx="1">
                  <c:v>2.7034160800134504E-3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12-429E-98C4-FFB7F0B12A0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4501343930274"/>
          <c:y val="4.2299525799253723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5745537489802E-3"/>
                  <c:y val="1.8279804924074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A-4755-84B1-810054927F90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F3A-4755-84B1-810054927F90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Retroactivos!$H$9:$H$11</c:f>
              <c:numCache>
                <c:formatCode>#,##0_);\(#,##0\)</c:formatCode>
                <c:ptCount val="3"/>
                <c:pt idx="0" formatCode="General">
                  <c:v>0</c:v>
                </c:pt>
                <c:pt idx="1">
                  <c:v>264</c:v>
                </c:pt>
                <c:pt idx="2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3A-4755-84B1-810054927F90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1302436748680691E-3"/>
                  <c:y val="1.6973625342214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3A-4755-84B1-810054927F90}"/>
                </c:ext>
              </c:extLst>
            </c:dLbl>
            <c:dLbl>
              <c:idx val="1"/>
              <c:layout>
                <c:manualLayout>
                  <c:x val="-1.4313252250930985E-3"/>
                  <c:y val="0.20236602478245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3A-4755-84B1-810054927F90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Retroactivos!$I$9:$I$11</c:f>
              <c:numCache>
                <c:formatCode>#,##0_);\(#,##0\)</c:formatCode>
                <c:ptCount val="3"/>
                <c:pt idx="0" formatCode="General">
                  <c:v>0</c:v>
                </c:pt>
                <c:pt idx="1">
                  <c:v>273</c:v>
                </c:pt>
                <c:pt idx="2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3A-4755-84B1-810054927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[1]Retroactivos!$M$7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F3A-4755-84B1-810054927F90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3A-4755-84B1-810054927F90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3A-4755-84B1-810054927F90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Retroactivos!$J$9:$J$11</c:f>
              <c:numCache>
                <c:formatCode>_(* #,##0.00_);_(* \(#,##0.00\);_(* "-"??_);_(@_)</c:formatCode>
                <c:ptCount val="3"/>
                <c:pt idx="0" formatCode="General">
                  <c:v>0</c:v>
                </c:pt>
                <c:pt idx="1">
                  <c:v>22678645.060000002</c:v>
                </c:pt>
                <c:pt idx="2">
                  <c:v>40183214.420000002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3A-4755-84B1-810054927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'Recuperación Fondos'!$A$7:$A$9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'Recuperación Fondos'!$C$7:$C$9</c:f>
              <c:numCache>
                <c:formatCode>General</c:formatCode>
                <c:ptCount val="3"/>
                <c:pt idx="0">
                  <c:v>4092055.3299999996</c:v>
                </c:pt>
                <c:pt idx="1">
                  <c:v>8427539.0700000003</c:v>
                </c:pt>
                <c:pt idx="2">
                  <c:v>2716061.76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8-4E2F-9F0B-5DDC4BE0FCF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'Recuperación Fondos'!$A$7:$A$9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'Recuperación Fondos'!$F$7:$F$9</c:f>
              <c:numCache>
                <c:formatCode>General</c:formatCode>
                <c:ptCount val="3"/>
                <c:pt idx="0">
                  <c:v>2177895.33</c:v>
                </c:pt>
                <c:pt idx="1">
                  <c:v>2175753.5400000005</c:v>
                </c:pt>
                <c:pt idx="2">
                  <c:v>1866196.71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88-4E2F-9F0B-5DDC4BE0FC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933590352736595E-2"/>
                  <c:y val="-5.7822582076046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94494495773472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E88-4E2F-9F0B-5DDC4BE0FCFF}"/>
                </c:ext>
              </c:extLst>
            </c:dLbl>
            <c:dLbl>
              <c:idx val="1"/>
              <c:layout>
                <c:manualLayout>
                  <c:x val="-6.7033747601424207E-2"/>
                  <c:y val="-8.84201950544413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E88-4E2F-9F0B-5DDC4BE0FCFF}"/>
                </c:ext>
              </c:extLst>
            </c:dLbl>
            <c:dLbl>
              <c:idx val="2"/>
              <c:layout>
                <c:manualLayout>
                  <c:x val="-1.9030230582906038E-2"/>
                  <c:y val="-4.2445041134131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88-4E2F-9F0B-5DDC4BE0FC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Junio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'Recuperación Fondos'!$G$7:$G$9</c:f>
              <c:numCache>
                <c:formatCode>General</c:formatCode>
                <c:ptCount val="3"/>
                <c:pt idx="0">
                  <c:v>0.53222528885013887</c:v>
                </c:pt>
                <c:pt idx="1">
                  <c:v>0.25817187223078641</c:v>
                </c:pt>
                <c:pt idx="2">
                  <c:v>0.68709656661120999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88-4E2F-9F0B-5DDC4BE0FC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  <c:max val="550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672048720"/>
        <c:crosses val="autoZero"/>
        <c:crossBetween val="between"/>
        <c:majorUnit val="500000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Re-activación/Re-inclusión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Servicios!$L$11:$L$23</c:f>
              <c:numCache>
                <c:formatCode>#,##0</c:formatCode>
                <c:ptCount val="13"/>
                <c:pt idx="0">
                  <c:v>23</c:v>
                </c:pt>
                <c:pt idx="1">
                  <c:v>389</c:v>
                </c:pt>
                <c:pt idx="2">
                  <c:v>853</c:v>
                </c:pt>
                <c:pt idx="3">
                  <c:v>99</c:v>
                </c:pt>
                <c:pt idx="4">
                  <c:v>15</c:v>
                </c:pt>
                <c:pt idx="5">
                  <c:v>646</c:v>
                </c:pt>
                <c:pt idx="6">
                  <c:v>472</c:v>
                </c:pt>
                <c:pt idx="7">
                  <c:v>13</c:v>
                </c:pt>
                <c:pt idx="8">
                  <c:v>1743</c:v>
                </c:pt>
                <c:pt idx="9">
                  <c:v>10704</c:v>
                </c:pt>
                <c:pt idx="10">
                  <c:v>22</c:v>
                </c:pt>
                <c:pt idx="11">
                  <c:v>260</c:v>
                </c:pt>
                <c:pt idx="12">
                  <c:v>11574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Re-activación/Re-inclusión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Servicios!$M$11:$M$23</c:f>
              <c:numCache>
                <c:formatCode>_(* #,##0_);_(* \(#,##0\);_(* "-"??_);_(@_)</c:formatCode>
                <c:ptCount val="13"/>
                <c:pt idx="0">
                  <c:v>23</c:v>
                </c:pt>
                <c:pt idx="1">
                  <c:v>386</c:v>
                </c:pt>
                <c:pt idx="2">
                  <c:v>852</c:v>
                </c:pt>
                <c:pt idx="3">
                  <c:v>95</c:v>
                </c:pt>
                <c:pt idx="4">
                  <c:v>15</c:v>
                </c:pt>
                <c:pt idx="5">
                  <c:v>635</c:v>
                </c:pt>
                <c:pt idx="6">
                  <c:v>472</c:v>
                </c:pt>
                <c:pt idx="7">
                  <c:v>13</c:v>
                </c:pt>
                <c:pt idx="8">
                  <c:v>1726</c:v>
                </c:pt>
                <c:pt idx="9">
                  <c:v>10620</c:v>
                </c:pt>
                <c:pt idx="10">
                  <c:v>14</c:v>
                </c:pt>
                <c:pt idx="11">
                  <c:v>257</c:v>
                </c:pt>
                <c:pt idx="12">
                  <c:v>11569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Re-activación/Re-inclusión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Servicios!$N$11:$N$23</c:f>
              <c:numCache>
                <c:formatCode>0.00%</c:formatCode>
                <c:ptCount val="13"/>
                <c:pt idx="0">
                  <c:v>1</c:v>
                </c:pt>
                <c:pt idx="1">
                  <c:v>0.99228791773778924</c:v>
                </c:pt>
                <c:pt idx="2">
                  <c:v>0.9988276670574443</c:v>
                </c:pt>
                <c:pt idx="3">
                  <c:v>0.95959595959595956</c:v>
                </c:pt>
                <c:pt idx="4">
                  <c:v>1</c:v>
                </c:pt>
                <c:pt idx="5">
                  <c:v>0.98297213622291024</c:v>
                </c:pt>
                <c:pt idx="6">
                  <c:v>1</c:v>
                </c:pt>
                <c:pt idx="7">
                  <c:v>1</c:v>
                </c:pt>
                <c:pt idx="8">
                  <c:v>0.99024670109007462</c:v>
                </c:pt>
                <c:pt idx="9">
                  <c:v>0.99215246636771304</c:v>
                </c:pt>
                <c:pt idx="10">
                  <c:v>0.63636363636363635</c:v>
                </c:pt>
                <c:pt idx="11">
                  <c:v>0.9884615384615385</c:v>
                </c:pt>
                <c:pt idx="12">
                  <c:v>0.9995679972351823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  <c:max val="1"/>
          <c:min val="0.60000000000000009"/>
        </c:scaling>
        <c:delete val="0"/>
        <c:axPos val="r"/>
        <c:numFmt formatCode="0.00%" sourceLinked="1"/>
        <c:majorTickMark val="out"/>
        <c:minorTickMark val="none"/>
        <c:tickLblPos val="nextTo"/>
        <c:crossAx val="1672042192"/>
        <c:crosses val="max"/>
        <c:crossBetween val="between"/>
        <c:majorUnit val="0.1"/>
        <c:minorUnit val="5.000000000000001E-2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Servicios!$B$34:$B$52</c:f>
              <c:strCache>
                <c:ptCount val="19"/>
                <c:pt idx="0">
                  <c:v>Aplicación Descuento 2%</c:v>
                </c:pt>
                <c:pt idx="1">
                  <c:v>Pensión por Sobrevivencia Concubin@</c:v>
                </c:pt>
                <c:pt idx="2">
                  <c:v>Pensión por Sobrevivencia Conyuge</c:v>
                </c:pt>
                <c:pt idx="3">
                  <c:v>Pensión por Sobrevivencia Menor</c:v>
                </c:pt>
                <c:pt idx="4">
                  <c:v>Pensión por Sobrevivencia Padre/Madre</c:v>
                </c:pt>
                <c:pt idx="5">
                  <c:v>Pensión por Sobrevivencia Estudiante PN</c:v>
                </c:pt>
                <c:pt idx="6">
                  <c:v>Pensión por Sobrevivencia Hijo Discapacitado PN</c:v>
                </c:pt>
                <c:pt idx="7">
                  <c:v>Reactivación</c:v>
                </c:pt>
                <c:pt idx="8">
                  <c:v>Reembolso </c:v>
                </c:pt>
                <c:pt idx="9">
                  <c:v>Reinclusión</c:v>
                </c:pt>
                <c:pt idx="10">
                  <c:v>Retroactivo </c:v>
                </c:pt>
                <c:pt idx="11">
                  <c:v>Retroactivo Interno</c:v>
                </c:pt>
                <c:pt idx="12">
                  <c:v>Solicitud Inclusión a Nómina</c:v>
                </c:pt>
                <c:pt idx="13">
                  <c:v>Suspensión Descuento 2%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Servicios!$L$34:$L$52</c:f>
              <c:numCache>
                <c:formatCode>_(* #,##0_);_(* \(#,##0\);_(* "-"??_);_(@_)</c:formatCode>
                <c:ptCount val="19"/>
                <c:pt idx="0">
                  <c:v>614</c:v>
                </c:pt>
                <c:pt idx="1">
                  <c:v>5645</c:v>
                </c:pt>
                <c:pt idx="2">
                  <c:v>148</c:v>
                </c:pt>
                <c:pt idx="3">
                  <c:v>2711</c:v>
                </c:pt>
                <c:pt idx="4">
                  <c:v>5147</c:v>
                </c:pt>
                <c:pt idx="5">
                  <c:v>121</c:v>
                </c:pt>
                <c:pt idx="6">
                  <c:v>29</c:v>
                </c:pt>
                <c:pt idx="7">
                  <c:v>67</c:v>
                </c:pt>
                <c:pt idx="8">
                  <c:v>297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218</c:v>
                </c:pt>
                <c:pt idx="13">
                  <c:v>1538</c:v>
                </c:pt>
                <c:pt idx="14">
                  <c:v>428</c:v>
                </c:pt>
                <c:pt idx="15">
                  <c:v>1784</c:v>
                </c:pt>
                <c:pt idx="16">
                  <c:v>0</c:v>
                </c:pt>
                <c:pt idx="1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Servicios!$B$34:$B$52</c:f>
              <c:strCache>
                <c:ptCount val="19"/>
                <c:pt idx="0">
                  <c:v>Aplicación Descuento 2%</c:v>
                </c:pt>
                <c:pt idx="1">
                  <c:v>Pensión por Sobrevivencia Concubin@</c:v>
                </c:pt>
                <c:pt idx="2">
                  <c:v>Pensión por Sobrevivencia Conyuge</c:v>
                </c:pt>
                <c:pt idx="3">
                  <c:v>Pensión por Sobrevivencia Menor</c:v>
                </c:pt>
                <c:pt idx="4">
                  <c:v>Pensión por Sobrevivencia Padre/Madre</c:v>
                </c:pt>
                <c:pt idx="5">
                  <c:v>Pensión por Sobrevivencia Estudiante PN</c:v>
                </c:pt>
                <c:pt idx="6">
                  <c:v>Pensión por Sobrevivencia Hijo Discapacitado PN</c:v>
                </c:pt>
                <c:pt idx="7">
                  <c:v>Reactivación</c:v>
                </c:pt>
                <c:pt idx="8">
                  <c:v>Reembolso </c:v>
                </c:pt>
                <c:pt idx="9">
                  <c:v>Reinclusión</c:v>
                </c:pt>
                <c:pt idx="10">
                  <c:v>Retroactivo </c:v>
                </c:pt>
                <c:pt idx="11">
                  <c:v>Retroactivo Interno</c:v>
                </c:pt>
                <c:pt idx="12">
                  <c:v>Solicitud Inclusión a Nómina</c:v>
                </c:pt>
                <c:pt idx="13">
                  <c:v>Suspensión Descuento 2%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Servicios!$M$34:$M$52</c:f>
              <c:numCache>
                <c:formatCode>_(* #,##0_);_(* \(#,##0\);_(* "-"??_);_(@_)</c:formatCode>
                <c:ptCount val="19"/>
                <c:pt idx="0">
                  <c:v>65</c:v>
                </c:pt>
                <c:pt idx="1">
                  <c:v>4961</c:v>
                </c:pt>
                <c:pt idx="2">
                  <c:v>142</c:v>
                </c:pt>
                <c:pt idx="3">
                  <c:v>2028</c:v>
                </c:pt>
                <c:pt idx="4">
                  <c:v>3689</c:v>
                </c:pt>
                <c:pt idx="5">
                  <c:v>80</c:v>
                </c:pt>
                <c:pt idx="6">
                  <c:v>21</c:v>
                </c:pt>
                <c:pt idx="7">
                  <c:v>51</c:v>
                </c:pt>
                <c:pt idx="8">
                  <c:v>249</c:v>
                </c:pt>
                <c:pt idx="9">
                  <c:v>22</c:v>
                </c:pt>
                <c:pt idx="10">
                  <c:v>51</c:v>
                </c:pt>
                <c:pt idx="11">
                  <c:v>0</c:v>
                </c:pt>
                <c:pt idx="12">
                  <c:v>128</c:v>
                </c:pt>
                <c:pt idx="13">
                  <c:v>420</c:v>
                </c:pt>
                <c:pt idx="14">
                  <c:v>297</c:v>
                </c:pt>
                <c:pt idx="15">
                  <c:v>1797</c:v>
                </c:pt>
                <c:pt idx="16">
                  <c:v>0</c:v>
                </c:pt>
                <c:pt idx="17">
                  <c:v>129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Servicios!$B$34:$B$52</c:f>
              <c:strCache>
                <c:ptCount val="19"/>
                <c:pt idx="0">
                  <c:v>Aplicación Descuento 2%</c:v>
                </c:pt>
                <c:pt idx="1">
                  <c:v>Pensión por Sobrevivencia Concubin@</c:v>
                </c:pt>
                <c:pt idx="2">
                  <c:v>Pensión por Sobrevivencia Conyuge</c:v>
                </c:pt>
                <c:pt idx="3">
                  <c:v>Pensión por Sobrevivencia Menor</c:v>
                </c:pt>
                <c:pt idx="4">
                  <c:v>Pensión por Sobrevivencia Padre/Madre</c:v>
                </c:pt>
                <c:pt idx="5">
                  <c:v>Pensión por Sobrevivencia Estudiante PN</c:v>
                </c:pt>
                <c:pt idx="6">
                  <c:v>Pensión por Sobrevivencia Hijo Discapacitado PN</c:v>
                </c:pt>
                <c:pt idx="7">
                  <c:v>Reactivación</c:v>
                </c:pt>
                <c:pt idx="8">
                  <c:v>Reembolso </c:v>
                </c:pt>
                <c:pt idx="9">
                  <c:v>Reinclusión</c:v>
                </c:pt>
                <c:pt idx="10">
                  <c:v>Retroactivo </c:v>
                </c:pt>
                <c:pt idx="11">
                  <c:v>Retroactivo Interno</c:v>
                </c:pt>
                <c:pt idx="12">
                  <c:v>Solicitud Inclusión a Nómina</c:v>
                </c:pt>
                <c:pt idx="13">
                  <c:v>Suspensión Descuento 2%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Servicios!$N$34:$N$52</c:f>
              <c:numCache>
                <c:formatCode>0%</c:formatCode>
                <c:ptCount val="19"/>
                <c:pt idx="0">
                  <c:v>0.10586319218241043</c:v>
                </c:pt>
                <c:pt idx="1">
                  <c:v>0.87883082373782107</c:v>
                </c:pt>
                <c:pt idx="2">
                  <c:v>0.95945945945945943</c:v>
                </c:pt>
                <c:pt idx="3">
                  <c:v>0.74806344522316492</c:v>
                </c:pt>
                <c:pt idx="4">
                  <c:v>0.71672819117932773</c:v>
                </c:pt>
                <c:pt idx="5">
                  <c:v>0.66115702479338845</c:v>
                </c:pt>
                <c:pt idx="6">
                  <c:v>0.72413793103448276</c:v>
                </c:pt>
                <c:pt idx="7">
                  <c:v>0.76119402985074625</c:v>
                </c:pt>
                <c:pt idx="8">
                  <c:v>0.83838383838383834</c:v>
                </c:pt>
                <c:pt idx="9">
                  <c:v>0.95652173913043481</c:v>
                </c:pt>
                <c:pt idx="10">
                  <c:v>0</c:v>
                </c:pt>
                <c:pt idx="11">
                  <c:v>0</c:v>
                </c:pt>
                <c:pt idx="12">
                  <c:v>0.58715596330275233</c:v>
                </c:pt>
                <c:pt idx="13">
                  <c:v>0.27308192457737324</c:v>
                </c:pt>
                <c:pt idx="14">
                  <c:v>0.69392523364485981</c:v>
                </c:pt>
                <c:pt idx="15">
                  <c:v>1.0072869955156951</c:v>
                </c:pt>
                <c:pt idx="16">
                  <c:v>0</c:v>
                </c:pt>
                <c:pt idx="17">
                  <c:v>0</c:v>
                </c:pt>
                <c:pt idx="18">
                  <c:v>0.37209302325581395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672043824"/>
        <c:crosses val="autoZero"/>
        <c:crossBetween val="between"/>
        <c:majorUnit val="10"/>
      </c:valAx>
      <c:valAx>
        <c:axId val="1672046544"/>
        <c:scaling>
          <c:orientation val="minMax"/>
          <c:max val="1.1000000000000001"/>
        </c:scaling>
        <c:delete val="0"/>
        <c:axPos val="r"/>
        <c:numFmt formatCode="0.00%" sourceLinked="0"/>
        <c:majorTickMark val="out"/>
        <c:minorTickMark val="none"/>
        <c:tickLblPos val="nextTo"/>
        <c:crossAx val="1672377216"/>
        <c:crosses val="max"/>
        <c:crossBetween val="between"/>
        <c:majorUnit val="0.2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Servicios!$L$66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Servicios!$B$67:$B$70</c:f>
              <c:strCache>
                <c:ptCount val="4"/>
                <c:pt idx="0">
                  <c:v>Sobrevivencia Civil</c:v>
                </c:pt>
                <c:pt idx="1">
                  <c:v>Sobrevivencia Policía Nacional</c:v>
                </c:pt>
                <c:pt idx="2">
                  <c:v>Discapacidad Civil</c:v>
                </c:pt>
                <c:pt idx="3">
                  <c:v>Discapacidad Policía Nacional</c:v>
                </c:pt>
              </c:strCache>
            </c:strRef>
          </c:cat>
          <c:val>
            <c:numRef>
              <c:f>Servicios!$L$67:$L$70</c:f>
              <c:numCache>
                <c:formatCode>#,##0</c:formatCode>
                <c:ptCount val="4"/>
                <c:pt idx="0">
                  <c:v>21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A-4E09-8178-945075FB79EC}"/>
            </c:ext>
          </c:extLst>
        </c:ser>
        <c:ser>
          <c:idx val="22"/>
          <c:order val="1"/>
          <c:tx>
            <c:strRef>
              <c:f>Servicios!$M$66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Servicios!$B$67:$B$70</c:f>
              <c:strCache>
                <c:ptCount val="4"/>
                <c:pt idx="0">
                  <c:v>Sobrevivencia Civil</c:v>
                </c:pt>
                <c:pt idx="1">
                  <c:v>Sobrevivencia Policía Nacional</c:v>
                </c:pt>
                <c:pt idx="2">
                  <c:v>Discapacidad Civil</c:v>
                </c:pt>
                <c:pt idx="3">
                  <c:v>Discapacidad Policía Nacional</c:v>
                </c:pt>
              </c:strCache>
            </c:strRef>
          </c:cat>
          <c:val>
            <c:numRef>
              <c:f>Servicios!$M$67:$M$70</c:f>
              <c:numCache>
                <c:formatCode>#,##0</c:formatCode>
                <c:ptCount val="4"/>
                <c:pt idx="0">
                  <c:v>34</c:v>
                </c:pt>
                <c:pt idx="1">
                  <c:v>45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E09-8178-945075FB7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orientation val="minMax"/>
          <c:max val="3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Policia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Cotizantes'!$G$6</c:f>
              <c:strCache>
                <c:ptCount val="1"/>
                <c:pt idx="0">
                  <c:v>Afiliados Policia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'Afiliados y Cotizantes'!$A$11:$A$13</c:f>
            </c:multiLvlStrRef>
          </c:cat>
          <c:val>
            <c:numRef>
              <c:f>'Afiliados y Cotizantes'!$G$11:$G$13</c:f>
            </c:numRef>
          </c:val>
          <c:extLst>
            <c:ext xmlns:c16="http://schemas.microsoft.com/office/drawing/2014/chart" uri="{C3380CC4-5D6E-409C-BE32-E72D297353CC}">
              <c16:uniqueId val="{00000000-7C7C-4C5D-AA0A-07EE66F30F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9749986219490579E-3"/>
                  <c:y val="0.49591560394925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31-4DD5-A172-124F91BB1E3C}"/>
                </c:ext>
              </c:extLst>
            </c:dLbl>
            <c:dLbl>
              <c:idx val="1"/>
              <c:layout>
                <c:manualLayout>
                  <c:x val="4.098818268291683E-4"/>
                  <c:y val="0.48894927885618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31-4DD5-A172-124F91BB1E3C}"/>
                </c:ext>
              </c:extLst>
            </c:dLbl>
            <c:dLbl>
              <c:idx val="2"/>
              <c:layout>
                <c:manualLayout>
                  <c:x val="-2.9916662073163434E-3"/>
                  <c:y val="0.49524866309081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Cotizantes'!$B$7:$B$9</c:f>
              <c:numCache>
                <c:formatCode>_(* #,##0_);_(* \(#,##0\);_(* "-"??_);_(@_)</c:formatCode>
                <c:ptCount val="3"/>
                <c:pt idx="0">
                  <c:v>93349</c:v>
                </c:pt>
                <c:pt idx="1">
                  <c:v>93301</c:v>
                </c:pt>
                <c:pt idx="2">
                  <c:v>93143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1-4DD5-A172-124F91BB1E3C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31-4DD5-A172-124F91BB1E3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50" b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31-4DD5-A172-124F91BB1E3C}"/>
                </c:ext>
              </c:extLst>
            </c:dLbl>
            <c:dLbl>
              <c:idx val="2"/>
              <c:layout>
                <c:manualLayout>
                  <c:x val="2.5860245373163326E-3"/>
                  <c:y val="0.20043120170901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Cotizantes'!$C$7:$C$9</c:f>
              <c:numCache>
                <c:formatCode>_(* #,##0_);_(* \(#,##0\);_(* "-"??_);_(@_)</c:formatCode>
                <c:ptCount val="3"/>
                <c:pt idx="0">
                  <c:v>28370</c:v>
                </c:pt>
                <c:pt idx="1">
                  <c:v>29218</c:v>
                </c:pt>
                <c:pt idx="2">
                  <c:v>28435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31-4DD5-A172-124F91BB1E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7560538839129894E-2"/>
                  <c:y val="-0.423258071128098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31-4DD5-A172-124F91BB1E3C}"/>
                </c:ext>
              </c:extLst>
            </c:dLbl>
            <c:dLbl>
              <c:idx val="1"/>
              <c:layout>
                <c:manualLayout>
                  <c:x val="-3.5201781996576781E-2"/>
                  <c:y val="-0.14221807396270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31-4DD5-A172-124F91BB1E3C}"/>
                </c:ext>
              </c:extLst>
            </c:dLbl>
            <c:dLbl>
              <c:idx val="2"/>
              <c:layout>
                <c:manualLayout>
                  <c:x val="-1.0742790673351148E-2"/>
                  <c:y val="-0.358856342194930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0.30391327170082166</c:v>
                </c:pt>
                <c:pt idx="1">
                  <c:v>0.31315848704729854</c:v>
                </c:pt>
                <c:pt idx="2">
                  <c:v>0.30528327410540779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31-4DD5-A172-124F91BB1E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4892115814746"/>
          <c:y val="0.11479713174635285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7176332025445854E-3"/>
                  <c:y val="0.51939712725065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E-43E1-B9A8-BA03370DCA78}"/>
                </c:ext>
              </c:extLst>
            </c:dLbl>
            <c:dLbl>
              <c:idx val="1"/>
              <c:layout>
                <c:manualLayout>
                  <c:x val="-1.3588166012722802E-4"/>
                  <c:y val="0.50088160586238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E-43E1-B9A8-BA03370DCA78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Cotizantes'!$B$7:$B$9</c:f>
              <c:numCache>
                <c:formatCode>_(* #,##0_);_(* \(#,##0\);_(* "-"??_);_(@_)</c:formatCode>
                <c:ptCount val="3"/>
                <c:pt idx="0">
                  <c:v>93349</c:v>
                </c:pt>
                <c:pt idx="1">
                  <c:v>93301</c:v>
                </c:pt>
                <c:pt idx="2">
                  <c:v>93143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2E-43E1-B9A8-BA03370DCA78}"/>
            </c:ext>
          </c:extLst>
        </c:ser>
        <c:ser>
          <c:idx val="1"/>
          <c:order val="1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E-43E1-B9A8-BA03370DCA78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2E-43E1-B9A8-BA03370DCA78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Cotizantes'!$E$7:$E$9</c:f>
              <c:numCache>
                <c:formatCode>_(* #,##0_);_(* \(#,##0\);_(* "-"??_);_(@_)</c:formatCode>
                <c:ptCount val="3"/>
                <c:pt idx="0">
                  <c:v>64979</c:v>
                </c:pt>
                <c:pt idx="1">
                  <c:v>64083</c:v>
                </c:pt>
                <c:pt idx="2">
                  <c:v>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2E-43E1-B9A8-BA03370D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2097704691276893E-2"/>
                  <c:y val="-0.11590711893362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2E-43E1-B9A8-BA03370DCA78}"/>
                </c:ext>
              </c:extLst>
            </c:dLbl>
            <c:dLbl>
              <c:idx val="1"/>
              <c:layout>
                <c:manualLayout>
                  <c:x val="-5.6116985763881758E-2"/>
                  <c:y val="-0.47370512734057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2E-43E1-B9A8-BA03370DCA78}"/>
                </c:ext>
              </c:extLst>
            </c:dLbl>
            <c:dLbl>
              <c:idx val="2"/>
              <c:layout>
                <c:manualLayout>
                  <c:x val="-4.3888492299896699E-2"/>
                  <c:y val="-0.14296625980623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0.69608672829917839</c:v>
                </c:pt>
                <c:pt idx="1">
                  <c:v>0.68684151295270146</c:v>
                </c:pt>
                <c:pt idx="2">
                  <c:v>0.69471672589459221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2E-43E1-B9A8-BA03370D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Policia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158035646521756E-2"/>
          <c:y val="0.15470529868772639"/>
          <c:w val="0.93906540197206523"/>
          <c:h val="0.72936219924709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Cotizantes'!$G$6</c:f>
              <c:strCache>
                <c:ptCount val="1"/>
                <c:pt idx="0">
                  <c:v>Afiliados Policia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Junio*</c:v>
                </c:pt>
                <c:pt idx="1">
                  <c:v>Mayo</c:v>
                </c:pt>
                <c:pt idx="2">
                  <c:v>Abril</c:v>
                </c:pt>
              </c:strCache>
            </c:strRef>
          </c:cat>
          <c:val>
            <c:numRef>
              <c:f>'Afiliados y Cotizantes'!$G$7:$G$9</c:f>
              <c:numCache>
                <c:formatCode>_(* #,##0_);_(* \(#,##0\);_(* "-"??_);_(@_)</c:formatCode>
                <c:ptCount val="3"/>
                <c:pt idx="0">
                  <c:v>54661</c:v>
                </c:pt>
                <c:pt idx="1">
                  <c:v>54574</c:v>
                </c:pt>
                <c:pt idx="2">
                  <c:v>54538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60B-884F-92E62973385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8DE-4B70-BA73-C7C07DE8A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8DE-4B70-BA73-C7C07DE8AF7D}"/>
              </c:ext>
            </c:extLst>
          </c:dPt>
          <c:dLbls>
            <c:dLbl>
              <c:idx val="0"/>
              <c:layout>
                <c:manualLayout>
                  <c:x val="-1.1111111111111212E-2"/>
                  <c:y val="1.85185185185185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5ADBC7-5411-4290-B943-6C66BE3523E4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8DE-4B70-BA73-C7C07DE8AF7D}"/>
                </c:ext>
              </c:extLst>
            </c:dLbl>
            <c:dLbl>
              <c:idx val="1"/>
              <c:layout>
                <c:manualLayout>
                  <c:x val="0"/>
                  <c:y val="-0.50462962962962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CB9E1A-261F-454E-8E34-7C39B60AE95C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endParaRPr lang="en-US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r>
                      <a:rPr lang="en-US"/>
                      <a:t>69%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37510936132984"/>
                      <c:h val="0.144467774861475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DE-4B70-BA73-C7C07DE8AF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'Afiliados y Cotizantes'!$Y$74:$Y$75</c:f>
              <c:strCache>
                <c:ptCount val="2"/>
                <c:pt idx="0">
                  <c:v>Cotizantes</c:v>
                </c:pt>
                <c:pt idx="1">
                  <c:v>No Cotizantes</c:v>
                </c:pt>
              </c:strCache>
            </c:strRef>
          </c:cat>
          <c:val>
            <c:numRef>
              <c:f>'Afiliados y Cotizantes'!$Z$74:$Z$75</c:f>
              <c:numCache>
                <c:formatCode>0%</c:formatCode>
                <c:ptCount val="2"/>
                <c:pt idx="0">
                  <c:v>0.30799472288709667</c:v>
                </c:pt>
                <c:pt idx="1">
                  <c:v>0.69254832238215736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E-4B70-BA73-C7C07DE8AF7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5.xml"/><Relationship Id="rId7" Type="http://schemas.openxmlformats.org/officeDocument/2006/relationships/chart" Target="../charts/chart27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image" Target="../media/image3.png"/><Relationship Id="rId10" Type="http://schemas.openxmlformats.org/officeDocument/2006/relationships/chart" Target="../charts/chart30.xml"/><Relationship Id="rId4" Type="http://schemas.openxmlformats.org/officeDocument/2006/relationships/image" Target="../media/image1.png"/><Relationship Id="rId9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../media/image1.png"/><Relationship Id="rId1" Type="http://schemas.openxmlformats.org/officeDocument/2006/relationships/chart" Target="../charts/chart33.xml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Relationship Id="rId9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4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4.xml"/><Relationship Id="rId7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49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5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674810</xdr:colOff>
      <xdr:row>54</xdr:row>
      <xdr:rowOff>155331</xdr:rowOff>
    </xdr:from>
    <xdr:to>
      <xdr:col>5</xdr:col>
      <xdr:colOff>253512</xdr:colOff>
      <xdr:row>71</xdr:row>
      <xdr:rowOff>23447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1</xdr:row>
      <xdr:rowOff>19050</xdr:rowOff>
    </xdr:from>
    <xdr:to>
      <xdr:col>6</xdr:col>
      <xdr:colOff>342900</xdr:colOff>
      <xdr:row>4</xdr:row>
      <xdr:rowOff>9525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09550"/>
          <a:ext cx="1657350" cy="561975"/>
        </a:xfrm>
        <a:prstGeom prst="rect">
          <a:avLst/>
        </a:prstGeom>
      </xdr:spPr>
    </xdr:pic>
    <xdr:clientData/>
  </xdr:twoCellAnchor>
  <xdr:twoCellAnchor>
    <xdr:from>
      <xdr:col>2</xdr:col>
      <xdr:colOff>139212</xdr:colOff>
      <xdr:row>33</xdr:row>
      <xdr:rowOff>80596</xdr:rowOff>
    </xdr:from>
    <xdr:to>
      <xdr:col>4</xdr:col>
      <xdr:colOff>131885</xdr:colOff>
      <xdr:row>34</xdr:row>
      <xdr:rowOff>139211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05F560-0670-97A6-6B39-0A52AC835241}"/>
            </a:ext>
          </a:extLst>
        </xdr:cNvPr>
        <xdr:cNvSpPr txBox="1"/>
      </xdr:nvSpPr>
      <xdr:spPr>
        <a:xfrm>
          <a:off x="1948962" y="3480288"/>
          <a:ext cx="1670538" cy="249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Programado vs Ejecutado</a:t>
          </a:r>
          <a:endParaRPr lang="es-DO">
            <a:solidFill>
              <a:schemeClr val="accent1"/>
            </a:solidFill>
            <a:effectLst/>
          </a:endParaRPr>
        </a:p>
        <a:p>
          <a:endParaRPr lang="es-DO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698500</xdr:colOff>
      <xdr:row>35</xdr:row>
      <xdr:rowOff>25399</xdr:rowOff>
    </xdr:from>
    <xdr:to>
      <xdr:col>5</xdr:col>
      <xdr:colOff>275615</xdr:colOff>
      <xdr:row>51</xdr:row>
      <xdr:rowOff>84015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1A0C5000-25F2-4CD1-AB0A-115A5C00C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48</xdr:row>
      <xdr:rowOff>7082</xdr:rowOff>
    </xdr:from>
    <xdr:to>
      <xdr:col>2</xdr:col>
      <xdr:colOff>1155700</xdr:colOff>
      <xdr:row>61</xdr:row>
      <xdr:rowOff>58614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236294</xdr:colOff>
      <xdr:row>2</xdr:row>
      <xdr:rowOff>28696</xdr:rowOff>
    </xdr:from>
    <xdr:to>
      <xdr:col>0</xdr:col>
      <xdr:colOff>815121</xdr:colOff>
      <xdr:row>4</xdr:row>
      <xdr:rowOff>11876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94" y="409696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1356093</xdr:colOff>
      <xdr:row>1</xdr:row>
      <xdr:rowOff>134327</xdr:rowOff>
    </xdr:from>
    <xdr:to>
      <xdr:col>4</xdr:col>
      <xdr:colOff>145194</xdr:colOff>
      <xdr:row>3</xdr:row>
      <xdr:rowOff>163499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656" y="324827"/>
          <a:ext cx="1646601" cy="410172"/>
        </a:xfrm>
        <a:prstGeom prst="rect">
          <a:avLst/>
        </a:prstGeom>
      </xdr:spPr>
    </xdr:pic>
    <xdr:clientData/>
  </xdr:twoCellAnchor>
  <xdr:twoCellAnchor>
    <xdr:from>
      <xdr:col>3</xdr:col>
      <xdr:colOff>433387</xdr:colOff>
      <xdr:row>48</xdr:row>
      <xdr:rowOff>103188</xdr:rowOff>
    </xdr:from>
    <xdr:to>
      <xdr:col>8</xdr:col>
      <xdr:colOff>652462</xdr:colOff>
      <xdr:row>61</xdr:row>
      <xdr:rowOff>165101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343442</xdr:colOff>
      <xdr:row>32</xdr:row>
      <xdr:rowOff>0</xdr:rowOff>
    </xdr:from>
    <xdr:to>
      <xdr:col>2</xdr:col>
      <xdr:colOff>1216567</xdr:colOff>
      <xdr:row>45</xdr:row>
      <xdr:rowOff>51532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1E93BF7-7D2F-4596-A762-57483736C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468149</xdr:colOff>
      <xdr:row>33</xdr:row>
      <xdr:rowOff>10948</xdr:rowOff>
    </xdr:from>
    <xdr:to>
      <xdr:col>8</xdr:col>
      <xdr:colOff>687224</xdr:colOff>
      <xdr:row>62</xdr:row>
      <xdr:rowOff>82386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4A3A4F3-3E2E-4230-9973-1A8352DD6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163767</xdr:colOff>
      <xdr:row>69</xdr:row>
      <xdr:rowOff>148168</xdr:rowOff>
    </xdr:from>
    <xdr:to>
      <xdr:col>6</xdr:col>
      <xdr:colOff>707619</xdr:colOff>
      <xdr:row>90</xdr:row>
      <xdr:rowOff>80432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7</xdr:col>
      <xdr:colOff>974344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91407</xdr:colOff>
      <xdr:row>57</xdr:row>
      <xdr:rowOff>125186</xdr:rowOff>
    </xdr:from>
    <xdr:to>
      <xdr:col>6</xdr:col>
      <xdr:colOff>276989</xdr:colOff>
      <xdr:row>75</xdr:row>
      <xdr:rowOff>137933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F9F111A3-5B70-420B-B6C6-FF837AD88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261607</xdr:colOff>
      <xdr:row>31</xdr:row>
      <xdr:rowOff>95556</xdr:rowOff>
    </xdr:from>
    <xdr:to>
      <xdr:col>4</xdr:col>
      <xdr:colOff>1268785</xdr:colOff>
      <xdr:row>32</xdr:row>
      <xdr:rowOff>136270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8508CB0-2E01-459C-8A10-2C7A8EE58F31}"/>
            </a:ext>
          </a:extLst>
        </xdr:cNvPr>
        <xdr:cNvSpPr txBox="1"/>
      </xdr:nvSpPr>
      <xdr:spPr>
        <a:xfrm>
          <a:off x="3578548" y="2955297"/>
          <a:ext cx="2253272" cy="220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 b="1">
              <a:solidFill>
                <a:schemeClr val="accent1"/>
              </a:solidFill>
            </a:rPr>
            <a:t>Programado Total vs Ejecutado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238781</xdr:colOff>
      <xdr:row>76</xdr:row>
      <xdr:rowOff>75581</xdr:rowOff>
    </xdr:from>
    <xdr:to>
      <xdr:col>6</xdr:col>
      <xdr:colOff>103532</xdr:colOff>
      <xdr:row>88</xdr:row>
      <xdr:rowOff>100427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407987</xdr:colOff>
      <xdr:row>90</xdr:row>
      <xdr:rowOff>18324</xdr:rowOff>
    </xdr:from>
    <xdr:to>
      <xdr:col>6</xdr:col>
      <xdr:colOff>792184</xdr:colOff>
      <xdr:row>101</xdr:row>
      <xdr:rowOff>131625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145981</xdr:colOff>
      <xdr:row>75</xdr:row>
      <xdr:rowOff>108710</xdr:rowOff>
    </xdr:from>
    <xdr:to>
      <xdr:col>13</xdr:col>
      <xdr:colOff>130452</xdr:colOff>
      <xdr:row>87</xdr:row>
      <xdr:rowOff>121134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145359</xdr:colOff>
      <xdr:row>51</xdr:row>
      <xdr:rowOff>136901</xdr:rowOff>
    </xdr:from>
    <xdr:to>
      <xdr:col>3</xdr:col>
      <xdr:colOff>1106887</xdr:colOff>
      <xdr:row>52</xdr:row>
      <xdr:rowOff>155951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455172" y="6994901"/>
          <a:ext cx="96152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34</xdr:row>
      <xdr:rowOff>4141</xdr:rowOff>
    </xdr:from>
    <xdr:to>
      <xdr:col>12</xdr:col>
      <xdr:colOff>324932</xdr:colOff>
      <xdr:row>34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869878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288946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  <xdr:twoCellAnchor>
    <xdr:from>
      <xdr:col>7</xdr:col>
      <xdr:colOff>381000</xdr:colOff>
      <xdr:row>87</xdr:row>
      <xdr:rowOff>104774</xdr:rowOff>
    </xdr:from>
    <xdr:to>
      <xdr:col>13</xdr:col>
      <xdr:colOff>185738</xdr:colOff>
      <xdr:row>101</xdr:row>
      <xdr:rowOff>180974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2BF6BF-17CA-41F1-AC5B-7C97748A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623889</xdr:colOff>
      <xdr:row>36</xdr:row>
      <xdr:rowOff>90487</xdr:rowOff>
    </xdr:from>
    <xdr:to>
      <xdr:col>6</xdr:col>
      <xdr:colOff>488640</xdr:colOff>
      <xdr:row>48</xdr:row>
      <xdr:rowOff>115333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B8779DCD-71A6-4AD6-B258-C5D46B28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428625</xdr:colOff>
      <xdr:row>37</xdr:row>
      <xdr:rowOff>119062</xdr:rowOff>
    </xdr:from>
    <xdr:to>
      <xdr:col>13</xdr:col>
      <xdr:colOff>413096</xdr:colOff>
      <xdr:row>49</xdr:row>
      <xdr:rowOff>131486</xdr:rowOff>
    </xdr:to>
    <xdr:graphicFrame macro="">
      <xdr:nvGraphicFramePr>
        <xdr:cNvPr id="8" name="3 Gráfico">
          <a:extLst>
            <a:ext uri="{FF2B5EF4-FFF2-40B4-BE49-F238E27FC236}">
              <a16:creationId xmlns:a16="http://schemas.microsoft.com/office/drawing/2014/main" id="{3B93A0B1-E3C2-49F9-B0A0-72EB4066F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452438</xdr:colOff>
      <xdr:row>53</xdr:row>
      <xdr:rowOff>119063</xdr:rowOff>
    </xdr:from>
    <xdr:to>
      <xdr:col>6</xdr:col>
      <xdr:colOff>836635</xdr:colOff>
      <xdr:row>65</xdr:row>
      <xdr:rowOff>41864</xdr:rowOff>
    </xdr:to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id="{CEB296AD-AD40-42C9-B99C-3EE9C7E46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23812</xdr:colOff>
      <xdr:row>50</xdr:row>
      <xdr:rowOff>47624</xdr:rowOff>
    </xdr:from>
    <xdr:to>
      <xdr:col>22</xdr:col>
      <xdr:colOff>33618</xdr:colOff>
      <xdr:row>65</xdr:row>
      <xdr:rowOff>11205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94D01AE7-30DB-4FBD-8086-E33D01ECF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446942</xdr:colOff>
      <xdr:row>1</xdr:row>
      <xdr:rowOff>36635</xdr:rowOff>
    </xdr:from>
    <xdr:to>
      <xdr:col>3</xdr:col>
      <xdr:colOff>660421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</xdr:row>
      <xdr:rowOff>9525</xdr:rowOff>
    </xdr:from>
    <xdr:to>
      <xdr:col>16</xdr:col>
      <xdr:colOff>709795</xdr:colOff>
      <xdr:row>4</xdr:row>
      <xdr:rowOff>7169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17</xdr:col>
      <xdr:colOff>180687</xdr:colOff>
      <xdr:row>1</xdr:row>
      <xdr:rowOff>11207</xdr:rowOff>
    </xdr:from>
    <xdr:to>
      <xdr:col>22</xdr:col>
      <xdr:colOff>641136</xdr:colOff>
      <xdr:row>21</xdr:row>
      <xdr:rowOff>206510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9759A0-5C3E-1BAD-FEDD-D69933DC8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156883</xdr:colOff>
      <xdr:row>21</xdr:row>
      <xdr:rowOff>280145</xdr:rowOff>
    </xdr:from>
    <xdr:to>
      <xdr:col>23</xdr:col>
      <xdr:colOff>493060</xdr:colOff>
      <xdr:row>40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9FEB011-C2DE-4517-87BA-5115AABBC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34</xdr:row>
      <xdr:rowOff>143915</xdr:rowOff>
    </xdr:from>
    <xdr:to>
      <xdr:col>18</xdr:col>
      <xdr:colOff>646043</xdr:colOff>
      <xdr:row>49</xdr:row>
      <xdr:rowOff>49696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4</xdr:col>
      <xdr:colOff>357520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111403</xdr:colOff>
      <xdr:row>34</xdr:row>
      <xdr:rowOff>102013</xdr:rowOff>
    </xdr:from>
    <xdr:to>
      <xdr:col>8</xdr:col>
      <xdr:colOff>256762</xdr:colOff>
      <xdr:row>49</xdr:row>
      <xdr:rowOff>182218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865187</xdr:colOff>
      <xdr:row>1</xdr:row>
      <xdr:rowOff>119062</xdr:rowOff>
    </xdr:from>
    <xdr:to>
      <xdr:col>14</xdr:col>
      <xdr:colOff>558078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  <xdr:twoCellAnchor>
    <xdr:from>
      <xdr:col>12</xdr:col>
      <xdr:colOff>629478</xdr:colOff>
      <xdr:row>33</xdr:row>
      <xdr:rowOff>67917</xdr:rowOff>
    </xdr:from>
    <xdr:to>
      <xdr:col>13</xdr:col>
      <xdr:colOff>368990</xdr:colOff>
      <xdr:row>34</xdr:row>
      <xdr:rowOff>117613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CE4496F-D8FC-CEEB-BE14-D5023697E9AC}"/>
            </a:ext>
          </a:extLst>
        </xdr:cNvPr>
        <xdr:cNvSpPr txBox="1"/>
      </xdr:nvSpPr>
      <xdr:spPr>
        <a:xfrm>
          <a:off x="7630353" y="3096867"/>
          <a:ext cx="444362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2</xdr:col>
      <xdr:colOff>434009</xdr:colOff>
      <xdr:row>33</xdr:row>
      <xdr:rowOff>36444</xdr:rowOff>
    </xdr:from>
    <xdr:to>
      <xdr:col>3</xdr:col>
      <xdr:colOff>273328</xdr:colOff>
      <xdr:row>34</xdr:row>
      <xdr:rowOff>86140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5675C8-07B1-4698-AACB-19A6DB968645}"/>
            </a:ext>
          </a:extLst>
        </xdr:cNvPr>
        <xdr:cNvSpPr txBox="1"/>
      </xdr:nvSpPr>
      <xdr:spPr>
        <a:xfrm>
          <a:off x="2090531" y="2844248"/>
          <a:ext cx="73384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MONTO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499965</xdr:colOff>
      <xdr:row>5</xdr:row>
      <xdr:rowOff>106479</xdr:rowOff>
    </xdr:from>
    <xdr:to>
      <xdr:col>17</xdr:col>
      <xdr:colOff>965641</xdr:colOff>
      <xdr:row>7</xdr:row>
      <xdr:rowOff>266099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878" y="868479"/>
          <a:ext cx="2238155" cy="548903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14</xdr:col>
      <xdr:colOff>11537</xdr:colOff>
      <xdr:row>7</xdr:row>
      <xdr:rowOff>349234</xdr:rowOff>
    </xdr:from>
    <xdr:to>
      <xdr:col>18</xdr:col>
      <xdr:colOff>1021772</xdr:colOff>
      <xdr:row>19</xdr:row>
      <xdr:rowOff>34637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637008</xdr:colOff>
      <xdr:row>7</xdr:row>
      <xdr:rowOff>375728</xdr:rowOff>
    </xdr:from>
    <xdr:to>
      <xdr:col>24</xdr:col>
      <xdr:colOff>221371</xdr:colOff>
      <xdr:row>22</xdr:row>
      <xdr:rowOff>115352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752257</xdr:colOff>
      <xdr:row>31</xdr:row>
      <xdr:rowOff>234350</xdr:rowOff>
    </xdr:from>
    <xdr:to>
      <xdr:col>19</xdr:col>
      <xdr:colOff>295252</xdr:colOff>
      <xdr:row>46</xdr:row>
      <xdr:rowOff>108845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840441</xdr:colOff>
      <xdr:row>32</xdr:row>
      <xdr:rowOff>5243</xdr:rowOff>
    </xdr:from>
    <xdr:to>
      <xdr:col>24</xdr:col>
      <xdr:colOff>674078</xdr:colOff>
      <xdr:row>46</xdr:row>
      <xdr:rowOff>29306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32644</xdr:colOff>
      <xdr:row>51</xdr:row>
      <xdr:rowOff>169062</xdr:rowOff>
    </xdr:from>
    <xdr:to>
      <xdr:col>18</xdr:col>
      <xdr:colOff>965169</xdr:colOff>
      <xdr:row>67</xdr:row>
      <xdr:rowOff>2143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165562</xdr:colOff>
      <xdr:row>52</xdr:row>
      <xdr:rowOff>43432</xdr:rowOff>
    </xdr:from>
    <xdr:to>
      <xdr:col>25</xdr:col>
      <xdr:colOff>221591</xdr:colOff>
      <xdr:row>67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20</xdr:col>
      <xdr:colOff>744862</xdr:colOff>
      <xdr:row>5</xdr:row>
      <xdr:rowOff>170527</xdr:rowOff>
    </xdr:from>
    <xdr:to>
      <xdr:col>22</xdr:col>
      <xdr:colOff>897569</xdr:colOff>
      <xdr:row>7</xdr:row>
      <xdr:rowOff>330147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7862" y="932527"/>
          <a:ext cx="2231642" cy="548903"/>
        </a:xfrm>
        <a:prstGeom prst="rect">
          <a:avLst/>
        </a:prstGeom>
      </xdr:spPr>
    </xdr:pic>
    <xdr:clientData/>
  </xdr:twoCellAnchor>
  <xdr:twoCellAnchor editAs="oneCell">
    <xdr:from>
      <xdr:col>8</xdr:col>
      <xdr:colOff>530173</xdr:colOff>
      <xdr:row>0</xdr:row>
      <xdr:rowOff>0</xdr:rowOff>
    </xdr:from>
    <xdr:to>
      <xdr:col>11</xdr:col>
      <xdr:colOff>762207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638487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18</xdr:col>
      <xdr:colOff>932041</xdr:colOff>
      <xdr:row>2</xdr:row>
      <xdr:rowOff>151890</xdr:rowOff>
    </xdr:from>
    <xdr:to>
      <xdr:col>24</xdr:col>
      <xdr:colOff>21343</xdr:colOff>
      <xdr:row>36</xdr:row>
      <xdr:rowOff>48337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15</xdr:col>
      <xdr:colOff>262100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  <xdr:twoCellAnchor>
    <xdr:from>
      <xdr:col>6</xdr:col>
      <xdr:colOff>137160</xdr:colOff>
      <xdr:row>35</xdr:row>
      <xdr:rowOff>99060</xdr:rowOff>
    </xdr:from>
    <xdr:to>
      <xdr:col>11</xdr:col>
      <xdr:colOff>135666</xdr:colOff>
      <xdr:row>53</xdr:row>
      <xdr:rowOff>60623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394A1D-D996-48A2-A155-15289474A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17845</xdr:colOff>
      <xdr:row>32</xdr:row>
      <xdr:rowOff>146415</xdr:rowOff>
    </xdr:from>
    <xdr:to>
      <xdr:col>6</xdr:col>
      <xdr:colOff>484621</xdr:colOff>
      <xdr:row>34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08227" y="2936680"/>
          <a:ext cx="3750100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372484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0</xdr:row>
      <xdr:rowOff>157370</xdr:rowOff>
    </xdr:from>
    <xdr:to>
      <xdr:col>9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  <xdr:twoCellAnchor>
    <xdr:from>
      <xdr:col>0</xdr:col>
      <xdr:colOff>728382</xdr:colOff>
      <xdr:row>34</xdr:row>
      <xdr:rowOff>123265</xdr:rowOff>
    </xdr:from>
    <xdr:to>
      <xdr:col>7</xdr:col>
      <xdr:colOff>659925</xdr:colOff>
      <xdr:row>49</xdr:row>
      <xdr:rowOff>97688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5764D4A6-A412-4894-B9AB-770947AF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418632</xdr:colOff>
      <xdr:row>46</xdr:row>
      <xdr:rowOff>108284</xdr:rowOff>
    </xdr:from>
    <xdr:to>
      <xdr:col>5</xdr:col>
      <xdr:colOff>505888</xdr:colOff>
      <xdr:row>58</xdr:row>
      <xdr:rowOff>51867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266242</xdr:colOff>
      <xdr:row>29</xdr:row>
      <xdr:rowOff>4587</xdr:rowOff>
    </xdr:from>
    <xdr:to>
      <xdr:col>9</xdr:col>
      <xdr:colOff>612806</xdr:colOff>
      <xdr:row>30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0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5</xdr:col>
      <xdr:colOff>860287</xdr:colOff>
      <xdr:row>45</xdr:row>
      <xdr:rowOff>127302</xdr:rowOff>
    </xdr:from>
    <xdr:to>
      <xdr:col>11</xdr:col>
      <xdr:colOff>663298</xdr:colOff>
      <xdr:row>57</xdr:row>
      <xdr:rowOff>65652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1</xdr:col>
      <xdr:colOff>457200</xdr:colOff>
      <xdr:row>28</xdr:row>
      <xdr:rowOff>185837</xdr:rowOff>
    </xdr:from>
    <xdr:to>
      <xdr:col>3</xdr:col>
      <xdr:colOff>449874</xdr:colOff>
      <xdr:row>30</xdr:row>
      <xdr:rowOff>71537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266825" y="3824387"/>
          <a:ext cx="16309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12</xdr:col>
      <xdr:colOff>634403</xdr:colOff>
      <xdr:row>43</xdr:row>
      <xdr:rowOff>101870</xdr:rowOff>
    </xdr:from>
    <xdr:to>
      <xdr:col>18</xdr:col>
      <xdr:colOff>652740</xdr:colOff>
      <xdr:row>57</xdr:row>
      <xdr:rowOff>179191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B5FE624-4100-C68A-BE51-0D04822C9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333375</xdr:colOff>
      <xdr:row>31</xdr:row>
      <xdr:rowOff>19050</xdr:rowOff>
    </xdr:from>
    <xdr:to>
      <xdr:col>5</xdr:col>
      <xdr:colOff>420631</xdr:colOff>
      <xdr:row>42</xdr:row>
      <xdr:rowOff>153133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3553C151-FF51-4B48-A33C-0BB739263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809625</xdr:colOff>
      <xdr:row>30</xdr:row>
      <xdr:rowOff>123825</xdr:rowOff>
    </xdr:from>
    <xdr:to>
      <xdr:col>11</xdr:col>
      <xdr:colOff>612636</xdr:colOff>
      <xdr:row>42</xdr:row>
      <xdr:rowOff>62175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1B634670-15A7-498B-83C9-A2BD7941B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688652</xdr:colOff>
      <xdr:row>27</xdr:row>
      <xdr:rowOff>27505</xdr:rowOff>
    </xdr:from>
    <xdr:to>
      <xdr:col>18</xdr:col>
      <xdr:colOff>701896</xdr:colOff>
      <xdr:row>41</xdr:row>
      <xdr:rowOff>149650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B384E77-B361-4F9B-B8B4-CD24BB733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182486</xdr:colOff>
      <xdr:row>60</xdr:row>
      <xdr:rowOff>52945</xdr:rowOff>
    </xdr:from>
    <xdr:to>
      <xdr:col>9</xdr:col>
      <xdr:colOff>533006</xdr:colOff>
      <xdr:row>74</xdr:row>
      <xdr:rowOff>129145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BBE4448-8128-68B7-F833-1805DCF9C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65019</xdr:colOff>
      <xdr:row>39</xdr:row>
      <xdr:rowOff>88625</xdr:rowOff>
    </xdr:from>
    <xdr:to>
      <xdr:col>5</xdr:col>
      <xdr:colOff>195884</xdr:colOff>
      <xdr:row>41</xdr:row>
      <xdr:rowOff>163168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3CF2A34-922B-238A-7CE5-F0C850928E51}"/>
            </a:ext>
          </a:extLst>
        </xdr:cNvPr>
        <xdr:cNvSpPr txBox="1"/>
      </xdr:nvSpPr>
      <xdr:spPr>
        <a:xfrm>
          <a:off x="1817619" y="2812775"/>
          <a:ext cx="2759765" cy="455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Recuperación de Fondos</a:t>
          </a:r>
          <a:endParaRPr lang="es-DO">
            <a:solidFill>
              <a:schemeClr val="accent1"/>
            </a:solidFill>
            <a:effectLst/>
          </a:endParaRPr>
        </a:p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Monto solicitado / Total Recuperado</a:t>
          </a:r>
          <a:endParaRPr lang="es-DO">
            <a:solidFill>
              <a:schemeClr val="accent1"/>
            </a:solidFill>
            <a:effectLst/>
          </a:endParaRPr>
        </a:p>
        <a:p>
          <a:pPr algn="ctr"/>
          <a:endParaRPr lang="es-DO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238125</xdr:colOff>
      <xdr:row>41</xdr:row>
      <xdr:rowOff>152400</xdr:rowOff>
    </xdr:from>
    <xdr:to>
      <xdr:col>5</xdr:col>
      <xdr:colOff>717060</xdr:colOff>
      <xdr:row>59</xdr:row>
      <xdr:rowOff>105020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39409961-1378-4CF9-BE55-0452D2CF9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571424</xdr:colOff>
      <xdr:row>9</xdr:row>
      <xdr:rowOff>149048</xdr:rowOff>
    </xdr:from>
    <xdr:to>
      <xdr:col>24</xdr:col>
      <xdr:colOff>228953</xdr:colOff>
      <xdr:row>31</xdr:row>
      <xdr:rowOff>98675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577922</xdr:colOff>
      <xdr:row>32</xdr:row>
      <xdr:rowOff>83911</xdr:rowOff>
    </xdr:from>
    <xdr:to>
      <xdr:col>25</xdr:col>
      <xdr:colOff>21403</xdr:colOff>
      <xdr:row>55</xdr:row>
      <xdr:rowOff>21405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2</xdr:row>
      <xdr:rowOff>133350</xdr:rowOff>
    </xdr:from>
    <xdr:to>
      <xdr:col>14</xdr:col>
      <xdr:colOff>122361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  <xdr:twoCellAnchor>
    <xdr:from>
      <xdr:col>14</xdr:col>
      <xdr:colOff>606460</xdr:colOff>
      <xdr:row>61</xdr:row>
      <xdr:rowOff>95608</xdr:rowOff>
    </xdr:from>
    <xdr:to>
      <xdr:col>20</xdr:col>
      <xdr:colOff>200025</xdr:colOff>
      <xdr:row>74</xdr:row>
      <xdr:rowOff>85725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DA6E1867-A5C0-43B4-8F05-07CBBFBFD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248479</xdr:colOff>
      <xdr:row>49</xdr:row>
      <xdr:rowOff>47595</xdr:rowOff>
    </xdr:from>
    <xdr:to>
      <xdr:col>5</xdr:col>
      <xdr:colOff>740604</xdr:colOff>
      <xdr:row>61</xdr:row>
      <xdr:rowOff>104010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1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6</xdr:col>
      <xdr:colOff>604278</xdr:colOff>
      <xdr:row>30</xdr:row>
      <xdr:rowOff>50311</xdr:rowOff>
    </xdr:from>
    <xdr:to>
      <xdr:col>11</xdr:col>
      <xdr:colOff>397564</xdr:colOff>
      <xdr:row>42</xdr:row>
      <xdr:rowOff>6626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  <xdr:oneCellAnchor>
    <xdr:from>
      <xdr:col>2</xdr:col>
      <xdr:colOff>720588</xdr:colOff>
      <xdr:row>29</xdr:row>
      <xdr:rowOff>66261</xdr:rowOff>
    </xdr:from>
    <xdr:ext cx="2898914" cy="29817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8D513B-E3E0-7594-8479-50134A15EED6}"/>
            </a:ext>
          </a:extLst>
        </xdr:cNvPr>
        <xdr:cNvSpPr txBox="1"/>
      </xdr:nvSpPr>
      <xdr:spPr>
        <a:xfrm>
          <a:off x="2509631" y="3544957"/>
          <a:ext cx="2898914" cy="29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es-E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Cantidad de cotizantes por tipo de empleador</a:t>
          </a:r>
          <a:endParaRPr lang="es-DO">
            <a:solidFill>
              <a:srgbClr val="0070C0"/>
            </a:solidFill>
            <a:effectLst/>
          </a:endParaRPr>
        </a:p>
        <a:p>
          <a:endParaRPr lang="es-DO" sz="1100"/>
        </a:p>
      </xdr:txBody>
    </xdr:sp>
    <xdr:clientData/>
  </xdr:oneCellAnchor>
  <xdr:twoCellAnchor>
    <xdr:from>
      <xdr:col>0</xdr:col>
      <xdr:colOff>66262</xdr:colOff>
      <xdr:row>30</xdr:row>
      <xdr:rowOff>173935</xdr:rowOff>
    </xdr:from>
    <xdr:to>
      <xdr:col>5</xdr:col>
      <xdr:colOff>558387</xdr:colOff>
      <xdr:row>43</xdr:row>
      <xdr:rowOff>39850</xdr:rowOff>
    </xdr:to>
    <xdr:graphicFrame macro="">
      <xdr:nvGraphicFramePr>
        <xdr:cNvPr id="7" name="3 Gráfico">
          <a:extLst>
            <a:ext uri="{FF2B5EF4-FFF2-40B4-BE49-F238E27FC236}">
              <a16:creationId xmlns:a16="http://schemas.microsoft.com/office/drawing/2014/main" id="{4F17FD6F-61F5-4855-BE0D-C283BD563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720078</xdr:colOff>
      <xdr:row>28</xdr:row>
      <xdr:rowOff>241114</xdr:rowOff>
    </xdr:from>
    <xdr:to>
      <xdr:col>10</xdr:col>
      <xdr:colOff>48039</xdr:colOff>
      <xdr:row>40</xdr:row>
      <xdr:rowOff>175592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1215029</xdr:colOff>
      <xdr:row>1</xdr:row>
      <xdr:rowOff>171554</xdr:rowOff>
    </xdr:from>
    <xdr:to>
      <xdr:col>4</xdr:col>
      <xdr:colOff>217035</xdr:colOff>
      <xdr:row>4</xdr:row>
      <xdr:rowOff>10226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181" y="362054"/>
          <a:ext cx="1652441" cy="410172"/>
        </a:xfrm>
        <a:prstGeom prst="rect">
          <a:avLst/>
        </a:prstGeom>
      </xdr:spPr>
    </xdr:pic>
    <xdr:clientData/>
  </xdr:twoCellAnchor>
  <xdr:oneCellAnchor>
    <xdr:from>
      <xdr:col>1</xdr:col>
      <xdr:colOff>612913</xdr:colOff>
      <xdr:row>31</xdr:row>
      <xdr:rowOff>149087</xdr:rowOff>
    </xdr:from>
    <xdr:ext cx="2319131" cy="233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39AD29-2384-4E02-BB57-597CDEA51294}"/>
            </a:ext>
          </a:extLst>
        </xdr:cNvPr>
        <xdr:cNvSpPr txBox="1"/>
      </xdr:nvSpPr>
      <xdr:spPr>
        <a:xfrm>
          <a:off x="1391478" y="2816087"/>
          <a:ext cx="23191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900" b="1">
              <a:solidFill>
                <a:schemeClr val="accent1"/>
              </a:solidFill>
            </a:rPr>
            <a:t>Aportes por empleador Público Vs Privado</a:t>
          </a:r>
        </a:p>
      </xdr:txBody>
    </xdr:sp>
    <xdr:clientData/>
  </xdr:oneCellAnchor>
  <xdr:twoCellAnchor>
    <xdr:from>
      <xdr:col>0</xdr:col>
      <xdr:colOff>248478</xdr:colOff>
      <xdr:row>33</xdr:row>
      <xdr:rowOff>157370</xdr:rowOff>
    </xdr:from>
    <xdr:to>
      <xdr:col>4</xdr:col>
      <xdr:colOff>624594</xdr:colOff>
      <xdr:row>43</xdr:row>
      <xdr:rowOff>151510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4051458B-5699-4FA4-9F6F-034B73DDB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446942</xdr:colOff>
      <xdr:row>44</xdr:row>
      <xdr:rowOff>109987</xdr:rowOff>
    </xdr:from>
    <xdr:to>
      <xdr:col>3</xdr:col>
      <xdr:colOff>47069</xdr:colOff>
      <xdr:row>56</xdr:row>
      <xdr:rowOff>109904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  <xdr:twoCellAnchor>
    <xdr:from>
      <xdr:col>0</xdr:col>
      <xdr:colOff>432289</xdr:colOff>
      <xdr:row>31</xdr:row>
      <xdr:rowOff>14653</xdr:rowOff>
    </xdr:from>
    <xdr:to>
      <xdr:col>3</xdr:col>
      <xdr:colOff>329712</xdr:colOff>
      <xdr:row>43</xdr:row>
      <xdr:rowOff>21980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DB91C356-1ADB-40D5-9708-86727D3A8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PLANIFICACION%20Y%20DESARROLLO\PLANIFICACION\7.%20Estad&#237;sticas\Bolet&#237;n%20Estad&#237;stico%202023\T1\Matriz%20Estad&#237;stica%20Boleti&#769;n%20Trimestral%20OAI%20T1%20Prelimin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dm."/>
      <sheetName val="Afiliados y Cotizantes"/>
      <sheetName val="Cotizantes"/>
      <sheetName val="Empleador"/>
      <sheetName val="Aportes"/>
      <sheetName val="Traspaso"/>
      <sheetName val="Presupuesto de Pensiones"/>
      <sheetName val="Nómina"/>
      <sheetName val="Autoseguro"/>
      <sheetName val="Movimientos"/>
      <sheetName val="Hoja1"/>
      <sheetName val="Tipo de Pension"/>
      <sheetName val="Modalidad"/>
      <sheetName val="Retroactivos"/>
      <sheetName val="Reintegros"/>
      <sheetName val="Créditos Rechazados"/>
      <sheetName val="Recuperación Fondos"/>
      <sheetName val="Serv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O8" t="str">
            <v>Monto</v>
          </cell>
          <cell r="Q8" t="str">
            <v>Monto</v>
          </cell>
        </row>
      </sheetData>
      <sheetData sheetId="13">
        <row r="7">
          <cell r="M7" t="str">
            <v>Monto</v>
          </cell>
        </row>
        <row r="9">
          <cell r="A9" t="str">
            <v>Marzo</v>
          </cell>
        </row>
        <row r="10">
          <cell r="A10" t="str">
            <v>Febrero</v>
          </cell>
        </row>
        <row r="11">
          <cell r="A11" t="str">
            <v>Enero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71"/>
  <sheetViews>
    <sheetView showGridLines="0" topLeftCell="A111" zoomScale="115" zoomScaleNormal="115" workbookViewId="0">
      <selection activeCell="C10" sqref="C10"/>
    </sheetView>
  </sheetViews>
  <sheetFormatPr baseColWidth="10" defaultColWidth="11.44140625" defaultRowHeight="14.4" x14ac:dyDescent="0.3"/>
  <cols>
    <col min="1" max="1" width="11.6640625" style="1" customWidth="1"/>
    <col min="2" max="2" width="15.44140625" style="1" customWidth="1"/>
    <col min="3" max="3" width="13.6640625" style="1" bestFit="1" customWidth="1"/>
    <col min="4" max="4" width="11.44140625" style="1" bestFit="1" customWidth="1"/>
    <col min="5" max="5" width="14.33203125" style="1" customWidth="1"/>
    <col min="6" max="6" width="11.44140625" style="1" bestFit="1" customWidth="1"/>
    <col min="7" max="16384" width="11.44140625" style="1"/>
  </cols>
  <sheetData>
    <row r="1" spans="1:8" x14ac:dyDescent="0.3">
      <c r="A1" s="516" t="s">
        <v>0</v>
      </c>
      <c r="B1" s="516"/>
      <c r="C1" s="516"/>
      <c r="D1" s="516"/>
      <c r="E1" s="516"/>
      <c r="F1" s="516"/>
    </row>
    <row r="2" spans="1:8" x14ac:dyDescent="0.3">
      <c r="A2" s="516" t="s">
        <v>1</v>
      </c>
      <c r="B2" s="516"/>
      <c r="C2" s="516"/>
      <c r="D2" s="516"/>
      <c r="E2" s="516"/>
      <c r="F2" s="516"/>
    </row>
    <row r="3" spans="1:8" x14ac:dyDescent="0.3">
      <c r="A3" s="516" t="s">
        <v>2</v>
      </c>
      <c r="B3" s="516"/>
      <c r="C3" s="516"/>
      <c r="D3" s="516"/>
      <c r="E3" s="516"/>
      <c r="F3" s="516"/>
    </row>
    <row r="4" spans="1:8" x14ac:dyDescent="0.3">
      <c r="A4" s="516" t="s">
        <v>3</v>
      </c>
      <c r="B4" s="516"/>
      <c r="C4" s="516"/>
      <c r="D4" s="516"/>
      <c r="E4" s="516"/>
      <c r="F4" s="516"/>
    </row>
    <row r="5" spans="1:8" x14ac:dyDescent="0.3">
      <c r="A5" s="516" t="s">
        <v>4</v>
      </c>
      <c r="B5" s="516"/>
      <c r="C5" s="516"/>
      <c r="D5" s="516"/>
      <c r="E5" s="516"/>
      <c r="F5" s="516"/>
    </row>
    <row r="6" spans="1:8" x14ac:dyDescent="0.3">
      <c r="A6" s="515" t="s">
        <v>5</v>
      </c>
      <c r="B6" s="515" t="s">
        <v>6</v>
      </c>
      <c r="C6" s="515" t="s">
        <v>7</v>
      </c>
      <c r="D6" s="515"/>
      <c r="E6" s="515" t="s">
        <v>8</v>
      </c>
      <c r="F6" s="515"/>
    </row>
    <row r="7" spans="1:8" ht="11.25" customHeight="1" x14ac:dyDescent="0.3">
      <c r="A7" s="515"/>
      <c r="B7" s="515"/>
      <c r="C7" s="515"/>
      <c r="D7" s="515"/>
      <c r="E7" s="515"/>
      <c r="F7" s="515"/>
    </row>
    <row r="8" spans="1:8" ht="14.25" customHeight="1" x14ac:dyDescent="0.3">
      <c r="A8" s="98"/>
      <c r="B8" s="99" t="s">
        <v>9</v>
      </c>
      <c r="C8" s="99" t="s">
        <v>10</v>
      </c>
      <c r="D8" s="99" t="s">
        <v>11</v>
      </c>
      <c r="E8" s="99" t="s">
        <v>10</v>
      </c>
      <c r="F8" s="99" t="s">
        <v>11</v>
      </c>
      <c r="G8"/>
      <c r="H8"/>
    </row>
    <row r="9" spans="1:8" ht="14.25" hidden="1" customHeight="1" x14ac:dyDescent="0.3">
      <c r="A9" s="135" t="s">
        <v>12</v>
      </c>
      <c r="B9" s="100"/>
      <c r="C9" s="100"/>
      <c r="D9" s="136" t="e">
        <f>C9/B9</f>
        <v>#DIV/0!</v>
      </c>
      <c r="E9" s="150">
        <f>B9-C9</f>
        <v>0</v>
      </c>
      <c r="F9" s="136" t="e">
        <f>E9/B9</f>
        <v>#DIV/0!</v>
      </c>
      <c r="G9"/>
      <c r="H9"/>
    </row>
    <row r="10" spans="1:8" ht="14.25" customHeight="1" x14ac:dyDescent="0.3">
      <c r="A10" s="74" t="s">
        <v>13</v>
      </c>
      <c r="B10" s="109">
        <v>35809882.759999998</v>
      </c>
      <c r="C10" s="103">
        <v>35024382.520000003</v>
      </c>
      <c r="D10" s="2">
        <f>+C10/B10</f>
        <v>0.97806470785552513</v>
      </c>
      <c r="E10" s="195">
        <f>+B10-C10</f>
        <v>785500.23999999464</v>
      </c>
      <c r="F10" s="4">
        <f t="shared" ref="F10:F13" si="0">(E10/B10)</f>
        <v>2.1935292144474886E-2</v>
      </c>
      <c r="G10"/>
      <c r="H10"/>
    </row>
    <row r="11" spans="1:8" ht="14.25" customHeight="1" x14ac:dyDescent="0.3">
      <c r="A11" s="74" t="s">
        <v>14</v>
      </c>
      <c r="B11" s="109">
        <v>35809882.759999998</v>
      </c>
      <c r="C11" s="100">
        <v>36934293</v>
      </c>
      <c r="D11" s="2">
        <f>+C11/B11</f>
        <v>1.0313994392982482</v>
      </c>
      <c r="E11" s="195">
        <f>+B11-C11</f>
        <v>-1124410.2400000021</v>
      </c>
      <c r="F11" s="4">
        <f t="shared" si="0"/>
        <v>-3.1399439298248129E-2</v>
      </c>
      <c r="G11"/>
      <c r="H11"/>
    </row>
    <row r="12" spans="1:8" ht="14.25" customHeight="1" x14ac:dyDescent="0.3">
      <c r="A12" s="74" t="s">
        <v>15</v>
      </c>
      <c r="B12" s="109">
        <v>57624154.560000002</v>
      </c>
      <c r="C12" s="100">
        <v>57530255.859999999</v>
      </c>
      <c r="D12" s="2">
        <f>+C12/B12</f>
        <v>0.99837049756795593</v>
      </c>
      <c r="E12" s="195">
        <f>+B12-C12</f>
        <v>93898.70000000298</v>
      </c>
      <c r="F12" s="4">
        <f t="shared" si="0"/>
        <v>1.629502432044063E-3</v>
      </c>
      <c r="G12"/>
      <c r="H12"/>
    </row>
    <row r="13" spans="1:8" ht="13.5" customHeight="1" x14ac:dyDescent="0.3">
      <c r="A13" s="445" t="s">
        <v>16</v>
      </c>
      <c r="B13" s="206">
        <f>SUM(B10:B12)</f>
        <v>129243920.08</v>
      </c>
      <c r="C13" s="206">
        <f>SUM(C10:C12)</f>
        <v>129488931.38000001</v>
      </c>
      <c r="D13" s="3">
        <f>(C13/B13)</f>
        <v>1.0018957278597582</v>
      </c>
      <c r="E13" s="446">
        <f>SUM(E10:E12)</f>
        <v>-245011.30000000447</v>
      </c>
      <c r="F13" s="5">
        <f t="shared" si="0"/>
        <v>-1.8957278597580933E-3</v>
      </c>
      <c r="G13" s="64"/>
      <c r="H13"/>
    </row>
    <row r="14" spans="1:8" ht="14.25" hidden="1" customHeight="1" x14ac:dyDescent="0.3">
      <c r="A14" s="74" t="s">
        <v>17</v>
      </c>
      <c r="B14" s="109">
        <v>37653391.100000001</v>
      </c>
      <c r="C14" s="109">
        <v>38913006.759999998</v>
      </c>
      <c r="D14" s="177">
        <f>+C14/B14</f>
        <v>1.0334529141520004</v>
      </c>
      <c r="E14" s="151">
        <f>+B14-C14</f>
        <v>-1259615.6599999964</v>
      </c>
      <c r="F14" s="4">
        <f>(E14/B14)</f>
        <v>-3.3452914152000413E-2</v>
      </c>
      <c r="G14"/>
      <c r="H14"/>
    </row>
    <row r="15" spans="1:8" ht="14.25" hidden="1" customHeight="1" x14ac:dyDescent="0.3">
      <c r="A15" s="74" t="s">
        <v>18</v>
      </c>
      <c r="B15" s="109">
        <v>33544691.100000001</v>
      </c>
      <c r="C15" s="109">
        <v>33205275.879999999</v>
      </c>
      <c r="D15" s="177">
        <f>+C15/B15</f>
        <v>0.9898817008334293</v>
      </c>
      <c r="E15" s="151">
        <f>+B15-C15</f>
        <v>339415.22000000253</v>
      </c>
      <c r="F15" s="4">
        <f>(E15/B15)</f>
        <v>1.0118299166570728E-2</v>
      </c>
      <c r="G15"/>
      <c r="H15"/>
    </row>
    <row r="16" spans="1:8" ht="14.25" hidden="1" customHeight="1" x14ac:dyDescent="0.3">
      <c r="A16" s="74" t="s">
        <v>19</v>
      </c>
      <c r="B16" s="109">
        <v>33294691.100000001</v>
      </c>
      <c r="C16" s="109">
        <v>32763928.640000001</v>
      </c>
      <c r="D16" s="177">
        <f>+C16/B16</f>
        <v>0.98405864591427306</v>
      </c>
      <c r="E16" s="151">
        <f>+B16-C16</f>
        <v>530762.46000000089</v>
      </c>
      <c r="F16" s="4">
        <f>(E16/B16)</f>
        <v>1.5941354085726923E-2</v>
      </c>
      <c r="G16"/>
      <c r="H16"/>
    </row>
    <row r="17" spans="1:8" hidden="1" x14ac:dyDescent="0.3">
      <c r="A17" s="102" t="s">
        <v>20</v>
      </c>
      <c r="B17" s="8">
        <f>SUM(B9:B16)</f>
        <v>362980613.46000004</v>
      </c>
      <c r="C17" s="8">
        <f>SUM(C9:C16)</f>
        <v>363860074.04000002</v>
      </c>
      <c r="D17" s="183">
        <f>(C17/B17)</f>
        <v>1.0024228858164539</v>
      </c>
      <c r="E17" s="152">
        <f>SUM(E9:E16)</f>
        <v>-879460.58000000194</v>
      </c>
      <c r="F17" s="182">
        <f>(E17/B17)</f>
        <v>-2.4228858164539887E-3</v>
      </c>
      <c r="G17"/>
      <c r="H17"/>
    </row>
    <row r="18" spans="1:8" hidden="1" x14ac:dyDescent="0.3">
      <c r="A18" s="74" t="s">
        <v>15</v>
      </c>
      <c r="B18" s="103"/>
      <c r="C18" s="104"/>
      <c r="D18" s="2" t="e">
        <f t="shared" ref="D18:D29" si="1">+C18/B18</f>
        <v>#DIV/0!</v>
      </c>
      <c r="E18" s="105"/>
      <c r="F18" s="4" t="e">
        <f t="shared" ref="F18:F29" si="2">(E18/B18)</f>
        <v>#DIV/0!</v>
      </c>
      <c r="G18"/>
      <c r="H18"/>
    </row>
    <row r="19" spans="1:8" hidden="1" x14ac:dyDescent="0.3">
      <c r="A19" s="74" t="s">
        <v>14</v>
      </c>
      <c r="B19" s="103"/>
      <c r="C19" s="104"/>
      <c r="D19" s="2" t="e">
        <f t="shared" si="1"/>
        <v>#DIV/0!</v>
      </c>
      <c r="E19" s="105"/>
      <c r="F19" s="4" t="e">
        <f t="shared" si="2"/>
        <v>#DIV/0!</v>
      </c>
      <c r="G19"/>
      <c r="H19"/>
    </row>
    <row r="20" spans="1:8" hidden="1" x14ac:dyDescent="0.3">
      <c r="A20" s="74" t="s">
        <v>13</v>
      </c>
      <c r="B20" s="103"/>
      <c r="C20" s="104"/>
      <c r="D20" s="2" t="e">
        <f t="shared" si="1"/>
        <v>#DIV/0!</v>
      </c>
      <c r="E20" s="105"/>
      <c r="F20" s="4" t="e">
        <f t="shared" si="2"/>
        <v>#DIV/0!</v>
      </c>
      <c r="G20"/>
      <c r="H20"/>
    </row>
    <row r="21" spans="1:8" hidden="1" x14ac:dyDescent="0.3">
      <c r="A21" s="102" t="s">
        <v>16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/>
      <c r="H21"/>
    </row>
    <row r="22" spans="1:8" hidden="1" x14ac:dyDescent="0.3">
      <c r="A22" s="74" t="s">
        <v>21</v>
      </c>
      <c r="B22" s="103"/>
      <c r="C22" s="104"/>
      <c r="D22" s="2" t="e">
        <f t="shared" si="1"/>
        <v>#DIV/0!</v>
      </c>
      <c r="E22" s="105"/>
      <c r="F22" s="4" t="e">
        <f t="shared" si="2"/>
        <v>#DIV/0!</v>
      </c>
      <c r="G22"/>
      <c r="H22"/>
    </row>
    <row r="23" spans="1:8" hidden="1" x14ac:dyDescent="0.3">
      <c r="A23" s="74" t="s">
        <v>22</v>
      </c>
      <c r="B23" s="103"/>
      <c r="C23" s="104"/>
      <c r="D23" s="2" t="e">
        <f t="shared" si="1"/>
        <v>#DIV/0!</v>
      </c>
      <c r="E23" s="105"/>
      <c r="F23" s="4" t="e">
        <f t="shared" si="2"/>
        <v>#DIV/0!</v>
      </c>
      <c r="G23"/>
      <c r="H23"/>
    </row>
    <row r="24" spans="1:8" hidden="1" x14ac:dyDescent="0.3">
      <c r="A24" s="74" t="s">
        <v>23</v>
      </c>
      <c r="B24" s="103"/>
      <c r="C24" s="104"/>
      <c r="D24" s="2" t="e">
        <f t="shared" si="1"/>
        <v>#DIV/0!</v>
      </c>
      <c r="E24" s="105"/>
      <c r="F24" s="4" t="e">
        <f t="shared" si="2"/>
        <v>#DIV/0!</v>
      </c>
      <c r="G24"/>
      <c r="H24"/>
    </row>
    <row r="25" spans="1:8" hidden="1" x14ac:dyDescent="0.3">
      <c r="A25" s="102" t="s">
        <v>24</v>
      </c>
      <c r="B25" s="8">
        <f>SUM(B22:B24)</f>
        <v>0</v>
      </c>
      <c r="C25" s="8">
        <f>SUM(C22:C24)</f>
        <v>0</v>
      </c>
      <c r="D25" s="3" t="e">
        <f>(C25/B25)</f>
        <v>#DIV/0!</v>
      </c>
      <c r="E25" s="9">
        <f>SUM(E22:E24)</f>
        <v>0</v>
      </c>
      <c r="F25" s="5" t="e">
        <f>(E25/B25)</f>
        <v>#DIV/0!</v>
      </c>
      <c r="G25"/>
      <c r="H25"/>
    </row>
    <row r="26" spans="1:8" hidden="1" x14ac:dyDescent="0.3">
      <c r="A26" s="74" t="s">
        <v>25</v>
      </c>
      <c r="B26" s="103"/>
      <c r="C26" s="104"/>
      <c r="D26" s="2" t="e">
        <f t="shared" si="1"/>
        <v>#DIV/0!</v>
      </c>
      <c r="E26" s="105"/>
      <c r="F26" s="4" t="e">
        <f t="shared" si="2"/>
        <v>#DIV/0!</v>
      </c>
      <c r="G26"/>
      <c r="H26"/>
    </row>
    <row r="27" spans="1:8" hidden="1" x14ac:dyDescent="0.3">
      <c r="A27" s="74" t="s">
        <v>26</v>
      </c>
      <c r="B27" s="103"/>
      <c r="C27" s="104"/>
      <c r="D27" s="2" t="e">
        <f t="shared" si="1"/>
        <v>#DIV/0!</v>
      </c>
      <c r="E27" s="105"/>
      <c r="F27" s="4" t="e">
        <f t="shared" si="2"/>
        <v>#DIV/0!</v>
      </c>
      <c r="G27"/>
      <c r="H27"/>
    </row>
    <row r="28" spans="1:8" hidden="1" x14ac:dyDescent="0.3">
      <c r="A28" s="74" t="s">
        <v>27</v>
      </c>
      <c r="B28" s="103"/>
      <c r="C28" s="104"/>
      <c r="D28" s="2" t="e">
        <f t="shared" si="1"/>
        <v>#DIV/0!</v>
      </c>
      <c r="E28" s="105"/>
      <c r="F28" s="4" t="e">
        <f t="shared" si="2"/>
        <v>#DIV/0!</v>
      </c>
      <c r="G28"/>
      <c r="H28"/>
    </row>
    <row r="29" spans="1:8" hidden="1" x14ac:dyDescent="0.3">
      <c r="A29" s="74" t="s">
        <v>12</v>
      </c>
      <c r="B29" s="103"/>
      <c r="C29" s="104"/>
      <c r="D29" s="2" t="e">
        <f t="shared" si="1"/>
        <v>#DIV/0!</v>
      </c>
      <c r="E29" s="105"/>
      <c r="F29" s="4" t="e">
        <f t="shared" si="2"/>
        <v>#DIV/0!</v>
      </c>
      <c r="G29"/>
      <c r="H29"/>
    </row>
    <row r="30" spans="1:8" hidden="1" x14ac:dyDescent="0.3">
      <c r="A30" s="102" t="s">
        <v>28</v>
      </c>
      <c r="B30" s="8">
        <f>SUM(B26:B29)</f>
        <v>0</v>
      </c>
      <c r="C30" s="8">
        <f>SUM(C26:C29)</f>
        <v>0</v>
      </c>
      <c r="D30" s="3" t="e">
        <f>(C30/B30)</f>
        <v>#DIV/0!</v>
      </c>
      <c r="E30" s="9">
        <f>SUM(E26:E29)</f>
        <v>0</v>
      </c>
      <c r="F30" s="5" t="e">
        <f>(E30/B30)</f>
        <v>#DIV/0!</v>
      </c>
      <c r="G30"/>
      <c r="H30"/>
    </row>
    <row r="31" spans="1:8" hidden="1" x14ac:dyDescent="0.3">
      <c r="A31" s="106" t="s">
        <v>29</v>
      </c>
      <c r="B31" s="10">
        <f>+B17+B21+B25+B30</f>
        <v>362980613.46000004</v>
      </c>
      <c r="C31" s="10">
        <f>+C17+C21+C25+C30</f>
        <v>363860074.04000002</v>
      </c>
      <c r="D31" s="7">
        <f>(C31/B31)</f>
        <v>1.0024228858164539</v>
      </c>
      <c r="E31" s="11">
        <f>+E17+E21+E25+E30</f>
        <v>-879460.58000000194</v>
      </c>
      <c r="F31" s="6">
        <f>(E31/B31)</f>
        <v>-2.4228858164539887E-3</v>
      </c>
      <c r="G31"/>
      <c r="H31"/>
    </row>
    <row r="32" spans="1:8" ht="15.75" hidden="1" customHeight="1" x14ac:dyDescent="0.3">
      <c r="A32" s="511"/>
      <c r="B32" s="512"/>
      <c r="C32" s="512"/>
      <c r="D32" s="512"/>
      <c r="E32" s="512"/>
      <c r="F32" s="512"/>
      <c r="G32"/>
      <c r="H32"/>
    </row>
    <row r="33" spans="1:8" ht="12.75" customHeight="1" x14ac:dyDescent="0.3">
      <c r="A33" s="513" t="s">
        <v>30</v>
      </c>
      <c r="B33" s="514"/>
      <c r="C33" s="514"/>
      <c r="D33" s="514"/>
      <c r="E33" s="514"/>
      <c r="F33" s="514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  <c r="B43"/>
      <c r="C43"/>
      <c r="D43"/>
      <c r="E43"/>
      <c r="F43"/>
      <c r="G43"/>
      <c r="H43"/>
    </row>
    <row r="44" spans="1:8" x14ac:dyDescent="0.3">
      <c r="A44"/>
      <c r="B44"/>
      <c r="C44"/>
      <c r="D44"/>
      <c r="E44"/>
      <c r="F44"/>
      <c r="G44"/>
      <c r="H44"/>
    </row>
    <row r="45" spans="1:8" x14ac:dyDescent="0.3">
      <c r="A45"/>
      <c r="B45"/>
      <c r="C45"/>
      <c r="D45"/>
      <c r="E45"/>
      <c r="F45"/>
      <c r="G45"/>
      <c r="H45"/>
    </row>
    <row r="46" spans="1:8" x14ac:dyDescent="0.3">
      <c r="A46"/>
      <c r="B46"/>
      <c r="C46"/>
      <c r="D46"/>
      <c r="E46"/>
      <c r="F46"/>
      <c r="G46"/>
      <c r="H46"/>
    </row>
    <row r="47" spans="1:8" x14ac:dyDescent="0.3">
      <c r="A47"/>
      <c r="B47"/>
      <c r="C47"/>
      <c r="D47"/>
      <c r="E47"/>
      <c r="F47"/>
      <c r="G47"/>
      <c r="H47"/>
    </row>
    <row r="48" spans="1:8" x14ac:dyDescent="0.3">
      <c r="A48"/>
      <c r="B48"/>
      <c r="C48"/>
      <c r="D48"/>
      <c r="E48"/>
      <c r="F48"/>
      <c r="G48"/>
      <c r="H48"/>
    </row>
    <row r="49" spans="1:8" x14ac:dyDescent="0.3">
      <c r="A49"/>
      <c r="B49"/>
      <c r="C49"/>
      <c r="D49"/>
      <c r="E49"/>
      <c r="F49"/>
      <c r="G49"/>
      <c r="H49"/>
    </row>
    <row r="53" spans="1:8" x14ac:dyDescent="0.3">
      <c r="A53" s="74"/>
      <c r="B53" s="100"/>
      <c r="C53" s="100"/>
      <c r="D53" s="2"/>
      <c r="E53" s="101"/>
      <c r="F53" s="4"/>
    </row>
    <row r="54" spans="1:8" ht="2.25" customHeight="1" x14ac:dyDescent="0.3"/>
    <row r="55" spans="1:8" hidden="1" x14ac:dyDescent="0.3"/>
    <row r="56" spans="1:8" hidden="1" x14ac:dyDescent="0.3"/>
    <row r="57" spans="1:8" hidden="1" x14ac:dyDescent="0.3"/>
    <row r="58" spans="1:8" hidden="1" x14ac:dyDescent="0.3"/>
    <row r="59" spans="1:8" hidden="1" x14ac:dyDescent="0.3"/>
    <row r="60" spans="1:8" hidden="1" x14ac:dyDescent="0.3"/>
    <row r="61" spans="1:8" hidden="1" x14ac:dyDescent="0.3"/>
    <row r="62" spans="1:8" hidden="1" x14ac:dyDescent="0.3"/>
    <row r="63" spans="1:8" hidden="1" x14ac:dyDescent="0.3"/>
    <row r="64" spans="1:8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</sheetData>
  <mergeCells count="11">
    <mergeCell ref="A32:F32"/>
    <mergeCell ref="A33:F33"/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scale="97" orientation="portrait" r:id="rId1"/>
  <ignoredErrors>
    <ignoredError sqref="E15" unlockedFormula="1"/>
    <ignoredError sqref="D1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Q61"/>
  <sheetViews>
    <sheetView showGridLines="0" topLeftCell="F55" zoomScale="115" zoomScaleNormal="115" workbookViewId="0">
      <selection activeCell="C10" sqref="C10"/>
    </sheetView>
  </sheetViews>
  <sheetFormatPr baseColWidth="10" defaultColWidth="11.44140625" defaultRowHeight="14.4" x14ac:dyDescent="0.3"/>
  <cols>
    <col min="1" max="1" width="8" style="1" customWidth="1"/>
    <col min="2" max="2" width="7.33203125" style="1" customWidth="1"/>
    <col min="3" max="3" width="12.33203125" style="1" customWidth="1"/>
    <col min="4" max="4" width="7.44140625" style="1" customWidth="1"/>
    <col min="5" max="5" width="10" style="1" bestFit="1" customWidth="1"/>
    <col min="6" max="6" width="7.109375" style="1" customWidth="1"/>
    <col min="7" max="7" width="10" style="1" bestFit="1" customWidth="1"/>
    <col min="8" max="8" width="6.88671875" style="1" customWidth="1"/>
    <col min="9" max="9" width="10.5546875" style="1" bestFit="1" customWidth="1"/>
    <col min="10" max="10" width="7.33203125" style="1" customWidth="1"/>
    <col min="11" max="11" width="11.5546875" style="1" bestFit="1" customWidth="1"/>
    <col min="12" max="12" width="6.5546875" style="1" customWidth="1"/>
    <col min="13" max="13" width="10.5546875" style="1" bestFit="1" customWidth="1"/>
    <col min="14" max="14" width="8" style="1" customWidth="1"/>
    <col min="15" max="15" width="11.5546875" style="1" customWidth="1"/>
    <col min="16" max="16384" width="11.44140625" style="1"/>
  </cols>
  <sheetData>
    <row r="1" spans="1:17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7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1:17" x14ac:dyDescent="0.3">
      <c r="A3" s="516" t="s">
        <v>117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1:17" x14ac:dyDescent="0.3">
      <c r="A4" s="516" t="s">
        <v>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22"/>
      <c r="Q4" s="22"/>
    </row>
    <row r="5" spans="1:17" x14ac:dyDescent="0.3">
      <c r="A5" s="516" t="s">
        <v>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7" x14ac:dyDescent="0.3">
      <c r="A6" s="516" t="s">
        <v>118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7" spans="1:17" ht="22.5" customHeight="1" x14ac:dyDescent="0.3">
      <c r="A7" s="108"/>
      <c r="B7" s="543" t="s">
        <v>119</v>
      </c>
      <c r="C7" s="543"/>
      <c r="D7" s="548" t="s">
        <v>120</v>
      </c>
      <c r="E7" s="548"/>
      <c r="F7" s="549" t="s">
        <v>121</v>
      </c>
      <c r="G7" s="549"/>
      <c r="H7" s="544" t="s">
        <v>122</v>
      </c>
      <c r="I7" s="544"/>
      <c r="J7" s="545" t="s">
        <v>123</v>
      </c>
      <c r="K7" s="545"/>
      <c r="L7" s="546" t="s">
        <v>124</v>
      </c>
      <c r="M7" s="546"/>
      <c r="N7" s="547" t="s">
        <v>29</v>
      </c>
      <c r="O7" s="547"/>
      <c r="P7"/>
      <c r="Q7"/>
    </row>
    <row r="8" spans="1:17" ht="12.75" customHeight="1" x14ac:dyDescent="0.3">
      <c r="A8" s="310" t="s">
        <v>5</v>
      </c>
      <c r="B8" s="310" t="s">
        <v>125</v>
      </c>
      <c r="C8" s="310" t="s">
        <v>9</v>
      </c>
      <c r="D8" s="310" t="s">
        <v>125</v>
      </c>
      <c r="E8" s="310" t="s">
        <v>9</v>
      </c>
      <c r="F8" s="310" t="s">
        <v>125</v>
      </c>
      <c r="G8" s="310" t="s">
        <v>9</v>
      </c>
      <c r="H8" s="310" t="s">
        <v>125</v>
      </c>
      <c r="I8" s="310" t="s">
        <v>9</v>
      </c>
      <c r="J8" s="310" t="s">
        <v>125</v>
      </c>
      <c r="K8" s="310" t="s">
        <v>9</v>
      </c>
      <c r="L8" s="310" t="s">
        <v>125</v>
      </c>
      <c r="M8" s="310" t="s">
        <v>9</v>
      </c>
      <c r="N8" s="310" t="s">
        <v>125</v>
      </c>
      <c r="O8" s="310" t="s">
        <v>9</v>
      </c>
      <c r="P8"/>
      <c r="Q8"/>
    </row>
    <row r="9" spans="1:17" ht="1.5" customHeight="1" x14ac:dyDescent="0.3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/>
      <c r="Q9"/>
    </row>
    <row r="10" spans="1:17" x14ac:dyDescent="0.3">
      <c r="A10" s="311" t="s">
        <v>13</v>
      </c>
      <c r="B10" s="351">
        <v>2649</v>
      </c>
      <c r="C10" s="312">
        <v>60165818.239999995</v>
      </c>
      <c r="D10" s="311">
        <v>128</v>
      </c>
      <c r="E10" s="315">
        <v>1863264.6900000002</v>
      </c>
      <c r="F10" s="311">
        <v>239</v>
      </c>
      <c r="G10" s="315">
        <v>1919088.73</v>
      </c>
      <c r="H10" s="311">
        <v>30</v>
      </c>
      <c r="I10" s="315">
        <v>490033.45</v>
      </c>
      <c r="J10" s="311">
        <v>442</v>
      </c>
      <c r="K10" s="315">
        <v>5416796.0800000001</v>
      </c>
      <c r="L10" s="311">
        <v>109</v>
      </c>
      <c r="M10" s="315">
        <v>1679636.85</v>
      </c>
      <c r="N10" s="351">
        <f>+(B10+D10+F10)-(J10+L10)</f>
        <v>2465</v>
      </c>
      <c r="O10" s="315">
        <f>(C10+E10+G10+I10)-(K10+M10)</f>
        <v>57341772.179999992</v>
      </c>
      <c r="P10"/>
      <c r="Q10"/>
    </row>
    <row r="11" spans="1:17" x14ac:dyDescent="0.3">
      <c r="A11" s="311" t="s">
        <v>14</v>
      </c>
      <c r="B11" s="351">
        <v>2496</v>
      </c>
      <c r="C11" s="312">
        <v>54065344.200000003</v>
      </c>
      <c r="D11" s="311">
        <v>156</v>
      </c>
      <c r="E11" s="315">
        <v>2111195.9</v>
      </c>
      <c r="F11" s="311">
        <v>121</v>
      </c>
      <c r="G11" s="315">
        <v>1391750.66</v>
      </c>
      <c r="H11" s="311">
        <v>130</v>
      </c>
      <c r="I11" s="315">
        <v>2083033.44</v>
      </c>
      <c r="J11" s="311">
        <v>284</v>
      </c>
      <c r="K11" s="315">
        <v>4170118.29</v>
      </c>
      <c r="L11" s="311">
        <v>118</v>
      </c>
      <c r="M11" s="315">
        <v>1641722.3900000001</v>
      </c>
      <c r="N11" s="351">
        <f t="shared" ref="N11" si="0">+(B11+D11+F11)-(J11+L11)</f>
        <v>2371</v>
      </c>
      <c r="O11" s="315">
        <f>(C11+E11+G11+I11)-(K11+M11)</f>
        <v>53839483.519999996</v>
      </c>
      <c r="P11"/>
      <c r="Q11"/>
    </row>
    <row r="12" spans="1:17" x14ac:dyDescent="0.3">
      <c r="A12" s="311" t="s">
        <v>15</v>
      </c>
      <c r="B12" s="351">
        <v>2797</v>
      </c>
      <c r="C12" s="312">
        <v>54178137.040000007</v>
      </c>
      <c r="D12" s="311">
        <v>155</v>
      </c>
      <c r="E12" s="315">
        <v>2360073.9500000002</v>
      </c>
      <c r="F12" s="311">
        <v>54</v>
      </c>
      <c r="G12" s="315">
        <v>634924.06999999995</v>
      </c>
      <c r="H12" s="311">
        <v>41</v>
      </c>
      <c r="I12" s="315">
        <v>681465.1</v>
      </c>
      <c r="J12" s="311">
        <v>269</v>
      </c>
      <c r="K12" s="315">
        <v>3166566.91</v>
      </c>
      <c r="L12" s="311">
        <v>96</v>
      </c>
      <c r="M12" s="315">
        <v>1209581.3400000001</v>
      </c>
      <c r="N12" s="351">
        <f>+(B12+D12+F12)-(J12+L12)</f>
        <v>2641</v>
      </c>
      <c r="O12" s="315">
        <f t="shared" ref="O12" si="1">(C12+E12+G12+I12)-(K12+M12)</f>
        <v>53478451.910000011</v>
      </c>
      <c r="P12"/>
      <c r="Q12"/>
    </row>
    <row r="13" spans="1:17" ht="28.5" customHeight="1" x14ac:dyDescent="0.3">
      <c r="A13" s="313" t="s">
        <v>16</v>
      </c>
      <c r="B13" s="314">
        <f t="shared" ref="B13:H13" si="2">SUM(B10:B12)</f>
        <v>7942</v>
      </c>
      <c r="C13" s="318">
        <f>SUM(C10:C12)</f>
        <v>168409299.48000002</v>
      </c>
      <c r="D13" s="314">
        <f t="shared" si="2"/>
        <v>439</v>
      </c>
      <c r="E13" s="316">
        <f>SUM(E10:E12)</f>
        <v>6334534.54</v>
      </c>
      <c r="F13" s="314">
        <f t="shared" si="2"/>
        <v>414</v>
      </c>
      <c r="G13" s="316">
        <f>SUM(G10:G12)</f>
        <v>3945763.4599999995</v>
      </c>
      <c r="H13" s="314">
        <f t="shared" si="2"/>
        <v>201</v>
      </c>
      <c r="I13" s="316">
        <f>SUM(I10:I12)</f>
        <v>3254531.99</v>
      </c>
      <c r="J13" s="314">
        <f t="shared" ref="J13:L13" si="3">SUM(J10:J12)</f>
        <v>995</v>
      </c>
      <c r="K13" s="316">
        <f>SUM(K10:K12)</f>
        <v>12753481.280000001</v>
      </c>
      <c r="L13" s="314">
        <f t="shared" si="3"/>
        <v>323</v>
      </c>
      <c r="M13" s="316">
        <f>SUM(M10:M12)</f>
        <v>4530940.58</v>
      </c>
      <c r="N13" s="314">
        <f>+SUM(N10:N12)</f>
        <v>7477</v>
      </c>
      <c r="O13" s="317">
        <f>+SUM(O10:O12)</f>
        <v>164659707.61000001</v>
      </c>
      <c r="P13"/>
      <c r="Q13"/>
    </row>
    <row r="14" spans="1:17" ht="0.75" customHeight="1" x14ac:dyDescent="0.3">
      <c r="A14" s="60"/>
      <c r="B14" s="124">
        <v>4170</v>
      </c>
      <c r="C14" s="124">
        <v>50828036.170000002</v>
      </c>
      <c r="D14" s="124">
        <v>115</v>
      </c>
      <c r="E14" s="124">
        <v>1643022.84</v>
      </c>
      <c r="F14" s="124">
        <v>161</v>
      </c>
      <c r="G14" s="124">
        <v>1326574.19</v>
      </c>
      <c r="H14" s="124">
        <v>105</v>
      </c>
      <c r="I14" s="124">
        <v>592026.82000000007</v>
      </c>
      <c r="J14" s="124">
        <v>1167</v>
      </c>
      <c r="K14" s="124">
        <v>9906559.9699999988</v>
      </c>
      <c r="L14" s="124">
        <v>96</v>
      </c>
      <c r="M14" s="124">
        <v>1304139.3399999999</v>
      </c>
      <c r="N14" s="41">
        <f>(B14+D14+F14)-(J14+L14)</f>
        <v>3183</v>
      </c>
      <c r="O14" s="69">
        <f>(C14+E14+G14+I14)-(K14+M14)</f>
        <v>43178960.710000008</v>
      </c>
      <c r="P14"/>
      <c r="Q14"/>
    </row>
    <row r="15" spans="1:17" hidden="1" x14ac:dyDescent="0.3">
      <c r="A15" s="60" t="s">
        <v>18</v>
      </c>
      <c r="B15" s="124">
        <v>2656</v>
      </c>
      <c r="C15" s="124">
        <v>32971327.190000001</v>
      </c>
      <c r="D15" s="124">
        <v>102</v>
      </c>
      <c r="E15" s="124">
        <v>1345011.23</v>
      </c>
      <c r="F15" s="124">
        <v>50</v>
      </c>
      <c r="G15" s="124">
        <v>869098.40999999992</v>
      </c>
      <c r="H15" s="124">
        <v>56</v>
      </c>
      <c r="I15" s="124">
        <v>1275175.6599999999</v>
      </c>
      <c r="J15" s="124">
        <v>321</v>
      </c>
      <c r="K15" s="124">
        <v>5011235.95</v>
      </c>
      <c r="L15" s="124">
        <v>79</v>
      </c>
      <c r="M15" s="124">
        <v>1355049.0699999998</v>
      </c>
      <c r="N15" s="41">
        <f>(B15+D15+F15)-(J15+L15)</f>
        <v>2408</v>
      </c>
      <c r="O15" s="69">
        <f>(C15+E15+G15+I15)-(K15+M15)</f>
        <v>30094327.469999995</v>
      </c>
      <c r="P15"/>
      <c r="Q15"/>
    </row>
    <row r="16" spans="1:17" hidden="1" x14ac:dyDescent="0.3">
      <c r="A16" s="60" t="s">
        <v>19</v>
      </c>
      <c r="B16" s="124">
        <v>2977</v>
      </c>
      <c r="C16" s="124">
        <v>36676179.780000001</v>
      </c>
      <c r="D16" s="124">
        <v>196</v>
      </c>
      <c r="E16" s="124">
        <v>2687023.4899999998</v>
      </c>
      <c r="F16" s="124">
        <v>77</v>
      </c>
      <c r="G16" s="124">
        <v>956119.84</v>
      </c>
      <c r="H16" s="124">
        <v>63</v>
      </c>
      <c r="I16" s="124">
        <v>1237774.3700000001</v>
      </c>
      <c r="J16" s="124">
        <v>1520</v>
      </c>
      <c r="K16" s="124">
        <v>16109575.07</v>
      </c>
      <c r="L16" s="124">
        <v>404</v>
      </c>
      <c r="M16" s="124">
        <v>4798913.2299999995</v>
      </c>
      <c r="N16" s="41">
        <f>(B16+D16+F16)-(J16+L16)</f>
        <v>1326</v>
      </c>
      <c r="O16" s="69">
        <f>(C16+E16+G16+I16)-(K16+M16)</f>
        <v>20648609.180000003</v>
      </c>
      <c r="P16"/>
      <c r="Q16"/>
    </row>
    <row r="17" spans="1:17" hidden="1" x14ac:dyDescent="0.3">
      <c r="A17" s="40" t="s">
        <v>20</v>
      </c>
      <c r="B17" s="8">
        <f t="shared" ref="B17:I17" si="4">SUM(B14:B16)</f>
        <v>9803</v>
      </c>
      <c r="C17" s="8">
        <f t="shared" si="4"/>
        <v>120475543.14</v>
      </c>
      <c r="D17" s="8">
        <f t="shared" si="4"/>
        <v>413</v>
      </c>
      <c r="E17" s="8">
        <f t="shared" si="4"/>
        <v>5675057.5600000005</v>
      </c>
      <c r="F17" s="8">
        <f t="shared" si="4"/>
        <v>288</v>
      </c>
      <c r="G17" s="8">
        <f t="shared" si="4"/>
        <v>3151792.4399999995</v>
      </c>
      <c r="H17" s="8">
        <f t="shared" si="4"/>
        <v>224</v>
      </c>
      <c r="I17" s="8">
        <f t="shared" si="4"/>
        <v>3104976.85</v>
      </c>
      <c r="J17" s="8">
        <f t="shared" ref="J17:M17" si="5">SUM(J14:J16)</f>
        <v>3008</v>
      </c>
      <c r="K17" s="8">
        <f t="shared" si="5"/>
        <v>31027370.989999998</v>
      </c>
      <c r="L17" s="8">
        <f t="shared" si="5"/>
        <v>579</v>
      </c>
      <c r="M17" s="8">
        <f t="shared" si="5"/>
        <v>7458101.6399999987</v>
      </c>
      <c r="N17" s="8">
        <f>SUM(N14:N16)</f>
        <v>6917</v>
      </c>
      <c r="O17" s="70">
        <f>SUM(O14:O16)</f>
        <v>93921897.360000014</v>
      </c>
      <c r="P17"/>
      <c r="Q17"/>
    </row>
    <row r="18" spans="1:17" hidden="1" x14ac:dyDescent="0.3">
      <c r="A18" s="60" t="s">
        <v>15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41">
        <f t="shared" ref="N18:N28" si="6">+B18-(J18+L18)</f>
        <v>0</v>
      </c>
      <c r="O18" s="41">
        <f t="shared" ref="O18:O28" si="7">+K18+M18+I18+C18</f>
        <v>0</v>
      </c>
      <c r="P18"/>
      <c r="Q18"/>
    </row>
    <row r="19" spans="1:17" hidden="1" x14ac:dyDescent="0.3">
      <c r="A19" s="60" t="s">
        <v>14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41">
        <f t="shared" si="6"/>
        <v>0</v>
      </c>
      <c r="O19" s="41">
        <f t="shared" si="7"/>
        <v>0</v>
      </c>
      <c r="P19"/>
      <c r="Q19"/>
    </row>
    <row r="20" spans="1:17" hidden="1" x14ac:dyDescent="0.3">
      <c r="A20" s="60" t="s">
        <v>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41">
        <f t="shared" si="6"/>
        <v>0</v>
      </c>
      <c r="O20" s="41">
        <f t="shared" si="7"/>
        <v>0</v>
      </c>
      <c r="P20"/>
      <c r="Q20"/>
    </row>
    <row r="21" spans="1:17" hidden="1" x14ac:dyDescent="0.3">
      <c r="A21" s="40" t="s">
        <v>16</v>
      </c>
      <c r="B21" s="8">
        <f t="shared" ref="B21:O21" si="8">SUM(B18:B20)</f>
        <v>0</v>
      </c>
      <c r="C21" s="8">
        <f t="shared" si="8"/>
        <v>0</v>
      </c>
      <c r="D21" s="8"/>
      <c r="E21" s="8"/>
      <c r="F21" s="8"/>
      <c r="G21" s="8"/>
      <c r="H21" s="8">
        <f t="shared" si="8"/>
        <v>0</v>
      </c>
      <c r="I21" s="8">
        <f t="shared" si="8"/>
        <v>0</v>
      </c>
      <c r="J21" s="8">
        <f t="shared" si="8"/>
        <v>0</v>
      </c>
      <c r="K21" s="8">
        <f t="shared" si="8"/>
        <v>0</v>
      </c>
      <c r="L21" s="8">
        <f t="shared" si="8"/>
        <v>0</v>
      </c>
      <c r="M21" s="8">
        <f t="shared" si="8"/>
        <v>0</v>
      </c>
      <c r="N21" s="8">
        <f t="shared" si="8"/>
        <v>0</v>
      </c>
      <c r="O21" s="8">
        <f t="shared" si="8"/>
        <v>0</v>
      </c>
      <c r="P21"/>
      <c r="Q21"/>
    </row>
    <row r="22" spans="1:17" hidden="1" x14ac:dyDescent="0.3">
      <c r="A22" s="60" t="s">
        <v>42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41">
        <f t="shared" si="6"/>
        <v>0</v>
      </c>
      <c r="O22" s="41">
        <f t="shared" si="7"/>
        <v>0</v>
      </c>
      <c r="P22"/>
      <c r="Q22"/>
    </row>
    <row r="23" spans="1:17" hidden="1" x14ac:dyDescent="0.3">
      <c r="A23" s="60" t="s">
        <v>22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41">
        <f t="shared" si="6"/>
        <v>0</v>
      </c>
      <c r="O23" s="41">
        <f t="shared" si="7"/>
        <v>0</v>
      </c>
      <c r="P23"/>
      <c r="Q23"/>
    </row>
    <row r="24" spans="1:17" hidden="1" x14ac:dyDescent="0.3">
      <c r="A24" s="60" t="s">
        <v>23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41">
        <f t="shared" si="6"/>
        <v>0</v>
      </c>
      <c r="O24" s="41">
        <f t="shared" si="7"/>
        <v>0</v>
      </c>
      <c r="P24"/>
      <c r="Q24"/>
    </row>
    <row r="25" spans="1:17" hidden="1" x14ac:dyDescent="0.3">
      <c r="A25" s="40" t="s">
        <v>24</v>
      </c>
      <c r="B25" s="8">
        <f t="shared" ref="B25:O25" si="9">SUM(B22:B24)</f>
        <v>0</v>
      </c>
      <c r="C25" s="8">
        <f t="shared" si="9"/>
        <v>0</v>
      </c>
      <c r="D25" s="8"/>
      <c r="E25" s="8"/>
      <c r="F25" s="8"/>
      <c r="G25" s="8"/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9"/>
        <v>0</v>
      </c>
      <c r="M25" s="8">
        <f t="shared" si="9"/>
        <v>0</v>
      </c>
      <c r="N25" s="8">
        <f t="shared" si="9"/>
        <v>0</v>
      </c>
      <c r="O25" s="8">
        <f t="shared" si="9"/>
        <v>0</v>
      </c>
      <c r="P25"/>
      <c r="Q25"/>
    </row>
    <row r="26" spans="1:17" hidden="1" x14ac:dyDescent="0.3">
      <c r="A26" s="60" t="s">
        <v>25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41">
        <f t="shared" si="6"/>
        <v>0</v>
      </c>
      <c r="O26" s="41">
        <f t="shared" si="7"/>
        <v>0</v>
      </c>
      <c r="P26"/>
      <c r="Q26"/>
    </row>
    <row r="27" spans="1:17" hidden="1" x14ac:dyDescent="0.3">
      <c r="A27" s="60" t="s">
        <v>26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41">
        <f t="shared" si="6"/>
        <v>0</v>
      </c>
      <c r="O27" s="41">
        <f t="shared" si="7"/>
        <v>0</v>
      </c>
      <c r="P27"/>
      <c r="Q27"/>
    </row>
    <row r="28" spans="1:17" hidden="1" x14ac:dyDescent="0.3">
      <c r="A28" s="60" t="s">
        <v>27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41">
        <f t="shared" si="6"/>
        <v>0</v>
      </c>
      <c r="O28" s="41">
        <f t="shared" si="7"/>
        <v>0</v>
      </c>
      <c r="P28"/>
      <c r="Q28"/>
    </row>
    <row r="29" spans="1:17" hidden="1" x14ac:dyDescent="0.3">
      <c r="A29" s="40" t="s">
        <v>28</v>
      </c>
      <c r="B29" s="8">
        <f t="shared" ref="B29:O29" si="10">SUM(B26:B28)</f>
        <v>0</v>
      </c>
      <c r="C29" s="8">
        <f t="shared" si="10"/>
        <v>0</v>
      </c>
      <c r="D29" s="8"/>
      <c r="E29" s="8"/>
      <c r="F29" s="8"/>
      <c r="G29" s="8"/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/>
      <c r="Q29"/>
    </row>
    <row r="30" spans="1:17" ht="27" hidden="1" customHeight="1" x14ac:dyDescent="0.3">
      <c r="A30" s="43" t="s">
        <v>29</v>
      </c>
      <c r="B30" s="44">
        <f>+B17+B21+B25+B29</f>
        <v>9803</v>
      </c>
      <c r="C30" s="42">
        <f t="shared" ref="C30:O30" si="11">+C17+C21+C25+C29</f>
        <v>120475543.14</v>
      </c>
      <c r="D30" s="42"/>
      <c r="E30" s="42"/>
      <c r="F30" s="42"/>
      <c r="G30" s="42"/>
      <c r="H30" s="42">
        <f t="shared" si="11"/>
        <v>224</v>
      </c>
      <c r="I30" s="42">
        <f t="shared" si="11"/>
        <v>3104976.85</v>
      </c>
      <c r="J30" s="42">
        <f t="shared" si="11"/>
        <v>3008</v>
      </c>
      <c r="K30" s="42">
        <f t="shared" si="11"/>
        <v>31027370.989999998</v>
      </c>
      <c r="L30" s="42">
        <f t="shared" si="11"/>
        <v>579</v>
      </c>
      <c r="M30" s="42">
        <f t="shared" si="11"/>
        <v>7458101.6399999987</v>
      </c>
      <c r="N30" s="42">
        <f t="shared" si="11"/>
        <v>6917</v>
      </c>
      <c r="O30" s="42">
        <f t="shared" si="11"/>
        <v>93921897.360000014</v>
      </c>
      <c r="P30"/>
      <c r="Q30"/>
    </row>
    <row r="31" spans="1:17" x14ac:dyDescent="0.3">
      <c r="A31" s="108" t="s">
        <v>95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/>
      <c r="Q31"/>
    </row>
    <row r="32" spans="1:17" s="15" customFormat="1" ht="9" customHeight="1" x14ac:dyDescent="0.2">
      <c r="A32" s="160"/>
      <c r="B32" s="111"/>
      <c r="C32" s="111"/>
      <c r="D32" s="111"/>
      <c r="E32" s="111"/>
      <c r="F32" s="111"/>
      <c r="G32" s="111"/>
      <c r="H32" s="111"/>
      <c r="I32" s="111"/>
      <c r="J32" s="108"/>
      <c r="K32" s="108"/>
      <c r="L32" s="108"/>
      <c r="M32" s="108"/>
      <c r="N32" s="108"/>
      <c r="O32" s="108"/>
      <c r="P32" s="108"/>
      <c r="Q32" s="108"/>
    </row>
    <row r="33" spans="1:17" ht="13.5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3">
      <c r="A34"/>
      <c r="B34"/>
      <c r="C34"/>
      <c r="D34"/>
      <c r="E34"/>
      <c r="F34"/>
      <c r="G34" s="382"/>
      <c r="H34"/>
      <c r="I34"/>
      <c r="J34"/>
      <c r="K34"/>
      <c r="L34"/>
      <c r="M34"/>
      <c r="N34"/>
      <c r="O34"/>
      <c r="P34"/>
      <c r="Q34"/>
    </row>
    <row r="35" spans="1:17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7" spans="1:17" x14ac:dyDescent="0.3">
      <c r="B47" s="60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1"/>
      <c r="P47" s="69"/>
    </row>
    <row r="49" spans="2:16" x14ac:dyDescent="0.3">
      <c r="B49" s="60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1"/>
      <c r="P49" s="69"/>
    </row>
    <row r="52" spans="2:16" ht="6" customHeight="1" x14ac:dyDescent="0.3"/>
    <row r="55" spans="2:16" customFormat="1" x14ac:dyDescent="0.3"/>
    <row r="56" spans="2:16" customFormat="1" x14ac:dyDescent="0.3"/>
    <row r="57" spans="2:16" customFormat="1" x14ac:dyDescent="0.3"/>
    <row r="58" spans="2:16" customFormat="1" x14ac:dyDescent="0.3"/>
    <row r="59" spans="2:16" customFormat="1" x14ac:dyDescent="0.3"/>
    <row r="60" spans="2:16" customFormat="1" x14ac:dyDescent="0.3"/>
    <row r="61" spans="2:16" customFormat="1" x14ac:dyDescent="0.3"/>
  </sheetData>
  <mergeCells count="13">
    <mergeCell ref="B7:C7"/>
    <mergeCell ref="H7:I7"/>
    <mergeCell ref="J7:K7"/>
    <mergeCell ref="L7:M7"/>
    <mergeCell ref="N7:O7"/>
    <mergeCell ref="D7:E7"/>
    <mergeCell ref="F7:G7"/>
    <mergeCell ref="A6:O6"/>
    <mergeCell ref="A1:O1"/>
    <mergeCell ref="A2:O2"/>
    <mergeCell ref="A3:O3"/>
    <mergeCell ref="A5:O5"/>
    <mergeCell ref="A4:O4"/>
  </mergeCells>
  <pageMargins left="0.7" right="0.7" top="0.75" bottom="0.75" header="0.3" footer="0.3"/>
  <pageSetup paperSize="9" scale="55" orientation="portrait" r:id="rId1"/>
  <ignoredErrors>
    <ignoredError sqref="N1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4140625" defaultRowHeight="14.4" x14ac:dyDescent="0.3"/>
  <cols>
    <col min="1" max="1" width="18.44140625" customWidth="1"/>
    <col min="3" max="3" width="18.109375" customWidth="1"/>
    <col min="6" max="6" width="13.6640625" bestFit="1" customWidth="1"/>
  </cols>
  <sheetData>
    <row r="5" spans="1:8" x14ac:dyDescent="0.3">
      <c r="A5" t="s">
        <v>126</v>
      </c>
    </row>
    <row r="6" spans="1:8" x14ac:dyDescent="0.3">
      <c r="A6" t="s">
        <v>127</v>
      </c>
      <c r="B6" t="s">
        <v>128</v>
      </c>
      <c r="C6" s="64">
        <v>31310</v>
      </c>
      <c r="D6" s="85">
        <v>0.2</v>
      </c>
      <c r="E6" s="64">
        <v>391848281</v>
      </c>
      <c r="F6" s="85">
        <v>0.19</v>
      </c>
    </row>
    <row r="7" spans="1:8" x14ac:dyDescent="0.3">
      <c r="A7" t="s">
        <v>129</v>
      </c>
      <c r="B7" s="64">
        <v>58606</v>
      </c>
      <c r="C7" s="85">
        <v>0.37</v>
      </c>
      <c r="D7" s="64">
        <v>502596251</v>
      </c>
      <c r="E7" s="85">
        <v>0.25</v>
      </c>
    </row>
    <row r="8" spans="1:8" x14ac:dyDescent="0.3">
      <c r="A8" t="s">
        <v>130</v>
      </c>
      <c r="B8" t="s">
        <v>131</v>
      </c>
      <c r="C8" t="s">
        <v>132</v>
      </c>
      <c r="D8">
        <v>280</v>
      </c>
      <c r="E8" s="86">
        <v>2E-3</v>
      </c>
      <c r="F8" s="64">
        <v>4723136</v>
      </c>
      <c r="G8" s="86">
        <v>2E-3</v>
      </c>
    </row>
    <row r="9" spans="1:8" x14ac:dyDescent="0.3">
      <c r="A9" t="s">
        <v>133</v>
      </c>
      <c r="B9" t="s">
        <v>134</v>
      </c>
      <c r="C9" t="s">
        <v>135</v>
      </c>
      <c r="D9" t="s">
        <v>136</v>
      </c>
      <c r="E9">
        <v>164</v>
      </c>
      <c r="F9" s="86">
        <v>1E-3</v>
      </c>
      <c r="G9" s="64">
        <v>4627394</v>
      </c>
      <c r="H9" s="86">
        <v>2E-3</v>
      </c>
    </row>
    <row r="10" spans="1:8" x14ac:dyDescent="0.3">
      <c r="A10" t="s">
        <v>137</v>
      </c>
      <c r="B10" t="s">
        <v>138</v>
      </c>
      <c r="C10">
        <v>311</v>
      </c>
      <c r="D10" s="86">
        <v>2E-3</v>
      </c>
      <c r="E10" s="64">
        <v>8307901</v>
      </c>
      <c r="F10" s="86">
        <v>4.0000000000000001E-3</v>
      </c>
    </row>
    <row r="11" spans="1:8" x14ac:dyDescent="0.3">
      <c r="A11" t="s">
        <v>137</v>
      </c>
      <c r="B11" t="s">
        <v>139</v>
      </c>
      <c r="C11" s="64">
        <v>19019</v>
      </c>
      <c r="D11" s="85">
        <v>0.12</v>
      </c>
      <c r="E11" s="64">
        <v>425653300</v>
      </c>
      <c r="F11" s="85">
        <v>0.21</v>
      </c>
    </row>
    <row r="12" spans="1:8" x14ac:dyDescent="0.3">
      <c r="A12" t="s">
        <v>140</v>
      </c>
      <c r="B12" t="s">
        <v>141</v>
      </c>
      <c r="C12" s="64">
        <v>21131</v>
      </c>
      <c r="D12" s="85">
        <v>0.13</v>
      </c>
      <c r="E12" s="64">
        <v>448771667</v>
      </c>
      <c r="F12" s="85">
        <v>0.22</v>
      </c>
    </row>
    <row r="13" spans="1:8" x14ac:dyDescent="0.3">
      <c r="A13" t="s">
        <v>127</v>
      </c>
      <c r="B13" t="s">
        <v>142</v>
      </c>
      <c r="C13" s="64">
        <v>10163</v>
      </c>
      <c r="D13" s="85">
        <v>0.06</v>
      </c>
      <c r="E13" s="64">
        <v>60978000</v>
      </c>
      <c r="F13" s="85">
        <v>0.03</v>
      </c>
    </row>
    <row r="14" spans="1:8" x14ac:dyDescent="0.3">
      <c r="A14" t="s">
        <v>143</v>
      </c>
      <c r="B14" t="s">
        <v>144</v>
      </c>
      <c r="C14" t="s">
        <v>145</v>
      </c>
      <c r="D14" s="64">
        <v>16719</v>
      </c>
      <c r="E14" s="85">
        <v>0.11</v>
      </c>
      <c r="F14" s="64">
        <v>171659274</v>
      </c>
      <c r="G14" s="85">
        <v>0.09</v>
      </c>
    </row>
    <row r="17" spans="1:7" x14ac:dyDescent="0.3">
      <c r="A17" t="s">
        <v>146</v>
      </c>
      <c r="B17" t="s">
        <v>147</v>
      </c>
      <c r="C17" t="s">
        <v>62</v>
      </c>
      <c r="D17" t="s">
        <v>148</v>
      </c>
      <c r="E17" t="s">
        <v>62</v>
      </c>
    </row>
    <row r="18" spans="1:7" x14ac:dyDescent="0.3">
      <c r="A18" t="s">
        <v>149</v>
      </c>
      <c r="B18" t="s">
        <v>150</v>
      </c>
      <c r="C18" t="s">
        <v>151</v>
      </c>
      <c r="D18">
        <v>42</v>
      </c>
      <c r="E18" s="86">
        <v>2.9999999999999997E-4</v>
      </c>
      <c r="F18" s="87">
        <v>167356.85</v>
      </c>
      <c r="G18" s="85">
        <v>0</v>
      </c>
    </row>
    <row r="19" spans="1:7" x14ac:dyDescent="0.3">
      <c r="A19" t="s">
        <v>152</v>
      </c>
      <c r="B19" t="s">
        <v>153</v>
      </c>
      <c r="C19" t="s">
        <v>154</v>
      </c>
      <c r="D19">
        <v>1</v>
      </c>
      <c r="E19" s="86">
        <v>0</v>
      </c>
      <c r="F19" s="87">
        <v>5117.5</v>
      </c>
      <c r="G19" s="85">
        <v>0</v>
      </c>
    </row>
    <row r="20" spans="1:7" x14ac:dyDescent="0.3">
      <c r="A20" s="87">
        <v>5117.5</v>
      </c>
      <c r="B20" t="s">
        <v>111</v>
      </c>
      <c r="C20" s="87">
        <v>10000</v>
      </c>
      <c r="D20" s="64">
        <v>93522</v>
      </c>
      <c r="E20" s="86">
        <v>0.73980000000000001</v>
      </c>
      <c r="F20" s="87">
        <v>750253033.45000005</v>
      </c>
      <c r="G20" s="85">
        <v>0.5</v>
      </c>
    </row>
    <row r="21" spans="1:7" x14ac:dyDescent="0.3">
      <c r="A21" s="87">
        <v>10000</v>
      </c>
      <c r="B21" t="s">
        <v>111</v>
      </c>
      <c r="C21" s="87">
        <v>20000</v>
      </c>
      <c r="D21" s="64">
        <v>18138</v>
      </c>
      <c r="E21" s="86">
        <v>0.14349999999999999</v>
      </c>
      <c r="F21" s="87">
        <v>227429836.90000001</v>
      </c>
      <c r="G21" s="85">
        <v>0.15</v>
      </c>
    </row>
    <row r="22" spans="1:7" x14ac:dyDescent="0.3">
      <c r="A22" s="87">
        <v>20000</v>
      </c>
      <c r="B22" t="s">
        <v>111</v>
      </c>
      <c r="C22" s="87">
        <v>30000</v>
      </c>
      <c r="D22" s="64">
        <v>6578</v>
      </c>
      <c r="E22" s="86">
        <v>5.1999999999999998E-2</v>
      </c>
      <c r="F22" s="87">
        <v>161421192.27000001</v>
      </c>
      <c r="G22" s="85">
        <v>0.11</v>
      </c>
    </row>
    <row r="23" spans="1:7" x14ac:dyDescent="0.3">
      <c r="A23" s="87">
        <v>30000</v>
      </c>
      <c r="B23" t="s">
        <v>111</v>
      </c>
      <c r="C23" s="87">
        <v>40000</v>
      </c>
      <c r="D23" s="64">
        <v>3651</v>
      </c>
      <c r="E23" s="86">
        <v>2.8899999999999999E-2</v>
      </c>
      <c r="F23" s="87">
        <v>122505219.92</v>
      </c>
      <c r="G23" s="85">
        <v>0.08</v>
      </c>
    </row>
    <row r="24" spans="1:7" x14ac:dyDescent="0.3">
      <c r="A24" s="87">
        <v>40000</v>
      </c>
      <c r="B24" t="s">
        <v>111</v>
      </c>
      <c r="C24" s="87">
        <v>50000</v>
      </c>
      <c r="D24" s="64">
        <v>2228</v>
      </c>
      <c r="E24" s="86">
        <v>1.7600000000000001E-2</v>
      </c>
      <c r="F24" s="87">
        <v>96897867.079999998</v>
      </c>
      <c r="G24" s="85">
        <v>0.06</v>
      </c>
    </row>
    <row r="25" spans="1:7" x14ac:dyDescent="0.3">
      <c r="A25" s="87">
        <v>50000</v>
      </c>
      <c r="B25" t="s">
        <v>111</v>
      </c>
      <c r="C25" s="87">
        <v>60000</v>
      </c>
      <c r="D25" s="64">
        <v>1212</v>
      </c>
      <c r="E25" s="86">
        <v>9.5999999999999992E-3</v>
      </c>
      <c r="F25" s="87">
        <v>63870772.049999997</v>
      </c>
      <c r="G25" s="85">
        <v>0.04</v>
      </c>
    </row>
    <row r="26" spans="1:7" x14ac:dyDescent="0.3">
      <c r="A26" s="87">
        <v>60000</v>
      </c>
      <c r="B26" t="s">
        <v>111</v>
      </c>
      <c r="C26" s="87">
        <v>70000</v>
      </c>
      <c r="D26">
        <v>256</v>
      </c>
      <c r="E26" s="86">
        <v>2E-3</v>
      </c>
      <c r="F26" s="87">
        <v>15987935.460000001</v>
      </c>
      <c r="G26" s="85">
        <v>0.01</v>
      </c>
    </row>
    <row r="27" spans="1:7" x14ac:dyDescent="0.3">
      <c r="A27" s="87">
        <v>70000</v>
      </c>
      <c r="B27" t="s">
        <v>111</v>
      </c>
      <c r="C27" s="87">
        <v>80000</v>
      </c>
      <c r="D27">
        <v>185</v>
      </c>
      <c r="E27" s="86">
        <v>1.5E-3</v>
      </c>
      <c r="F27" s="87">
        <v>13603340.310000001</v>
      </c>
      <c r="G27" s="85">
        <v>0.01</v>
      </c>
    </row>
    <row r="28" spans="1:7" x14ac:dyDescent="0.3">
      <c r="A28" s="87">
        <v>80000</v>
      </c>
      <c r="B28" t="s">
        <v>111</v>
      </c>
      <c r="C28" s="87">
        <v>90000</v>
      </c>
      <c r="D28">
        <v>246</v>
      </c>
      <c r="E28" s="86">
        <v>1.9E-3</v>
      </c>
      <c r="F28" s="87">
        <v>20637258.829999998</v>
      </c>
      <c r="G28" s="85">
        <v>0.01</v>
      </c>
    </row>
    <row r="29" spans="1:7" x14ac:dyDescent="0.3">
      <c r="A29" s="87">
        <v>90000</v>
      </c>
      <c r="B29" t="s">
        <v>111</v>
      </c>
      <c r="C29" s="87">
        <v>100000</v>
      </c>
      <c r="D29">
        <v>300</v>
      </c>
      <c r="E29" s="86">
        <v>2.3999999999999998E-3</v>
      </c>
      <c r="F29" s="87">
        <v>28790914.350000001</v>
      </c>
      <c r="G29" s="85">
        <v>0.02</v>
      </c>
    </row>
    <row r="30" spans="1:7" x14ac:dyDescent="0.3">
      <c r="A30" t="s">
        <v>155</v>
      </c>
      <c r="B30">
        <v>50</v>
      </c>
      <c r="C30" s="86">
        <v>4.0000000000000002E-4</v>
      </c>
      <c r="D30" s="87">
        <v>7845693.5999999996</v>
      </c>
      <c r="E30" s="85">
        <v>0.01</v>
      </c>
    </row>
    <row r="32" spans="1:7" x14ac:dyDescent="0.3">
      <c r="A32" t="s">
        <v>146</v>
      </c>
      <c r="B32" t="s">
        <v>147</v>
      </c>
      <c r="C32" t="s">
        <v>62</v>
      </c>
      <c r="D32" t="s">
        <v>148</v>
      </c>
      <c r="E32" t="s">
        <v>62</v>
      </c>
    </row>
    <row r="33" spans="1:7" x14ac:dyDescent="0.3">
      <c r="A33" t="s">
        <v>156</v>
      </c>
      <c r="B33">
        <v>8</v>
      </c>
      <c r="C33" s="86">
        <v>1E-4</v>
      </c>
      <c r="D33" s="64">
        <v>120807</v>
      </c>
      <c r="E33" s="86">
        <v>1E-4</v>
      </c>
    </row>
    <row r="34" spans="1:7" x14ac:dyDescent="0.3">
      <c r="A34" t="s">
        <v>157</v>
      </c>
      <c r="B34">
        <v>105</v>
      </c>
      <c r="C34" s="86">
        <v>8.9999999999999998E-4</v>
      </c>
      <c r="D34" s="64">
        <v>1623898</v>
      </c>
      <c r="E34" s="86">
        <v>1.1000000000000001E-3</v>
      </c>
    </row>
    <row r="35" spans="1:7" x14ac:dyDescent="0.3">
      <c r="A35" t="s">
        <v>158</v>
      </c>
      <c r="B35">
        <v>662</v>
      </c>
      <c r="C35" s="86">
        <v>5.7999999999999996E-3</v>
      </c>
      <c r="D35" s="64">
        <v>8844351</v>
      </c>
      <c r="E35" s="86">
        <v>5.8999999999999999E-3</v>
      </c>
    </row>
    <row r="36" spans="1:7" x14ac:dyDescent="0.3">
      <c r="A36" t="s">
        <v>159</v>
      </c>
      <c r="B36" s="64">
        <v>3613</v>
      </c>
      <c r="C36" s="86">
        <v>3.1699999999999999E-2</v>
      </c>
      <c r="D36" s="64">
        <v>58835635</v>
      </c>
      <c r="E36" s="86">
        <v>3.9E-2</v>
      </c>
    </row>
    <row r="37" spans="1:7" x14ac:dyDescent="0.3">
      <c r="A37" t="s">
        <v>160</v>
      </c>
      <c r="B37" s="64">
        <v>37680</v>
      </c>
      <c r="C37" s="86">
        <v>0.3306</v>
      </c>
      <c r="D37" s="64">
        <v>525796423</v>
      </c>
      <c r="E37" s="86">
        <v>0.3483</v>
      </c>
    </row>
    <row r="38" spans="1:7" x14ac:dyDescent="0.3">
      <c r="A38" t="s">
        <v>161</v>
      </c>
      <c r="B38" s="64">
        <v>44491</v>
      </c>
      <c r="C38" s="86">
        <v>0.39040000000000002</v>
      </c>
      <c r="D38" s="64">
        <v>593494378</v>
      </c>
      <c r="E38" s="86">
        <v>0.39319999999999999</v>
      </c>
    </row>
    <row r="39" spans="1:7" x14ac:dyDescent="0.3">
      <c r="A39" t="s">
        <v>162</v>
      </c>
      <c r="B39" s="64">
        <v>22199</v>
      </c>
      <c r="C39" s="86">
        <v>0.1948</v>
      </c>
      <c r="D39" s="64">
        <v>263071212</v>
      </c>
      <c r="E39" s="86">
        <v>0.17430000000000001</v>
      </c>
    </row>
    <row r="40" spans="1:7" x14ac:dyDescent="0.3">
      <c r="A40" t="s">
        <v>163</v>
      </c>
      <c r="B40" s="64">
        <v>4787</v>
      </c>
      <c r="C40" s="86">
        <v>4.2000000000000003E-2</v>
      </c>
      <c r="D40" s="64">
        <v>53293459</v>
      </c>
      <c r="E40" s="86">
        <v>3.5299999999999998E-2</v>
      </c>
    </row>
    <row r="41" spans="1:7" x14ac:dyDescent="0.3">
      <c r="A41">
        <v>100</v>
      </c>
      <c r="B41">
        <v>273</v>
      </c>
      <c r="C41" s="86">
        <v>2.3999999999999998E-3</v>
      </c>
      <c r="D41" s="64">
        <v>3036509</v>
      </c>
      <c r="E41" s="86">
        <v>2E-3</v>
      </c>
    </row>
    <row r="42" spans="1:7" x14ac:dyDescent="0.3">
      <c r="A42">
        <v>0</v>
      </c>
      <c r="B42">
        <v>148</v>
      </c>
      <c r="C42" s="86">
        <v>1.2999999999999999E-3</v>
      </c>
      <c r="D42" s="64">
        <v>1202867</v>
      </c>
      <c r="E42" s="86">
        <v>8.0000000000000004E-4</v>
      </c>
    </row>
    <row r="43" spans="1:7" x14ac:dyDescent="0.3">
      <c r="A43" t="s">
        <v>164</v>
      </c>
      <c r="B43" t="s">
        <v>165</v>
      </c>
      <c r="C43" s="88">
        <v>1</v>
      </c>
      <c r="D43">
        <v>11</v>
      </c>
      <c r="E43" s="86">
        <v>1E-4</v>
      </c>
      <c r="F43" s="64">
        <v>96000</v>
      </c>
      <c r="G43" s="86">
        <v>1E-4</v>
      </c>
    </row>
    <row r="60" spans="1:4" ht="1.5" customHeight="1" thickBot="1" x14ac:dyDescent="0.35"/>
    <row r="61" spans="1:4" ht="31.5" customHeight="1" x14ac:dyDescent="0.3">
      <c r="A61" s="550" t="s">
        <v>166</v>
      </c>
      <c r="B61" s="551"/>
      <c r="C61" s="551"/>
      <c r="D61" s="552"/>
    </row>
    <row r="62" spans="1:4" x14ac:dyDescent="0.3">
      <c r="A62" s="90" t="s">
        <v>167</v>
      </c>
      <c r="B62" s="91" t="s">
        <v>62</v>
      </c>
      <c r="C62" s="92" t="s">
        <v>9</v>
      </c>
      <c r="D62" s="93" t="s">
        <v>62</v>
      </c>
    </row>
    <row r="63" spans="1:4" x14ac:dyDescent="0.3">
      <c r="A63" s="78">
        <v>31137</v>
      </c>
      <c r="B63" s="67">
        <f>A63/$F$18</f>
        <v>0.18605154195959114</v>
      </c>
      <c r="C63" s="45">
        <v>395798200.03000003</v>
      </c>
      <c r="D63" s="79">
        <f>C63/C72</f>
        <v>0.19391687100775967</v>
      </c>
    </row>
    <row r="64" spans="1:4" x14ac:dyDescent="0.3">
      <c r="A64" s="78">
        <v>59538</v>
      </c>
      <c r="B64" s="67">
        <f t="shared" ref="B64:B71" si="0">A64/$F$18</f>
        <v>0.35575478386453857</v>
      </c>
      <c r="C64" s="45">
        <v>514655292.12</v>
      </c>
      <c r="D64" s="79">
        <f>C64/C72</f>
        <v>0.25214956482351464</v>
      </c>
    </row>
    <row r="65" spans="1:4" x14ac:dyDescent="0.3">
      <c r="A65" s="78">
        <v>272</v>
      </c>
      <c r="B65" s="68">
        <f t="shared" si="0"/>
        <v>1.6252695960756909E-3</v>
      </c>
      <c r="C65" s="45">
        <v>4588034.25</v>
      </c>
      <c r="D65" s="80">
        <f>C65/C72</f>
        <v>2.2478557147783836E-3</v>
      </c>
    </row>
    <row r="66" spans="1:4" x14ac:dyDescent="0.3">
      <c r="A66" s="78">
        <v>165</v>
      </c>
      <c r="B66" s="68">
        <f t="shared" si="0"/>
        <v>9.8591721820768022E-4</v>
      </c>
      <c r="C66" s="45">
        <v>4769926.3500000006</v>
      </c>
      <c r="D66" s="80">
        <f>C66/C72</f>
        <v>2.3369717008802837E-3</v>
      </c>
    </row>
    <row r="67" spans="1:4" x14ac:dyDescent="0.3">
      <c r="A67" s="78">
        <v>291</v>
      </c>
      <c r="B67" s="68">
        <f t="shared" si="0"/>
        <v>1.7387994575662723E-3</v>
      </c>
      <c r="C67" s="45">
        <v>7859081.6799999997</v>
      </c>
      <c r="D67" s="80">
        <f>C67/C72</f>
        <v>3.8504685677309622E-3</v>
      </c>
    </row>
    <row r="68" spans="1:4" x14ac:dyDescent="0.3">
      <c r="A68" s="78">
        <v>18719</v>
      </c>
      <c r="B68" s="67">
        <f t="shared" si="0"/>
        <v>0.11185081459169433</v>
      </c>
      <c r="C68" s="45">
        <v>422264407.25999999</v>
      </c>
      <c r="D68" s="79">
        <f>C68/C72</f>
        <v>0.20688369120324193</v>
      </c>
    </row>
    <row r="69" spans="1:4" x14ac:dyDescent="0.3">
      <c r="A69" s="78">
        <v>21144</v>
      </c>
      <c r="B69" s="67">
        <f t="shared" si="0"/>
        <v>0.12634081007141326</v>
      </c>
      <c r="C69" s="45">
        <v>451598843.05000001</v>
      </c>
      <c r="D69" s="79">
        <f>C69/C72</f>
        <v>0.22125576768247726</v>
      </c>
    </row>
    <row r="70" spans="1:4" x14ac:dyDescent="0.3">
      <c r="A70" s="78">
        <v>9753</v>
      </c>
      <c r="B70" s="67">
        <f t="shared" si="0"/>
        <v>5.8276670479875788E-2</v>
      </c>
      <c r="C70" s="45">
        <v>58518000</v>
      </c>
      <c r="D70" s="79">
        <f>C70/C72</f>
        <v>2.8670235126819606E-2</v>
      </c>
    </row>
    <row r="71" spans="1:4" x14ac:dyDescent="0.3">
      <c r="A71" s="78">
        <v>17481</v>
      </c>
      <c r="B71" s="67">
        <f t="shared" si="0"/>
        <v>0.10445344782720277</v>
      </c>
      <c r="C71" s="45">
        <v>181019721.69</v>
      </c>
      <c r="D71" s="79">
        <f>C71/C72</f>
        <v>8.8688574172797213E-2</v>
      </c>
    </row>
    <row r="72" spans="1:4" ht="15" thickBot="1" x14ac:dyDescent="0.35">
      <c r="A72" s="81">
        <f t="shared" ref="A72:D72" si="1">SUM(A63:A71)</f>
        <v>158500</v>
      </c>
      <c r="B72" s="82">
        <f t="shared" si="1"/>
        <v>0.9470780550661656</v>
      </c>
      <c r="C72" s="83">
        <f t="shared" si="1"/>
        <v>2041071506.4300001</v>
      </c>
      <c r="D72" s="84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A91"/>
  <sheetViews>
    <sheetView showGridLines="0" topLeftCell="A62" zoomScaleNormal="100" workbookViewId="0">
      <selection activeCell="C10" sqref="C10"/>
    </sheetView>
  </sheetViews>
  <sheetFormatPr baseColWidth="10" defaultColWidth="11.44140625" defaultRowHeight="14.4" x14ac:dyDescent="0.3"/>
  <cols>
    <col min="1" max="1" width="23.33203125" style="1" customWidth="1"/>
    <col min="2" max="2" width="10.33203125" style="1" customWidth="1"/>
    <col min="3" max="3" width="9.6640625" style="1" customWidth="1"/>
    <col min="4" max="4" width="15.109375" style="1" customWidth="1"/>
    <col min="5" max="5" width="9" style="1" customWidth="1"/>
    <col min="6" max="6" width="11.109375" style="1" customWidth="1"/>
    <col min="7" max="7" width="9.109375" style="1" customWidth="1"/>
    <col min="8" max="8" width="15.5546875" style="1" customWidth="1"/>
    <col min="9" max="9" width="9.6640625" style="1" customWidth="1"/>
    <col min="10" max="10" width="10.5546875" style="1" customWidth="1"/>
    <col min="11" max="11" width="11.44140625" style="1" bestFit="1" customWidth="1"/>
    <col min="12" max="12" width="13.5546875" style="1" customWidth="1"/>
    <col min="13" max="13" width="11.33203125" style="1" customWidth="1"/>
    <col min="14" max="14" width="16" style="1" customWidth="1"/>
    <col min="15" max="15" width="12.109375" style="1" customWidth="1"/>
    <col min="16" max="16" width="15.109375" style="1" customWidth="1"/>
    <col min="17" max="17" width="11.44140625" style="1" customWidth="1"/>
    <col min="18" max="19" width="15.6640625" style="1" customWidth="1"/>
    <col min="20" max="20" width="18.44140625" style="1" bestFit="1" customWidth="1"/>
    <col min="21" max="21" width="19.6640625" style="1" customWidth="1"/>
    <col min="22" max="22" width="11.44140625" style="1"/>
    <col min="23" max="23" width="13.6640625" style="1" bestFit="1" customWidth="1"/>
    <col min="24" max="16384" width="11.44140625" style="1"/>
  </cols>
  <sheetData>
    <row r="1" spans="1:27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389" customFormat="1" x14ac:dyDescent="0.3">
      <c r="D3" s="561" t="s">
        <v>3</v>
      </c>
      <c r="E3" s="561"/>
      <c r="F3" s="561"/>
      <c r="G3" s="561"/>
      <c r="H3" s="561"/>
      <c r="I3" s="561"/>
    </row>
    <row r="4" spans="1:27" s="22" customFormat="1" x14ac:dyDescent="0.3">
      <c r="D4" s="516" t="s">
        <v>4</v>
      </c>
      <c r="E4" s="516"/>
      <c r="F4" s="516"/>
      <c r="G4" s="516"/>
      <c r="H4" s="516"/>
      <c r="I4" s="516"/>
    </row>
    <row r="5" spans="1:27" x14ac:dyDescent="0.3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</row>
    <row r="6" spans="1:27" x14ac:dyDescent="0.3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</row>
    <row r="7" spans="1:27" ht="15.75" customHeight="1" x14ac:dyDescent="0.3">
      <c r="A7" s="553" t="s">
        <v>168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98"/>
      <c r="O7" s="98"/>
      <c r="P7" s="98"/>
      <c r="Q7"/>
      <c r="R7"/>
      <c r="S7"/>
    </row>
    <row r="8" spans="1:27" ht="31.5" customHeight="1" x14ac:dyDescent="0.3">
      <c r="A8" s="390"/>
      <c r="B8" s="554" t="s">
        <v>169</v>
      </c>
      <c r="C8" s="559"/>
      <c r="D8" s="559"/>
      <c r="E8" s="560"/>
      <c r="F8" s="559" t="s">
        <v>170</v>
      </c>
      <c r="G8" s="559"/>
      <c r="H8" s="559"/>
      <c r="I8" s="559"/>
      <c r="J8" s="554" t="s">
        <v>96</v>
      </c>
      <c r="K8" s="559"/>
      <c r="L8" s="559"/>
      <c r="M8" s="560"/>
      <c r="N8" s="391"/>
      <c r="O8" s="391"/>
      <c r="P8" s="391"/>
      <c r="Q8"/>
      <c r="R8"/>
      <c r="S8"/>
    </row>
    <row r="9" spans="1:27" ht="24" x14ac:dyDescent="0.3">
      <c r="A9" s="392" t="s">
        <v>171</v>
      </c>
      <c r="B9" s="467" t="s">
        <v>167</v>
      </c>
      <c r="C9" s="392" t="s">
        <v>62</v>
      </c>
      <c r="D9" s="392" t="s">
        <v>9</v>
      </c>
      <c r="E9" s="468" t="s">
        <v>62</v>
      </c>
      <c r="F9" s="392" t="s">
        <v>167</v>
      </c>
      <c r="G9" s="392" t="s">
        <v>62</v>
      </c>
      <c r="H9" s="392" t="s">
        <v>9</v>
      </c>
      <c r="I9" s="392" t="s">
        <v>62</v>
      </c>
      <c r="J9" s="481" t="s">
        <v>172</v>
      </c>
      <c r="K9" s="482" t="s">
        <v>173</v>
      </c>
      <c r="L9" s="482" t="s">
        <v>174</v>
      </c>
      <c r="M9" s="483" t="s">
        <v>175</v>
      </c>
      <c r="N9"/>
      <c r="O9"/>
      <c r="P9"/>
      <c r="Q9"/>
      <c r="R9"/>
      <c r="S9"/>
    </row>
    <row r="10" spans="1:27" x14ac:dyDescent="0.3">
      <c r="A10" s="393" t="s">
        <v>176</v>
      </c>
      <c r="B10" s="475">
        <v>31081</v>
      </c>
      <c r="C10" s="344">
        <f>+B10/$B$19</f>
        <v>0.1734808356729422</v>
      </c>
      <c r="D10" s="476">
        <v>1397886833.04</v>
      </c>
      <c r="E10" s="470">
        <f>+D10/$D$19</f>
        <v>0.17728904560707309</v>
      </c>
      <c r="F10" s="395">
        <v>33014</v>
      </c>
      <c r="G10" s="396">
        <f>+F10/$F$19</f>
        <v>0.16180715864590531</v>
      </c>
      <c r="H10" s="469">
        <v>1547298211.74</v>
      </c>
      <c r="I10" s="394">
        <f>+H10/$H$19</f>
        <v>0.16768530229740219</v>
      </c>
      <c r="J10" s="475">
        <f>+F10-B10</f>
        <v>1933</v>
      </c>
      <c r="K10" s="345">
        <f>+(F10-B10)/B10</f>
        <v>6.2192336153920398E-2</v>
      </c>
      <c r="L10" s="479">
        <f>+H10-D10</f>
        <v>149411378.70000005</v>
      </c>
      <c r="M10" s="484">
        <f>+L10/$L$19</f>
        <v>0.11128481203556083</v>
      </c>
      <c r="N10"/>
      <c r="O10"/>
      <c r="P10"/>
      <c r="Q10"/>
      <c r="R10"/>
      <c r="S10"/>
    </row>
    <row r="11" spans="1:27" x14ac:dyDescent="0.3">
      <c r="A11" s="397" t="s">
        <v>129</v>
      </c>
      <c r="B11" s="475">
        <v>63371</v>
      </c>
      <c r="C11" s="344">
        <f t="shared" ref="C11:C18" si="0">+B11/$B$19</f>
        <v>0.35370979175155309</v>
      </c>
      <c r="D11" s="477">
        <v>1936175755.52</v>
      </c>
      <c r="E11" s="470">
        <f t="shared" ref="E11:E18" si="1">+D11/$D$19</f>
        <v>0.24555832683336545</v>
      </c>
      <c r="F11" s="395">
        <v>65273</v>
      </c>
      <c r="G11" s="396">
        <f t="shared" ref="G11:G18" si="2">+F11/$F$19</f>
        <v>0.31991393549082747</v>
      </c>
      <c r="H11" s="469">
        <v>2012630376.1400003</v>
      </c>
      <c r="I11" s="394">
        <f t="shared" ref="I11:I18" si="3">+H11/$H$19</f>
        <v>0.21811473087430938</v>
      </c>
      <c r="J11" s="475">
        <f t="shared" ref="J11:J18" si="4">+F11-B11</f>
        <v>1902</v>
      </c>
      <c r="K11" s="345">
        <f t="shared" ref="K11:K19" si="5">+(F11-B11)/B11</f>
        <v>3.0013728677155165E-2</v>
      </c>
      <c r="L11" s="479">
        <f t="shared" ref="L11:L18" si="6">+H11-D11</f>
        <v>76454620.620000362</v>
      </c>
      <c r="M11" s="484">
        <f t="shared" ref="M11:M18" si="7">+L11/$L$19</f>
        <v>5.6945047686296803E-2</v>
      </c>
      <c r="N11"/>
      <c r="O11"/>
      <c r="P11"/>
      <c r="Q11"/>
      <c r="R11"/>
      <c r="S11"/>
    </row>
    <row r="12" spans="1:27" x14ac:dyDescent="0.3">
      <c r="A12" s="397" t="s">
        <v>177</v>
      </c>
      <c r="B12" s="475">
        <v>264</v>
      </c>
      <c r="C12" s="344">
        <f t="shared" si="0"/>
        <v>1.4735349769202002E-3</v>
      </c>
      <c r="D12" s="478">
        <v>13375684.5</v>
      </c>
      <c r="E12" s="470">
        <f t="shared" si="1"/>
        <v>1.6963907830716831E-3</v>
      </c>
      <c r="F12" s="395">
        <v>256</v>
      </c>
      <c r="G12" s="396">
        <f t="shared" si="2"/>
        <v>1.2546989947704538E-3</v>
      </c>
      <c r="H12" s="469">
        <v>22981558.5</v>
      </c>
      <c r="I12" s="394">
        <f t="shared" si="3"/>
        <v>2.4905797441621318E-3</v>
      </c>
      <c r="J12" s="475">
        <f t="shared" si="4"/>
        <v>-8</v>
      </c>
      <c r="K12" s="345">
        <f t="shared" si="5"/>
        <v>-3.0303030303030304E-2</v>
      </c>
      <c r="L12" s="479">
        <f t="shared" si="6"/>
        <v>9605874</v>
      </c>
      <c r="M12" s="484">
        <f t="shared" si="7"/>
        <v>7.1546617923503603E-3</v>
      </c>
      <c r="N12"/>
      <c r="O12"/>
      <c r="P12"/>
      <c r="Q12"/>
      <c r="R12"/>
      <c r="S12"/>
    </row>
    <row r="13" spans="1:27" x14ac:dyDescent="0.3">
      <c r="A13" s="397" t="s">
        <v>178</v>
      </c>
      <c r="B13" s="475">
        <v>154</v>
      </c>
      <c r="C13" s="344">
        <f t="shared" si="0"/>
        <v>8.5956206987011688E-4</v>
      </c>
      <c r="D13" s="478">
        <v>13634820.100000001</v>
      </c>
      <c r="E13" s="470">
        <f t="shared" si="1"/>
        <v>1.7292560351943505E-3</v>
      </c>
      <c r="F13" s="395">
        <v>167</v>
      </c>
      <c r="G13" s="396">
        <f t="shared" si="2"/>
        <v>8.1849504736978824E-4</v>
      </c>
      <c r="H13" s="469">
        <v>24491801.920000002</v>
      </c>
      <c r="I13" s="394">
        <f t="shared" si="3"/>
        <v>2.6542493086351483E-3</v>
      </c>
      <c r="J13" s="475">
        <f t="shared" si="4"/>
        <v>13</v>
      </c>
      <c r="K13" s="345">
        <f t="shared" si="5"/>
        <v>8.4415584415584416E-2</v>
      </c>
      <c r="L13" s="479">
        <f t="shared" si="6"/>
        <v>10856981.82</v>
      </c>
      <c r="M13" s="484">
        <f t="shared" si="7"/>
        <v>8.086513835992069E-3</v>
      </c>
      <c r="N13"/>
      <c r="O13"/>
      <c r="P13"/>
      <c r="Q13"/>
      <c r="R13"/>
      <c r="S13"/>
    </row>
    <row r="14" spans="1:27" x14ac:dyDescent="0.3">
      <c r="A14" s="397" t="s">
        <v>179</v>
      </c>
      <c r="B14" s="475">
        <v>256</v>
      </c>
      <c r="C14" s="344">
        <f t="shared" si="0"/>
        <v>1.4288824018620124E-3</v>
      </c>
      <c r="D14" s="479">
        <v>23134259.16</v>
      </c>
      <c r="E14" s="470">
        <f t="shared" si="1"/>
        <v>2.9340363113540585E-3</v>
      </c>
      <c r="F14" s="395">
        <v>244</v>
      </c>
      <c r="G14" s="396">
        <f t="shared" si="2"/>
        <v>1.1958849793905887E-3</v>
      </c>
      <c r="H14" s="469">
        <v>22789836.700000003</v>
      </c>
      <c r="I14" s="394">
        <f t="shared" si="3"/>
        <v>2.4698022833300349E-3</v>
      </c>
      <c r="J14" s="475">
        <f t="shared" si="4"/>
        <v>-12</v>
      </c>
      <c r="K14" s="345">
        <f t="shared" si="5"/>
        <v>-4.6875E-2</v>
      </c>
      <c r="L14" s="479">
        <f t="shared" si="6"/>
        <v>-344422.45999999717</v>
      </c>
      <c r="M14" s="484">
        <f t="shared" si="7"/>
        <v>-2.5653326443687477E-4</v>
      </c>
      <c r="N14"/>
      <c r="O14"/>
      <c r="P14"/>
      <c r="Q14"/>
      <c r="R14"/>
      <c r="S14"/>
    </row>
    <row r="15" spans="1:27" x14ac:dyDescent="0.3">
      <c r="A15" s="397" t="s">
        <v>180</v>
      </c>
      <c r="B15" s="475">
        <v>22935</v>
      </c>
      <c r="C15" s="344">
        <f t="shared" si="0"/>
        <v>0.12801335111994239</v>
      </c>
      <c r="D15" s="479">
        <v>1788991329.4200001</v>
      </c>
      <c r="E15" s="470">
        <f t="shared" si="1"/>
        <v>0.22689144635724962</v>
      </c>
      <c r="F15" s="395">
        <v>29540</v>
      </c>
      <c r="G15" s="396">
        <f t="shared" si="2"/>
        <v>0.14478050119343439</v>
      </c>
      <c r="H15" s="469">
        <v>2381729361.4700003</v>
      </c>
      <c r="I15" s="394">
        <f t="shared" si="3"/>
        <v>0.25811508404677563</v>
      </c>
      <c r="J15" s="475">
        <f t="shared" si="4"/>
        <v>6605</v>
      </c>
      <c r="K15" s="345">
        <f t="shared" si="5"/>
        <v>0.28798779158491389</v>
      </c>
      <c r="L15" s="479">
        <f t="shared" si="6"/>
        <v>592738032.05000019</v>
      </c>
      <c r="M15" s="484">
        <f t="shared" si="7"/>
        <v>0.44148404932035124</v>
      </c>
      <c r="N15"/>
      <c r="O15"/>
      <c r="P15"/>
      <c r="Q15"/>
      <c r="R15"/>
      <c r="S15"/>
    </row>
    <row r="16" spans="1:27" x14ac:dyDescent="0.3">
      <c r="A16" s="397" t="s">
        <v>181</v>
      </c>
      <c r="B16" s="475">
        <v>23604</v>
      </c>
      <c r="C16" s="344">
        <f t="shared" si="0"/>
        <v>0.13174742270918335</v>
      </c>
      <c r="D16" s="479">
        <v>1694484015</v>
      </c>
      <c r="E16" s="470">
        <f t="shared" si="1"/>
        <v>0.21490541774578337</v>
      </c>
      <c r="F16" s="395">
        <v>25027</v>
      </c>
      <c r="G16" s="396">
        <f t="shared" si="2"/>
        <v>0.12266153024265683</v>
      </c>
      <c r="H16" s="469">
        <v>1954791586.4400001</v>
      </c>
      <c r="I16" s="394">
        <f t="shared" si="3"/>
        <v>0.21184656946768962</v>
      </c>
      <c r="J16" s="475">
        <f t="shared" si="4"/>
        <v>1423</v>
      </c>
      <c r="K16" s="345">
        <f t="shared" si="5"/>
        <v>6.0286392136925944E-2</v>
      </c>
      <c r="L16" s="479">
        <f t="shared" si="6"/>
        <v>260307571.44000006</v>
      </c>
      <c r="M16" s="484">
        <f t="shared" si="7"/>
        <v>0.19388268424521082</v>
      </c>
      <c r="N16"/>
      <c r="O16"/>
      <c r="P16"/>
      <c r="Q16"/>
      <c r="R16"/>
      <c r="S16"/>
    </row>
    <row r="17" spans="1:27" x14ac:dyDescent="0.3">
      <c r="A17" s="397" t="s">
        <v>182</v>
      </c>
      <c r="B17" s="475">
        <v>18977</v>
      </c>
      <c r="C17" s="344">
        <f t="shared" si="0"/>
        <v>0.10592148960990394</v>
      </c>
      <c r="D17" s="479">
        <v>338040000</v>
      </c>
      <c r="E17" s="470">
        <f t="shared" si="1"/>
        <v>4.2872418253402413E-2</v>
      </c>
      <c r="F17" s="395">
        <v>31259</v>
      </c>
      <c r="G17" s="396">
        <f t="shared" si="2"/>
        <v>0.15320560889660007</v>
      </c>
      <c r="H17" s="469">
        <v>548154000</v>
      </c>
      <c r="I17" s="394">
        <f t="shared" si="3"/>
        <v>5.9405076861147134E-2</v>
      </c>
      <c r="J17" s="475">
        <f t="shared" si="4"/>
        <v>12282</v>
      </c>
      <c r="K17" s="345">
        <f t="shared" si="5"/>
        <v>0.64720451072350738</v>
      </c>
      <c r="L17" s="479">
        <f t="shared" si="6"/>
        <v>210114000</v>
      </c>
      <c r="M17" s="484">
        <f t="shared" si="7"/>
        <v>0.15649743145057946</v>
      </c>
      <c r="N17"/>
      <c r="O17"/>
      <c r="P17"/>
      <c r="Q17"/>
      <c r="R17"/>
      <c r="S17"/>
    </row>
    <row r="18" spans="1:27" x14ac:dyDescent="0.3">
      <c r="A18" s="397" t="s">
        <v>183</v>
      </c>
      <c r="B18" s="475">
        <v>18519</v>
      </c>
      <c r="C18" s="344">
        <f t="shared" si="0"/>
        <v>0.10336512968782269</v>
      </c>
      <c r="D18" s="479">
        <v>679066959.91000009</v>
      </c>
      <c r="E18" s="470">
        <f t="shared" si="1"/>
        <v>8.612366207350601E-2</v>
      </c>
      <c r="F18" s="395">
        <v>19253</v>
      </c>
      <c r="G18" s="396">
        <f t="shared" si="2"/>
        <v>9.4362186509045112E-2</v>
      </c>
      <c r="H18" s="469">
        <v>712526428.80999994</v>
      </c>
      <c r="I18" s="394">
        <f t="shared" si="3"/>
        <v>7.7218605116548863E-2</v>
      </c>
      <c r="J18" s="475">
        <f t="shared" si="4"/>
        <v>734</v>
      </c>
      <c r="K18" s="345">
        <f t="shared" si="5"/>
        <v>3.9634969490793238E-2</v>
      </c>
      <c r="L18" s="479">
        <f t="shared" si="6"/>
        <v>33459468.899999857</v>
      </c>
      <c r="M18" s="484">
        <f t="shared" si="7"/>
        <v>2.4921332898095908E-2</v>
      </c>
      <c r="N18"/>
      <c r="O18"/>
      <c r="P18"/>
      <c r="Q18"/>
      <c r="R18"/>
      <c r="S18"/>
    </row>
    <row r="19" spans="1:27" x14ac:dyDescent="0.3">
      <c r="A19" s="398" t="s">
        <v>184</v>
      </c>
      <c r="B19" s="471">
        <f t="shared" ref="B19:I19" si="8">SUM(B10:B18)</f>
        <v>179161</v>
      </c>
      <c r="C19" s="472">
        <f t="shared" si="8"/>
        <v>1</v>
      </c>
      <c r="D19" s="480">
        <f t="shared" si="8"/>
        <v>7884789656.6499996</v>
      </c>
      <c r="E19" s="474">
        <f t="shared" si="8"/>
        <v>1</v>
      </c>
      <c r="F19" s="480">
        <f>+SUM(F10:F18)</f>
        <v>204033</v>
      </c>
      <c r="G19" s="472">
        <f>SUM(G10:G18)</f>
        <v>1</v>
      </c>
      <c r="H19" s="473">
        <f>SUM(H10:H18)</f>
        <v>9227393161.7199993</v>
      </c>
      <c r="I19" s="472">
        <f t="shared" si="8"/>
        <v>1.0000000000000002</v>
      </c>
      <c r="J19" s="471">
        <f t="shared" ref="J19" si="9">+F19-B19</f>
        <v>24872</v>
      </c>
      <c r="K19" s="472">
        <f t="shared" si="5"/>
        <v>0.13882485585590615</v>
      </c>
      <c r="L19" s="480">
        <f t="shared" ref="L19" si="10">+H19-D19</f>
        <v>1342603505.0699997</v>
      </c>
      <c r="M19" s="474">
        <f t="shared" ref="M19" si="11">+(H19-D19)/D19</f>
        <v>0.17027765654314614</v>
      </c>
      <c r="N19"/>
      <c r="O19"/>
      <c r="P19"/>
      <c r="Q19"/>
      <c r="R19"/>
      <c r="S19"/>
    </row>
    <row r="20" spans="1:27" ht="14.25" customHeight="1" x14ac:dyDescent="0.3">
      <c r="A20" s="557" t="s">
        <v>185</v>
      </c>
      <c r="B20" s="557"/>
      <c r="C20" s="557"/>
      <c r="D20" s="557"/>
      <c r="E20" s="557"/>
      <c r="F20" s="557"/>
      <c r="G20" s="557"/>
      <c r="H20" s="557"/>
      <c r="I20" s="557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/>
      <c r="W20"/>
      <c r="X20"/>
      <c r="Y20"/>
      <c r="Z20"/>
      <c r="AA20"/>
    </row>
    <row r="21" spans="1:27" x14ac:dyDescent="0.3">
      <c r="A21" s="108"/>
      <c r="B21"/>
      <c r="C21"/>
      <c r="D21"/>
      <c r="E21"/>
      <c r="F21"/>
      <c r="G21"/>
      <c r="H21" s="8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">
      <c r="A22"/>
      <c r="B22" s="400"/>
      <c r="C22"/>
      <c r="D22"/>
      <c r="E22"/>
      <c r="F22" s="395"/>
      <c r="G22"/>
      <c r="H22" s="22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">
      <c r="A23"/>
      <c r="B23" s="400"/>
      <c r="C23" s="64"/>
      <c r="D23"/>
      <c r="E23"/>
      <c r="F23" s="64"/>
      <c r="G23" s="64"/>
      <c r="H23" s="6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">
      <c r="A24"/>
      <c r="B24" s="400"/>
      <c r="C24"/>
      <c r="D24"/>
      <c r="E24"/>
      <c r="F24"/>
      <c r="G24" s="64"/>
      <c r="H24" s="40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">
      <c r="A25"/>
      <c r="B25" s="27"/>
      <c r="C25"/>
      <c r="D25" s="400"/>
      <c r="E25"/>
      <c r="F25" s="127"/>
      <c r="G25" s="64"/>
      <c r="H25" s="18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">
      <c r="A26"/>
      <c r="B26"/>
      <c r="C26"/>
      <c r="D26"/>
      <c r="E26"/>
      <c r="F26" s="190"/>
      <c r="G26" s="12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">
      <c r="A27"/>
      <c r="B27" s="27"/>
      <c r="C27"/>
      <c r="D27" s="127"/>
      <c r="E27" s="95"/>
      <c r="F27" s="95"/>
      <c r="G27" s="127"/>
      <c r="H27" s="9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">
      <c r="A28"/>
      <c r="B28"/>
      <c r="C28"/>
      <c r="D28"/>
      <c r="E28"/>
      <c r="F28"/>
      <c r="G28" s="127"/>
      <c r="H28" s="6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">
      <c r="A30" s="553" t="s">
        <v>186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/>
      <c r="O30"/>
      <c r="P30"/>
      <c r="Q30"/>
      <c r="R30"/>
    </row>
    <row r="31" spans="1:27" ht="34.5" customHeight="1" x14ac:dyDescent="0.3">
      <c r="A31" s="390"/>
      <c r="B31" s="554" t="s">
        <v>169</v>
      </c>
      <c r="C31" s="559"/>
      <c r="D31" s="559"/>
      <c r="E31" s="559"/>
      <c r="F31" s="554" t="s">
        <v>170</v>
      </c>
      <c r="G31" s="559"/>
      <c r="H31" s="559"/>
      <c r="I31" s="559"/>
      <c r="J31" s="554" t="s">
        <v>96</v>
      </c>
      <c r="K31" s="555"/>
      <c r="L31" s="555"/>
      <c r="M31" s="556"/>
      <c r="N31"/>
      <c r="O31"/>
      <c r="P31"/>
      <c r="Q31"/>
      <c r="R31"/>
      <c r="S31"/>
    </row>
    <row r="32" spans="1:27" ht="36" x14ac:dyDescent="0.3">
      <c r="A32" s="392" t="s">
        <v>146</v>
      </c>
      <c r="B32" s="485" t="s">
        <v>167</v>
      </c>
      <c r="C32" s="392" t="s">
        <v>187</v>
      </c>
      <c r="D32" s="486" t="s">
        <v>9</v>
      </c>
      <c r="E32" s="392" t="s">
        <v>187</v>
      </c>
      <c r="F32" s="485" t="s">
        <v>167</v>
      </c>
      <c r="G32" s="486" t="s">
        <v>62</v>
      </c>
      <c r="H32" s="392" t="s">
        <v>9</v>
      </c>
      <c r="I32" s="392" t="s">
        <v>187</v>
      </c>
      <c r="J32" s="481" t="s">
        <v>188</v>
      </c>
      <c r="K32" s="482" t="s">
        <v>189</v>
      </c>
      <c r="L32" s="482" t="s">
        <v>190</v>
      </c>
      <c r="M32" s="483" t="s">
        <v>189</v>
      </c>
      <c r="N32"/>
      <c r="O32"/>
      <c r="P32"/>
      <c r="Q32"/>
      <c r="R32"/>
      <c r="S32"/>
    </row>
    <row r="33" spans="1:27" x14ac:dyDescent="0.3">
      <c r="A33" s="401" t="s">
        <v>191</v>
      </c>
      <c r="B33" s="487">
        <v>39</v>
      </c>
      <c r="C33" s="345">
        <f>+B33/$B$46</f>
        <v>2.5071195767467874E-4</v>
      </c>
      <c r="D33" s="488">
        <v>559379.04</v>
      </c>
      <c r="E33" s="345">
        <f>+D33/$D$46</f>
        <v>9.0363719072893625E-5</v>
      </c>
      <c r="F33" s="475">
        <v>38</v>
      </c>
      <c r="G33" s="345">
        <f>+F33/$F$46</f>
        <v>2.1228338714903412E-4</v>
      </c>
      <c r="H33" s="479">
        <v>534379.04</v>
      </c>
      <c r="I33" s="347">
        <f>+H33/$H$46</f>
        <v>7.3478387956296934E-5</v>
      </c>
      <c r="J33" s="475">
        <f t="shared" ref="J33:J45" si="12">+F33-B33</f>
        <v>-1</v>
      </c>
      <c r="K33" s="345">
        <f>+J33/$J$46</f>
        <v>-4.2645741822679005E-5</v>
      </c>
      <c r="L33" s="479">
        <f>+H33-D33</f>
        <v>-25000</v>
      </c>
      <c r="M33" s="489">
        <f>+L33/$L$46</f>
        <v>-2.3099042719235979E-5</v>
      </c>
      <c r="N33"/>
      <c r="O33"/>
      <c r="P33"/>
      <c r="Q33"/>
      <c r="R33"/>
      <c r="S33"/>
    </row>
    <row r="34" spans="1:27" x14ac:dyDescent="0.3">
      <c r="A34" s="401" t="s">
        <v>192</v>
      </c>
      <c r="B34" s="487">
        <v>1</v>
      </c>
      <c r="C34" s="345">
        <f t="shared" ref="C34:C45" si="13">+B34/$B$46</f>
        <v>6.4285117352481725E-6</v>
      </c>
      <c r="D34" s="488">
        <v>15352.5</v>
      </c>
      <c r="E34" s="345">
        <f t="shared" ref="E34:E45" si="14">+D34/$D$46</f>
        <v>2.4800875575649014E-6</v>
      </c>
      <c r="F34" s="475">
        <v>0</v>
      </c>
      <c r="G34" s="345">
        <f t="shared" ref="G34:G45" si="15">+F34/$F$46</f>
        <v>0</v>
      </c>
      <c r="H34" s="479">
        <v>0</v>
      </c>
      <c r="I34" s="347">
        <f t="shared" ref="I34:I45" si="16">+H34/$H$46</f>
        <v>0</v>
      </c>
      <c r="J34" s="475">
        <f t="shared" si="12"/>
        <v>-1</v>
      </c>
      <c r="K34" s="345">
        <f t="shared" ref="K34:K45" si="17">+J34/$J$46</f>
        <v>-4.2645741822679005E-5</v>
      </c>
      <c r="L34" s="479">
        <f t="shared" ref="L34:L45" si="18">+H34-D34</f>
        <v>-15352.5</v>
      </c>
      <c r="M34" s="489">
        <f t="shared" ref="M34:M45" si="19">+L34/$L$46</f>
        <v>-1.4185122133882815E-5</v>
      </c>
      <c r="N34"/>
      <c r="O34"/>
      <c r="P34"/>
      <c r="Q34"/>
      <c r="R34"/>
      <c r="S34"/>
    </row>
    <row r="35" spans="1:27" x14ac:dyDescent="0.3">
      <c r="A35" s="402" t="s">
        <v>193</v>
      </c>
      <c r="B35" s="487">
        <v>18997</v>
      </c>
      <c r="C35" s="345">
        <f t="shared" si="13"/>
        <v>0.12212243743450954</v>
      </c>
      <c r="D35" s="488">
        <v>338501998</v>
      </c>
      <c r="E35" s="345">
        <f t="shared" si="14"/>
        <v>5.4682598498658794E-2</v>
      </c>
      <c r="F35" s="507">
        <v>31271</v>
      </c>
      <c r="G35" s="508">
        <f t="shared" si="15"/>
        <v>0.17469246840888014</v>
      </c>
      <c r="H35" s="509">
        <v>548433692.42999995</v>
      </c>
      <c r="I35" s="510">
        <f t="shared" si="16"/>
        <v>7.5410936066421991E-2</v>
      </c>
      <c r="J35" s="475">
        <f>+F35-B35</f>
        <v>12274</v>
      </c>
      <c r="K35" s="345">
        <f t="shared" si="17"/>
        <v>0.52343383513156216</v>
      </c>
      <c r="L35" s="479">
        <f t="shared" si="18"/>
        <v>209931694.42999995</v>
      </c>
      <c r="M35" s="489">
        <f t="shared" si="19"/>
        <v>0.19396884711040652</v>
      </c>
      <c r="N35"/>
      <c r="O35"/>
      <c r="P35"/>
      <c r="Q35"/>
      <c r="R35"/>
      <c r="S35"/>
    </row>
    <row r="36" spans="1:27" x14ac:dyDescent="0.3">
      <c r="A36" s="402" t="s">
        <v>194</v>
      </c>
      <c r="B36" s="487">
        <v>116922</v>
      </c>
      <c r="C36" s="345">
        <f t="shared" si="13"/>
        <v>0.75163444910868682</v>
      </c>
      <c r="D36" s="488">
        <v>3624532040.8499999</v>
      </c>
      <c r="E36" s="345">
        <f t="shared" si="14"/>
        <v>0.58551746077234357</v>
      </c>
      <c r="F36" s="475">
        <v>123595</v>
      </c>
      <c r="G36" s="345">
        <f t="shared" si="15"/>
        <v>0.69045171670223349</v>
      </c>
      <c r="H36" s="479">
        <v>3822286421.3299999</v>
      </c>
      <c r="I36" s="347">
        <f t="shared" si="16"/>
        <v>0.52557346662880255</v>
      </c>
      <c r="J36" s="475">
        <f t="shared" si="12"/>
        <v>6673</v>
      </c>
      <c r="K36" s="345">
        <f t="shared" si="17"/>
        <v>0.28457503518273702</v>
      </c>
      <c r="L36" s="479">
        <f t="shared" si="18"/>
        <v>197754380.48000002</v>
      </c>
      <c r="M36" s="489">
        <f t="shared" si="19"/>
        <v>0.18271747530494264</v>
      </c>
      <c r="N36"/>
      <c r="O36"/>
      <c r="P36"/>
      <c r="Q36"/>
      <c r="R36"/>
      <c r="S36"/>
    </row>
    <row r="37" spans="1:27" ht="15" customHeight="1" x14ac:dyDescent="0.3">
      <c r="A37" s="402" t="s">
        <v>195</v>
      </c>
      <c r="B37" s="487">
        <v>8106</v>
      </c>
      <c r="C37" s="345">
        <f t="shared" si="13"/>
        <v>5.2109516125921691E-2</v>
      </c>
      <c r="D37" s="488">
        <v>559740309.20000005</v>
      </c>
      <c r="E37" s="345">
        <f t="shared" si="14"/>
        <v>9.0422079551503068E-2</v>
      </c>
      <c r="F37" s="475">
        <v>9199</v>
      </c>
      <c r="G37" s="345">
        <f t="shared" si="15"/>
        <v>5.1389338904841181E-2</v>
      </c>
      <c r="H37" s="479">
        <v>636144703.37</v>
      </c>
      <c r="I37" s="347">
        <f t="shared" si="16"/>
        <v>8.747140851662949E-2</v>
      </c>
      <c r="J37" s="475">
        <f t="shared" si="12"/>
        <v>1093</v>
      </c>
      <c r="K37" s="345">
        <f t="shared" si="17"/>
        <v>4.6611795812188155E-2</v>
      </c>
      <c r="L37" s="479">
        <f t="shared" si="18"/>
        <v>76404394.169999957</v>
      </c>
      <c r="M37" s="489">
        <f t="shared" si="19"/>
        <v>7.0594734594806932E-2</v>
      </c>
      <c r="N37"/>
      <c r="O37"/>
      <c r="P37"/>
      <c r="Q37"/>
      <c r="R37"/>
      <c r="S37"/>
    </row>
    <row r="38" spans="1:27" x14ac:dyDescent="0.3">
      <c r="A38" s="402" t="s">
        <v>196</v>
      </c>
      <c r="B38" s="487">
        <v>4383</v>
      </c>
      <c r="C38" s="345">
        <f t="shared" si="13"/>
        <v>2.8176166935592741E-2</v>
      </c>
      <c r="D38" s="488">
        <v>400753998.42000002</v>
      </c>
      <c r="E38" s="345">
        <f t="shared" si="14"/>
        <v>6.4738967928729935E-2</v>
      </c>
      <c r="F38" s="475">
        <v>5287</v>
      </c>
      <c r="G38" s="345">
        <f t="shared" si="15"/>
        <v>2.9535322838340615E-2</v>
      </c>
      <c r="H38" s="479">
        <v>520806968.96000004</v>
      </c>
      <c r="I38" s="347">
        <f t="shared" si="16"/>
        <v>7.1612195934155604E-2</v>
      </c>
      <c r="J38" s="475">
        <f t="shared" si="12"/>
        <v>904</v>
      </c>
      <c r="K38" s="345">
        <f t="shared" si="17"/>
        <v>3.8551750607701822E-2</v>
      </c>
      <c r="L38" s="479">
        <f t="shared" si="18"/>
        <v>120052970.54000002</v>
      </c>
      <c r="M38" s="489">
        <f t="shared" si="19"/>
        <v>0.11092434780298556</v>
      </c>
      <c r="N38"/>
      <c r="O38"/>
      <c r="P38"/>
      <c r="Q38"/>
      <c r="R38"/>
      <c r="S38"/>
    </row>
    <row r="39" spans="1:27" x14ac:dyDescent="0.3">
      <c r="A39" s="402" t="s">
        <v>197</v>
      </c>
      <c r="B39" s="487">
        <v>2049</v>
      </c>
      <c r="C39" s="345">
        <f t="shared" si="13"/>
        <v>1.3172020545523506E-2</v>
      </c>
      <c r="D39" s="488">
        <v>264128253.57999998</v>
      </c>
      <c r="E39" s="345">
        <f t="shared" si="14"/>
        <v>4.2668047243452537E-2</v>
      </c>
      <c r="F39" s="475">
        <v>2359</v>
      </c>
      <c r="G39" s="345">
        <f t="shared" si="15"/>
        <v>1.3178329218015039E-2</v>
      </c>
      <c r="H39" s="479">
        <v>299811581.82999998</v>
      </c>
      <c r="I39" s="347">
        <f t="shared" si="16"/>
        <v>4.1224805006378623E-2</v>
      </c>
      <c r="J39" s="475">
        <f t="shared" si="12"/>
        <v>310</v>
      </c>
      <c r="K39" s="345">
        <f t="shared" si="17"/>
        <v>1.3220179965030492E-2</v>
      </c>
      <c r="L39" s="479">
        <f t="shared" si="18"/>
        <v>35683328.25</v>
      </c>
      <c r="M39" s="489">
        <f t="shared" si="19"/>
        <v>3.2970028944450801E-2</v>
      </c>
      <c r="N39"/>
      <c r="O39"/>
      <c r="P39"/>
      <c r="Q39"/>
      <c r="R39"/>
      <c r="S39"/>
    </row>
    <row r="40" spans="1:27" x14ac:dyDescent="0.3">
      <c r="A40" s="402" t="s">
        <v>198</v>
      </c>
      <c r="B40" s="487">
        <v>2663</v>
      </c>
      <c r="C40" s="345">
        <f t="shared" si="13"/>
        <v>1.7119126750965885E-2</v>
      </c>
      <c r="D40" s="488">
        <v>399747578.78999996</v>
      </c>
      <c r="E40" s="345">
        <f t="shared" si="14"/>
        <v>6.4576387970934637E-2</v>
      </c>
      <c r="F40" s="475">
        <v>3692</v>
      </c>
      <c r="G40" s="345">
        <f t="shared" si="15"/>
        <v>2.0625006983006157E-2</v>
      </c>
      <c r="H40" s="479">
        <v>560892803.09000003</v>
      </c>
      <c r="I40" s="347">
        <f t="shared" si="16"/>
        <v>7.7124093391353607E-2</v>
      </c>
      <c r="J40" s="475">
        <f t="shared" si="12"/>
        <v>1029</v>
      </c>
      <c r="K40" s="345">
        <f t="shared" si="17"/>
        <v>4.3882468335536697E-2</v>
      </c>
      <c r="L40" s="479">
        <f t="shared" si="18"/>
        <v>161145224.30000007</v>
      </c>
      <c r="M40" s="489">
        <f t="shared" si="19"/>
        <v>0.14889201680426262</v>
      </c>
      <c r="N40"/>
      <c r="O40"/>
      <c r="P40"/>
      <c r="Q40"/>
      <c r="R40"/>
      <c r="S40"/>
    </row>
    <row r="41" spans="1:27" x14ac:dyDescent="0.3">
      <c r="A41" s="402" t="s">
        <v>199</v>
      </c>
      <c r="B41" s="487">
        <v>837</v>
      </c>
      <c r="C41" s="345">
        <f t="shared" si="13"/>
        <v>5.3806643224027203E-3</v>
      </c>
      <c r="D41" s="488">
        <v>156753447.19999999</v>
      </c>
      <c r="E41" s="345">
        <f t="shared" si="14"/>
        <v>2.5322408337803401E-2</v>
      </c>
      <c r="F41" s="475">
        <v>1044</v>
      </c>
      <c r="G41" s="345">
        <f t="shared" si="15"/>
        <v>5.8322067416734635E-3</v>
      </c>
      <c r="H41" s="479">
        <v>194753084.99000001</v>
      </c>
      <c r="I41" s="347">
        <f t="shared" si="16"/>
        <v>2.6779012018474543E-2</v>
      </c>
      <c r="J41" s="475">
        <f t="shared" si="12"/>
        <v>207</v>
      </c>
      <c r="K41" s="345">
        <f t="shared" si="17"/>
        <v>8.8276685572945546E-3</v>
      </c>
      <c r="L41" s="479">
        <f t="shared" si="18"/>
        <v>37999637.790000021</v>
      </c>
      <c r="M41" s="489">
        <f t="shared" si="19"/>
        <v>3.5110210265068172E-2</v>
      </c>
      <c r="N41"/>
      <c r="O41"/>
      <c r="P41"/>
      <c r="Q41"/>
      <c r="R41"/>
      <c r="S41"/>
    </row>
    <row r="42" spans="1:27" ht="15" customHeight="1" x14ac:dyDescent="0.3">
      <c r="A42" s="402" t="s">
        <v>200</v>
      </c>
      <c r="B42" s="487">
        <v>417</v>
      </c>
      <c r="C42" s="345">
        <f t="shared" si="13"/>
        <v>2.680689393598488E-3</v>
      </c>
      <c r="D42" s="488">
        <v>90384017.5</v>
      </c>
      <c r="E42" s="345">
        <f t="shared" si="14"/>
        <v>1.4600897391596047E-2</v>
      </c>
      <c r="F42" s="475">
        <v>752</v>
      </c>
      <c r="G42" s="345">
        <f t="shared" si="15"/>
        <v>4.2009765035808857E-3</v>
      </c>
      <c r="H42" s="479">
        <v>159546541.41000003</v>
      </c>
      <c r="I42" s="347">
        <f t="shared" si="16"/>
        <v>2.1938028607576703E-2</v>
      </c>
      <c r="J42" s="475">
        <f t="shared" si="12"/>
        <v>335</v>
      </c>
      <c r="K42" s="345">
        <f t="shared" si="17"/>
        <v>1.4286323510597467E-2</v>
      </c>
      <c r="L42" s="479">
        <f t="shared" si="18"/>
        <v>69162523.910000026</v>
      </c>
      <c r="M42" s="489">
        <f t="shared" si="19"/>
        <v>6.3903523774690815E-2</v>
      </c>
      <c r="N42"/>
      <c r="O42"/>
      <c r="P42"/>
      <c r="Q42"/>
      <c r="R42"/>
      <c r="S42"/>
    </row>
    <row r="43" spans="1:27" x14ac:dyDescent="0.3">
      <c r="A43" s="402" t="s">
        <v>201</v>
      </c>
      <c r="B43" s="487">
        <v>431</v>
      </c>
      <c r="C43" s="345">
        <f t="shared" si="13"/>
        <v>2.7706885578919625E-3</v>
      </c>
      <c r="D43" s="488">
        <v>105397086</v>
      </c>
      <c r="E43" s="345">
        <f t="shared" si="14"/>
        <v>1.7026152196202436E-2</v>
      </c>
      <c r="F43" s="475">
        <v>746</v>
      </c>
      <c r="G43" s="345">
        <f t="shared" si="15"/>
        <v>4.167458074031038E-3</v>
      </c>
      <c r="H43" s="479">
        <v>178095293.09</v>
      </c>
      <c r="I43" s="347">
        <f t="shared" si="16"/>
        <v>2.4488526044841558E-2</v>
      </c>
      <c r="J43" s="475">
        <f t="shared" si="12"/>
        <v>315</v>
      </c>
      <c r="K43" s="345">
        <f t="shared" si="17"/>
        <v>1.3433408674143887E-2</v>
      </c>
      <c r="L43" s="479">
        <f t="shared" si="18"/>
        <v>72698207.090000004</v>
      </c>
      <c r="M43" s="489">
        <f t="shared" si="19"/>
        <v>6.7170359647350963E-2</v>
      </c>
      <c r="N43"/>
      <c r="O43"/>
      <c r="P43"/>
      <c r="Q43"/>
      <c r="R43"/>
      <c r="S43"/>
    </row>
    <row r="44" spans="1:27" x14ac:dyDescent="0.3">
      <c r="A44" s="402" t="s">
        <v>202</v>
      </c>
      <c r="B44" s="487">
        <v>322</v>
      </c>
      <c r="C44" s="345">
        <f t="shared" si="13"/>
        <v>2.0699807787499117E-3</v>
      </c>
      <c r="D44" s="488">
        <v>92773926.370000005</v>
      </c>
      <c r="E44" s="345">
        <f t="shared" si="14"/>
        <v>1.4986970230039363E-2</v>
      </c>
      <c r="F44" s="475">
        <v>484</v>
      </c>
      <c r="G44" s="345">
        <f t="shared" si="15"/>
        <v>2.7038199836876978E-3</v>
      </c>
      <c r="H44" s="479">
        <v>129724942.09000002</v>
      </c>
      <c r="I44" s="347">
        <f t="shared" si="16"/>
        <v>1.7837487829794323E-2</v>
      </c>
      <c r="J44" s="475">
        <f t="shared" si="12"/>
        <v>162</v>
      </c>
      <c r="K44" s="345">
        <f t="shared" si="17"/>
        <v>6.9086101752739992E-3</v>
      </c>
      <c r="L44" s="479">
        <f t="shared" si="18"/>
        <v>36951015.720000014</v>
      </c>
      <c r="M44" s="489">
        <f t="shared" si="19"/>
        <v>3.4141323625417622E-2</v>
      </c>
      <c r="N44"/>
      <c r="O44"/>
      <c r="P44"/>
      <c r="Q44"/>
      <c r="R44"/>
      <c r="S44"/>
    </row>
    <row r="45" spans="1:27" x14ac:dyDescent="0.3">
      <c r="A45" s="402" t="s">
        <v>155</v>
      </c>
      <c r="B45" s="487">
        <v>390</v>
      </c>
      <c r="C45" s="345">
        <f t="shared" si="13"/>
        <v>2.5071195767467874E-3</v>
      </c>
      <c r="D45" s="488">
        <v>157018254.44999999</v>
      </c>
      <c r="E45" s="345">
        <f t="shared" si="14"/>
        <v>2.5365186072105826E-2</v>
      </c>
      <c r="F45" s="475">
        <v>539</v>
      </c>
      <c r="G45" s="345">
        <f t="shared" si="15"/>
        <v>3.0110722545612996E-3</v>
      </c>
      <c r="H45" s="479">
        <v>221571163.65000001</v>
      </c>
      <c r="I45" s="347">
        <f t="shared" si="16"/>
        <v>3.0466561567614733E-2</v>
      </c>
      <c r="J45" s="475">
        <f t="shared" si="12"/>
        <v>149</v>
      </c>
      <c r="K45" s="345">
        <f t="shared" si="17"/>
        <v>6.354215531579172E-3</v>
      </c>
      <c r="L45" s="479">
        <f t="shared" si="18"/>
        <v>64552909.200000018</v>
      </c>
      <c r="M45" s="489">
        <f t="shared" si="19"/>
        <v>5.9644416290470466E-2</v>
      </c>
      <c r="N45"/>
      <c r="O45"/>
      <c r="P45"/>
      <c r="Q45"/>
      <c r="R45"/>
      <c r="S45"/>
    </row>
    <row r="46" spans="1:27" x14ac:dyDescent="0.3">
      <c r="A46" s="398" t="s">
        <v>184</v>
      </c>
      <c r="B46" s="471">
        <f>SUM(B33:B45)</f>
        <v>155557</v>
      </c>
      <c r="C46" s="472">
        <f t="shared" ref="C46:I46" si="20">SUM(C33:C45)</f>
        <v>0.99999999999999989</v>
      </c>
      <c r="D46" s="480">
        <f>SUM(D33:D45)</f>
        <v>6190305641.8999996</v>
      </c>
      <c r="E46" s="472">
        <f t="shared" si="20"/>
        <v>1.0000000000000002</v>
      </c>
      <c r="F46" s="490">
        <f>+SUM(F33:F45)</f>
        <v>179006</v>
      </c>
      <c r="G46" s="472">
        <f t="shared" si="20"/>
        <v>1</v>
      </c>
      <c r="H46" s="491">
        <f>SUM(H33:H45)</f>
        <v>7272601575.2799997</v>
      </c>
      <c r="I46" s="472">
        <f t="shared" si="20"/>
        <v>0.99999999999999989</v>
      </c>
      <c r="J46" s="471">
        <f>+SUM(J33:J45)</f>
        <v>23449</v>
      </c>
      <c r="K46" s="472">
        <f>+SUM(K33:K45)</f>
        <v>0.99999999999999989</v>
      </c>
      <c r="L46" s="480">
        <f>+SUM(L33:L45)</f>
        <v>1082295933.3800001</v>
      </c>
      <c r="M46" s="474">
        <f>+SUM(M33:M45)</f>
        <v>1</v>
      </c>
      <c r="N46"/>
      <c r="O46" s="64"/>
      <c r="P46" s="64"/>
      <c r="Q46"/>
      <c r="R46"/>
      <c r="S46"/>
    </row>
    <row r="47" spans="1:27" ht="13.5" customHeight="1" x14ac:dyDescent="0.3">
      <c r="A47" s="131" t="s">
        <v>203</v>
      </c>
      <c r="B47" s="403"/>
      <c r="C47" s="403"/>
      <c r="D47" s="403"/>
      <c r="E47"/>
      <c r="F47" s="104"/>
      <c r="G47" s="104"/>
      <c r="H47" s="404"/>
      <c r="I47"/>
      <c r="J47" s="64"/>
      <c r="K47"/>
      <c r="L47"/>
      <c r="M47"/>
      <c r="N47"/>
      <c r="O47"/>
      <c r="P47"/>
      <c r="Q47"/>
      <c r="R47" s="104"/>
      <c r="S47" s="104"/>
      <c r="T47" s="104"/>
      <c r="U47"/>
      <c r="V47"/>
      <c r="W47"/>
      <c r="X47"/>
      <c r="Y47"/>
      <c r="Z47"/>
      <c r="AA47"/>
    </row>
    <row r="48" spans="1:27" ht="13.5" customHeight="1" x14ac:dyDescent="0.3">
      <c r="A48" s="405" t="s">
        <v>204</v>
      </c>
      <c r="B48" s="104"/>
      <c r="C48" s="104"/>
      <c r="D48" s="104"/>
      <c r="E48" s="64"/>
      <c r="F48" s="64"/>
      <c r="G48"/>
      <c r="H48" s="64"/>
      <c r="I48"/>
      <c r="J48"/>
      <c r="K48"/>
      <c r="L48"/>
      <c r="M48"/>
      <c r="N48"/>
      <c r="O48"/>
      <c r="P48"/>
      <c r="Q48"/>
      <c r="R48" s="104"/>
      <c r="S48" s="104"/>
      <c r="T48" s="104"/>
      <c r="U48"/>
      <c r="V48"/>
      <c r="W48"/>
      <c r="X48"/>
      <c r="Y48"/>
      <c r="Z48"/>
      <c r="AA48"/>
    </row>
    <row r="49" spans="1:27" ht="14.25" customHeight="1" x14ac:dyDescent="0.3">
      <c r="A49" s="108" t="s">
        <v>205</v>
      </c>
      <c r="B49"/>
      <c r="C49"/>
      <c r="D49" s="64"/>
      <c r="E49" s="64"/>
      <c r="F49" s="64"/>
      <c r="G49" s="87"/>
      <c r="H49" s="87"/>
      <c r="I49"/>
      <c r="J49"/>
      <c r="K49"/>
      <c r="L49" s="64"/>
      <c r="M49" s="64"/>
      <c r="N49" s="64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">
      <c r="A50"/>
      <c r="B50"/>
      <c r="C50"/>
      <c r="D50"/>
      <c r="E50"/>
      <c r="F50" s="64"/>
      <c r="G50"/>
      <c r="H50" s="64"/>
      <c r="I50"/>
      <c r="J50"/>
      <c r="K50"/>
      <c r="L50"/>
      <c r="M50" s="189"/>
      <c r="N50" s="87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">
      <c r="A52" s="553" t="s">
        <v>206</v>
      </c>
      <c r="B52" s="553"/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/>
      <c r="O52"/>
      <c r="P52"/>
      <c r="Q52"/>
      <c r="R52"/>
      <c r="S52"/>
    </row>
    <row r="53" spans="1:27" ht="24.75" customHeight="1" x14ac:dyDescent="0.3">
      <c r="A53" s="390"/>
      <c r="B53" s="554" t="s">
        <v>169</v>
      </c>
      <c r="C53" s="559"/>
      <c r="D53" s="559"/>
      <c r="E53" s="559"/>
      <c r="F53" s="554" t="s">
        <v>170</v>
      </c>
      <c r="G53" s="559"/>
      <c r="H53" s="559"/>
      <c r="I53" s="559"/>
      <c r="J53" s="554" t="s">
        <v>96</v>
      </c>
      <c r="K53" s="555"/>
      <c r="L53" s="555"/>
      <c r="M53" s="556"/>
      <c r="N53"/>
      <c r="O53"/>
      <c r="P53"/>
      <c r="Q53"/>
      <c r="R53"/>
      <c r="S53"/>
    </row>
    <row r="54" spans="1:27" ht="45" customHeight="1" x14ac:dyDescent="0.3">
      <c r="A54" s="392" t="s">
        <v>146</v>
      </c>
      <c r="B54" s="467" t="s">
        <v>125</v>
      </c>
      <c r="C54" s="392" t="s">
        <v>62</v>
      </c>
      <c r="D54" s="392" t="s">
        <v>9</v>
      </c>
      <c r="E54" s="392" t="s">
        <v>62</v>
      </c>
      <c r="F54" s="467" t="s">
        <v>207</v>
      </c>
      <c r="G54" s="392" t="s">
        <v>62</v>
      </c>
      <c r="H54" s="392" t="s">
        <v>9</v>
      </c>
      <c r="I54" s="392" t="s">
        <v>62</v>
      </c>
      <c r="J54" s="481" t="s">
        <v>172</v>
      </c>
      <c r="K54" s="482" t="s">
        <v>173</v>
      </c>
      <c r="L54" s="482" t="s">
        <v>208</v>
      </c>
      <c r="M54" s="483" t="s">
        <v>173</v>
      </c>
      <c r="N54"/>
      <c r="O54"/>
      <c r="P54"/>
      <c r="Q54"/>
      <c r="R54"/>
      <c r="S54"/>
    </row>
    <row r="55" spans="1:27" ht="0.75" hidden="1" customHeight="1" x14ac:dyDescent="0.3">
      <c r="A55" s="406" t="s">
        <v>209</v>
      </c>
      <c r="B55" s="475">
        <v>0</v>
      </c>
      <c r="C55" s="346">
        <f t="shared" ref="C55" si="21">B55/$F$67</f>
        <v>0</v>
      </c>
      <c r="D55" s="488">
        <v>0</v>
      </c>
      <c r="E55" s="407">
        <f>D55/D67</f>
        <v>0</v>
      </c>
      <c r="F55" s="475">
        <v>0</v>
      </c>
      <c r="G55" s="346">
        <f>F55/$F$67</f>
        <v>0</v>
      </c>
      <c r="H55" s="488">
        <v>0</v>
      </c>
      <c r="I55" s="407">
        <f>H55/H67</f>
        <v>0</v>
      </c>
      <c r="J55" s="475">
        <f>+F55-B55</f>
        <v>0</v>
      </c>
      <c r="K55" s="346"/>
      <c r="L55" s="488">
        <f>+H55-D55</f>
        <v>0</v>
      </c>
      <c r="M55" s="492"/>
      <c r="N55"/>
      <c r="O55"/>
      <c r="P55"/>
      <c r="Q55"/>
      <c r="R55"/>
      <c r="S55"/>
    </row>
    <row r="56" spans="1:27" ht="13.5" customHeight="1" x14ac:dyDescent="0.3">
      <c r="A56" s="408" t="s">
        <v>210</v>
      </c>
      <c r="B56" s="475">
        <v>1</v>
      </c>
      <c r="C56" s="345">
        <f>+B56/$B$67</f>
        <v>8.0553564092443264E-6</v>
      </c>
      <c r="D56" s="493">
        <v>10000</v>
      </c>
      <c r="E56" s="409">
        <f>+D56/$D$67</f>
        <v>1.7087399329297329E-6</v>
      </c>
      <c r="F56" s="475">
        <v>1</v>
      </c>
      <c r="G56" s="345">
        <f>+F56/$F$67</f>
        <v>7.398693390747194E-6</v>
      </c>
      <c r="H56" s="494">
        <v>30000</v>
      </c>
      <c r="I56" s="347">
        <f>+H56/$H$67</f>
        <v>4.4613728260228678E-6</v>
      </c>
      <c r="J56" s="475">
        <f>+F56-B56</f>
        <v>0</v>
      </c>
      <c r="K56" s="347">
        <f>J56/$J$67</f>
        <v>0</v>
      </c>
      <c r="L56" s="488">
        <f>+H56-D56</f>
        <v>20000</v>
      </c>
      <c r="M56" s="484">
        <f>L56/$L$67</f>
        <v>2.2932573105637603E-5</v>
      </c>
      <c r="N56"/>
      <c r="O56"/>
      <c r="P56"/>
      <c r="Q56"/>
      <c r="R56"/>
      <c r="S56"/>
    </row>
    <row r="57" spans="1:27" x14ac:dyDescent="0.3">
      <c r="A57" s="401" t="s">
        <v>156</v>
      </c>
      <c r="B57" s="475">
        <v>8</v>
      </c>
      <c r="C57" s="345">
        <f t="shared" ref="C57:C66" si="22">+B57/$B$67</f>
        <v>6.4442851273954611E-5</v>
      </c>
      <c r="D57" s="493">
        <v>292922.05</v>
      </c>
      <c r="E57" s="409">
        <f t="shared" ref="E57:E66" si="23">+D57/$D$67</f>
        <v>5.0052760407063984E-5</v>
      </c>
      <c r="F57" s="475">
        <v>9</v>
      </c>
      <c r="G57" s="345">
        <f t="shared" ref="G57:G66" si="24">+F57/$F$67</f>
        <v>6.6588240516724748E-5</v>
      </c>
      <c r="H57" s="494">
        <v>450422.05000000005</v>
      </c>
      <c r="I57" s="347">
        <f t="shared" ref="I57:I66" si="25">+H57/$H$67</f>
        <v>6.6983356470383789E-5</v>
      </c>
      <c r="J57" s="475">
        <f>+F57-B57</f>
        <v>1</v>
      </c>
      <c r="K57" s="347">
        <f t="shared" ref="K57:K66" si="26">J57/$J$67</f>
        <v>9.0760573606825197E-5</v>
      </c>
      <c r="L57" s="488">
        <f>+H57-D57</f>
        <v>157500.00000000006</v>
      </c>
      <c r="M57" s="484">
        <f t="shared" ref="M57:M66" si="27">L57/$L$67</f>
        <v>1.8059401320689617E-4</v>
      </c>
      <c r="N57"/>
      <c r="O57"/>
      <c r="P57"/>
      <c r="Q57"/>
      <c r="R57"/>
      <c r="S57"/>
    </row>
    <row r="58" spans="1:27" x14ac:dyDescent="0.3">
      <c r="A58" s="401" t="s">
        <v>157</v>
      </c>
      <c r="B58" s="475">
        <v>76</v>
      </c>
      <c r="C58" s="345">
        <f t="shared" si="22"/>
        <v>6.1220708710256889E-4</v>
      </c>
      <c r="D58" s="493">
        <v>4105764.74</v>
      </c>
      <c r="E58" s="409">
        <f t="shared" si="23"/>
        <v>7.0156841664528627E-4</v>
      </c>
      <c r="F58" s="475">
        <v>65</v>
      </c>
      <c r="G58" s="345">
        <f t="shared" si="24"/>
        <v>4.8091507039856762E-4</v>
      </c>
      <c r="H58" s="494">
        <v>3508748.91</v>
      </c>
      <c r="I58" s="347">
        <f t="shared" si="25"/>
        <v>5.2179456801371192E-4</v>
      </c>
      <c r="J58" s="475">
        <f t="shared" ref="J58:J66" si="28">+F58-B58</f>
        <v>-11</v>
      </c>
      <c r="K58" s="347">
        <f t="shared" si="26"/>
        <v>-9.9836630967507713E-4</v>
      </c>
      <c r="L58" s="488">
        <f t="shared" ref="L58:L66" si="29">+H58-D58</f>
        <v>-597015.83000000007</v>
      </c>
      <c r="M58" s="484">
        <f t="shared" si="27"/>
        <v>-6.8455545833489564E-4</v>
      </c>
      <c r="N58"/>
      <c r="O58"/>
      <c r="P58"/>
      <c r="Q58"/>
      <c r="R58"/>
      <c r="S58"/>
    </row>
    <row r="59" spans="1:27" x14ac:dyDescent="0.3">
      <c r="A59" s="401" t="s">
        <v>158</v>
      </c>
      <c r="B59" s="475">
        <v>561</v>
      </c>
      <c r="C59" s="345">
        <f t="shared" si="22"/>
        <v>4.5190549455860676E-3</v>
      </c>
      <c r="D59" s="493">
        <v>27516539.460000001</v>
      </c>
      <c r="E59" s="409">
        <f t="shared" si="23"/>
        <v>4.7018609791338751E-3</v>
      </c>
      <c r="F59" s="475">
        <v>527</v>
      </c>
      <c r="G59" s="345">
        <f t="shared" si="24"/>
        <v>3.8991114169237714E-3</v>
      </c>
      <c r="H59" s="494">
        <v>28611527.600000001</v>
      </c>
      <c r="I59" s="347">
        <f t="shared" si="25"/>
        <v>4.2548897248547764E-3</v>
      </c>
      <c r="J59" s="475">
        <f t="shared" si="28"/>
        <v>-34</v>
      </c>
      <c r="K59" s="347">
        <f t="shared" si="26"/>
        <v>-3.0858595026320565E-3</v>
      </c>
      <c r="L59" s="488">
        <f t="shared" si="29"/>
        <v>1094988.1400000006</v>
      </c>
      <c r="M59" s="484">
        <f t="shared" si="27"/>
        <v>1.2555447785178079E-3</v>
      </c>
      <c r="N59"/>
      <c r="O59"/>
      <c r="P59"/>
      <c r="Q59"/>
      <c r="R59"/>
      <c r="S59"/>
    </row>
    <row r="60" spans="1:27" x14ac:dyDescent="0.3">
      <c r="A60" s="401" t="s">
        <v>159</v>
      </c>
      <c r="B60" s="475">
        <v>3010</v>
      </c>
      <c r="C60" s="345">
        <f t="shared" si="22"/>
        <v>2.4246622791825424E-2</v>
      </c>
      <c r="D60" s="493">
        <v>157834082.47</v>
      </c>
      <c r="E60" s="409">
        <f t="shared" si="23"/>
        <v>2.6969739949381372E-2</v>
      </c>
      <c r="F60" s="475">
        <v>2822</v>
      </c>
      <c r="G60" s="345">
        <f t="shared" si="24"/>
        <v>2.0879112748688582E-2</v>
      </c>
      <c r="H60" s="494">
        <v>164946719.48000002</v>
      </c>
      <c r="I60" s="347">
        <f t="shared" si="25"/>
        <v>2.4529627067656296E-2</v>
      </c>
      <c r="J60" s="475">
        <f t="shared" si="28"/>
        <v>-188</v>
      </c>
      <c r="K60" s="347">
        <f t="shared" si="26"/>
        <v>-1.7062987838083136E-2</v>
      </c>
      <c r="L60" s="488">
        <f t="shared" si="29"/>
        <v>7112637.0100000203</v>
      </c>
      <c r="M60" s="484">
        <f t="shared" si="27"/>
        <v>8.1555534102844551E-3</v>
      </c>
      <c r="N60"/>
      <c r="O60"/>
      <c r="P60"/>
      <c r="Q60"/>
      <c r="R60"/>
      <c r="S60"/>
    </row>
    <row r="61" spans="1:27" x14ac:dyDescent="0.3">
      <c r="A61" s="401" t="s">
        <v>160</v>
      </c>
      <c r="B61" s="475">
        <v>39915</v>
      </c>
      <c r="C61" s="345">
        <f t="shared" si="22"/>
        <v>0.32152955107498732</v>
      </c>
      <c r="D61" s="493">
        <v>1976168550.3299999</v>
      </c>
      <c r="E61" s="409">
        <f t="shared" si="23"/>
        <v>0.33767581161487314</v>
      </c>
      <c r="F61" s="475">
        <v>43703</v>
      </c>
      <c r="G61" s="345">
        <f t="shared" si="24"/>
        <v>0.32334509725582461</v>
      </c>
      <c r="H61" s="494">
        <v>2328534476</v>
      </c>
      <c r="I61" s="347">
        <f t="shared" si="25"/>
        <v>0.34628201452279322</v>
      </c>
      <c r="J61" s="475">
        <f t="shared" si="28"/>
        <v>3788</v>
      </c>
      <c r="K61" s="347">
        <f t="shared" si="26"/>
        <v>0.34380105282265383</v>
      </c>
      <c r="L61" s="488">
        <f t="shared" si="29"/>
        <v>352365925.67000008</v>
      </c>
      <c r="M61" s="484">
        <f t="shared" si="27"/>
        <v>0.4040328675181471</v>
      </c>
      <c r="N61"/>
      <c r="O61"/>
      <c r="P61"/>
      <c r="Q61"/>
      <c r="R61"/>
      <c r="S61"/>
    </row>
    <row r="62" spans="1:27" x14ac:dyDescent="0.3">
      <c r="A62" s="401" t="s">
        <v>161</v>
      </c>
      <c r="B62" s="475">
        <v>49618</v>
      </c>
      <c r="C62" s="345">
        <f t="shared" si="22"/>
        <v>0.399690674313885</v>
      </c>
      <c r="D62" s="493">
        <v>2373452057.5100002</v>
      </c>
      <c r="E62" s="409">
        <f t="shared" si="23"/>
        <v>0.40556123095615743</v>
      </c>
      <c r="F62" s="475">
        <v>54708</v>
      </c>
      <c r="G62" s="345">
        <f t="shared" si="24"/>
        <v>0.40476771802099748</v>
      </c>
      <c r="H62" s="494">
        <v>2745069713.7600002</v>
      </c>
      <c r="I62" s="347">
        <f t="shared" si="25"/>
        <v>0.40822598088357454</v>
      </c>
      <c r="J62" s="475">
        <f t="shared" si="28"/>
        <v>5090</v>
      </c>
      <c r="K62" s="347">
        <f t="shared" si="26"/>
        <v>0.46197131965874022</v>
      </c>
      <c r="L62" s="488">
        <f t="shared" si="29"/>
        <v>371617656.25</v>
      </c>
      <c r="M62" s="484">
        <f t="shared" si="27"/>
        <v>0.4261074534649415</v>
      </c>
      <c r="N62"/>
      <c r="O62"/>
      <c r="P62"/>
      <c r="Q62"/>
      <c r="R62"/>
      <c r="S62"/>
    </row>
    <row r="63" spans="1:27" x14ac:dyDescent="0.3">
      <c r="A63" s="401" t="s">
        <v>162</v>
      </c>
      <c r="B63" s="475">
        <v>25235</v>
      </c>
      <c r="C63" s="345">
        <f t="shared" si="22"/>
        <v>0.20327691898728059</v>
      </c>
      <c r="D63" s="493">
        <v>1078440244.9300001</v>
      </c>
      <c r="E63" s="409">
        <f t="shared" si="23"/>
        <v>0.18427739117904129</v>
      </c>
      <c r="F63" s="475">
        <v>27179</v>
      </c>
      <c r="G63" s="345">
        <f t="shared" si="24"/>
        <v>0.201089087667118</v>
      </c>
      <c r="H63" s="494">
        <v>1195580820.73</v>
      </c>
      <c r="I63" s="347">
        <f t="shared" si="25"/>
        <v>0.17779772616396466</v>
      </c>
      <c r="J63" s="475">
        <f t="shared" si="28"/>
        <v>1944</v>
      </c>
      <c r="K63" s="347">
        <f t="shared" si="26"/>
        <v>0.17643855509166817</v>
      </c>
      <c r="L63" s="488">
        <f t="shared" si="29"/>
        <v>117140575.79999995</v>
      </c>
      <c r="M63" s="484">
        <f t="shared" si="27"/>
        <v>0.1343167409084991</v>
      </c>
      <c r="N63"/>
      <c r="O63"/>
      <c r="P63"/>
      <c r="Q63"/>
      <c r="R63"/>
      <c r="S63"/>
    </row>
    <row r="64" spans="1:27" x14ac:dyDescent="0.3">
      <c r="A64" s="401" t="s">
        <v>163</v>
      </c>
      <c r="B64" s="475">
        <v>5358</v>
      </c>
      <c r="C64" s="345">
        <f t="shared" si="22"/>
        <v>4.3160599640731101E-2</v>
      </c>
      <c r="D64" s="493">
        <v>220944200.12</v>
      </c>
      <c r="E64" s="409">
        <f t="shared" si="23"/>
        <v>3.7753617769426227E-2</v>
      </c>
      <c r="F64" s="475">
        <v>5739</v>
      </c>
      <c r="G64" s="345">
        <f t="shared" si="24"/>
        <v>4.2461101369498148E-2</v>
      </c>
      <c r="H64" s="494">
        <v>241252185.55000001</v>
      </c>
      <c r="I64" s="347">
        <f t="shared" si="25"/>
        <v>3.5877198161046557E-2</v>
      </c>
      <c r="J64" s="475">
        <f t="shared" si="28"/>
        <v>381</v>
      </c>
      <c r="K64" s="347">
        <f t="shared" si="26"/>
        <v>3.4579778544200399E-2</v>
      </c>
      <c r="L64" s="488">
        <f t="shared" si="29"/>
        <v>20307985.430000007</v>
      </c>
      <c r="M64" s="484">
        <f t="shared" si="27"/>
        <v>2.3285718025084921E-2</v>
      </c>
      <c r="N64"/>
      <c r="O64"/>
      <c r="P64"/>
      <c r="Q64"/>
      <c r="R64"/>
      <c r="S64"/>
    </row>
    <row r="65" spans="1:27" x14ac:dyDescent="0.3">
      <c r="A65" s="402">
        <v>100</v>
      </c>
      <c r="B65" s="475">
        <v>321</v>
      </c>
      <c r="C65" s="345">
        <f t="shared" si="22"/>
        <v>2.5857694073674288E-3</v>
      </c>
      <c r="D65" s="493">
        <v>12311280.039999999</v>
      </c>
      <c r="E65" s="409">
        <f t="shared" si="23"/>
        <v>2.1036775829828755E-3</v>
      </c>
      <c r="F65" s="475">
        <v>342</v>
      </c>
      <c r="G65" s="345">
        <f t="shared" si="24"/>
        <v>2.5303531396355405E-3</v>
      </c>
      <c r="H65" s="494">
        <v>12771843.52</v>
      </c>
      <c r="I65" s="347">
        <f t="shared" si="25"/>
        <v>1.8993318539448083E-3</v>
      </c>
      <c r="J65" s="475">
        <f t="shared" si="28"/>
        <v>21</v>
      </c>
      <c r="K65" s="347">
        <f t="shared" si="26"/>
        <v>1.9059720457433292E-3</v>
      </c>
      <c r="L65" s="488">
        <f t="shared" si="29"/>
        <v>460563.48000000045</v>
      </c>
      <c r="M65" s="484">
        <f t="shared" si="27"/>
        <v>5.2809528374434358E-4</v>
      </c>
      <c r="N65"/>
      <c r="O65"/>
      <c r="P65"/>
      <c r="Q65"/>
      <c r="R65"/>
      <c r="S65"/>
    </row>
    <row r="66" spans="1:27" x14ac:dyDescent="0.3">
      <c r="A66" s="402" t="s">
        <v>211</v>
      </c>
      <c r="B66" s="475">
        <v>38</v>
      </c>
      <c r="C66" s="345">
        <f t="shared" si="22"/>
        <v>3.0610354355128445E-4</v>
      </c>
      <c r="D66" s="493">
        <v>1190000</v>
      </c>
      <c r="E66" s="409">
        <f t="shared" si="23"/>
        <v>2.0334005201863819E-4</v>
      </c>
      <c r="F66" s="475">
        <v>64</v>
      </c>
      <c r="G66" s="345">
        <f t="shared" si="24"/>
        <v>4.7351637700782041E-4</v>
      </c>
      <c r="H66" s="494">
        <v>3631117.68</v>
      </c>
      <c r="I66" s="347">
        <f t="shared" si="25"/>
        <v>5.3999232485477328E-4</v>
      </c>
      <c r="J66" s="475">
        <f t="shared" si="28"/>
        <v>26</v>
      </c>
      <c r="K66" s="347">
        <f t="shared" si="26"/>
        <v>2.359774913777455E-3</v>
      </c>
      <c r="L66" s="488">
        <f t="shared" si="29"/>
        <v>2441117.6800000002</v>
      </c>
      <c r="M66" s="484">
        <f t="shared" si="27"/>
        <v>2.7990554828032231E-3</v>
      </c>
      <c r="N66"/>
      <c r="O66"/>
      <c r="P66"/>
      <c r="Q66"/>
      <c r="R66"/>
      <c r="S66"/>
    </row>
    <row r="67" spans="1:27" x14ac:dyDescent="0.3">
      <c r="A67" s="398" t="s">
        <v>184</v>
      </c>
      <c r="B67" s="471">
        <f t="shared" ref="B67:I67" si="30">SUM(B55:B66)</f>
        <v>124141</v>
      </c>
      <c r="C67" s="472">
        <f t="shared" si="30"/>
        <v>1</v>
      </c>
      <c r="D67" s="480">
        <f>+SUM(D56:D66)</f>
        <v>5852265641.6499996</v>
      </c>
      <c r="E67" s="472">
        <f t="shared" si="30"/>
        <v>1.0000000000000002</v>
      </c>
      <c r="F67" s="490">
        <f>+SUM(F56:F66)</f>
        <v>135159</v>
      </c>
      <c r="G67" s="472">
        <f t="shared" si="30"/>
        <v>0.99999999999999989</v>
      </c>
      <c r="H67" s="495">
        <f>+SUM(H56:H66)</f>
        <v>6724387575.2800016</v>
      </c>
      <c r="I67" s="472">
        <f t="shared" si="30"/>
        <v>0.99999999999999989</v>
      </c>
      <c r="J67" s="471">
        <f>+SUM(J56:J66)</f>
        <v>11018</v>
      </c>
      <c r="K67" s="472">
        <f>+SUM(K56:K66)</f>
        <v>0.99999999999999989</v>
      </c>
      <c r="L67" s="480">
        <f>+SUM(L56:L66)</f>
        <v>872121933.63</v>
      </c>
      <c r="M67" s="474">
        <f>+SUM(M56:M66)</f>
        <v>1</v>
      </c>
      <c r="N67"/>
      <c r="O67"/>
      <c r="P67"/>
      <c r="Q67"/>
      <c r="R67"/>
      <c r="S67"/>
    </row>
    <row r="68" spans="1:27" x14ac:dyDescent="0.3">
      <c r="A68" s="410" t="s">
        <v>212</v>
      </c>
      <c r="B68" s="104"/>
      <c r="C68" s="104"/>
      <c r="D68" s="104"/>
      <c r="E68"/>
      <c r="F68" s="104"/>
      <c r="G68" s="104"/>
      <c r="H68" s="104"/>
      <c r="I68" s="87"/>
      <c r="J68"/>
      <c r="K68"/>
      <c r="L68"/>
      <c r="M68"/>
      <c r="N68"/>
      <c r="O68"/>
      <c r="P68"/>
      <c r="Q68"/>
      <c r="R68" s="104"/>
      <c r="S68" s="104"/>
      <c r="T68" s="104"/>
      <c r="U68"/>
      <c r="V68"/>
      <c r="W68"/>
      <c r="X68"/>
      <c r="Y68"/>
      <c r="Z68"/>
      <c r="AA68"/>
    </row>
    <row r="69" spans="1:27" x14ac:dyDescent="0.3">
      <c r="A69" s="410" t="s">
        <v>213</v>
      </c>
      <c r="B69"/>
      <c r="C69"/>
      <c r="D69"/>
      <c r="E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">
      <c r="A70" s="108" t="s">
        <v>205</v>
      </c>
      <c r="B70" s="64"/>
      <c r="C70"/>
      <c r="D70" s="87"/>
      <c r="E70"/>
      <c r="F70" s="64"/>
      <c r="G70"/>
      <c r="H70" s="87"/>
      <c r="I70"/>
      <c r="J70"/>
      <c r="K70"/>
      <c r="L70"/>
      <c r="M70"/>
      <c r="N70"/>
      <c r="O70"/>
      <c r="P70"/>
      <c r="Q70"/>
      <c r="R70" s="64"/>
      <c r="S70"/>
      <c r="T70" s="87"/>
      <c r="U70"/>
      <c r="V70"/>
      <c r="W70"/>
      <c r="X70"/>
      <c r="Y70"/>
      <c r="Z70"/>
      <c r="AA70"/>
    </row>
    <row r="71" spans="1:27" x14ac:dyDescent="0.3">
      <c r="A71" s="1" t="s">
        <v>214</v>
      </c>
      <c r="F71" s="14"/>
      <c r="G71" s="14"/>
      <c r="H71" s="31"/>
    </row>
    <row r="72" spans="1:27" x14ac:dyDescent="0.3">
      <c r="C72" s="411"/>
      <c r="F72" s="14"/>
      <c r="G72" s="14"/>
      <c r="H72" s="65"/>
      <c r="I72" s="65"/>
    </row>
    <row r="73" spans="1:27" x14ac:dyDescent="0.3">
      <c r="C73" s="411"/>
      <c r="E73" s="412"/>
      <c r="F73" s="412"/>
    </row>
    <row r="74" spans="1:27" x14ac:dyDescent="0.3">
      <c r="C74" s="411"/>
    </row>
    <row r="75" spans="1:27" x14ac:dyDescent="0.3">
      <c r="C75" s="411"/>
      <c r="E75" s="413"/>
      <c r="F75" s="413"/>
      <c r="G75" s="413"/>
      <c r="H75" s="65"/>
    </row>
    <row r="76" spans="1:27" x14ac:dyDescent="0.3">
      <c r="C76" s="411"/>
      <c r="E76" s="413"/>
      <c r="F76" s="413"/>
      <c r="G76" s="413"/>
      <c r="H76" s="65"/>
    </row>
    <row r="77" spans="1:27" x14ac:dyDescent="0.3">
      <c r="C77" s="411"/>
      <c r="E77" s="413"/>
      <c r="F77" s="413"/>
      <c r="G77" s="413"/>
      <c r="H77" s="65"/>
    </row>
    <row r="78" spans="1:27" x14ac:dyDescent="0.3">
      <c r="C78" s="411"/>
      <c r="E78" s="413"/>
      <c r="F78" s="413"/>
      <c r="G78" s="413"/>
      <c r="H78" s="65"/>
    </row>
    <row r="79" spans="1:27" x14ac:dyDescent="0.3">
      <c r="C79" s="411"/>
      <c r="E79" s="413"/>
      <c r="F79" s="413"/>
      <c r="G79" s="413"/>
      <c r="H79" s="65"/>
    </row>
    <row r="80" spans="1:27" x14ac:dyDescent="0.3">
      <c r="C80" s="411"/>
      <c r="E80" s="413"/>
      <c r="F80" s="413"/>
      <c r="G80" s="413"/>
      <c r="H80" s="65"/>
    </row>
    <row r="81" spans="3:8" x14ac:dyDescent="0.3">
      <c r="C81" s="411"/>
      <c r="E81" s="413"/>
      <c r="F81" s="413"/>
      <c r="G81" s="413"/>
      <c r="H81" s="65"/>
    </row>
    <row r="82" spans="3:8" x14ac:dyDescent="0.3">
      <c r="C82" s="411"/>
      <c r="E82" s="413"/>
      <c r="F82" s="413"/>
      <c r="G82" s="413"/>
      <c r="H82" s="65"/>
    </row>
    <row r="83" spans="3:8" x14ac:dyDescent="0.3">
      <c r="C83" s="411"/>
      <c r="E83" s="413"/>
      <c r="F83" s="413"/>
      <c r="G83" s="413"/>
      <c r="H83" s="65"/>
    </row>
    <row r="84" spans="3:8" x14ac:dyDescent="0.3">
      <c r="E84" s="413"/>
      <c r="F84" s="413"/>
      <c r="G84" s="413"/>
      <c r="H84" s="65"/>
    </row>
    <row r="85" spans="3:8" x14ac:dyDescent="0.3">
      <c r="E85" s="413"/>
      <c r="F85" s="413"/>
      <c r="G85" s="413"/>
      <c r="H85" s="65"/>
    </row>
    <row r="86" spans="3:8" x14ac:dyDescent="0.3">
      <c r="E86" s="413"/>
      <c r="F86" s="413"/>
      <c r="G86" s="413"/>
      <c r="H86" s="65"/>
    </row>
    <row r="87" spans="3:8" x14ac:dyDescent="0.3">
      <c r="E87" s="65"/>
      <c r="F87" s="65"/>
      <c r="G87" s="65"/>
      <c r="H87" s="65"/>
    </row>
    <row r="89" spans="3:8" x14ac:dyDescent="0.3">
      <c r="F89" s="65"/>
      <c r="G89" s="65"/>
    </row>
    <row r="91" spans="3:8" x14ac:dyDescent="0.3">
      <c r="E91" s="65"/>
      <c r="F91" s="65"/>
      <c r="G91" s="65"/>
    </row>
  </sheetData>
  <mergeCells count="19">
    <mergeCell ref="J53:M53"/>
    <mergeCell ref="B53:E53"/>
    <mergeCell ref="F53:I53"/>
    <mergeCell ref="B31:E31"/>
    <mergeCell ref="F31:I31"/>
    <mergeCell ref="A52:M52"/>
    <mergeCell ref="D4:I4"/>
    <mergeCell ref="A30:M30"/>
    <mergeCell ref="A1:M1"/>
    <mergeCell ref="A2:M2"/>
    <mergeCell ref="J31:M31"/>
    <mergeCell ref="A5:AA5"/>
    <mergeCell ref="A20:I20"/>
    <mergeCell ref="A6:AA6"/>
    <mergeCell ref="B8:E8"/>
    <mergeCell ref="F8:I8"/>
    <mergeCell ref="J8:M8"/>
    <mergeCell ref="A7:M7"/>
    <mergeCell ref="D3:I3"/>
  </mergeCells>
  <pageMargins left="0.7" right="0.7" top="0.75" bottom="0.75" header="0.3" footer="0.3"/>
  <pageSetup paperSize="9" scale="20" orientation="portrait" r:id="rId1"/>
  <rowBreaks count="1" manualBreakCount="1">
    <brk id="48" max="17" man="1"/>
  </rowBreaks>
  <ignoredErrors>
    <ignoredError sqref="K11:K19 L19 L57:L6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S54"/>
  <sheetViews>
    <sheetView showGridLines="0" view="pageBreakPreview" zoomScale="60" zoomScaleNormal="100" workbookViewId="0">
      <selection activeCell="C10" sqref="C10"/>
    </sheetView>
  </sheetViews>
  <sheetFormatPr baseColWidth="10" defaultColWidth="11.44140625" defaultRowHeight="14.4" x14ac:dyDescent="0.3"/>
  <cols>
    <col min="1" max="1" width="11.33203125" style="1" customWidth="1"/>
    <col min="2" max="2" width="7.6640625" style="1" customWidth="1"/>
    <col min="3" max="3" width="13.109375" style="1" bestFit="1" customWidth="1"/>
    <col min="4" max="4" width="8" style="1" customWidth="1"/>
    <col min="5" max="5" width="10.44140625" style="1" bestFit="1" customWidth="1"/>
    <col min="6" max="6" width="8" style="1" customWidth="1"/>
    <col min="7" max="7" width="11.88671875" style="1" bestFit="1" customWidth="1"/>
    <col min="8" max="8" width="7.6640625" style="1" customWidth="1"/>
    <col min="9" max="9" width="9.109375" style="1" bestFit="1" customWidth="1"/>
    <col min="10" max="10" width="8.6640625" style="1" customWidth="1"/>
    <col min="11" max="11" width="12.5546875" style="1" bestFit="1" customWidth="1"/>
    <col min="12" max="12" width="8.6640625" style="1" customWidth="1"/>
    <col min="13" max="13" width="10.44140625" style="1" bestFit="1" customWidth="1"/>
    <col min="14" max="14" width="9" style="1" customWidth="1"/>
    <col min="15" max="15" width="12" style="1" customWidth="1"/>
    <col min="16" max="16" width="6.88671875" style="1" customWidth="1"/>
    <col min="17" max="17" width="9.6640625" style="1" customWidth="1"/>
    <col min="18" max="18" width="12" style="1" bestFit="1" customWidth="1"/>
    <col min="19" max="19" width="20.44140625" style="1" customWidth="1"/>
    <col min="20" max="16384" width="11.44140625" style="1"/>
  </cols>
  <sheetData>
    <row r="1" spans="1:19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175"/>
    </row>
    <row r="2" spans="1:19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175"/>
    </row>
    <row r="3" spans="1:19" x14ac:dyDescent="0.3">
      <c r="A3" s="516" t="s">
        <v>215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175"/>
    </row>
    <row r="4" spans="1:19" x14ac:dyDescent="0.3">
      <c r="A4" s="516" t="s">
        <v>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175"/>
    </row>
    <row r="5" spans="1:19" x14ac:dyDescent="0.3">
      <c r="A5" s="516" t="s">
        <v>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175"/>
    </row>
    <row r="6" spans="1:19" x14ac:dyDescent="0.3">
      <c r="A6" s="108"/>
      <c r="B6" s="528" t="s">
        <v>87</v>
      </c>
      <c r="C6" s="528"/>
      <c r="D6" s="528"/>
      <c r="E6" s="528"/>
      <c r="F6" s="531" t="s">
        <v>88</v>
      </c>
      <c r="G6" s="531"/>
      <c r="H6" s="531"/>
      <c r="I6" s="531"/>
      <c r="J6" s="529" t="s">
        <v>89</v>
      </c>
      <c r="K6" s="529"/>
      <c r="L6" s="529"/>
      <c r="M6" s="529"/>
      <c r="N6" s="564" t="s">
        <v>90</v>
      </c>
      <c r="O6" s="564"/>
      <c r="P6" s="564"/>
      <c r="Q6" s="564"/>
      <c r="R6" s="564"/>
    </row>
    <row r="7" spans="1:19" x14ac:dyDescent="0.3">
      <c r="A7" s="414"/>
      <c r="B7" s="562" t="s">
        <v>216</v>
      </c>
      <c r="C7" s="562"/>
      <c r="D7" s="562" t="s">
        <v>217</v>
      </c>
      <c r="E7" s="562"/>
      <c r="F7" s="562" t="s">
        <v>216</v>
      </c>
      <c r="G7" s="562"/>
      <c r="H7" s="562" t="s">
        <v>217</v>
      </c>
      <c r="I7" s="562"/>
      <c r="J7" s="562" t="s">
        <v>216</v>
      </c>
      <c r="K7" s="562"/>
      <c r="L7" s="562" t="s">
        <v>217</v>
      </c>
      <c r="M7" s="562"/>
      <c r="N7" s="563" t="s">
        <v>218</v>
      </c>
      <c r="O7" s="563"/>
      <c r="P7" s="563" t="s">
        <v>217</v>
      </c>
      <c r="Q7" s="563"/>
      <c r="R7" s="334" t="s">
        <v>219</v>
      </c>
    </row>
    <row r="8" spans="1:19" ht="35.25" customHeight="1" x14ac:dyDescent="0.3">
      <c r="A8" s="415" t="s">
        <v>5</v>
      </c>
      <c r="B8" s="335" t="s">
        <v>220</v>
      </c>
      <c r="C8" s="335" t="s">
        <v>9</v>
      </c>
      <c r="D8" s="335" t="s">
        <v>92</v>
      </c>
      <c r="E8" s="310" t="s">
        <v>9</v>
      </c>
      <c r="F8" s="335" t="s">
        <v>221</v>
      </c>
      <c r="G8" s="335" t="s">
        <v>9</v>
      </c>
      <c r="H8" s="335" t="s">
        <v>92</v>
      </c>
      <c r="I8" s="310" t="s">
        <v>9</v>
      </c>
      <c r="J8" s="335" t="s">
        <v>221</v>
      </c>
      <c r="K8" s="335" t="s">
        <v>9</v>
      </c>
      <c r="L8" s="335" t="s">
        <v>92</v>
      </c>
      <c r="M8" s="336" t="s">
        <v>9</v>
      </c>
      <c r="N8" s="335" t="s">
        <v>222</v>
      </c>
      <c r="O8" s="335" t="s">
        <v>9</v>
      </c>
      <c r="P8" s="335" t="s">
        <v>223</v>
      </c>
      <c r="Q8" s="310" t="s">
        <v>9</v>
      </c>
      <c r="R8" s="430" t="s">
        <v>224</v>
      </c>
    </row>
    <row r="9" spans="1:19" ht="9" hidden="1" customHeight="1" x14ac:dyDescent="0.3">
      <c r="A9" s="131" t="s">
        <v>12</v>
      </c>
      <c r="B9" s="279"/>
      <c r="C9" s="279"/>
      <c r="D9" s="279"/>
      <c r="E9" s="319"/>
      <c r="F9" s="279"/>
      <c r="G9" s="279"/>
      <c r="H9" s="279"/>
      <c r="I9" s="320"/>
      <c r="J9" s="279"/>
      <c r="K9" s="321"/>
      <c r="L9" s="286"/>
      <c r="M9" s="312"/>
      <c r="N9" s="336">
        <f>+B9+J9+F9</f>
        <v>0</v>
      </c>
      <c r="O9" s="278">
        <f>+C9+K9+G9</f>
        <v>0</v>
      </c>
      <c r="P9" s="431">
        <f>+D9+L9+H9</f>
        <v>0</v>
      </c>
      <c r="Q9" s="336">
        <f>+E9+M9+I9</f>
        <v>0</v>
      </c>
      <c r="R9" s="432"/>
    </row>
    <row r="10" spans="1:19" ht="14.25" customHeight="1" x14ac:dyDescent="0.3">
      <c r="A10" s="131" t="s">
        <v>13</v>
      </c>
      <c r="B10" s="322">
        <v>147144</v>
      </c>
      <c r="C10" s="323">
        <v>2261117140.6799998</v>
      </c>
      <c r="D10" s="322">
        <v>603</v>
      </c>
      <c r="E10" s="323">
        <v>7379567.3099999996</v>
      </c>
      <c r="F10" s="322">
        <v>31252</v>
      </c>
      <c r="G10" s="323">
        <v>187512000</v>
      </c>
      <c r="H10" s="322">
        <v>7</v>
      </c>
      <c r="I10" s="324">
        <v>42000</v>
      </c>
      <c r="J10" s="322">
        <v>24696</v>
      </c>
      <c r="K10" s="323">
        <v>671754967.34000003</v>
      </c>
      <c r="L10" s="322">
        <v>331</v>
      </c>
      <c r="M10" s="323">
        <v>4166387.87</v>
      </c>
      <c r="N10" s="433">
        <f>+SUM(B10+F10+J10)</f>
        <v>203092</v>
      </c>
      <c r="O10" s="434">
        <f>+SUM(C10,G10,K10)</f>
        <v>3120384108.02</v>
      </c>
      <c r="P10" s="435">
        <f>+SUM(D10+H10+L10)</f>
        <v>941</v>
      </c>
      <c r="Q10" s="436">
        <f>+SUM(M10,I10,E10)</f>
        <v>11587955.18</v>
      </c>
      <c r="R10" s="437">
        <f>+SUM(O10+Q10)</f>
        <v>3131972063.1999998</v>
      </c>
    </row>
    <row r="11" spans="1:19" ht="14.25" customHeight="1" x14ac:dyDescent="0.3">
      <c r="A11" s="131" t="s">
        <v>14</v>
      </c>
      <c r="B11" s="322">
        <v>146400</v>
      </c>
      <c r="C11" s="323">
        <v>2239634742.8200002</v>
      </c>
      <c r="D11" s="322">
        <v>136</v>
      </c>
      <c r="E11" s="323">
        <v>2158364.85</v>
      </c>
      <c r="F11" s="322">
        <v>30498</v>
      </c>
      <c r="G11" s="323">
        <v>182988000</v>
      </c>
      <c r="H11" s="322">
        <v>5</v>
      </c>
      <c r="I11" s="324">
        <v>30000</v>
      </c>
      <c r="J11" s="322">
        <v>23965</v>
      </c>
      <c r="K11" s="323">
        <v>642297216.61000001</v>
      </c>
      <c r="L11" s="322">
        <v>564</v>
      </c>
      <c r="M11" s="323">
        <v>7521966.7400000002</v>
      </c>
      <c r="N11" s="433">
        <f t="shared" ref="N11:N12" si="0">+SUM(B11+F11+J11)</f>
        <v>200863</v>
      </c>
      <c r="O11" s="434">
        <f t="shared" ref="O11:O12" si="1">+SUM(C11,G11,K11)</f>
        <v>3064919959.4300003</v>
      </c>
      <c r="P11" s="435">
        <f t="shared" ref="P11:P12" si="2">+SUM(D11+H11+L11)</f>
        <v>705</v>
      </c>
      <c r="Q11" s="438">
        <f t="shared" ref="Q11" si="3">+SUM(M11,I11,E11)</f>
        <v>9710331.5899999999</v>
      </c>
      <c r="R11" s="437">
        <f t="shared" ref="R11:R12" si="4">+SUM(O11+Q11)</f>
        <v>3074630291.0200005</v>
      </c>
    </row>
    <row r="12" spans="1:19" ht="14.25" customHeight="1" x14ac:dyDescent="0.3">
      <c r="A12" s="131" t="s">
        <v>15</v>
      </c>
      <c r="B12" s="322">
        <v>145315</v>
      </c>
      <c r="C12" s="323">
        <v>2212306559.4899998</v>
      </c>
      <c r="D12" s="322">
        <v>128</v>
      </c>
      <c r="E12" s="323">
        <v>1851200.13</v>
      </c>
      <c r="F12" s="322">
        <v>29589</v>
      </c>
      <c r="G12" s="323">
        <v>177534000</v>
      </c>
      <c r="H12" s="322">
        <v>8</v>
      </c>
      <c r="I12" s="324">
        <v>48000</v>
      </c>
      <c r="J12" s="322">
        <v>24004</v>
      </c>
      <c r="K12" s="323">
        <v>627303051.73000002</v>
      </c>
      <c r="L12" s="322">
        <v>153</v>
      </c>
      <c r="M12" s="323">
        <v>1747996.15</v>
      </c>
      <c r="N12" s="433">
        <f t="shared" si="0"/>
        <v>198908</v>
      </c>
      <c r="O12" s="434">
        <f t="shared" si="1"/>
        <v>3017143611.2199998</v>
      </c>
      <c r="P12" s="435">
        <f t="shared" si="2"/>
        <v>289</v>
      </c>
      <c r="Q12" s="438">
        <f>+SUM(M12,I12,E12)</f>
        <v>3647196.28</v>
      </c>
      <c r="R12" s="437">
        <f t="shared" si="4"/>
        <v>3020790807.5</v>
      </c>
    </row>
    <row r="13" spans="1:19" ht="16.5" customHeight="1" x14ac:dyDescent="0.3">
      <c r="A13" s="443" t="s">
        <v>16</v>
      </c>
      <c r="B13" s="325">
        <f>+B10</f>
        <v>147144</v>
      </c>
      <c r="C13" s="326">
        <f>SUM(C10:C12)</f>
        <v>6713058442.9899998</v>
      </c>
      <c r="D13" s="325">
        <f>SUM(D10:D12)</f>
        <v>867</v>
      </c>
      <c r="E13" s="326">
        <f>SUM(E10:E12)</f>
        <v>11389132.289999999</v>
      </c>
      <c r="F13" s="325">
        <f>+F10</f>
        <v>31252</v>
      </c>
      <c r="G13" s="326">
        <f>SUM(G10:G12)</f>
        <v>548034000</v>
      </c>
      <c r="H13" s="496">
        <f>SUM(H10:H12)</f>
        <v>20</v>
      </c>
      <c r="I13" s="326">
        <f>+SUM(I10:I12)</f>
        <v>120000</v>
      </c>
      <c r="J13" s="326">
        <f>+J10</f>
        <v>24696</v>
      </c>
      <c r="K13" s="326">
        <f>SUM(K10:K12)</f>
        <v>1941355235.6800001</v>
      </c>
      <c r="L13" s="326">
        <f>SUM(L10:L12)</f>
        <v>1048</v>
      </c>
      <c r="M13" s="326">
        <f>SUM(M10:M12)</f>
        <v>13436350.76</v>
      </c>
      <c r="N13" s="326">
        <f>+N10</f>
        <v>203092</v>
      </c>
      <c r="O13" s="326">
        <f>+SUM(O10:O12)</f>
        <v>9202447678.6700001</v>
      </c>
      <c r="P13" s="496">
        <f>SUM(P10:P12)</f>
        <v>1935</v>
      </c>
      <c r="Q13" s="326">
        <f>+SUM(Q10:Q12)</f>
        <v>24945483.050000001</v>
      </c>
      <c r="R13" s="326">
        <f>+SUM(O13+Q13)</f>
        <v>9227393161.7199993</v>
      </c>
      <c r="S13" s="442"/>
    </row>
    <row r="14" spans="1:19" ht="0.75" hidden="1" customHeight="1" x14ac:dyDescent="0.3">
      <c r="A14" s="131" t="s">
        <v>17</v>
      </c>
      <c r="B14" s="279">
        <v>143867</v>
      </c>
      <c r="C14" s="327">
        <v>2167122570.1300001</v>
      </c>
      <c r="D14" s="279">
        <v>88</v>
      </c>
      <c r="E14" s="327">
        <v>1396122.71</v>
      </c>
      <c r="F14" s="279">
        <v>28473</v>
      </c>
      <c r="G14" s="327">
        <v>170838000</v>
      </c>
      <c r="H14" s="279">
        <v>8</v>
      </c>
      <c r="I14" s="327">
        <v>48000</v>
      </c>
      <c r="J14" s="279">
        <v>24118</v>
      </c>
      <c r="K14" s="327">
        <v>627887530.03999996</v>
      </c>
      <c r="L14" s="286">
        <v>2</v>
      </c>
      <c r="M14" s="279">
        <v>20132.71</v>
      </c>
      <c r="N14" s="417">
        <f t="shared" ref="N14" si="5">+B14+J14+F14</f>
        <v>196458</v>
      </c>
      <c r="O14" s="417">
        <f t="shared" ref="O14" si="6">+C14+K14+G14</f>
        <v>2965848100.1700001</v>
      </c>
      <c r="P14" s="417">
        <f t="shared" ref="P14" si="7">+D14+L14+H14</f>
        <v>98</v>
      </c>
      <c r="Q14" s="417">
        <f t="shared" ref="Q14" si="8">+E14+M14+I14</f>
        <v>1464255.42</v>
      </c>
      <c r="R14" s="418"/>
      <c r="S14" s="30"/>
    </row>
    <row r="15" spans="1:19" hidden="1" x14ac:dyDescent="0.3">
      <c r="A15" s="131" t="s">
        <v>18</v>
      </c>
      <c r="B15" s="279">
        <v>143009</v>
      </c>
      <c r="C15" s="327">
        <v>2138926652.8</v>
      </c>
      <c r="D15" s="279">
        <v>58</v>
      </c>
      <c r="E15" s="327">
        <v>930000</v>
      </c>
      <c r="F15" s="279">
        <v>26204</v>
      </c>
      <c r="G15" s="327">
        <v>157224000</v>
      </c>
      <c r="H15" s="279">
        <v>8</v>
      </c>
      <c r="I15" s="327">
        <v>48000</v>
      </c>
      <c r="J15" s="279">
        <v>24093</v>
      </c>
      <c r="K15" s="327">
        <v>626533628.94000006</v>
      </c>
      <c r="L15" s="286">
        <v>1</v>
      </c>
      <c r="M15" s="279">
        <v>7893.11</v>
      </c>
      <c r="N15" s="417">
        <f t="shared" ref="N15:P16" si="9">+B15+J15+F15</f>
        <v>193306</v>
      </c>
      <c r="O15" s="417">
        <f t="shared" si="9"/>
        <v>2922684281.7399998</v>
      </c>
      <c r="P15" s="417">
        <f t="shared" si="9"/>
        <v>67</v>
      </c>
      <c r="Q15" s="417">
        <f>+E15+M15+I15</f>
        <v>985893.11</v>
      </c>
      <c r="R15" s="418"/>
    </row>
    <row r="16" spans="1:19" hidden="1" x14ac:dyDescent="0.3">
      <c r="A16" s="131" t="s">
        <v>19</v>
      </c>
      <c r="B16" s="279">
        <v>142152</v>
      </c>
      <c r="C16" s="327">
        <v>2119467604.4200001</v>
      </c>
      <c r="D16" s="279">
        <v>28</v>
      </c>
      <c r="E16" s="327">
        <v>640940</v>
      </c>
      <c r="F16" s="279">
        <v>24710</v>
      </c>
      <c r="G16" s="327">
        <v>148260000</v>
      </c>
      <c r="H16" s="279">
        <v>13</v>
      </c>
      <c r="I16" s="327">
        <v>78000</v>
      </c>
      <c r="J16" s="279">
        <v>24062</v>
      </c>
      <c r="K16" s="327">
        <v>625129302.96000004</v>
      </c>
      <c r="L16" s="328">
        <v>0</v>
      </c>
      <c r="M16" s="279">
        <v>0</v>
      </c>
      <c r="N16" s="417">
        <f t="shared" si="9"/>
        <v>190924</v>
      </c>
      <c r="O16" s="417">
        <f t="shared" si="9"/>
        <v>2892856907.3800001</v>
      </c>
      <c r="P16" s="417">
        <f t="shared" si="9"/>
        <v>41</v>
      </c>
      <c r="Q16" s="417">
        <f>+E16+M16+I16</f>
        <v>718940</v>
      </c>
      <c r="R16" s="418"/>
    </row>
    <row r="17" spans="1:19" hidden="1" x14ac:dyDescent="0.3">
      <c r="A17" s="419" t="s">
        <v>20</v>
      </c>
      <c r="B17" s="329">
        <f>+B14</f>
        <v>143867</v>
      </c>
      <c r="C17" s="329">
        <f>SUM(C9:C16)</f>
        <v>19851633713.330002</v>
      </c>
      <c r="D17" s="329">
        <f>SUM(D9:D16)</f>
        <v>1908</v>
      </c>
      <c r="E17" s="329">
        <f>SUM(E9:E16)</f>
        <v>25745327.289999999</v>
      </c>
      <c r="F17" s="329">
        <f>+F14</f>
        <v>28473</v>
      </c>
      <c r="G17" s="330">
        <f>SUM(G9:G16)</f>
        <v>1572390000</v>
      </c>
      <c r="H17" s="329">
        <f>SUM(H9:H16)</f>
        <v>69</v>
      </c>
      <c r="I17" s="329">
        <f>SUM(I9:I16)</f>
        <v>414000</v>
      </c>
      <c r="J17" s="329">
        <f>+J14</f>
        <v>24118</v>
      </c>
      <c r="K17" s="329">
        <f>SUM(K9:K16)</f>
        <v>5762260933.3000002</v>
      </c>
      <c r="L17" s="329">
        <f>SUM(L9:L16)</f>
        <v>2099</v>
      </c>
      <c r="M17" s="329">
        <f>SUM(M9:M16)</f>
        <v>26900727.34</v>
      </c>
      <c r="N17" s="420">
        <f>+N14</f>
        <v>196458</v>
      </c>
      <c r="O17" s="420">
        <f>SUM(O9:O16)</f>
        <v>27186284646.630001</v>
      </c>
      <c r="P17" s="420">
        <f>SUM(P9:P16)</f>
        <v>4076</v>
      </c>
      <c r="Q17" s="420">
        <f>SUM(Q9:Q16)</f>
        <v>53060054.630000003</v>
      </c>
      <c r="R17" s="421"/>
      <c r="S17" s="172">
        <f>O17+Q17</f>
        <v>27239344701.260002</v>
      </c>
    </row>
    <row r="18" spans="1:19" hidden="1" x14ac:dyDescent="0.3">
      <c r="A18" s="131" t="s">
        <v>15</v>
      </c>
      <c r="B18" s="286"/>
      <c r="C18" s="331"/>
      <c r="D18" s="286"/>
      <c r="E18" s="320"/>
      <c r="F18" s="286"/>
      <c r="G18" s="331"/>
      <c r="H18" s="286">
        <f>SUM(H14:H16)</f>
        <v>29</v>
      </c>
      <c r="I18" s="320"/>
      <c r="J18" s="286"/>
      <c r="K18" s="331"/>
      <c r="L18" s="286"/>
      <c r="M18" s="320"/>
      <c r="N18" s="417">
        <f t="shared" ref="N18:P20" si="10">+B18+J18+F18</f>
        <v>0</v>
      </c>
      <c r="O18" s="422">
        <f t="shared" si="10"/>
        <v>0</v>
      </c>
      <c r="P18" s="417">
        <f t="shared" si="10"/>
        <v>29</v>
      </c>
      <c r="Q18" s="422">
        <f>+E18+M18+I18</f>
        <v>0</v>
      </c>
      <c r="R18" s="418"/>
    </row>
    <row r="19" spans="1:19" hidden="1" x14ac:dyDescent="0.3">
      <c r="A19" s="131" t="s">
        <v>14</v>
      </c>
      <c r="B19" s="286"/>
      <c r="C19" s="331"/>
      <c r="D19" s="286"/>
      <c r="E19" s="320"/>
      <c r="F19" s="286"/>
      <c r="G19" s="331"/>
      <c r="H19" s="286"/>
      <c r="I19" s="320"/>
      <c r="J19" s="286"/>
      <c r="K19" s="331"/>
      <c r="L19" s="286"/>
      <c r="M19" s="320"/>
      <c r="N19" s="417">
        <f t="shared" si="10"/>
        <v>0</v>
      </c>
      <c r="O19" s="422">
        <f t="shared" si="10"/>
        <v>0</v>
      </c>
      <c r="P19" s="417">
        <f t="shared" si="10"/>
        <v>0</v>
      </c>
      <c r="Q19" s="422">
        <f>+E19+M19+I19</f>
        <v>0</v>
      </c>
      <c r="R19" s="418"/>
    </row>
    <row r="20" spans="1:19" hidden="1" x14ac:dyDescent="0.3">
      <c r="A20" s="131" t="s">
        <v>13</v>
      </c>
      <c r="B20" s="286"/>
      <c r="C20" s="331"/>
      <c r="D20" s="286"/>
      <c r="E20" s="320"/>
      <c r="F20" s="286"/>
      <c r="G20" s="331"/>
      <c r="H20" s="286"/>
      <c r="I20" s="320"/>
      <c r="J20" s="286"/>
      <c r="K20" s="331"/>
      <c r="L20" s="286"/>
      <c r="M20" s="320"/>
      <c r="N20" s="417">
        <f t="shared" si="10"/>
        <v>0</v>
      </c>
      <c r="O20" s="422">
        <f t="shared" si="10"/>
        <v>0</v>
      </c>
      <c r="P20" s="417">
        <f t="shared" si="10"/>
        <v>0</v>
      </c>
      <c r="Q20" s="422">
        <f>+E20+M20+I20</f>
        <v>0</v>
      </c>
      <c r="R20" s="418"/>
    </row>
    <row r="21" spans="1:19" hidden="1" x14ac:dyDescent="0.3">
      <c r="A21" s="419" t="s">
        <v>16</v>
      </c>
      <c r="B21" s="329">
        <f>+B20</f>
        <v>0</v>
      </c>
      <c r="C21" s="330">
        <f>SUM(C18:C20)</f>
        <v>0</v>
      </c>
      <c r="D21" s="329">
        <f>+D20</f>
        <v>0</v>
      </c>
      <c r="E21" s="330">
        <f>SUM(E18:E20)</f>
        <v>0</v>
      </c>
      <c r="F21" s="329">
        <f>+F20</f>
        <v>0</v>
      </c>
      <c r="G21" s="330">
        <f>SUM(G18:G20)</f>
        <v>0</v>
      </c>
      <c r="H21" s="329">
        <f>+H20</f>
        <v>0</v>
      </c>
      <c r="I21" s="330">
        <f>SUM(I18:I20)</f>
        <v>0</v>
      </c>
      <c r="J21" s="329">
        <f>+J20</f>
        <v>0</v>
      </c>
      <c r="K21" s="330">
        <f>SUM(K18:K20)</f>
        <v>0</v>
      </c>
      <c r="L21" s="329">
        <f>+L20</f>
        <v>0</v>
      </c>
      <c r="M21" s="330">
        <f>SUM(M18:M20)</f>
        <v>0</v>
      </c>
      <c r="N21" s="420">
        <f>+N20</f>
        <v>0</v>
      </c>
      <c r="O21" s="423">
        <f>SUM(O18:O20)</f>
        <v>0</v>
      </c>
      <c r="P21" s="420">
        <f>+P20</f>
        <v>0</v>
      </c>
      <c r="Q21" s="423">
        <f>SUM(Q18:Q20)</f>
        <v>0</v>
      </c>
      <c r="R21" s="418"/>
      <c r="S21" s="31"/>
    </row>
    <row r="22" spans="1:19" hidden="1" x14ac:dyDescent="0.3">
      <c r="A22" s="131" t="s">
        <v>42</v>
      </c>
      <c r="B22" s="286"/>
      <c r="C22" s="331"/>
      <c r="D22" s="286"/>
      <c r="E22" s="320"/>
      <c r="F22" s="286"/>
      <c r="G22" s="331"/>
      <c r="H22" s="286"/>
      <c r="I22" s="320"/>
      <c r="J22" s="286"/>
      <c r="K22" s="331"/>
      <c r="L22" s="286"/>
      <c r="M22" s="320"/>
      <c r="N22" s="417">
        <f t="shared" ref="N22:P24" si="11">+B22+J22+F22</f>
        <v>0</v>
      </c>
      <c r="O22" s="422">
        <f t="shared" si="11"/>
        <v>0</v>
      </c>
      <c r="P22" s="417">
        <f t="shared" si="11"/>
        <v>0</v>
      </c>
      <c r="Q22" s="422">
        <f>+E22+M22+I22</f>
        <v>0</v>
      </c>
      <c r="R22" s="418"/>
    </row>
    <row r="23" spans="1:19" hidden="1" x14ac:dyDescent="0.3">
      <c r="A23" s="131" t="s">
        <v>22</v>
      </c>
      <c r="B23" s="286"/>
      <c r="C23" s="331"/>
      <c r="D23" s="286"/>
      <c r="E23" s="320"/>
      <c r="F23" s="286"/>
      <c r="G23" s="331"/>
      <c r="H23" s="286"/>
      <c r="I23" s="320"/>
      <c r="J23" s="286"/>
      <c r="K23" s="331"/>
      <c r="L23" s="286"/>
      <c r="M23" s="320"/>
      <c r="N23" s="417">
        <f t="shared" si="11"/>
        <v>0</v>
      </c>
      <c r="O23" s="422">
        <f t="shared" si="11"/>
        <v>0</v>
      </c>
      <c r="P23" s="417">
        <f t="shared" si="11"/>
        <v>0</v>
      </c>
      <c r="Q23" s="422">
        <f>+E23+M23+I23</f>
        <v>0</v>
      </c>
      <c r="R23" s="418"/>
    </row>
    <row r="24" spans="1:19" hidden="1" x14ac:dyDescent="0.3">
      <c r="A24" s="131" t="s">
        <v>23</v>
      </c>
      <c r="B24" s="286"/>
      <c r="C24" s="331"/>
      <c r="D24" s="286"/>
      <c r="E24" s="320"/>
      <c r="F24" s="286"/>
      <c r="G24" s="331"/>
      <c r="H24" s="286"/>
      <c r="I24" s="320"/>
      <c r="J24" s="286"/>
      <c r="K24" s="331"/>
      <c r="L24" s="286"/>
      <c r="M24" s="320"/>
      <c r="N24" s="417">
        <f t="shared" si="11"/>
        <v>0</v>
      </c>
      <c r="O24" s="422">
        <f t="shared" si="11"/>
        <v>0</v>
      </c>
      <c r="P24" s="417">
        <f t="shared" si="11"/>
        <v>0</v>
      </c>
      <c r="Q24" s="422">
        <f>+E24+M24+I24</f>
        <v>0</v>
      </c>
      <c r="R24" s="418"/>
    </row>
    <row r="25" spans="1:19" hidden="1" x14ac:dyDescent="0.3">
      <c r="A25" s="419" t="s">
        <v>24</v>
      </c>
      <c r="B25" s="329">
        <f>+B24</f>
        <v>0</v>
      </c>
      <c r="C25" s="330">
        <f>SUM(C22:C24)</f>
        <v>0</v>
      </c>
      <c r="D25" s="329">
        <f>+D24</f>
        <v>0</v>
      </c>
      <c r="E25" s="330">
        <f>SUM(E22:E24)</f>
        <v>0</v>
      </c>
      <c r="F25" s="329">
        <f>+F24</f>
        <v>0</v>
      </c>
      <c r="G25" s="330">
        <f>SUM(G22:G24)</f>
        <v>0</v>
      </c>
      <c r="H25" s="329">
        <f>+H24</f>
        <v>0</v>
      </c>
      <c r="I25" s="330">
        <f>SUM(I22:I24)</f>
        <v>0</v>
      </c>
      <c r="J25" s="329">
        <f>+J24</f>
        <v>0</v>
      </c>
      <c r="K25" s="330">
        <f>SUM(K22:K24)</f>
        <v>0</v>
      </c>
      <c r="L25" s="329">
        <f>+L24</f>
        <v>0</v>
      </c>
      <c r="M25" s="330">
        <f>SUM(M22:M24)</f>
        <v>0</v>
      </c>
      <c r="N25" s="420">
        <f>+N24</f>
        <v>0</v>
      </c>
      <c r="O25" s="423">
        <f>SUM(O22:O24)</f>
        <v>0</v>
      </c>
      <c r="P25" s="420">
        <f>+P24</f>
        <v>0</v>
      </c>
      <c r="Q25" s="423">
        <f>SUM(Q22:Q24)</f>
        <v>0</v>
      </c>
      <c r="R25" s="418"/>
      <c r="S25" s="31"/>
    </row>
    <row r="26" spans="1:19" hidden="1" x14ac:dyDescent="0.3">
      <c r="A26" s="131" t="s">
        <v>25</v>
      </c>
      <c r="B26" s="286"/>
      <c r="C26" s="331"/>
      <c r="D26" s="286"/>
      <c r="E26" s="320"/>
      <c r="F26" s="286"/>
      <c r="G26" s="331"/>
      <c r="H26" s="286"/>
      <c r="I26" s="320"/>
      <c r="J26" s="286"/>
      <c r="K26" s="331"/>
      <c r="L26" s="286"/>
      <c r="M26" s="320"/>
      <c r="N26" s="417">
        <f t="shared" ref="N26:P29" si="12">+B26+J26+F26</f>
        <v>0</v>
      </c>
      <c r="O26" s="422">
        <f t="shared" si="12"/>
        <v>0</v>
      </c>
      <c r="P26" s="417">
        <f t="shared" si="12"/>
        <v>0</v>
      </c>
      <c r="Q26" s="422">
        <f>+E26+M26+I26</f>
        <v>0</v>
      </c>
      <c r="R26" s="418"/>
    </row>
    <row r="27" spans="1:19" hidden="1" x14ac:dyDescent="0.3">
      <c r="A27" s="131" t="s">
        <v>26</v>
      </c>
      <c r="B27" s="286"/>
      <c r="C27" s="331"/>
      <c r="D27" s="286"/>
      <c r="E27" s="320"/>
      <c r="F27" s="286"/>
      <c r="G27" s="331"/>
      <c r="H27" s="286"/>
      <c r="I27" s="320"/>
      <c r="J27" s="286"/>
      <c r="K27" s="331"/>
      <c r="L27" s="286"/>
      <c r="M27" s="320"/>
      <c r="N27" s="417">
        <f t="shared" si="12"/>
        <v>0</v>
      </c>
      <c r="O27" s="422">
        <f t="shared" si="12"/>
        <v>0</v>
      </c>
      <c r="P27" s="417">
        <f t="shared" si="12"/>
        <v>0</v>
      </c>
      <c r="Q27" s="422">
        <f>+E27+M27+I27</f>
        <v>0</v>
      </c>
      <c r="R27" s="418"/>
    </row>
    <row r="28" spans="1:19" hidden="1" x14ac:dyDescent="0.3">
      <c r="A28" s="131" t="s">
        <v>27</v>
      </c>
      <c r="B28" s="286"/>
      <c r="C28" s="331"/>
      <c r="D28" s="286"/>
      <c r="E28" s="320"/>
      <c r="F28" s="286"/>
      <c r="G28" s="331"/>
      <c r="H28" s="286"/>
      <c r="I28" s="320"/>
      <c r="J28" s="286"/>
      <c r="K28" s="331"/>
      <c r="L28" s="286"/>
      <c r="M28" s="320"/>
      <c r="N28" s="417">
        <f t="shared" si="12"/>
        <v>0</v>
      </c>
      <c r="O28" s="422">
        <f t="shared" si="12"/>
        <v>0</v>
      </c>
      <c r="P28" s="417">
        <f t="shared" si="12"/>
        <v>0</v>
      </c>
      <c r="Q28" s="422">
        <f>+E28+M28+I28</f>
        <v>0</v>
      </c>
      <c r="R28" s="418"/>
    </row>
    <row r="29" spans="1:19" hidden="1" x14ac:dyDescent="0.3">
      <c r="A29" s="131" t="s">
        <v>12</v>
      </c>
      <c r="B29" s="286"/>
      <c r="C29" s="331"/>
      <c r="D29" s="286"/>
      <c r="E29" s="320"/>
      <c r="F29" s="286"/>
      <c r="G29" s="331"/>
      <c r="H29" s="286"/>
      <c r="I29" s="320"/>
      <c r="J29" s="286"/>
      <c r="K29" s="331"/>
      <c r="L29" s="286"/>
      <c r="M29" s="320"/>
      <c r="N29" s="417">
        <f t="shared" si="12"/>
        <v>0</v>
      </c>
      <c r="O29" s="422">
        <f t="shared" si="12"/>
        <v>0</v>
      </c>
      <c r="P29" s="417">
        <f t="shared" si="12"/>
        <v>0</v>
      </c>
      <c r="Q29" s="422">
        <f>+E29+M29+I29</f>
        <v>0</v>
      </c>
      <c r="R29" s="418"/>
    </row>
    <row r="30" spans="1:19" hidden="1" x14ac:dyDescent="0.3">
      <c r="A30" s="419" t="s">
        <v>28</v>
      </c>
      <c r="B30" s="329">
        <f>+B28</f>
        <v>0</v>
      </c>
      <c r="C30" s="329">
        <f>SUM(C26:C29)</f>
        <v>0</v>
      </c>
      <c r="D30" s="329">
        <f>+D28</f>
        <v>0</v>
      </c>
      <c r="E30" s="330">
        <f>SUM(E26:E29)</f>
        <v>0</v>
      </c>
      <c r="F30" s="329">
        <f>+F28</f>
        <v>0</v>
      </c>
      <c r="G30" s="330">
        <f>SUM(G26:G29)</f>
        <v>0</v>
      </c>
      <c r="H30" s="329">
        <f>+H28</f>
        <v>0</v>
      </c>
      <c r="I30" s="330">
        <f>SUM(I26:I29)</f>
        <v>0</v>
      </c>
      <c r="J30" s="329">
        <f>+J28</f>
        <v>0</v>
      </c>
      <c r="K30" s="330">
        <f>SUM(K26:K29)</f>
        <v>0</v>
      </c>
      <c r="L30" s="329">
        <f>+L28</f>
        <v>0</v>
      </c>
      <c r="M30" s="330">
        <f>SUM(M26:M29)</f>
        <v>0</v>
      </c>
      <c r="N30" s="420">
        <f>+N28</f>
        <v>0</v>
      </c>
      <c r="O30" s="423">
        <f>SUM(O26:O29)</f>
        <v>0</v>
      </c>
      <c r="P30" s="420">
        <f>+P28</f>
        <v>0</v>
      </c>
      <c r="Q30" s="423">
        <f>SUM(Q26:Q29)</f>
        <v>0</v>
      </c>
      <c r="R30" s="418"/>
      <c r="S30" s="31"/>
    </row>
    <row r="31" spans="1:19" hidden="1" x14ac:dyDescent="0.3">
      <c r="A31" s="416" t="s">
        <v>29</v>
      </c>
      <c r="B31" s="332">
        <f>+B30</f>
        <v>0</v>
      </c>
      <c r="C31" s="333">
        <f>+C17+C21+C25+C30</f>
        <v>19851633713.330002</v>
      </c>
      <c r="D31" s="332">
        <f>+D30</f>
        <v>0</v>
      </c>
      <c r="E31" s="333">
        <f>+E17+E21+E25+E30</f>
        <v>25745327.289999999</v>
      </c>
      <c r="F31" s="332">
        <f>+F30</f>
        <v>0</v>
      </c>
      <c r="G31" s="333">
        <f>+G17+G21+G25+G30</f>
        <v>1572390000</v>
      </c>
      <c r="H31" s="332">
        <f>+H30</f>
        <v>0</v>
      </c>
      <c r="I31" s="333">
        <f>+I17+I21+I25+I30</f>
        <v>414000</v>
      </c>
      <c r="J31" s="332">
        <f>+J30</f>
        <v>0</v>
      </c>
      <c r="K31" s="333">
        <f>+K17+K21+K25+K30</f>
        <v>5762260933.3000002</v>
      </c>
      <c r="L31" s="332">
        <f>+L30</f>
        <v>0</v>
      </c>
      <c r="M31" s="333">
        <f>+M17+M21+M25+M30</f>
        <v>26900727.34</v>
      </c>
      <c r="N31" s="420">
        <f>+N30</f>
        <v>0</v>
      </c>
      <c r="O31" s="423">
        <f>+O17+O21+O25+O30</f>
        <v>27186284646.630001</v>
      </c>
      <c r="P31" s="420">
        <f>+P30</f>
        <v>0</v>
      </c>
      <c r="Q31" s="423">
        <f>+Q17+Q21+Q25+Q30</f>
        <v>53060054.630000003</v>
      </c>
      <c r="R31" s="418"/>
      <c r="S31" s="31"/>
    </row>
    <row r="32" spans="1:19" ht="62.25" hidden="1" customHeight="1" x14ac:dyDescent="0.3">
      <c r="A32" s="339" t="s">
        <v>62</v>
      </c>
      <c r="B32" s="337"/>
      <c r="C32" s="337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424"/>
      <c r="O32" s="425">
        <f>O17/S17</f>
        <v>0.99805208035612003</v>
      </c>
      <c r="P32" s="425"/>
      <c r="Q32" s="425">
        <f>Q17/S17</f>
        <v>1.9479196438798919E-3</v>
      </c>
      <c r="R32" s="418"/>
      <c r="S32" s="31">
        <f>S17-Nómina!M16</f>
        <v>0</v>
      </c>
    </row>
    <row r="33" spans="1:19" hidden="1" x14ac:dyDescent="0.3">
      <c r="A33" s="157" t="s">
        <v>225</v>
      </c>
      <c r="B33" s="108"/>
      <c r="C33" s="296"/>
      <c r="D33" s="108"/>
      <c r="E33" s="108"/>
      <c r="F33" s="108"/>
      <c r="G33" s="296"/>
      <c r="H33" s="108"/>
      <c r="I33" s="108"/>
      <c r="J33" s="296"/>
      <c r="K33" s="296"/>
      <c r="L33" s="108"/>
      <c r="M33" s="108"/>
      <c r="N33" s="426"/>
      <c r="O33" s="427"/>
      <c r="P33" s="426"/>
      <c r="Q33" s="426"/>
      <c r="R33" s="421"/>
      <c r="S33" s="30"/>
    </row>
    <row r="34" spans="1:19" hidden="1" x14ac:dyDescent="0.3">
      <c r="A34" s="15"/>
      <c r="B34" s="340"/>
      <c r="C34" s="34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428"/>
      <c r="O34" s="429"/>
      <c r="P34" s="428"/>
      <c r="Q34" s="428"/>
      <c r="R34" s="418"/>
    </row>
    <row r="35" spans="1:19" x14ac:dyDescent="0.3">
      <c r="A35" s="339" t="s">
        <v>62</v>
      </c>
      <c r="B35" s="337"/>
      <c r="C35" s="337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439"/>
      <c r="O35" s="440">
        <f>O13/R13</f>
        <v>0.99729658391998666</v>
      </c>
      <c r="P35" s="440"/>
      <c r="Q35" s="440">
        <f>+Q13/R13</f>
        <v>2.7034160800134504E-3</v>
      </c>
      <c r="R35" s="441">
        <f>+O35+Q35</f>
        <v>1</v>
      </c>
    </row>
    <row r="36" spans="1:19" x14ac:dyDescent="0.3">
      <c r="R36" s="175"/>
    </row>
    <row r="37" spans="1:19" ht="41.25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9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9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9" ht="0.75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9" hidden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9" hidden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9" hidden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9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9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9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9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52" spans="1:18" x14ac:dyDescent="0.3">
      <c r="A52" s="38"/>
      <c r="B52" s="123"/>
      <c r="C52" s="125"/>
      <c r="D52" s="123"/>
      <c r="E52" s="126"/>
      <c r="F52" s="123"/>
      <c r="G52" s="125"/>
      <c r="H52" s="123"/>
      <c r="I52" s="126"/>
      <c r="J52" s="123"/>
      <c r="K52" s="125"/>
      <c r="L52" s="123"/>
      <c r="M52" s="126"/>
      <c r="N52" s="33"/>
      <c r="O52" s="33"/>
      <c r="P52" s="33"/>
      <c r="Q52" s="49"/>
      <c r="R52" s="49"/>
    </row>
    <row r="54" spans="1:18" x14ac:dyDescent="0.3">
      <c r="A54" s="38"/>
      <c r="B54" s="123"/>
      <c r="C54" s="125"/>
      <c r="D54" s="123"/>
      <c r="E54" s="126"/>
      <c r="F54" s="123"/>
      <c r="G54" s="125"/>
      <c r="H54" s="123"/>
      <c r="I54" s="126"/>
      <c r="J54" s="123"/>
      <c r="K54" s="125"/>
      <c r="L54" s="123"/>
      <c r="M54" s="126"/>
      <c r="N54" s="33"/>
      <c r="O54" s="33"/>
      <c r="P54" s="33"/>
      <c r="Q54" s="49"/>
      <c r="R54" s="49"/>
    </row>
  </sheetData>
  <mergeCells count="17"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7:O7"/>
    <mergeCell ref="P7:Q7"/>
    <mergeCell ref="A4:Q4"/>
    <mergeCell ref="F7:G7"/>
    <mergeCell ref="H7:I7"/>
    <mergeCell ref="N6:R6"/>
    <mergeCell ref="J6:M6"/>
  </mergeCells>
  <pageMargins left="0.7" right="0.7" top="0.75" bottom="0.75" header="0.3" footer="0.3"/>
  <pageSetup paperSize="9" scale="49" orientation="portrait" r:id="rId1"/>
  <colBreaks count="1" manualBreakCount="1">
    <brk id="18" max="1048575" man="1"/>
  </colBreaks>
  <ignoredErrors>
    <ignoredError sqref="C30 E30 F17" formula="1"/>
    <ignoredError sqref="Q32 O32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43"/>
  <sheetViews>
    <sheetView showGridLines="0" topLeftCell="A5" zoomScale="130" zoomScaleNormal="130" workbookViewId="0">
      <selection activeCell="C10" sqref="C10"/>
    </sheetView>
  </sheetViews>
  <sheetFormatPr baseColWidth="10" defaultColWidth="11.44140625" defaultRowHeight="14.4" x14ac:dyDescent="0.3"/>
  <cols>
    <col min="1" max="1" width="11.44140625" style="1"/>
    <col min="2" max="2" width="11" style="1" customWidth="1"/>
    <col min="3" max="3" width="9" style="1" bestFit="1" customWidth="1"/>
    <col min="4" max="4" width="15" style="1" customWidth="1"/>
    <col min="5" max="5" width="11.44140625" style="1" customWidth="1"/>
    <col min="6" max="6" width="14" style="1" bestFit="1" customWidth="1"/>
    <col min="7" max="7" width="13.6640625" style="1" customWidth="1"/>
    <col min="8" max="9" width="10.6640625" style="1" customWidth="1"/>
    <col min="10" max="10" width="14.44140625" style="1" customWidth="1"/>
    <col min="11" max="11" width="11.44140625" style="1" customWidth="1"/>
    <col min="12" max="12" width="20.44140625" style="1" customWidth="1"/>
    <col min="13" max="13" width="35.109375" style="1" customWidth="1"/>
    <col min="14" max="14" width="11.6640625" style="1" bestFit="1" customWidth="1"/>
    <col min="15" max="15" width="18.44140625" style="1" customWidth="1"/>
    <col min="16" max="16" width="16" style="1" bestFit="1" customWidth="1"/>
    <col min="17" max="17" width="11.6640625" style="1" bestFit="1" customWidth="1"/>
    <col min="18" max="16384" width="11.44140625" style="1"/>
  </cols>
  <sheetData>
    <row r="1" spans="1:15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5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5" x14ac:dyDescent="0.3">
      <c r="A3" s="516" t="s">
        <v>226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5" x14ac:dyDescent="0.3">
      <c r="A4" s="516" t="s">
        <v>3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5" x14ac:dyDescent="0.3">
      <c r="A5" s="516" t="s">
        <v>4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5" x14ac:dyDescent="0.3">
      <c r="A6" s="76"/>
      <c r="B6" s="565" t="s">
        <v>87</v>
      </c>
      <c r="C6" s="565"/>
      <c r="D6" s="565"/>
      <c r="E6" s="566" t="s">
        <v>89</v>
      </c>
      <c r="F6" s="566"/>
      <c r="G6" s="566"/>
      <c r="H6" s="567" t="s">
        <v>90</v>
      </c>
      <c r="I6" s="567"/>
      <c r="J6" s="567"/>
      <c r="K6"/>
      <c r="L6"/>
      <c r="M6"/>
      <c r="N6"/>
      <c r="O6"/>
    </row>
    <row r="7" spans="1:15" ht="39.75" customHeight="1" x14ac:dyDescent="0.3">
      <c r="A7" s="77" t="s">
        <v>5</v>
      </c>
      <c r="B7" s="39" t="s">
        <v>227</v>
      </c>
      <c r="C7" s="39" t="s">
        <v>228</v>
      </c>
      <c r="D7" s="39" t="s">
        <v>9</v>
      </c>
      <c r="E7" s="39" t="s">
        <v>227</v>
      </c>
      <c r="F7" s="39" t="s">
        <v>228</v>
      </c>
      <c r="G7" s="39" t="s">
        <v>9</v>
      </c>
      <c r="H7" s="39" t="s">
        <v>91</v>
      </c>
      <c r="I7" s="39" t="s">
        <v>92</v>
      </c>
      <c r="J7" s="39" t="s">
        <v>9</v>
      </c>
      <c r="K7"/>
      <c r="L7"/>
      <c r="M7"/>
      <c r="N7"/>
      <c r="O7"/>
    </row>
    <row r="8" spans="1:15" hidden="1" x14ac:dyDescent="0.3">
      <c r="A8" s="145" t="s">
        <v>229</v>
      </c>
      <c r="B8" s="141" t="s">
        <v>111</v>
      </c>
      <c r="C8" s="141" t="s">
        <v>111</v>
      </c>
      <c r="D8" s="95" t="s">
        <v>111</v>
      </c>
      <c r="E8" s="142" t="s">
        <v>111</v>
      </c>
      <c r="F8" s="130" t="s">
        <v>111</v>
      </c>
      <c r="G8" s="50" t="s">
        <v>111</v>
      </c>
      <c r="H8" s="146" t="s">
        <v>111</v>
      </c>
      <c r="I8" s="146" t="s">
        <v>111</v>
      </c>
      <c r="J8" s="147" t="s">
        <v>111</v>
      </c>
      <c r="K8"/>
      <c r="L8"/>
      <c r="M8"/>
      <c r="N8"/>
      <c r="O8"/>
    </row>
    <row r="9" spans="1:15" x14ac:dyDescent="0.3">
      <c r="A9" s="178" t="s">
        <v>13</v>
      </c>
      <c r="B9" s="178">
        <v>0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/>
      <c r="L9"/>
      <c r="M9"/>
      <c r="N9"/>
      <c r="O9"/>
    </row>
    <row r="10" spans="1:15" x14ac:dyDescent="0.3">
      <c r="A10" s="246" t="s">
        <v>14</v>
      </c>
      <c r="B10" s="244">
        <v>146</v>
      </c>
      <c r="C10" s="244">
        <f>132+22+1</f>
        <v>155</v>
      </c>
      <c r="D10" s="50">
        <f>11661687.05+1081718.16+50000</f>
        <v>12793405.210000001</v>
      </c>
      <c r="E10" s="244">
        <v>118</v>
      </c>
      <c r="F10" s="244">
        <f>96+22</f>
        <v>118</v>
      </c>
      <c r="G10" s="50">
        <f>8965555.55+919684.3</f>
        <v>9885239.8500000015</v>
      </c>
      <c r="H10" s="245">
        <f t="shared" ref="H10:J11" si="0">+B10+E10</f>
        <v>264</v>
      </c>
      <c r="I10" s="245">
        <f t="shared" si="0"/>
        <v>273</v>
      </c>
      <c r="J10" s="230">
        <f t="shared" si="0"/>
        <v>22678645.060000002</v>
      </c>
      <c r="K10"/>
      <c r="L10"/>
      <c r="M10"/>
      <c r="N10"/>
      <c r="O10"/>
    </row>
    <row r="11" spans="1:15" x14ac:dyDescent="0.3">
      <c r="A11" s="246" t="s">
        <v>15</v>
      </c>
      <c r="B11" s="244">
        <v>230</v>
      </c>
      <c r="C11" s="244">
        <f>162+34+34</f>
        <v>230</v>
      </c>
      <c r="D11" s="50">
        <f>15227052.55+5808432.9+758282.89</f>
        <v>21793768.340000004</v>
      </c>
      <c r="E11" s="244">
        <v>169</v>
      </c>
      <c r="F11" s="244">
        <f>49+72+48</f>
        <v>169</v>
      </c>
      <c r="G11" s="50">
        <f>1506907.26+9450170.22+7432368.6</f>
        <v>18389446.079999998</v>
      </c>
      <c r="H11" s="245">
        <f t="shared" si="0"/>
        <v>399</v>
      </c>
      <c r="I11" s="245">
        <f t="shared" si="0"/>
        <v>399</v>
      </c>
      <c r="J11" s="230">
        <f t="shared" si="0"/>
        <v>40183214.420000002</v>
      </c>
      <c r="K11"/>
      <c r="L11"/>
      <c r="M11"/>
      <c r="N11"/>
      <c r="O11"/>
    </row>
    <row r="12" spans="1:15" x14ac:dyDescent="0.3">
      <c r="A12" s="43" t="s">
        <v>16</v>
      </c>
      <c r="B12" s="243">
        <f t="shared" ref="B12:J12" si="1">SUM(B9:B11)</f>
        <v>376</v>
      </c>
      <c r="C12" s="243">
        <f t="shared" si="1"/>
        <v>385</v>
      </c>
      <c r="D12" s="231">
        <f t="shared" si="1"/>
        <v>34587173.550000004</v>
      </c>
      <c r="E12" s="243">
        <f t="shared" si="1"/>
        <v>287</v>
      </c>
      <c r="F12" s="243">
        <f t="shared" si="1"/>
        <v>287</v>
      </c>
      <c r="G12" s="231">
        <f t="shared" si="1"/>
        <v>28274685.93</v>
      </c>
      <c r="H12" s="243">
        <f t="shared" si="1"/>
        <v>663</v>
      </c>
      <c r="I12" s="243">
        <f t="shared" si="1"/>
        <v>672</v>
      </c>
      <c r="J12" s="231">
        <f t="shared" si="1"/>
        <v>62861859.480000004</v>
      </c>
      <c r="K12"/>
      <c r="L12"/>
      <c r="M12"/>
      <c r="N12"/>
      <c r="O12"/>
    </row>
    <row r="13" spans="1:15" ht="0.75" customHeight="1" x14ac:dyDescent="0.3">
      <c r="A13" s="112" t="s">
        <v>17</v>
      </c>
      <c r="B13" s="122">
        <v>199</v>
      </c>
      <c r="C13" s="122">
        <v>226</v>
      </c>
      <c r="D13" s="128">
        <v>15882581.279999999</v>
      </c>
      <c r="E13" s="95">
        <v>151</v>
      </c>
      <c r="F13" s="95">
        <v>153</v>
      </c>
      <c r="G13" s="128">
        <v>10345937.18</v>
      </c>
      <c r="H13" s="33" t="e">
        <f>+B13+E13+#REF!</f>
        <v>#REF!</v>
      </c>
      <c r="I13" s="33" t="e">
        <f>+C13+F13+#REF!</f>
        <v>#REF!</v>
      </c>
      <c r="J13" s="33" t="e">
        <f>+D13+G13+#REF!</f>
        <v>#REF!</v>
      </c>
      <c r="K13"/>
      <c r="L13"/>
      <c r="M13"/>
      <c r="N13"/>
      <c r="O13"/>
    </row>
    <row r="14" spans="1:15" ht="0.75" customHeight="1" x14ac:dyDescent="0.3">
      <c r="A14" s="112" t="s">
        <v>18</v>
      </c>
      <c r="B14" s="122">
        <v>212</v>
      </c>
      <c r="C14" s="122">
        <v>231</v>
      </c>
      <c r="D14" s="128">
        <v>13537080.33</v>
      </c>
      <c r="E14" s="95">
        <v>48</v>
      </c>
      <c r="F14" s="95">
        <v>48</v>
      </c>
      <c r="G14" s="128">
        <v>4063136.52</v>
      </c>
      <c r="H14" s="33" t="e">
        <f>+B14+E14+#REF!</f>
        <v>#REF!</v>
      </c>
      <c r="I14" s="33" t="e">
        <f>+C14+F14+#REF!</f>
        <v>#REF!</v>
      </c>
      <c r="J14" s="33" t="e">
        <f>+D14+G14+#REF!</f>
        <v>#REF!</v>
      </c>
      <c r="K14"/>
      <c r="L14"/>
      <c r="M14"/>
      <c r="N14"/>
      <c r="O14"/>
    </row>
    <row r="15" spans="1:15" hidden="1" x14ac:dyDescent="0.3">
      <c r="A15" s="112" t="s">
        <v>19</v>
      </c>
      <c r="B15" s="122">
        <v>287</v>
      </c>
      <c r="C15" s="122">
        <v>325</v>
      </c>
      <c r="D15" s="95">
        <v>25061586.309999999</v>
      </c>
      <c r="E15" s="95">
        <v>345</v>
      </c>
      <c r="F15" s="95">
        <v>348</v>
      </c>
      <c r="G15" s="95">
        <v>29967980.030000001</v>
      </c>
      <c r="H15" s="33" t="e">
        <f>+B15+E15+#REF!</f>
        <v>#REF!</v>
      </c>
      <c r="I15" s="33" t="e">
        <f>+C15+F15+#REF!</f>
        <v>#REF!</v>
      </c>
      <c r="J15" s="33" t="e">
        <f>+D15+G15+#REF!</f>
        <v>#REF!</v>
      </c>
      <c r="K15"/>
      <c r="L15"/>
      <c r="M15"/>
      <c r="N15"/>
      <c r="O15"/>
    </row>
    <row r="16" spans="1:15" hidden="1" x14ac:dyDescent="0.3">
      <c r="A16" s="40" t="s">
        <v>20</v>
      </c>
      <c r="B16" s="35">
        <f t="shared" ref="B16:J16" si="2">SUM(B13:B15)</f>
        <v>698</v>
      </c>
      <c r="C16" s="35">
        <f t="shared" si="2"/>
        <v>782</v>
      </c>
      <c r="D16" s="35">
        <f t="shared" si="2"/>
        <v>54481247.920000002</v>
      </c>
      <c r="E16" s="148">
        <f t="shared" si="2"/>
        <v>544</v>
      </c>
      <c r="F16" s="148">
        <f t="shared" si="2"/>
        <v>549</v>
      </c>
      <c r="G16" s="35">
        <f t="shared" si="2"/>
        <v>44377053.730000004</v>
      </c>
      <c r="H16" s="35" t="e">
        <f>SUM(H13:H15)</f>
        <v>#REF!</v>
      </c>
      <c r="I16" s="35" t="e">
        <f>SUM(I13:I15)</f>
        <v>#REF!</v>
      </c>
      <c r="J16" s="35" t="e">
        <f t="shared" si="2"/>
        <v>#REF!</v>
      </c>
      <c r="K16"/>
      <c r="L16"/>
      <c r="M16"/>
      <c r="N16"/>
      <c r="O16"/>
    </row>
    <row r="17" spans="1:15" hidden="1" x14ac:dyDescent="0.3">
      <c r="A17" s="38" t="s">
        <v>15</v>
      </c>
      <c r="B17" s="95"/>
      <c r="C17" s="95"/>
      <c r="D17" s="128"/>
      <c r="E17" s="95"/>
      <c r="F17" s="95"/>
      <c r="G17" s="128"/>
      <c r="H17" s="32" t="e">
        <f>+B17+E17+#REF!</f>
        <v>#REF!</v>
      </c>
      <c r="I17" s="32" t="e">
        <f>+C17+F17+#REF!</f>
        <v>#REF!</v>
      </c>
      <c r="J17" s="55" t="e">
        <f>+D17+G17+#REF!</f>
        <v>#REF!</v>
      </c>
      <c r="K17"/>
      <c r="L17"/>
      <c r="M17"/>
      <c r="N17"/>
      <c r="O17"/>
    </row>
    <row r="18" spans="1:15" hidden="1" x14ac:dyDescent="0.3">
      <c r="A18" s="38" t="s">
        <v>14</v>
      </c>
      <c r="B18" s="95"/>
      <c r="C18" s="95"/>
      <c r="D18" s="128"/>
      <c r="E18" s="95"/>
      <c r="F18" s="95"/>
      <c r="G18" s="128"/>
      <c r="H18" s="32" t="e">
        <f>+B18+E18+#REF!</f>
        <v>#REF!</v>
      </c>
      <c r="I18" s="32" t="e">
        <f>+C18+F18+#REF!</f>
        <v>#REF!</v>
      </c>
      <c r="J18" s="55" t="e">
        <f>+D18+G18+#REF!</f>
        <v>#REF!</v>
      </c>
      <c r="K18"/>
      <c r="L18"/>
      <c r="M18"/>
      <c r="N18"/>
      <c r="O18"/>
    </row>
    <row r="19" spans="1:15" hidden="1" x14ac:dyDescent="0.3">
      <c r="A19" s="38" t="s">
        <v>13</v>
      </c>
      <c r="B19" s="95"/>
      <c r="C19" s="95"/>
      <c r="D19" s="128"/>
      <c r="E19" s="95"/>
      <c r="F19" s="95"/>
      <c r="G19" s="128"/>
      <c r="H19" s="32" t="e">
        <f>+B19+E19+#REF!</f>
        <v>#REF!</v>
      </c>
      <c r="I19" s="32" t="e">
        <f>+C19+F19+#REF!</f>
        <v>#REF!</v>
      </c>
      <c r="J19" s="55" t="e">
        <f>+D19+G19+#REF!</f>
        <v>#REF!</v>
      </c>
      <c r="K19"/>
      <c r="L19"/>
      <c r="M19"/>
      <c r="N19"/>
      <c r="O19"/>
    </row>
    <row r="20" spans="1:15" hidden="1" x14ac:dyDescent="0.3">
      <c r="A20" s="24" t="s">
        <v>16</v>
      </c>
      <c r="B20" s="34">
        <f t="shared" ref="B20:J20" si="3">SUM(B17:B19)</f>
        <v>0</v>
      </c>
      <c r="C20" s="34">
        <f t="shared" si="3"/>
        <v>0</v>
      </c>
      <c r="D20" s="34">
        <f t="shared" si="3"/>
        <v>0</v>
      </c>
      <c r="E20" s="34">
        <f t="shared" ref="E20:G20" si="4">SUM(E17:E19)</f>
        <v>0</v>
      </c>
      <c r="F20" s="34">
        <f t="shared" si="4"/>
        <v>0</v>
      </c>
      <c r="G20" s="34">
        <f t="shared" si="4"/>
        <v>0</v>
      </c>
      <c r="H20" s="34" t="e">
        <f t="shared" si="3"/>
        <v>#REF!</v>
      </c>
      <c r="I20" s="34" t="e">
        <f t="shared" si="3"/>
        <v>#REF!</v>
      </c>
      <c r="J20" s="34" t="e">
        <f t="shared" si="3"/>
        <v>#REF!</v>
      </c>
      <c r="K20"/>
      <c r="L20"/>
      <c r="M20"/>
      <c r="N20"/>
      <c r="O20"/>
    </row>
    <row r="21" spans="1:15" hidden="1" x14ac:dyDescent="0.3">
      <c r="A21" s="38" t="s">
        <v>42</v>
      </c>
      <c r="B21" s="95"/>
      <c r="C21" s="95"/>
      <c r="D21" s="128"/>
      <c r="E21" s="95"/>
      <c r="F21" s="95"/>
      <c r="G21" s="128"/>
      <c r="H21" s="32" t="e">
        <f>+B21+E21+#REF!</f>
        <v>#REF!</v>
      </c>
      <c r="I21" s="32" t="e">
        <f>+C21+F21+#REF!</f>
        <v>#REF!</v>
      </c>
      <c r="J21" s="55" t="e">
        <f>+D21+G21+#REF!</f>
        <v>#REF!</v>
      </c>
      <c r="K21"/>
      <c r="L21"/>
      <c r="M21"/>
      <c r="N21"/>
      <c r="O21"/>
    </row>
    <row r="22" spans="1:15" hidden="1" x14ac:dyDescent="0.3">
      <c r="A22" s="38" t="s">
        <v>22</v>
      </c>
      <c r="B22" s="95"/>
      <c r="C22" s="95"/>
      <c r="D22" s="128"/>
      <c r="E22" s="95"/>
      <c r="F22" s="95"/>
      <c r="G22" s="128"/>
      <c r="H22" s="32" t="e">
        <f>+B22+E22+#REF!</f>
        <v>#REF!</v>
      </c>
      <c r="I22" s="32" t="e">
        <f>+C22+F22+#REF!</f>
        <v>#REF!</v>
      </c>
      <c r="J22" s="55" t="e">
        <f>+D22+G22+#REF!</f>
        <v>#REF!</v>
      </c>
      <c r="K22"/>
      <c r="L22"/>
      <c r="M22"/>
      <c r="N22"/>
      <c r="O22"/>
    </row>
    <row r="23" spans="1:15" hidden="1" x14ac:dyDescent="0.3">
      <c r="A23" s="38" t="s">
        <v>23</v>
      </c>
      <c r="B23" s="95"/>
      <c r="C23" s="95"/>
      <c r="D23" s="128"/>
      <c r="E23" s="95"/>
      <c r="F23" s="95"/>
      <c r="G23" s="128"/>
      <c r="H23" s="32" t="e">
        <f>+B23+E23+#REF!</f>
        <v>#REF!</v>
      </c>
      <c r="I23" s="32" t="e">
        <f>+C23+F23+#REF!</f>
        <v>#REF!</v>
      </c>
      <c r="J23" s="55" t="e">
        <f>+D23+G23+#REF!</f>
        <v>#REF!</v>
      </c>
      <c r="K23"/>
      <c r="L23"/>
      <c r="M23"/>
      <c r="N23"/>
      <c r="O23"/>
    </row>
    <row r="24" spans="1:15" hidden="1" x14ac:dyDescent="0.3">
      <c r="A24" s="24" t="s">
        <v>24</v>
      </c>
      <c r="B24" s="34">
        <f t="shared" ref="B24:D24" si="5">SUM(B21:B23)</f>
        <v>0</v>
      </c>
      <c r="C24" s="34">
        <f t="shared" si="5"/>
        <v>0</v>
      </c>
      <c r="D24" s="34">
        <f t="shared" si="5"/>
        <v>0</v>
      </c>
      <c r="E24" s="34">
        <f>SUM(E21:E23)</f>
        <v>0</v>
      </c>
      <c r="F24" s="34">
        <f>SUM(F21:F23)</f>
        <v>0</v>
      </c>
      <c r="G24" s="34">
        <f>SUM(G21:G23)</f>
        <v>0</v>
      </c>
      <c r="H24" s="34" t="e">
        <f t="shared" ref="H24:J24" si="6">SUM(H21:H23)</f>
        <v>#REF!</v>
      </c>
      <c r="I24" s="34" t="e">
        <f t="shared" si="6"/>
        <v>#REF!</v>
      </c>
      <c r="J24" s="34" t="e">
        <f t="shared" si="6"/>
        <v>#REF!</v>
      </c>
      <c r="K24"/>
      <c r="L24"/>
      <c r="M24"/>
      <c r="N24"/>
      <c r="O24"/>
    </row>
    <row r="25" spans="1:15" hidden="1" x14ac:dyDescent="0.3">
      <c r="A25" s="38" t="s">
        <v>25</v>
      </c>
      <c r="B25" s="95"/>
      <c r="C25" s="95"/>
      <c r="D25" s="128"/>
      <c r="E25" s="95"/>
      <c r="F25" s="95"/>
      <c r="G25" s="128"/>
      <c r="H25" s="32" t="e">
        <f>+B25+E25+#REF!</f>
        <v>#REF!</v>
      </c>
      <c r="I25" s="32" t="e">
        <f>+C25+F25+#REF!</f>
        <v>#REF!</v>
      </c>
      <c r="J25" s="55" t="e">
        <f>+D25+G25+#REF!</f>
        <v>#REF!</v>
      </c>
      <c r="K25"/>
      <c r="L25"/>
      <c r="M25"/>
      <c r="N25"/>
      <c r="O25"/>
    </row>
    <row r="26" spans="1:15" hidden="1" x14ac:dyDescent="0.3">
      <c r="A26" s="38" t="s">
        <v>26</v>
      </c>
      <c r="B26" s="95"/>
      <c r="C26" s="95"/>
      <c r="D26" s="128"/>
      <c r="E26" s="95"/>
      <c r="F26" s="95"/>
      <c r="G26" s="128"/>
      <c r="H26" s="32" t="e">
        <f>+B26+E26+#REF!</f>
        <v>#REF!</v>
      </c>
      <c r="I26" s="32" t="e">
        <f>+C26+F26+#REF!</f>
        <v>#REF!</v>
      </c>
      <c r="J26" s="55" t="e">
        <f>+D26+G26+#REF!</f>
        <v>#REF!</v>
      </c>
      <c r="K26"/>
      <c r="L26"/>
      <c r="M26"/>
      <c r="N26"/>
      <c r="O26"/>
    </row>
    <row r="27" spans="1:15" hidden="1" x14ac:dyDescent="0.3">
      <c r="A27" s="38" t="s">
        <v>230</v>
      </c>
      <c r="B27" s="95"/>
      <c r="C27" s="95"/>
      <c r="D27" s="128"/>
      <c r="E27" s="95"/>
      <c r="F27" s="95"/>
      <c r="G27" s="128"/>
      <c r="H27" s="32" t="e">
        <f>+B27+E27+#REF!</f>
        <v>#REF!</v>
      </c>
      <c r="I27" s="32" t="e">
        <f>+C27+F27+#REF!</f>
        <v>#REF!</v>
      </c>
      <c r="J27" s="55" t="e">
        <f>+D27+G27+#REF!</f>
        <v>#REF!</v>
      </c>
      <c r="K27"/>
      <c r="L27"/>
      <c r="M27"/>
      <c r="N27"/>
      <c r="O27"/>
    </row>
    <row r="28" spans="1:15" hidden="1" x14ac:dyDescent="0.3">
      <c r="A28" s="24" t="s">
        <v>28</v>
      </c>
      <c r="B28" s="34">
        <f t="shared" ref="B28:J28" si="7">SUM(B25:B27)</f>
        <v>0</v>
      </c>
      <c r="C28" s="34">
        <f t="shared" si="7"/>
        <v>0</v>
      </c>
      <c r="D28" s="34">
        <f t="shared" si="7"/>
        <v>0</v>
      </c>
      <c r="E28" s="34">
        <f t="shared" ref="E28:G28" si="8">SUM(E25:E27)</f>
        <v>0</v>
      </c>
      <c r="F28" s="34">
        <f t="shared" si="8"/>
        <v>0</v>
      </c>
      <c r="G28" s="34">
        <f t="shared" si="8"/>
        <v>0</v>
      </c>
      <c r="H28" s="34" t="e">
        <f t="shared" si="7"/>
        <v>#REF!</v>
      </c>
      <c r="I28" s="34" t="e">
        <f t="shared" si="7"/>
        <v>#REF!</v>
      </c>
      <c r="J28" s="34" t="e">
        <f t="shared" si="7"/>
        <v>#REF!</v>
      </c>
      <c r="K28"/>
      <c r="L28"/>
      <c r="M28"/>
      <c r="N28"/>
      <c r="O28"/>
    </row>
    <row r="29" spans="1:15" hidden="1" x14ac:dyDescent="0.3">
      <c r="A29" s="61" t="s">
        <v>29</v>
      </c>
      <c r="B29" s="36">
        <f t="shared" ref="B29:H29" si="9">+B16+B20+B24+B28</f>
        <v>698</v>
      </c>
      <c r="C29" s="36">
        <f t="shared" si="9"/>
        <v>782</v>
      </c>
      <c r="D29" s="36">
        <f t="shared" si="9"/>
        <v>54481247.920000002</v>
      </c>
      <c r="E29" s="36">
        <f t="shared" si="9"/>
        <v>544</v>
      </c>
      <c r="F29" s="36">
        <f t="shared" si="9"/>
        <v>549</v>
      </c>
      <c r="G29" s="36">
        <f t="shared" si="9"/>
        <v>44377053.730000004</v>
      </c>
      <c r="H29" s="36" t="e">
        <f t="shared" si="9"/>
        <v>#REF!</v>
      </c>
      <c r="I29" s="36" t="e">
        <f t="shared" ref="I29:J29" si="10">+I16+I20+I24+I28</f>
        <v>#REF!</v>
      </c>
      <c r="J29" s="36" t="e">
        <f t="shared" si="10"/>
        <v>#REF!</v>
      </c>
      <c r="K29"/>
      <c r="L29"/>
      <c r="M29"/>
      <c r="N29"/>
      <c r="O29"/>
    </row>
    <row r="30" spans="1:15" hidden="1" x14ac:dyDescent="0.3">
      <c r="A30" s="131" t="s">
        <v>231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3">
      <c r="A31" s="157" t="s">
        <v>225</v>
      </c>
      <c r="B31"/>
      <c r="C31"/>
      <c r="D31" s="247">
        <f>+D12/J12</f>
        <v>0.55020920214751501</v>
      </c>
      <c r="E31" s="248"/>
      <c r="F31" s="248"/>
      <c r="G31" s="247">
        <f>+G12/J12</f>
        <v>0.44979079785248499</v>
      </c>
      <c r="H31" s="248"/>
      <c r="I31" s="248"/>
      <c r="J31" s="227">
        <f>+SUM(D31,G31)</f>
        <v>1</v>
      </c>
      <c r="K31"/>
      <c r="L31"/>
      <c r="M31"/>
      <c r="N31"/>
      <c r="O31"/>
    </row>
    <row r="32" spans="1:1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7" x14ac:dyDescent="0.3">
      <c r="A33"/>
      <c r="B33"/>
      <c r="C33"/>
      <c r="D33"/>
      <c r="E33"/>
      <c r="F33"/>
      <c r="G33"/>
      <c r="H33"/>
      <c r="I33"/>
      <c r="J33"/>
      <c r="K33" s="127"/>
      <c r="L33"/>
      <c r="M33"/>
      <c r="N33"/>
      <c r="O33"/>
    </row>
    <row r="34" spans="1:17" x14ac:dyDescent="0.3">
      <c r="A34"/>
      <c r="B34"/>
      <c r="C34"/>
      <c r="D34"/>
      <c r="E34"/>
      <c r="F34"/>
      <c r="G34"/>
      <c r="H34"/>
      <c r="I34"/>
      <c r="J34"/>
      <c r="K34" s="127"/>
      <c r="L34"/>
      <c r="M34"/>
      <c r="N34"/>
      <c r="O34"/>
    </row>
    <row r="35" spans="1:17" x14ac:dyDescent="0.3">
      <c r="A35" s="38"/>
      <c r="B35" s="123"/>
      <c r="C35" s="123"/>
      <c r="D35" s="95"/>
      <c r="E35" s="129"/>
      <c r="F35" s="130"/>
      <c r="G35" s="95"/>
      <c r="H35" s="33"/>
      <c r="I35" s="33"/>
      <c r="J35" s="33"/>
    </row>
    <row r="36" spans="1:17" x14ac:dyDescent="0.3">
      <c r="K36" s="31"/>
      <c r="N36" s="45"/>
      <c r="O36" s="53"/>
      <c r="P36" s="46"/>
      <c r="Q36" s="54"/>
    </row>
    <row r="37" spans="1:17" x14ac:dyDescent="0.3">
      <c r="A37" s="38"/>
      <c r="B37" s="123"/>
      <c r="C37" s="123"/>
      <c r="D37" s="95"/>
      <c r="E37" s="129"/>
      <c r="F37" s="130"/>
      <c r="G37" s="95"/>
      <c r="H37" s="33"/>
      <c r="I37" s="33"/>
      <c r="J37" s="33"/>
      <c r="N37" s="45"/>
      <c r="O37" s="53"/>
      <c r="P37" s="46"/>
      <c r="Q37" s="54"/>
    </row>
    <row r="38" spans="1:17" x14ac:dyDescent="0.3">
      <c r="N38" s="45"/>
      <c r="O38" s="53"/>
      <c r="P38" s="46"/>
      <c r="Q38" s="54"/>
    </row>
    <row r="39" spans="1:17" x14ac:dyDescent="0.3">
      <c r="N39" s="45"/>
      <c r="O39" s="53"/>
      <c r="P39" s="46"/>
      <c r="Q39" s="54"/>
    </row>
    <row r="40" spans="1:17" x14ac:dyDescent="0.3">
      <c r="N40" s="45"/>
      <c r="O40" s="53"/>
      <c r="P40" s="46"/>
      <c r="Q40" s="54"/>
    </row>
    <row r="41" spans="1:17" x14ac:dyDescent="0.3">
      <c r="N41" s="45"/>
      <c r="O41" s="53"/>
      <c r="P41" s="46"/>
      <c r="Q41" s="54"/>
    </row>
    <row r="42" spans="1:17" x14ac:dyDescent="0.3">
      <c r="N42" s="45"/>
      <c r="O42" s="53"/>
      <c r="P42" s="46"/>
      <c r="Q42" s="54"/>
    </row>
    <row r="43" spans="1:17" x14ac:dyDescent="0.3">
      <c r="N43" s="45"/>
      <c r="O43" s="53"/>
      <c r="P43" s="46"/>
      <c r="Q43" s="54"/>
    </row>
  </sheetData>
  <mergeCells count="8">
    <mergeCell ref="A1:J1"/>
    <mergeCell ref="A2:J2"/>
    <mergeCell ref="A3:J3"/>
    <mergeCell ref="A5:J5"/>
    <mergeCell ref="B6:D6"/>
    <mergeCell ref="E6:G6"/>
    <mergeCell ref="H6:J6"/>
    <mergeCell ref="A4:J4"/>
  </mergeCells>
  <pageMargins left="0.7" right="0.7" top="0.75" bottom="0.75" header="0.3" footer="0.3"/>
  <pageSetup paperSize="9" scale="72" orientation="portrait" r:id="rId1"/>
  <rowBreaks count="1" manualBreakCount="1">
    <brk id="49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4140625" defaultRowHeight="14.4" x14ac:dyDescent="0.3"/>
  <cols>
    <col min="1" max="1" width="11.44140625" style="1"/>
    <col min="2" max="2" width="11" style="1" customWidth="1"/>
    <col min="3" max="3" width="14.109375" style="1" customWidth="1"/>
    <col min="4" max="4" width="12.44140625" style="1" customWidth="1"/>
    <col min="5" max="5" width="17.6640625" style="1" bestFit="1" customWidth="1"/>
    <col min="6" max="6" width="12.44140625" style="1" customWidth="1"/>
    <col min="7" max="7" width="16.109375" style="1" bestFit="1" customWidth="1"/>
    <col min="8" max="8" width="10.6640625" style="1" customWidth="1"/>
    <col min="9" max="9" width="15.33203125" style="1" bestFit="1" customWidth="1"/>
    <col min="10" max="10" width="11.44140625" style="1" customWidth="1"/>
    <col min="11" max="12" width="11.44140625" style="1"/>
    <col min="13" max="14" width="11.6640625" style="1" bestFit="1" customWidth="1"/>
    <col min="15" max="15" width="16" style="1" bestFit="1" customWidth="1"/>
    <col min="16" max="16" width="11.6640625" style="1" bestFit="1" customWidth="1"/>
    <col min="17" max="16384" width="11.44140625" style="1"/>
  </cols>
  <sheetData>
    <row r="1" spans="1:9" x14ac:dyDescent="0.3">
      <c r="A1" s="516" t="s">
        <v>232</v>
      </c>
      <c r="B1" s="516"/>
      <c r="C1" s="516"/>
      <c r="D1" s="516"/>
      <c r="E1" s="516"/>
      <c r="F1" s="516"/>
      <c r="G1" s="516"/>
      <c r="H1" s="516"/>
      <c r="I1" s="516"/>
    </row>
    <row r="2" spans="1:9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</row>
    <row r="3" spans="1:9" x14ac:dyDescent="0.3">
      <c r="A3" s="516" t="s">
        <v>233</v>
      </c>
      <c r="B3" s="516"/>
      <c r="C3" s="516"/>
      <c r="D3" s="516"/>
      <c r="E3" s="516"/>
      <c r="F3" s="516"/>
      <c r="G3" s="516"/>
      <c r="H3" s="516"/>
      <c r="I3" s="516"/>
    </row>
    <row r="4" spans="1:9" x14ac:dyDescent="0.3">
      <c r="A4" s="516" t="s">
        <v>234</v>
      </c>
      <c r="B4" s="516"/>
      <c r="C4" s="516"/>
      <c r="D4" s="516"/>
      <c r="E4" s="516"/>
      <c r="F4" s="516"/>
      <c r="G4" s="516"/>
      <c r="H4" s="516"/>
      <c r="I4" s="516"/>
    </row>
    <row r="5" spans="1:9" x14ac:dyDescent="0.3">
      <c r="A5" s="516" t="s">
        <v>235</v>
      </c>
      <c r="B5" s="516"/>
      <c r="C5" s="516"/>
      <c r="D5" s="516"/>
      <c r="E5" s="516"/>
      <c r="F5" s="516"/>
      <c r="G5" s="516"/>
      <c r="H5" s="516"/>
      <c r="I5" s="516"/>
    </row>
    <row r="6" spans="1:9" x14ac:dyDescent="0.3">
      <c r="A6" s="76"/>
      <c r="B6" s="565" t="s">
        <v>236</v>
      </c>
      <c r="C6" s="565"/>
      <c r="D6" s="566" t="s">
        <v>89</v>
      </c>
      <c r="E6" s="566"/>
      <c r="F6" s="568" t="s">
        <v>88</v>
      </c>
      <c r="G6" s="568"/>
      <c r="H6" s="567" t="s">
        <v>90</v>
      </c>
      <c r="I6" s="567"/>
    </row>
    <row r="7" spans="1:9" ht="34.5" customHeight="1" x14ac:dyDescent="0.3">
      <c r="A7" s="77" t="s">
        <v>5</v>
      </c>
      <c r="B7" s="39" t="s">
        <v>237</v>
      </c>
      <c r="C7" s="39" t="s">
        <v>9</v>
      </c>
      <c r="D7" s="39" t="s">
        <v>237</v>
      </c>
      <c r="E7" s="39" t="s">
        <v>9</v>
      </c>
      <c r="F7" s="39" t="s">
        <v>237</v>
      </c>
      <c r="G7" s="39" t="s">
        <v>9</v>
      </c>
      <c r="H7" s="39" t="s">
        <v>237</v>
      </c>
      <c r="I7" s="39" t="s">
        <v>9</v>
      </c>
    </row>
    <row r="8" spans="1:9" x14ac:dyDescent="0.3">
      <c r="A8" s="38" t="s">
        <v>15</v>
      </c>
      <c r="B8" s="27">
        <v>0</v>
      </c>
      <c r="C8" s="50">
        <v>0</v>
      </c>
      <c r="D8" s="27">
        <v>0</v>
      </c>
      <c r="E8" s="50">
        <v>0</v>
      </c>
      <c r="F8" s="27">
        <v>0</v>
      </c>
      <c r="G8" s="50">
        <v>0</v>
      </c>
      <c r="H8" s="32">
        <f t="shared" ref="H8:I10" si="0">+B8+D8+F8</f>
        <v>0</v>
      </c>
      <c r="I8" s="55">
        <f t="shared" si="0"/>
        <v>0</v>
      </c>
    </row>
    <row r="9" spans="1:9" x14ac:dyDescent="0.3">
      <c r="A9" s="38" t="s">
        <v>14</v>
      </c>
      <c r="B9" s="27">
        <f>4+28+31</f>
        <v>63</v>
      </c>
      <c r="C9" s="50">
        <f>30992+216880.44+240467.76</f>
        <v>488340.2</v>
      </c>
      <c r="D9" s="27">
        <v>3</v>
      </c>
      <c r="E9" s="50">
        <v>224872.69</v>
      </c>
      <c r="F9" s="27">
        <f>2+12</f>
        <v>14</v>
      </c>
      <c r="G9" s="50">
        <f>12000+72000</f>
        <v>84000</v>
      </c>
      <c r="H9" s="32">
        <f t="shared" si="0"/>
        <v>80</v>
      </c>
      <c r="I9" s="55">
        <f t="shared" si="0"/>
        <v>797212.89</v>
      </c>
    </row>
    <row r="10" spans="1:9" x14ac:dyDescent="0.3">
      <c r="A10" s="38" t="s">
        <v>13</v>
      </c>
      <c r="B10" s="27">
        <v>1413</v>
      </c>
      <c r="C10" s="50">
        <v>11172621.32</v>
      </c>
      <c r="D10" s="27">
        <v>34</v>
      </c>
      <c r="E10" s="50">
        <v>278309.3</v>
      </c>
      <c r="F10" s="27">
        <v>1549</v>
      </c>
      <c r="G10" s="50">
        <v>9294000</v>
      </c>
      <c r="H10" s="32">
        <f t="shared" si="0"/>
        <v>2996</v>
      </c>
      <c r="I10" s="32">
        <f t="shared" si="0"/>
        <v>20744930.620000001</v>
      </c>
    </row>
    <row r="11" spans="1:9" x14ac:dyDescent="0.3">
      <c r="A11" s="24" t="s">
        <v>16</v>
      </c>
      <c r="B11" s="34">
        <f t="shared" ref="B11:I11" si="1">SUM(B8:B10)</f>
        <v>1476</v>
      </c>
      <c r="C11" s="34">
        <f t="shared" si="1"/>
        <v>11660961.52</v>
      </c>
      <c r="D11" s="34">
        <f t="shared" si="1"/>
        <v>37</v>
      </c>
      <c r="E11" s="34">
        <f t="shared" si="1"/>
        <v>503181.99</v>
      </c>
      <c r="F11" s="34">
        <f>SUM(F8:F10)</f>
        <v>1563</v>
      </c>
      <c r="G11" s="34">
        <f t="shared" ref="G11" si="2">SUM(G8:G10)</f>
        <v>9378000</v>
      </c>
      <c r="H11" s="34">
        <f>SUM(H8:H10)</f>
        <v>3076</v>
      </c>
      <c r="I11" s="34">
        <f t="shared" si="1"/>
        <v>21542143.510000002</v>
      </c>
    </row>
    <row r="12" spans="1:9" hidden="1" x14ac:dyDescent="0.3">
      <c r="A12" s="38" t="s">
        <v>15</v>
      </c>
      <c r="B12" s="27"/>
      <c r="C12" s="50"/>
      <c r="D12" s="27"/>
      <c r="E12" s="50"/>
      <c r="F12" s="27"/>
      <c r="G12" s="50"/>
      <c r="H12" s="32">
        <f t="shared" ref="H12:I14" si="3">+B12+D12+F12</f>
        <v>0</v>
      </c>
      <c r="I12" s="55">
        <f t="shared" si="3"/>
        <v>0</v>
      </c>
    </row>
    <row r="13" spans="1:9" hidden="1" x14ac:dyDescent="0.3">
      <c r="A13" s="38" t="s">
        <v>14</v>
      </c>
      <c r="B13" s="27"/>
      <c r="C13" s="50"/>
      <c r="D13" s="27"/>
      <c r="E13" s="50"/>
      <c r="F13" s="27"/>
      <c r="G13" s="50"/>
      <c r="H13" s="32">
        <f t="shared" si="3"/>
        <v>0</v>
      </c>
      <c r="I13" s="55">
        <f t="shared" si="3"/>
        <v>0</v>
      </c>
    </row>
    <row r="14" spans="1:9" hidden="1" x14ac:dyDescent="0.3">
      <c r="A14" s="38" t="s">
        <v>13</v>
      </c>
      <c r="B14" s="27"/>
      <c r="C14" s="50"/>
      <c r="D14" s="27"/>
      <c r="E14" s="50"/>
      <c r="F14" s="27"/>
      <c r="G14" s="50"/>
      <c r="H14" s="32">
        <f t="shared" si="3"/>
        <v>0</v>
      </c>
      <c r="I14" s="55">
        <f t="shared" si="3"/>
        <v>0</v>
      </c>
    </row>
    <row r="15" spans="1:9" hidden="1" x14ac:dyDescent="0.3">
      <c r="A15" s="24" t="s">
        <v>16</v>
      </c>
      <c r="B15" s="34">
        <f t="shared" ref="B15:I15" si="4">SUM(B12:B14)</f>
        <v>0</v>
      </c>
      <c r="C15" s="34">
        <f t="shared" si="4"/>
        <v>0</v>
      </c>
      <c r="D15" s="34">
        <f t="shared" si="4"/>
        <v>0</v>
      </c>
      <c r="E15" s="34">
        <f t="shared" si="4"/>
        <v>0</v>
      </c>
      <c r="F15" s="34">
        <f t="shared" ref="F15:G15" si="5">SUM(F12:F14)</f>
        <v>0</v>
      </c>
      <c r="G15" s="34">
        <f t="shared" si="5"/>
        <v>0</v>
      </c>
      <c r="H15" s="34">
        <f t="shared" si="4"/>
        <v>0</v>
      </c>
      <c r="I15" s="34">
        <f t="shared" si="4"/>
        <v>0</v>
      </c>
    </row>
    <row r="16" spans="1:9" hidden="1" x14ac:dyDescent="0.3">
      <c r="A16" s="38" t="s">
        <v>42</v>
      </c>
      <c r="B16" s="27"/>
      <c r="C16" s="50"/>
      <c r="D16" s="27"/>
      <c r="E16" s="50"/>
      <c r="F16" s="27"/>
      <c r="G16" s="50"/>
      <c r="H16" s="32">
        <f t="shared" ref="H16:I18" si="6">+B16+D16+F16</f>
        <v>0</v>
      </c>
      <c r="I16" s="55">
        <f t="shared" si="6"/>
        <v>0</v>
      </c>
    </row>
    <row r="17" spans="1:16" hidden="1" x14ac:dyDescent="0.3">
      <c r="A17" s="38" t="s">
        <v>22</v>
      </c>
      <c r="B17" s="27"/>
      <c r="C17" s="50"/>
      <c r="D17" s="27"/>
      <c r="E17" s="50"/>
      <c r="F17" s="27"/>
      <c r="G17" s="50"/>
      <c r="H17" s="32">
        <f t="shared" si="6"/>
        <v>0</v>
      </c>
      <c r="I17" s="55">
        <f t="shared" si="6"/>
        <v>0</v>
      </c>
    </row>
    <row r="18" spans="1:16" hidden="1" x14ac:dyDescent="0.3">
      <c r="A18" s="38" t="s">
        <v>23</v>
      </c>
      <c r="B18" s="27"/>
      <c r="C18" s="50"/>
      <c r="D18" s="27"/>
      <c r="E18" s="50"/>
      <c r="F18" s="27"/>
      <c r="G18" s="50"/>
      <c r="H18" s="32">
        <f t="shared" si="6"/>
        <v>0</v>
      </c>
      <c r="I18" s="55">
        <f t="shared" si="6"/>
        <v>0</v>
      </c>
    </row>
    <row r="19" spans="1:16" hidden="1" x14ac:dyDescent="0.3">
      <c r="A19" s="24" t="s">
        <v>24</v>
      </c>
      <c r="B19" s="34">
        <f t="shared" ref="B19:E19" si="7">SUM(B16:B18)</f>
        <v>0</v>
      </c>
      <c r="C19" s="34">
        <f t="shared" si="7"/>
        <v>0</v>
      </c>
      <c r="D19" s="34">
        <f t="shared" si="7"/>
        <v>0</v>
      </c>
      <c r="E19" s="34">
        <f t="shared" si="7"/>
        <v>0</v>
      </c>
      <c r="F19" s="34">
        <f t="shared" ref="F19:G19" si="8">SUM(F16:F18)</f>
        <v>0</v>
      </c>
      <c r="G19" s="34">
        <f t="shared" si="8"/>
        <v>0</v>
      </c>
      <c r="H19" s="34">
        <f>SUM(H16:H18)</f>
        <v>0</v>
      </c>
      <c r="I19" s="34">
        <f>SUM(I16:I18)</f>
        <v>0</v>
      </c>
    </row>
    <row r="20" spans="1:16" hidden="1" x14ac:dyDescent="0.3">
      <c r="A20" s="26" t="s">
        <v>25</v>
      </c>
      <c r="B20" s="27"/>
      <c r="C20" s="50"/>
      <c r="D20" s="27"/>
      <c r="E20" s="50"/>
      <c r="F20" s="27"/>
      <c r="G20" s="50"/>
      <c r="H20" s="32">
        <f t="shared" ref="H20:I22" si="9">+B20+D20+F20</f>
        <v>0</v>
      </c>
      <c r="I20" s="55">
        <f t="shared" si="9"/>
        <v>0</v>
      </c>
    </row>
    <row r="21" spans="1:16" hidden="1" x14ac:dyDescent="0.3">
      <c r="A21" s="26" t="s">
        <v>26</v>
      </c>
      <c r="B21" s="27"/>
      <c r="C21" s="50"/>
      <c r="D21" s="27"/>
      <c r="E21" s="50"/>
      <c r="F21" s="27"/>
      <c r="G21" s="50"/>
      <c r="H21" s="32">
        <f t="shared" si="9"/>
        <v>0</v>
      </c>
      <c r="I21" s="55">
        <f t="shared" si="9"/>
        <v>0</v>
      </c>
    </row>
    <row r="22" spans="1:16" hidden="1" x14ac:dyDescent="0.3">
      <c r="A22" s="26" t="s">
        <v>27</v>
      </c>
      <c r="B22" s="27"/>
      <c r="C22" s="50"/>
      <c r="D22" s="27"/>
      <c r="E22" s="50"/>
      <c r="F22" s="27"/>
      <c r="G22" s="50"/>
      <c r="H22" s="32">
        <f t="shared" si="9"/>
        <v>0</v>
      </c>
      <c r="I22" s="55">
        <f t="shared" si="9"/>
        <v>0</v>
      </c>
    </row>
    <row r="23" spans="1:16" hidden="1" x14ac:dyDescent="0.3">
      <c r="A23" s="12" t="s">
        <v>28</v>
      </c>
      <c r="B23" s="34">
        <f t="shared" ref="B23:I23" si="10">SUM(B20:B22)</f>
        <v>0</v>
      </c>
      <c r="C23" s="34">
        <f t="shared" si="10"/>
        <v>0</v>
      </c>
      <c r="D23" s="34">
        <f t="shared" si="10"/>
        <v>0</v>
      </c>
      <c r="E23" s="34">
        <f t="shared" si="10"/>
        <v>0</v>
      </c>
      <c r="F23" s="34">
        <f t="shared" ref="F23:G23" si="11">SUM(F20:F22)</f>
        <v>0</v>
      </c>
      <c r="G23" s="34">
        <f t="shared" si="11"/>
        <v>0</v>
      </c>
      <c r="H23" s="34">
        <f t="shared" si="10"/>
        <v>0</v>
      </c>
      <c r="I23" s="34">
        <f t="shared" si="10"/>
        <v>0</v>
      </c>
    </row>
    <row r="24" spans="1:16" hidden="1" x14ac:dyDescent="0.3">
      <c r="A24" s="51" t="s">
        <v>29</v>
      </c>
      <c r="B24" s="36">
        <f>+B11+B15+B19+B23</f>
        <v>1476</v>
      </c>
      <c r="C24" s="36">
        <f>+C11+C15+C19+C23</f>
        <v>11660961.52</v>
      </c>
      <c r="D24" s="36">
        <f t="shared" ref="D24:I24" si="12">+D11+D15+D19+D23</f>
        <v>37</v>
      </c>
      <c r="E24" s="36">
        <f t="shared" si="12"/>
        <v>503181.99</v>
      </c>
      <c r="F24" s="36">
        <f t="shared" si="12"/>
        <v>1563</v>
      </c>
      <c r="G24" s="36">
        <f t="shared" si="12"/>
        <v>9378000</v>
      </c>
      <c r="H24" s="36">
        <f>+H11+H15+H19+H23</f>
        <v>3076</v>
      </c>
      <c r="I24" s="36">
        <f t="shared" si="12"/>
        <v>21542143.510000002</v>
      </c>
    </row>
    <row r="25" spans="1:16" hidden="1" x14ac:dyDescent="0.3">
      <c r="A25" s="52" t="s">
        <v>238</v>
      </c>
    </row>
    <row r="26" spans="1:16" x14ac:dyDescent="0.3">
      <c r="A26" s="15" t="s">
        <v>239</v>
      </c>
      <c r="E26" s="31"/>
      <c r="G26" s="31"/>
    </row>
    <row r="32" spans="1:16" x14ac:dyDescent="0.3">
      <c r="M32" s="45">
        <v>32154</v>
      </c>
      <c r="N32" s="53" t="e">
        <f t="shared" ref="N32:N39" si="13">M32/$B$29*100</f>
        <v>#DIV/0!</v>
      </c>
      <c r="O32" s="46">
        <v>386810064.19999999</v>
      </c>
      <c r="P32" s="54" t="e">
        <f>O32/O40*100</f>
        <v>#DIV/0!</v>
      </c>
    </row>
    <row r="33" spans="13:16" x14ac:dyDescent="0.3">
      <c r="M33" s="45">
        <v>56199</v>
      </c>
      <c r="N33" s="53" t="e">
        <f t="shared" si="13"/>
        <v>#DIV/0!</v>
      </c>
      <c r="O33" s="46">
        <v>471111842.94</v>
      </c>
      <c r="P33" s="54" t="e">
        <f>O33/O40*100</f>
        <v>#DIV/0!</v>
      </c>
    </row>
    <row r="34" spans="13:16" x14ac:dyDescent="0.3">
      <c r="M34" s="45">
        <v>297</v>
      </c>
      <c r="N34" s="53" t="e">
        <f t="shared" si="13"/>
        <v>#DIV/0!</v>
      </c>
      <c r="O34" s="46">
        <v>5010228</v>
      </c>
      <c r="P34" s="54" t="e">
        <f>O34/O40*100</f>
        <v>#DIV/0!</v>
      </c>
    </row>
    <row r="35" spans="13:16" x14ac:dyDescent="0.3">
      <c r="M35" s="45">
        <v>163</v>
      </c>
      <c r="N35" s="53" t="e">
        <f t="shared" si="13"/>
        <v>#DIV/0!</v>
      </c>
      <c r="O35" s="46">
        <v>4392328.91</v>
      </c>
      <c r="P35" s="54" t="e">
        <f>O35/O40*100</f>
        <v>#DIV/0!</v>
      </c>
    </row>
    <row r="36" spans="13:16" x14ac:dyDescent="0.3">
      <c r="M36" s="45">
        <v>366</v>
      </c>
      <c r="N36" s="53" t="e">
        <f t="shared" si="13"/>
        <v>#DIV/0!</v>
      </c>
      <c r="O36" s="46">
        <v>9034522.6500000004</v>
      </c>
      <c r="P36" s="54" t="e">
        <f>O36/O40*100</f>
        <v>#DIV/0!</v>
      </c>
    </row>
    <row r="37" spans="13:16" x14ac:dyDescent="0.3">
      <c r="M37" s="45">
        <v>17249</v>
      </c>
      <c r="N37" s="53" t="e">
        <f t="shared" si="13"/>
        <v>#DIV/0!</v>
      </c>
      <c r="O37" s="46">
        <v>405400068.69</v>
      </c>
      <c r="P37" s="54" t="e">
        <f>O37/O40*100</f>
        <v>#DIV/0!</v>
      </c>
    </row>
    <row r="38" spans="13:16" x14ac:dyDescent="0.3">
      <c r="M38" s="45">
        <v>18745</v>
      </c>
      <c r="N38" s="53" t="e">
        <f t="shared" si="13"/>
        <v>#DIV/0!</v>
      </c>
      <c r="O38" s="46">
        <v>369724631.60000002</v>
      </c>
      <c r="P38" s="54" t="e">
        <f>O38/O40*100</f>
        <v>#DIV/0!</v>
      </c>
    </row>
    <row r="39" spans="13:16" x14ac:dyDescent="0.3">
      <c r="M39" s="45">
        <v>15130</v>
      </c>
      <c r="N39" s="53" t="e">
        <f t="shared" si="13"/>
        <v>#DIV/0!</v>
      </c>
      <c r="O39" s="46">
        <v>151015428.50999999</v>
      </c>
      <c r="P39" s="5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4140625" defaultRowHeight="14.4" x14ac:dyDescent="0.3"/>
  <cols>
    <col min="1" max="1" width="11.44140625" style="1"/>
    <col min="2" max="2" width="11" style="1" customWidth="1"/>
    <col min="3" max="3" width="14.109375" style="1" customWidth="1"/>
    <col min="4" max="4" width="12.44140625" style="1" customWidth="1"/>
    <col min="5" max="5" width="17.6640625" style="1" bestFit="1" customWidth="1"/>
    <col min="6" max="6" width="12.44140625" style="1" customWidth="1"/>
    <col min="7" max="7" width="16.109375" style="1" bestFit="1" customWidth="1"/>
    <col min="8" max="8" width="10.6640625" style="1" customWidth="1"/>
    <col min="9" max="9" width="15.33203125" style="1" bestFit="1" customWidth="1"/>
    <col min="10" max="10" width="11.44140625" style="1" customWidth="1"/>
    <col min="11" max="12" width="11.44140625" style="1"/>
    <col min="13" max="14" width="11.6640625" style="1" bestFit="1" customWidth="1"/>
    <col min="15" max="15" width="16" style="1" bestFit="1" customWidth="1"/>
    <col min="16" max="16" width="11.6640625" style="1" bestFit="1" customWidth="1"/>
    <col min="17" max="16384" width="11.44140625" style="1"/>
  </cols>
  <sheetData>
    <row r="1" spans="1:9" x14ac:dyDescent="0.3">
      <c r="A1" s="516" t="s">
        <v>232</v>
      </c>
      <c r="B1" s="516"/>
      <c r="C1" s="516"/>
      <c r="D1" s="516"/>
      <c r="E1" s="516"/>
      <c r="F1" s="516"/>
      <c r="G1" s="516"/>
      <c r="H1" s="516"/>
      <c r="I1" s="516"/>
    </row>
    <row r="2" spans="1:9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</row>
    <row r="3" spans="1:9" x14ac:dyDescent="0.3">
      <c r="A3" s="516" t="s">
        <v>240</v>
      </c>
      <c r="B3" s="516"/>
      <c r="C3" s="516"/>
      <c r="D3" s="516"/>
      <c r="E3" s="516"/>
      <c r="F3" s="516"/>
      <c r="G3" s="516"/>
      <c r="H3" s="516"/>
      <c r="I3" s="516"/>
    </row>
    <row r="4" spans="1:9" x14ac:dyDescent="0.3">
      <c r="A4" s="516" t="s">
        <v>241</v>
      </c>
      <c r="B4" s="516"/>
      <c r="C4" s="516"/>
      <c r="D4" s="516"/>
      <c r="E4" s="516"/>
      <c r="F4" s="516"/>
      <c r="G4" s="516"/>
      <c r="H4" s="516"/>
      <c r="I4" s="516"/>
    </row>
    <row r="5" spans="1:9" x14ac:dyDescent="0.3">
      <c r="A5" s="516" t="s">
        <v>235</v>
      </c>
      <c r="B5" s="516"/>
      <c r="C5" s="516"/>
      <c r="D5" s="516"/>
      <c r="E5" s="516"/>
      <c r="F5" s="516"/>
      <c r="G5" s="516"/>
      <c r="H5" s="516"/>
      <c r="I5" s="516"/>
    </row>
    <row r="6" spans="1:9" x14ac:dyDescent="0.3">
      <c r="A6" s="76"/>
      <c r="B6" s="565" t="s">
        <v>236</v>
      </c>
      <c r="C6" s="565"/>
      <c r="D6" s="566" t="s">
        <v>89</v>
      </c>
      <c r="E6" s="566"/>
      <c r="F6" s="568" t="s">
        <v>88</v>
      </c>
      <c r="G6" s="568"/>
      <c r="H6" s="567" t="s">
        <v>90</v>
      </c>
      <c r="I6" s="567"/>
    </row>
    <row r="7" spans="1:9" ht="34.5" customHeight="1" x14ac:dyDescent="0.3">
      <c r="A7" s="77" t="s">
        <v>5</v>
      </c>
      <c r="B7" s="39" t="s">
        <v>242</v>
      </c>
      <c r="C7" s="39" t="s">
        <v>9</v>
      </c>
      <c r="D7" s="39" t="s">
        <v>242</v>
      </c>
      <c r="E7" s="39" t="s">
        <v>9</v>
      </c>
      <c r="F7" s="39" t="s">
        <v>242</v>
      </c>
      <c r="G7" s="39" t="s">
        <v>9</v>
      </c>
      <c r="H7" s="39" t="s">
        <v>242</v>
      </c>
      <c r="I7" s="39" t="s">
        <v>9</v>
      </c>
    </row>
    <row r="8" spans="1:9" x14ac:dyDescent="0.3">
      <c r="A8" s="38" t="s">
        <v>15</v>
      </c>
      <c r="B8" s="27">
        <v>0</v>
      </c>
      <c r="C8" s="50">
        <v>0</v>
      </c>
      <c r="D8" s="27">
        <v>0</v>
      </c>
      <c r="E8" s="50">
        <v>0</v>
      </c>
      <c r="F8" s="27">
        <v>0</v>
      </c>
      <c r="G8" s="50">
        <v>0</v>
      </c>
      <c r="H8" s="32">
        <f t="shared" ref="H8:I10" si="0">+B8+D8+F8</f>
        <v>0</v>
      </c>
      <c r="I8" s="55">
        <f t="shared" si="0"/>
        <v>0</v>
      </c>
    </row>
    <row r="9" spans="1:9" x14ac:dyDescent="0.3">
      <c r="A9" s="38" t="s">
        <v>14</v>
      </c>
      <c r="B9" s="27">
        <v>36</v>
      </c>
      <c r="C9" s="50">
        <v>386001.61</v>
      </c>
      <c r="D9" s="27">
        <v>2</v>
      </c>
      <c r="E9" s="50">
        <v>16030.61</v>
      </c>
      <c r="F9" s="27">
        <v>2</v>
      </c>
      <c r="G9" s="50">
        <v>12000</v>
      </c>
      <c r="H9" s="32">
        <f t="shared" si="0"/>
        <v>40</v>
      </c>
      <c r="I9" s="55">
        <f t="shared" si="0"/>
        <v>414032.22</v>
      </c>
    </row>
    <row r="10" spans="1:9" x14ac:dyDescent="0.3">
      <c r="A10" s="38" t="s">
        <v>13</v>
      </c>
      <c r="B10" s="27">
        <v>131</v>
      </c>
      <c r="C10" s="50">
        <v>1444844.33</v>
      </c>
      <c r="D10" s="27">
        <v>5</v>
      </c>
      <c r="E10" s="50">
        <v>110598.45</v>
      </c>
      <c r="F10" s="27">
        <v>6</v>
      </c>
      <c r="G10" s="50">
        <v>36000</v>
      </c>
      <c r="H10" s="32">
        <f t="shared" si="0"/>
        <v>142</v>
      </c>
      <c r="I10" s="32">
        <f t="shared" si="0"/>
        <v>1591442.78</v>
      </c>
    </row>
    <row r="11" spans="1:9" x14ac:dyDescent="0.3">
      <c r="A11" s="24" t="s">
        <v>16</v>
      </c>
      <c r="B11" s="34">
        <f t="shared" ref="B11:I11" si="1">SUM(B8:B10)</f>
        <v>167</v>
      </c>
      <c r="C11" s="34">
        <f t="shared" si="1"/>
        <v>1830845.94</v>
      </c>
      <c r="D11" s="34">
        <f t="shared" si="1"/>
        <v>7</v>
      </c>
      <c r="E11" s="34">
        <f t="shared" si="1"/>
        <v>126629.06</v>
      </c>
      <c r="F11" s="34">
        <f>SUM(F8:F10)</f>
        <v>8</v>
      </c>
      <c r="G11" s="34">
        <f t="shared" ref="G11" si="2">SUM(G8:G10)</f>
        <v>48000</v>
      </c>
      <c r="H11" s="34">
        <f t="shared" si="1"/>
        <v>182</v>
      </c>
      <c r="I11" s="34">
        <f t="shared" si="1"/>
        <v>2005475</v>
      </c>
    </row>
    <row r="12" spans="1:9" hidden="1" x14ac:dyDescent="0.3">
      <c r="A12" s="38" t="s">
        <v>15</v>
      </c>
      <c r="B12" s="27">
        <v>52</v>
      </c>
      <c r="C12" s="50">
        <v>621254.41</v>
      </c>
      <c r="D12" s="27">
        <v>2</v>
      </c>
      <c r="E12" s="50">
        <v>15128.119999999999</v>
      </c>
      <c r="F12" s="27"/>
      <c r="G12" s="50"/>
      <c r="H12" s="32">
        <f t="shared" ref="H12:I14" si="3">+B12+D12+F12</f>
        <v>54</v>
      </c>
      <c r="I12" s="55">
        <f t="shared" si="3"/>
        <v>636382.53</v>
      </c>
    </row>
    <row r="13" spans="1:9" hidden="1" x14ac:dyDescent="0.3">
      <c r="A13" s="38" t="s">
        <v>14</v>
      </c>
      <c r="B13" s="27"/>
      <c r="C13" s="50"/>
      <c r="D13" s="27"/>
      <c r="E13" s="50"/>
      <c r="F13" s="27"/>
      <c r="G13" s="50"/>
      <c r="H13" s="32">
        <f t="shared" si="3"/>
        <v>0</v>
      </c>
      <c r="I13" s="55">
        <f t="shared" si="3"/>
        <v>0</v>
      </c>
    </row>
    <row r="14" spans="1:9" hidden="1" x14ac:dyDescent="0.3">
      <c r="A14" s="38" t="s">
        <v>13</v>
      </c>
      <c r="B14" s="27"/>
      <c r="C14" s="50"/>
      <c r="D14" s="27"/>
      <c r="E14" s="50"/>
      <c r="F14" s="27"/>
      <c r="G14" s="50"/>
      <c r="H14" s="32">
        <f t="shared" si="3"/>
        <v>0</v>
      </c>
      <c r="I14" s="55">
        <f t="shared" si="3"/>
        <v>0</v>
      </c>
    </row>
    <row r="15" spans="1:9" hidden="1" x14ac:dyDescent="0.3">
      <c r="A15" s="24" t="s">
        <v>16</v>
      </c>
      <c r="B15" s="34">
        <f t="shared" ref="B15:I15" si="4">SUM(B12:B14)</f>
        <v>52</v>
      </c>
      <c r="C15" s="34">
        <f t="shared" si="4"/>
        <v>621254.41</v>
      </c>
      <c r="D15" s="34">
        <f t="shared" si="4"/>
        <v>2</v>
      </c>
      <c r="E15" s="34">
        <f t="shared" si="4"/>
        <v>15128.119999999999</v>
      </c>
      <c r="F15" s="34">
        <f t="shared" ref="F15:G15" si="5">SUM(F12:F14)</f>
        <v>0</v>
      </c>
      <c r="G15" s="34">
        <f t="shared" si="5"/>
        <v>0</v>
      </c>
      <c r="H15" s="34">
        <f t="shared" si="4"/>
        <v>54</v>
      </c>
      <c r="I15" s="34">
        <f t="shared" si="4"/>
        <v>636382.53</v>
      </c>
    </row>
    <row r="16" spans="1:9" hidden="1" x14ac:dyDescent="0.3">
      <c r="A16" s="38" t="s">
        <v>42</v>
      </c>
      <c r="B16" s="27"/>
      <c r="C16" s="50"/>
      <c r="D16" s="27"/>
      <c r="E16" s="50"/>
      <c r="F16" s="27"/>
      <c r="G16" s="50"/>
      <c r="H16" s="32">
        <f t="shared" ref="H16:I18" si="6">+B16+D16+F16</f>
        <v>0</v>
      </c>
      <c r="I16" s="55">
        <f t="shared" si="6"/>
        <v>0</v>
      </c>
    </row>
    <row r="17" spans="1:16" hidden="1" x14ac:dyDescent="0.3">
      <c r="A17" s="38" t="s">
        <v>22</v>
      </c>
      <c r="B17" s="27"/>
      <c r="C17" s="50"/>
      <c r="D17" s="27"/>
      <c r="E17" s="50"/>
      <c r="F17" s="27"/>
      <c r="G17" s="50"/>
      <c r="H17" s="32">
        <f t="shared" si="6"/>
        <v>0</v>
      </c>
      <c r="I17" s="55">
        <f t="shared" si="6"/>
        <v>0</v>
      </c>
    </row>
    <row r="18" spans="1:16" hidden="1" x14ac:dyDescent="0.3">
      <c r="A18" s="38" t="s">
        <v>23</v>
      </c>
      <c r="B18" s="27"/>
      <c r="C18" s="50"/>
      <c r="D18" s="27"/>
      <c r="E18" s="50"/>
      <c r="F18" s="27"/>
      <c r="G18" s="50"/>
      <c r="H18" s="32">
        <f t="shared" si="6"/>
        <v>0</v>
      </c>
      <c r="I18" s="55">
        <f t="shared" si="6"/>
        <v>0</v>
      </c>
    </row>
    <row r="19" spans="1:16" hidden="1" x14ac:dyDescent="0.3">
      <c r="A19" s="24" t="s">
        <v>24</v>
      </c>
      <c r="B19" s="34">
        <f t="shared" ref="B19:E19" si="7">SUM(B16:B18)</f>
        <v>0</v>
      </c>
      <c r="C19" s="34">
        <f t="shared" si="7"/>
        <v>0</v>
      </c>
      <c r="D19" s="34">
        <f t="shared" si="7"/>
        <v>0</v>
      </c>
      <c r="E19" s="34">
        <f t="shared" si="7"/>
        <v>0</v>
      </c>
      <c r="F19" s="34">
        <f t="shared" ref="F19:G19" si="8">SUM(F16:F18)</f>
        <v>0</v>
      </c>
      <c r="G19" s="34">
        <f t="shared" si="8"/>
        <v>0</v>
      </c>
      <c r="H19" s="34">
        <f>SUM(H16:H18)</f>
        <v>0</v>
      </c>
      <c r="I19" s="34">
        <f>SUM(I16:I18)</f>
        <v>0</v>
      </c>
    </row>
    <row r="20" spans="1:16" hidden="1" x14ac:dyDescent="0.3">
      <c r="A20" s="26" t="s">
        <v>25</v>
      </c>
      <c r="B20" s="27"/>
      <c r="C20" s="50"/>
      <c r="D20" s="27"/>
      <c r="E20" s="50"/>
      <c r="F20" s="27"/>
      <c r="G20" s="50"/>
      <c r="H20" s="32">
        <f t="shared" ref="H20:I22" si="9">+B20+D20+F20</f>
        <v>0</v>
      </c>
      <c r="I20" s="55">
        <f t="shared" si="9"/>
        <v>0</v>
      </c>
    </row>
    <row r="21" spans="1:16" hidden="1" x14ac:dyDescent="0.3">
      <c r="A21" s="26" t="s">
        <v>26</v>
      </c>
      <c r="B21" s="27"/>
      <c r="C21" s="50"/>
      <c r="D21" s="27"/>
      <c r="E21" s="50"/>
      <c r="F21" s="27"/>
      <c r="G21" s="50"/>
      <c r="H21" s="32">
        <f t="shared" si="9"/>
        <v>0</v>
      </c>
      <c r="I21" s="55">
        <f t="shared" si="9"/>
        <v>0</v>
      </c>
    </row>
    <row r="22" spans="1:16" hidden="1" x14ac:dyDescent="0.3">
      <c r="A22" s="26" t="s">
        <v>27</v>
      </c>
      <c r="B22" s="27"/>
      <c r="C22" s="50"/>
      <c r="D22" s="27"/>
      <c r="E22" s="50"/>
      <c r="F22" s="27"/>
      <c r="G22" s="50"/>
      <c r="H22" s="32">
        <f t="shared" si="9"/>
        <v>0</v>
      </c>
      <c r="I22" s="55">
        <f t="shared" si="9"/>
        <v>0</v>
      </c>
    </row>
    <row r="23" spans="1:16" hidden="1" x14ac:dyDescent="0.3">
      <c r="A23" s="12" t="s">
        <v>28</v>
      </c>
      <c r="B23" s="34">
        <f t="shared" ref="B23:I23" si="10">SUM(B20:B22)</f>
        <v>0</v>
      </c>
      <c r="C23" s="34">
        <f t="shared" si="10"/>
        <v>0</v>
      </c>
      <c r="D23" s="34">
        <f t="shared" si="10"/>
        <v>0</v>
      </c>
      <c r="E23" s="34">
        <f t="shared" si="10"/>
        <v>0</v>
      </c>
      <c r="F23" s="34">
        <f t="shared" ref="F23:G23" si="11">SUM(F20:F22)</f>
        <v>0</v>
      </c>
      <c r="G23" s="34">
        <f t="shared" si="11"/>
        <v>0</v>
      </c>
      <c r="H23" s="34">
        <f t="shared" si="10"/>
        <v>0</v>
      </c>
      <c r="I23" s="34">
        <f t="shared" si="10"/>
        <v>0</v>
      </c>
    </row>
    <row r="24" spans="1:16" hidden="1" x14ac:dyDescent="0.3">
      <c r="A24" s="51" t="s">
        <v>29</v>
      </c>
      <c r="B24" s="36">
        <f>+B11+B15+B19+B23</f>
        <v>219</v>
      </c>
      <c r="C24" s="36">
        <f>+C11+C15+C19+C23</f>
        <v>2452100.35</v>
      </c>
      <c r="D24" s="36">
        <f t="shared" ref="D24:I24" si="12">+D11+D15+D19+D23</f>
        <v>9</v>
      </c>
      <c r="E24" s="36">
        <f t="shared" si="12"/>
        <v>141757.18</v>
      </c>
      <c r="F24" s="36">
        <f t="shared" si="12"/>
        <v>8</v>
      </c>
      <c r="G24" s="36">
        <f t="shared" si="12"/>
        <v>48000</v>
      </c>
      <c r="H24" s="36">
        <f>+H11+H15+H19+H23</f>
        <v>236</v>
      </c>
      <c r="I24" s="36">
        <f t="shared" si="12"/>
        <v>2641857.5300000003</v>
      </c>
    </row>
    <row r="25" spans="1:16" x14ac:dyDescent="0.3">
      <c r="A25" s="15" t="s">
        <v>239</v>
      </c>
    </row>
    <row r="26" spans="1:16" x14ac:dyDescent="0.3">
      <c r="E26" s="31"/>
      <c r="G26" s="31"/>
    </row>
    <row r="32" spans="1:16" x14ac:dyDescent="0.3">
      <c r="M32" s="45">
        <v>32154</v>
      </c>
      <c r="N32" s="53" t="e">
        <f t="shared" ref="N32:N39" si="13">M32/$B$29*100</f>
        <v>#DIV/0!</v>
      </c>
      <c r="O32" s="46">
        <v>386810064.19999999</v>
      </c>
      <c r="P32" s="54" t="e">
        <f>O32/O40*100</f>
        <v>#DIV/0!</v>
      </c>
    </row>
    <row r="33" spans="13:16" x14ac:dyDescent="0.3">
      <c r="M33" s="45">
        <v>56199</v>
      </c>
      <c r="N33" s="53" t="e">
        <f t="shared" si="13"/>
        <v>#DIV/0!</v>
      </c>
      <c r="O33" s="46">
        <v>471111842.94</v>
      </c>
      <c r="P33" s="54" t="e">
        <f>O33/O40*100</f>
        <v>#DIV/0!</v>
      </c>
    </row>
    <row r="34" spans="13:16" x14ac:dyDescent="0.3">
      <c r="M34" s="45">
        <v>297</v>
      </c>
      <c r="N34" s="53" t="e">
        <f t="shared" si="13"/>
        <v>#DIV/0!</v>
      </c>
      <c r="O34" s="46">
        <v>5010228</v>
      </c>
      <c r="P34" s="54" t="e">
        <f>O34/O40*100</f>
        <v>#DIV/0!</v>
      </c>
    </row>
    <row r="35" spans="13:16" x14ac:dyDescent="0.3">
      <c r="M35" s="45">
        <v>163</v>
      </c>
      <c r="N35" s="53" t="e">
        <f t="shared" si="13"/>
        <v>#DIV/0!</v>
      </c>
      <c r="O35" s="46">
        <v>4392328.91</v>
      </c>
      <c r="P35" s="54" t="e">
        <f>O35/O40*100</f>
        <v>#DIV/0!</v>
      </c>
    </row>
    <row r="36" spans="13:16" x14ac:dyDescent="0.3">
      <c r="M36" s="45">
        <v>366</v>
      </c>
      <c r="N36" s="53" t="e">
        <f t="shared" si="13"/>
        <v>#DIV/0!</v>
      </c>
      <c r="O36" s="46">
        <v>9034522.6500000004</v>
      </c>
      <c r="P36" s="54" t="e">
        <f>O36/O40*100</f>
        <v>#DIV/0!</v>
      </c>
    </row>
    <row r="37" spans="13:16" x14ac:dyDescent="0.3">
      <c r="M37" s="45">
        <v>17249</v>
      </c>
      <c r="N37" s="53" t="e">
        <f t="shared" si="13"/>
        <v>#DIV/0!</v>
      </c>
      <c r="O37" s="46">
        <v>405400068.69</v>
      </c>
      <c r="P37" s="54" t="e">
        <f>O37/O40*100</f>
        <v>#DIV/0!</v>
      </c>
    </row>
    <row r="38" spans="13:16" x14ac:dyDescent="0.3">
      <c r="M38" s="45">
        <v>18745</v>
      </c>
      <c r="N38" s="53" t="e">
        <f t="shared" si="13"/>
        <v>#DIV/0!</v>
      </c>
      <c r="O38" s="46">
        <v>369724631.60000002</v>
      </c>
      <c r="P38" s="54" t="e">
        <f>O38/O40*100</f>
        <v>#DIV/0!</v>
      </c>
    </row>
    <row r="39" spans="13:16" x14ac:dyDescent="0.3">
      <c r="M39" s="45">
        <v>15130</v>
      </c>
      <c r="N39" s="53" t="e">
        <f t="shared" si="13"/>
        <v>#DIV/0!</v>
      </c>
      <c r="O39" s="46">
        <v>151015428.50999999</v>
      </c>
      <c r="P39" s="54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P81"/>
  <sheetViews>
    <sheetView showGridLines="0" zoomScaleNormal="100" workbookViewId="0">
      <selection activeCell="C10" sqref="C10"/>
    </sheetView>
  </sheetViews>
  <sheetFormatPr baseColWidth="10" defaultColWidth="9.109375" defaultRowHeight="14.4" x14ac:dyDescent="0.3"/>
  <cols>
    <col min="1" max="7" width="13.109375" style="1" customWidth="1"/>
    <col min="8" max="8" width="11.109375" style="1" customWidth="1"/>
    <col min="9" max="9" width="10.5546875" style="1" customWidth="1"/>
    <col min="10" max="11" width="9.109375" style="1"/>
    <col min="12" max="12" width="11.6640625" style="1" customWidth="1"/>
    <col min="13" max="14" width="9.109375" style="1"/>
    <col min="15" max="15" width="17.5546875" style="1" customWidth="1"/>
    <col min="16" max="16384" width="9.109375" style="1"/>
  </cols>
  <sheetData>
    <row r="1" spans="1:10" x14ac:dyDescent="0.3">
      <c r="A1" s="516" t="s">
        <v>0</v>
      </c>
      <c r="B1" s="516"/>
      <c r="C1" s="516"/>
      <c r="D1" s="516"/>
      <c r="E1" s="516"/>
      <c r="F1" s="516"/>
      <c r="G1" s="516"/>
      <c r="H1" s="22"/>
      <c r="I1" s="22"/>
      <c r="J1" s="22"/>
    </row>
    <row r="2" spans="1:10" x14ac:dyDescent="0.3">
      <c r="A2" s="516" t="s">
        <v>75</v>
      </c>
      <c r="B2" s="516"/>
      <c r="C2" s="516"/>
      <c r="D2" s="516"/>
      <c r="E2" s="516"/>
      <c r="F2" s="516"/>
      <c r="G2" s="516"/>
      <c r="H2" s="22"/>
      <c r="I2" s="22"/>
      <c r="J2" s="22"/>
    </row>
    <row r="3" spans="1:10" x14ac:dyDescent="0.3">
      <c r="A3" s="516" t="s">
        <v>243</v>
      </c>
      <c r="B3" s="516"/>
      <c r="C3" s="516"/>
      <c r="D3" s="516"/>
      <c r="E3" s="516"/>
      <c r="F3" s="516"/>
      <c r="G3" s="516"/>
      <c r="H3" s="22"/>
      <c r="I3" s="22"/>
      <c r="J3" s="22"/>
    </row>
    <row r="4" spans="1:10" x14ac:dyDescent="0.3">
      <c r="A4" s="516" t="s">
        <v>3</v>
      </c>
      <c r="B4" s="516"/>
      <c r="C4" s="516"/>
      <c r="D4" s="516"/>
      <c r="E4" s="516"/>
      <c r="F4" s="516"/>
      <c r="G4" s="516"/>
      <c r="H4" s="22"/>
      <c r="I4" s="22"/>
      <c r="J4" s="22"/>
    </row>
    <row r="5" spans="1:10" x14ac:dyDescent="0.3">
      <c r="A5" s="516" t="s">
        <v>4</v>
      </c>
      <c r="B5" s="516"/>
      <c r="C5" s="516"/>
      <c r="D5" s="516"/>
      <c r="E5" s="516"/>
      <c r="F5" s="516"/>
      <c r="G5" s="516"/>
      <c r="H5" s="22"/>
      <c r="I5" s="22"/>
      <c r="J5" s="22"/>
    </row>
    <row r="6" spans="1:10" ht="57.6" x14ac:dyDescent="0.3">
      <c r="A6" s="447" t="s">
        <v>5</v>
      </c>
      <c r="B6" s="256" t="s">
        <v>244</v>
      </c>
      <c r="C6" s="256" t="s">
        <v>245</v>
      </c>
      <c r="D6" s="256" t="s">
        <v>246</v>
      </c>
      <c r="E6" s="256" t="s">
        <v>247</v>
      </c>
      <c r="F6" s="256" t="s">
        <v>248</v>
      </c>
      <c r="G6" s="448" t="s">
        <v>249</v>
      </c>
      <c r="H6"/>
    </row>
    <row r="7" spans="1:10" x14ac:dyDescent="0.3">
      <c r="A7" s="165" t="s">
        <v>13</v>
      </c>
      <c r="B7" s="119">
        <v>88</v>
      </c>
      <c r="C7" s="119">
        <v>4092055.3299999996</v>
      </c>
      <c r="D7" s="119">
        <v>1911611.85</v>
      </c>
      <c r="E7" s="119">
        <v>266283.48</v>
      </c>
      <c r="F7" s="119">
        <f>+SUM(D7:E7)</f>
        <v>2177895.33</v>
      </c>
      <c r="G7" s="119">
        <f>+F7/C7</f>
        <v>0.53222528885013887</v>
      </c>
      <c r="H7"/>
    </row>
    <row r="8" spans="1:10" x14ac:dyDescent="0.3">
      <c r="A8" s="165" t="s">
        <v>14</v>
      </c>
      <c r="B8" s="119">
        <v>123</v>
      </c>
      <c r="C8" s="119">
        <v>8427539.0700000003</v>
      </c>
      <c r="D8" s="119">
        <v>2119344.3100000005</v>
      </c>
      <c r="E8" s="119">
        <v>56409.23</v>
      </c>
      <c r="F8" s="119">
        <f t="shared" ref="F8:F9" si="0">+SUM(D8:E8)</f>
        <v>2175753.5400000005</v>
      </c>
      <c r="G8" s="119">
        <f t="shared" ref="G8:G9" si="1">+F8/C8</f>
        <v>0.25817187223078641</v>
      </c>
      <c r="H8"/>
    </row>
    <row r="9" spans="1:10" x14ac:dyDescent="0.3">
      <c r="A9" s="165" t="s">
        <v>15</v>
      </c>
      <c r="B9" s="119">
        <v>63</v>
      </c>
      <c r="C9" s="119">
        <v>2716061.76</v>
      </c>
      <c r="D9" s="119">
        <v>1743764.76</v>
      </c>
      <c r="E9" s="119">
        <v>122431.95</v>
      </c>
      <c r="F9" s="119">
        <f t="shared" si="0"/>
        <v>1866196.71</v>
      </c>
      <c r="G9" s="119">
        <f t="shared" si="1"/>
        <v>0.68709656661120999</v>
      </c>
      <c r="H9"/>
    </row>
    <row r="10" spans="1:10" x14ac:dyDescent="0.3">
      <c r="A10" s="449" t="s">
        <v>16</v>
      </c>
      <c r="B10" s="450">
        <f>SUM(B7:B9)</f>
        <v>274</v>
      </c>
      <c r="C10" s="450">
        <f>SUM(C7:C9)</f>
        <v>15235656.16</v>
      </c>
      <c r="D10" s="450">
        <f>SUM(D7:D9)</f>
        <v>5774720.9200000009</v>
      </c>
      <c r="E10" s="450">
        <f>SUM(E7:E9)</f>
        <v>445124.66</v>
      </c>
      <c r="F10" s="450">
        <f>SUM(F7:F9)</f>
        <v>6219845.580000001</v>
      </c>
      <c r="G10" s="451">
        <f t="shared" ref="G10" si="2">F10/C10</f>
        <v>0.40824271135297141</v>
      </c>
      <c r="H10" s="452"/>
    </row>
    <row r="11" spans="1:10" ht="2.25" hidden="1" customHeight="1" x14ac:dyDescent="0.3">
      <c r="A11" s="60" t="s">
        <v>17</v>
      </c>
      <c r="B11" s="132">
        <v>83</v>
      </c>
      <c r="C11" s="158">
        <v>5510195.6499999985</v>
      </c>
      <c r="D11" s="158">
        <v>3527223.9</v>
      </c>
      <c r="E11" s="158">
        <v>0</v>
      </c>
      <c r="F11" s="143">
        <f>E11+D11</f>
        <v>3527223.9</v>
      </c>
      <c r="G11" s="57">
        <f t="shared" ref="G11" si="3">F11/C11</f>
        <v>0.64012679840143261</v>
      </c>
      <c r="H11"/>
    </row>
    <row r="12" spans="1:10" hidden="1" x14ac:dyDescent="0.3">
      <c r="A12" s="60" t="s">
        <v>18</v>
      </c>
      <c r="B12" s="132">
        <v>192</v>
      </c>
      <c r="C12" s="158">
        <v>12205214.080000004</v>
      </c>
      <c r="D12" s="158">
        <v>0</v>
      </c>
      <c r="E12" s="158">
        <v>0</v>
      </c>
      <c r="F12" s="143">
        <f>E12+D12</f>
        <v>0</v>
      </c>
      <c r="G12" s="57">
        <f>F12/C12</f>
        <v>0</v>
      </c>
      <c r="H12"/>
    </row>
    <row r="13" spans="1:10" hidden="1" x14ac:dyDescent="0.3">
      <c r="A13" s="60" t="s">
        <v>19</v>
      </c>
      <c r="B13" s="132">
        <v>24</v>
      </c>
      <c r="C13" s="158">
        <v>1715347.62</v>
      </c>
      <c r="D13" s="158">
        <v>0</v>
      </c>
      <c r="E13" s="155">
        <v>0</v>
      </c>
      <c r="F13" s="143">
        <f>E13+D13</f>
        <v>0</v>
      </c>
      <c r="G13" s="57">
        <f>F13/C13</f>
        <v>0</v>
      </c>
      <c r="H13"/>
    </row>
    <row r="14" spans="1:10" hidden="1" x14ac:dyDescent="0.3">
      <c r="A14" s="24" t="s">
        <v>20</v>
      </c>
      <c r="B14" s="8">
        <f>SUM(B11:B13)</f>
        <v>299</v>
      </c>
      <c r="C14" s="159">
        <f>SUM(C11:C13)</f>
        <v>19430757.350000005</v>
      </c>
      <c r="D14" s="59">
        <f>SUM(D11:D13)</f>
        <v>3527223.9</v>
      </c>
      <c r="E14" s="59">
        <f>SUM(E11:E13)</f>
        <v>0</v>
      </c>
      <c r="F14" s="144">
        <f>SUM(F11:F13)</f>
        <v>3527223.9</v>
      </c>
      <c r="G14" s="16">
        <f t="shared" ref="G14:G27" si="4">F14/C14</f>
        <v>0.18152786515035138</v>
      </c>
      <c r="H14"/>
    </row>
    <row r="15" spans="1:10" hidden="1" x14ac:dyDescent="0.3">
      <c r="A15" s="60" t="s">
        <v>15</v>
      </c>
      <c r="B15" s="132"/>
      <c r="C15" s="133"/>
      <c r="D15" s="133"/>
      <c r="E15" s="133"/>
      <c r="F15" s="56">
        <f>E15+D15</f>
        <v>0</v>
      </c>
      <c r="G15" s="57" t="e">
        <f t="shared" si="4"/>
        <v>#DIV/0!</v>
      </c>
      <c r="H15"/>
    </row>
    <row r="16" spans="1:10" hidden="1" x14ac:dyDescent="0.3">
      <c r="A16" s="60" t="s">
        <v>14</v>
      </c>
      <c r="B16" s="132"/>
      <c r="C16" s="133"/>
      <c r="D16" s="133"/>
      <c r="E16" s="133"/>
      <c r="F16" s="56">
        <f>E16+D16</f>
        <v>0</v>
      </c>
      <c r="G16" s="57" t="e">
        <f t="shared" si="4"/>
        <v>#DIV/0!</v>
      </c>
      <c r="H16"/>
    </row>
    <row r="17" spans="1:8" hidden="1" x14ac:dyDescent="0.3">
      <c r="A17" s="60" t="s">
        <v>13</v>
      </c>
      <c r="B17" s="132"/>
      <c r="C17" s="133"/>
      <c r="D17" s="122"/>
      <c r="E17" s="122"/>
      <c r="F17" s="58">
        <f>E17+D17</f>
        <v>0</v>
      </c>
      <c r="G17" s="57" t="e">
        <f t="shared" si="4"/>
        <v>#DIV/0!</v>
      </c>
      <c r="H17"/>
    </row>
    <row r="18" spans="1:8" hidden="1" x14ac:dyDescent="0.3">
      <c r="A18" s="24" t="s">
        <v>16</v>
      </c>
      <c r="B18" s="8">
        <f>SUM(B15:B17)</f>
        <v>0</v>
      </c>
      <c r="C18" s="59">
        <f>SUM(C15:C17)</f>
        <v>0</v>
      </c>
      <c r="D18" s="59">
        <f>SUM(D15:D17)</f>
        <v>0</v>
      </c>
      <c r="E18" s="59">
        <f>SUM(E15:E17)</f>
        <v>0</v>
      </c>
      <c r="F18" s="59">
        <f>SUM(F15:F17)</f>
        <v>0</v>
      </c>
      <c r="G18" s="16" t="e">
        <f t="shared" si="4"/>
        <v>#DIV/0!</v>
      </c>
      <c r="H18"/>
    </row>
    <row r="19" spans="1:8" hidden="1" x14ac:dyDescent="0.3">
      <c r="A19" s="60" t="s">
        <v>42</v>
      </c>
      <c r="B19" s="132"/>
      <c r="C19" s="133"/>
      <c r="D19" s="133"/>
      <c r="E19" s="133"/>
      <c r="F19" s="56">
        <f>E19+D19</f>
        <v>0</v>
      </c>
      <c r="G19" s="57" t="e">
        <f t="shared" si="4"/>
        <v>#DIV/0!</v>
      </c>
      <c r="H19"/>
    </row>
    <row r="20" spans="1:8" hidden="1" x14ac:dyDescent="0.3">
      <c r="A20" s="60" t="s">
        <v>22</v>
      </c>
      <c r="B20" s="132"/>
      <c r="C20" s="133"/>
      <c r="D20" s="133"/>
      <c r="E20" s="133"/>
      <c r="F20" s="56">
        <f>E20+D20</f>
        <v>0</v>
      </c>
      <c r="G20" s="57" t="e">
        <f t="shared" si="4"/>
        <v>#DIV/0!</v>
      </c>
      <c r="H20"/>
    </row>
    <row r="21" spans="1:8" hidden="1" x14ac:dyDescent="0.3">
      <c r="A21" s="60" t="s">
        <v>23</v>
      </c>
      <c r="B21" s="132"/>
      <c r="C21" s="133"/>
      <c r="D21" s="122"/>
      <c r="E21" s="122"/>
      <c r="F21" s="58">
        <f>E21+D21</f>
        <v>0</v>
      </c>
      <c r="G21" s="57" t="e">
        <f t="shared" si="4"/>
        <v>#DIV/0!</v>
      </c>
      <c r="H21"/>
    </row>
    <row r="22" spans="1:8" hidden="1" x14ac:dyDescent="0.3">
      <c r="A22" s="24" t="s">
        <v>24</v>
      </c>
      <c r="B22" s="8">
        <f>SUM(B19:B21)</f>
        <v>0</v>
      </c>
      <c r="C22" s="59">
        <f>SUM(C19:C21)</f>
        <v>0</v>
      </c>
      <c r="D22" s="59">
        <f>SUM(D19:D21)</f>
        <v>0</v>
      </c>
      <c r="E22" s="59">
        <f>SUM(E19:E21)</f>
        <v>0</v>
      </c>
      <c r="F22" s="59">
        <f>SUM(F19:F21)</f>
        <v>0</v>
      </c>
      <c r="G22" s="16" t="e">
        <f t="shared" si="4"/>
        <v>#DIV/0!</v>
      </c>
      <c r="H22"/>
    </row>
    <row r="23" spans="1:8" hidden="1" x14ac:dyDescent="0.3">
      <c r="A23" s="60" t="s">
        <v>25</v>
      </c>
      <c r="B23" s="132"/>
      <c r="C23" s="133"/>
      <c r="D23" s="133"/>
      <c r="E23" s="133"/>
      <c r="F23" s="56">
        <f>E23+D23</f>
        <v>0</v>
      </c>
      <c r="G23" s="57" t="e">
        <f t="shared" si="4"/>
        <v>#DIV/0!</v>
      </c>
      <c r="H23"/>
    </row>
    <row r="24" spans="1:8" hidden="1" x14ac:dyDescent="0.3">
      <c r="A24" s="60" t="s">
        <v>26</v>
      </c>
      <c r="B24" s="132"/>
      <c r="C24" s="133"/>
      <c r="D24" s="133"/>
      <c r="E24" s="133"/>
      <c r="F24" s="56">
        <f>E24+D24</f>
        <v>0</v>
      </c>
      <c r="G24" s="57" t="e">
        <f t="shared" si="4"/>
        <v>#DIV/0!</v>
      </c>
      <c r="H24"/>
    </row>
    <row r="25" spans="1:8" hidden="1" x14ac:dyDescent="0.3">
      <c r="A25" s="60" t="s">
        <v>27</v>
      </c>
      <c r="B25" s="132"/>
      <c r="C25" s="133"/>
      <c r="D25" s="122"/>
      <c r="E25" s="122"/>
      <c r="F25" s="58">
        <f>E25+D25</f>
        <v>0</v>
      </c>
      <c r="G25" s="57" t="e">
        <f t="shared" si="4"/>
        <v>#DIV/0!</v>
      </c>
      <c r="H25"/>
    </row>
    <row r="26" spans="1:8" hidden="1" x14ac:dyDescent="0.3">
      <c r="A26" s="24" t="s">
        <v>28</v>
      </c>
      <c r="B26" s="8">
        <f>SUM(B23:B25)</f>
        <v>0</v>
      </c>
      <c r="C26" s="59">
        <f>SUM(C23:C25)</f>
        <v>0</v>
      </c>
      <c r="D26" s="59">
        <f>SUM(D23:D25)</f>
        <v>0</v>
      </c>
      <c r="E26" s="59">
        <f>SUM(E23:E25)</f>
        <v>0</v>
      </c>
      <c r="F26" s="59">
        <f>SUM(F23:F25)</f>
        <v>0</v>
      </c>
      <c r="G26" s="16" t="e">
        <f t="shared" si="4"/>
        <v>#DIV/0!</v>
      </c>
      <c r="H26"/>
    </row>
    <row r="27" spans="1:8" hidden="1" x14ac:dyDescent="0.3">
      <c r="A27" s="61" t="s">
        <v>29</v>
      </c>
      <c r="B27" s="10">
        <f>+B14+B18+B22+B26</f>
        <v>299</v>
      </c>
      <c r="C27" s="10">
        <f>+C14+C18+C22+C26</f>
        <v>19430757.350000005</v>
      </c>
      <c r="D27" s="10">
        <f>+D14+D18+D22+D26</f>
        <v>3527223.9</v>
      </c>
      <c r="E27" s="10">
        <f>+E14+E18+E22+E26</f>
        <v>0</v>
      </c>
      <c r="F27" s="10">
        <f>+F14+F18+F22+F26</f>
        <v>3527223.9</v>
      </c>
      <c r="G27" s="10">
        <f t="shared" si="4"/>
        <v>0.18152786515035138</v>
      </c>
      <c r="H27"/>
    </row>
    <row r="28" spans="1:8" hidden="1" x14ac:dyDescent="0.3">
      <c r="A28"/>
      <c r="B28"/>
      <c r="C28"/>
      <c r="D28"/>
      <c r="E28"/>
      <c r="F28"/>
      <c r="G28"/>
      <c r="H28"/>
    </row>
    <row r="29" spans="1:8" hidden="1" x14ac:dyDescent="0.3">
      <c r="A29"/>
      <c r="B29"/>
      <c r="C29"/>
      <c r="D29"/>
      <c r="E29"/>
      <c r="F29"/>
      <c r="G29"/>
      <c r="H29"/>
    </row>
    <row r="30" spans="1:8" hidden="1" x14ac:dyDescent="0.3">
      <c r="A30"/>
      <c r="B30"/>
      <c r="C30"/>
      <c r="D30"/>
      <c r="E30"/>
      <c r="F30"/>
      <c r="G30"/>
      <c r="H30"/>
    </row>
    <row r="31" spans="1:8" hidden="1" x14ac:dyDescent="0.3">
      <c r="A31"/>
      <c r="B31"/>
      <c r="C31"/>
      <c r="D31"/>
      <c r="E31"/>
      <c r="F31"/>
      <c r="G31"/>
      <c r="H31"/>
    </row>
    <row r="32" spans="1:8" hidden="1" x14ac:dyDescent="0.3">
      <c r="A32"/>
      <c r="B32"/>
      <c r="C32"/>
      <c r="D32"/>
      <c r="E32"/>
      <c r="F32"/>
      <c r="G32"/>
      <c r="H32"/>
    </row>
    <row r="33" spans="1:8" hidden="1" x14ac:dyDescent="0.3">
      <c r="A33"/>
      <c r="B33"/>
      <c r="C33"/>
      <c r="D33"/>
      <c r="E33"/>
      <c r="F33"/>
      <c r="G33"/>
      <c r="H33"/>
    </row>
    <row r="34" spans="1:8" hidden="1" x14ac:dyDescent="0.3">
      <c r="A34"/>
      <c r="B34"/>
      <c r="C34"/>
      <c r="D34"/>
      <c r="E34"/>
      <c r="F34"/>
      <c r="G34"/>
      <c r="H34"/>
    </row>
    <row r="35" spans="1:8" hidden="1" x14ac:dyDescent="0.3">
      <c r="A35"/>
      <c r="B35"/>
      <c r="C35"/>
      <c r="D35"/>
      <c r="E35"/>
      <c r="F35"/>
      <c r="G35"/>
      <c r="H35"/>
    </row>
    <row r="36" spans="1:8" hidden="1" x14ac:dyDescent="0.3">
      <c r="A36"/>
      <c r="B36"/>
      <c r="C36"/>
      <c r="D36"/>
      <c r="E36"/>
      <c r="F36"/>
      <c r="G36"/>
      <c r="H36"/>
    </row>
    <row r="37" spans="1:8" hidden="1" x14ac:dyDescent="0.3">
      <c r="A37"/>
      <c r="B37"/>
      <c r="C37"/>
      <c r="D37"/>
      <c r="E37"/>
      <c r="F37"/>
      <c r="G37"/>
      <c r="H37"/>
    </row>
    <row r="38" spans="1:8" ht="13.5" customHeight="1" x14ac:dyDescent="0.3">
      <c r="A38" s="157" t="s">
        <v>225</v>
      </c>
      <c r="B38"/>
      <c r="C38"/>
      <c r="D38"/>
      <c r="E38"/>
      <c r="F38"/>
      <c r="G38"/>
      <c r="H38"/>
    </row>
    <row r="39" spans="1:8" x14ac:dyDescent="0.3">
      <c r="A39" s="107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  <c r="B43"/>
      <c r="C43"/>
      <c r="D43"/>
      <c r="E43"/>
      <c r="F43"/>
      <c r="G43"/>
      <c r="H43"/>
    </row>
    <row r="44" spans="1:8" x14ac:dyDescent="0.3">
      <c r="A44"/>
      <c r="B44"/>
      <c r="C44"/>
      <c r="D44"/>
      <c r="E44"/>
      <c r="F44"/>
      <c r="G44"/>
      <c r="H44"/>
    </row>
    <row r="45" spans="1:8" x14ac:dyDescent="0.3">
      <c r="A45"/>
      <c r="B45"/>
      <c r="C45"/>
      <c r="D45"/>
      <c r="E45"/>
      <c r="F45"/>
      <c r="G45"/>
      <c r="H45"/>
    </row>
    <row r="46" spans="1:8" x14ac:dyDescent="0.3">
      <c r="A46"/>
      <c r="B46"/>
      <c r="C46"/>
      <c r="D46"/>
      <c r="E46"/>
      <c r="F46"/>
      <c r="G46"/>
      <c r="H46"/>
    </row>
    <row r="47" spans="1:8" x14ac:dyDescent="0.3">
      <c r="A47"/>
      <c r="B47"/>
      <c r="C47"/>
      <c r="D47"/>
      <c r="E47"/>
      <c r="F47"/>
      <c r="G47"/>
      <c r="H47"/>
    </row>
    <row r="48" spans="1:8" x14ac:dyDescent="0.3">
      <c r="A48"/>
      <c r="B48"/>
      <c r="C48"/>
      <c r="D48"/>
      <c r="E48"/>
      <c r="F48"/>
      <c r="G48"/>
      <c r="H48"/>
    </row>
    <row r="49" spans="1:16" x14ac:dyDescent="0.3">
      <c r="A49"/>
      <c r="B49"/>
      <c r="C49"/>
      <c r="D49"/>
      <c r="E49"/>
      <c r="F49"/>
      <c r="G49"/>
      <c r="H49"/>
    </row>
    <row r="50" spans="1:16" x14ac:dyDescent="0.3">
      <c r="A50"/>
      <c r="B50"/>
      <c r="C50"/>
      <c r="D50"/>
      <c r="E50"/>
      <c r="F50"/>
      <c r="G50"/>
      <c r="H50"/>
    </row>
    <row r="51" spans="1:16" x14ac:dyDescent="0.3">
      <c r="A51"/>
      <c r="B51"/>
      <c r="C51"/>
      <c r="D51"/>
      <c r="E51"/>
      <c r="F51"/>
      <c r="G51"/>
      <c r="H51"/>
    </row>
    <row r="52" spans="1:16" x14ac:dyDescent="0.3">
      <c r="A52"/>
      <c r="B52"/>
      <c r="C52"/>
      <c r="D52"/>
      <c r="E52"/>
      <c r="F52"/>
      <c r="G52"/>
      <c r="H52"/>
    </row>
    <row r="53" spans="1:16" x14ac:dyDescent="0.3">
      <c r="A53"/>
      <c r="B53"/>
      <c r="C53"/>
      <c r="D53"/>
      <c r="E53"/>
      <c r="F53"/>
      <c r="G53"/>
      <c r="H53"/>
    </row>
    <row r="54" spans="1:16" x14ac:dyDescent="0.3">
      <c r="A54"/>
      <c r="B54"/>
      <c r="C54"/>
      <c r="D54"/>
      <c r="E54"/>
      <c r="F54"/>
      <c r="G54"/>
      <c r="H54"/>
    </row>
    <row r="55" spans="1:16" x14ac:dyDescent="0.3">
      <c r="A55"/>
      <c r="B55"/>
      <c r="C55"/>
      <c r="D55"/>
      <c r="E55"/>
      <c r="F55"/>
      <c r="G55"/>
      <c r="H55"/>
    </row>
    <row r="56" spans="1:16" x14ac:dyDescent="0.3">
      <c r="A56"/>
      <c r="B56"/>
      <c r="C56"/>
      <c r="D56"/>
      <c r="E56"/>
      <c r="F56"/>
      <c r="G56"/>
      <c r="H56"/>
    </row>
    <row r="57" spans="1:16" x14ac:dyDescent="0.3">
      <c r="A57"/>
      <c r="B57"/>
      <c r="C57"/>
      <c r="D57"/>
      <c r="E57"/>
      <c r="F57"/>
      <c r="G57"/>
      <c r="H57"/>
    </row>
    <row r="58" spans="1:16" x14ac:dyDescent="0.3">
      <c r="A58"/>
      <c r="B58"/>
      <c r="C58"/>
      <c r="D58"/>
      <c r="E58"/>
      <c r="F58"/>
      <c r="G58"/>
      <c r="H58"/>
    </row>
    <row r="59" spans="1:16" x14ac:dyDescent="0.3">
      <c r="A59"/>
      <c r="B59"/>
      <c r="C59"/>
      <c r="D59"/>
      <c r="E59"/>
      <c r="F59"/>
      <c r="G59"/>
      <c r="H59"/>
    </row>
    <row r="60" spans="1:16" x14ac:dyDescent="0.3">
      <c r="A60"/>
      <c r="B60"/>
      <c r="C60"/>
      <c r="D60"/>
      <c r="E60"/>
      <c r="F60"/>
      <c r="G60"/>
      <c r="H60"/>
    </row>
    <row r="61" spans="1:16" x14ac:dyDescent="0.3">
      <c r="A61"/>
      <c r="B61"/>
      <c r="C61"/>
      <c r="D61"/>
      <c r="E61"/>
      <c r="F61"/>
      <c r="G61"/>
      <c r="H61"/>
    </row>
    <row r="62" spans="1:16" x14ac:dyDescent="0.3">
      <c r="J62"/>
    </row>
    <row r="63" spans="1:16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6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idden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idden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idden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4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Z86"/>
  <sheetViews>
    <sheetView showGridLines="0" view="pageBreakPreview" zoomScale="60" zoomScaleNormal="100" workbookViewId="0">
      <selection activeCell="C10" sqref="C10"/>
    </sheetView>
  </sheetViews>
  <sheetFormatPr baseColWidth="10" defaultColWidth="11.44140625" defaultRowHeight="14.4" x14ac:dyDescent="0.3"/>
  <cols>
    <col min="1" max="1" width="11.44140625" style="1"/>
    <col min="2" max="2" width="35.88671875" style="1" customWidth="1"/>
    <col min="3" max="3" width="9.44140625" style="1" hidden="1" customWidth="1"/>
    <col min="4" max="4" width="10.88671875" style="1" hidden="1" customWidth="1"/>
    <col min="5" max="5" width="11.44140625" style="1" hidden="1" customWidth="1"/>
    <col min="6" max="6" width="9.44140625" style="1" hidden="1" customWidth="1"/>
    <col min="7" max="7" width="10.88671875" style="1" hidden="1" customWidth="1"/>
    <col min="8" max="8" width="11.44140625" style="1" hidden="1" customWidth="1"/>
    <col min="9" max="9" width="9.44140625" style="1" hidden="1" customWidth="1"/>
    <col min="10" max="10" width="10.88671875" style="1" hidden="1" customWidth="1"/>
    <col min="11" max="11" width="2.88671875" style="1" hidden="1" customWidth="1"/>
    <col min="12" max="12" width="11.44140625" style="1"/>
    <col min="13" max="13" width="15.33203125" style="1" customWidth="1"/>
    <col min="14" max="14" width="11.44140625" style="1" customWidth="1"/>
    <col min="15" max="16384" width="11.44140625" style="1"/>
  </cols>
  <sheetData>
    <row r="1" spans="1:26" x14ac:dyDescent="0.3">
      <c r="A1" s="22"/>
      <c r="B1" s="516" t="s">
        <v>232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26" x14ac:dyDescent="0.3">
      <c r="A2" s="22"/>
      <c r="B2" s="516" t="s">
        <v>250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26" x14ac:dyDescent="0.3">
      <c r="A3" s="22"/>
      <c r="B3" s="516" t="s">
        <v>251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26" x14ac:dyDescent="0.3">
      <c r="A4" s="22"/>
      <c r="B4" s="516" t="s">
        <v>3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26" x14ac:dyDescent="0.3">
      <c r="A5" s="22"/>
      <c r="B5" s="516" t="s">
        <v>4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8" spans="1:26" ht="15.6" x14ac:dyDescent="0.3">
      <c r="B8" s="572" t="s">
        <v>252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Z8" s="18"/>
    </row>
    <row r="9" spans="1:26" x14ac:dyDescent="0.3">
      <c r="B9" s="134"/>
      <c r="C9" s="571" t="s">
        <v>42</v>
      </c>
      <c r="D9" s="571"/>
      <c r="E9" s="571"/>
      <c r="F9" s="571" t="s">
        <v>22</v>
      </c>
      <c r="G9" s="571"/>
      <c r="H9" s="571"/>
      <c r="I9" s="571" t="s">
        <v>23</v>
      </c>
      <c r="J9" s="571"/>
      <c r="K9" s="571"/>
      <c r="L9" s="571" t="s">
        <v>16</v>
      </c>
      <c r="M9" s="571"/>
      <c r="N9" s="571"/>
      <c r="O9"/>
      <c r="P9"/>
      <c r="Q9"/>
      <c r="R9"/>
      <c r="S9"/>
      <c r="T9"/>
      <c r="U9"/>
      <c r="V9"/>
    </row>
    <row r="10" spans="1:26" x14ac:dyDescent="0.3">
      <c r="B10" s="48" t="s">
        <v>253</v>
      </c>
      <c r="C10" s="48" t="s">
        <v>254</v>
      </c>
      <c r="D10" s="48" t="s">
        <v>255</v>
      </c>
      <c r="E10" s="48" t="s">
        <v>256</v>
      </c>
      <c r="F10" s="48" t="s">
        <v>254</v>
      </c>
      <c r="G10" s="48" t="s">
        <v>255</v>
      </c>
      <c r="H10" s="48" t="s">
        <v>256</v>
      </c>
      <c r="I10" s="48" t="s">
        <v>254</v>
      </c>
      <c r="J10" s="48" t="s">
        <v>255</v>
      </c>
      <c r="K10" s="48" t="s">
        <v>256</v>
      </c>
      <c r="L10" s="48" t="s">
        <v>254</v>
      </c>
      <c r="M10" s="48" t="s">
        <v>255</v>
      </c>
      <c r="N10" s="48" t="s">
        <v>256</v>
      </c>
      <c r="O10"/>
      <c r="P10"/>
      <c r="Q10"/>
      <c r="R10"/>
      <c r="S10"/>
      <c r="T10"/>
      <c r="U10"/>
      <c r="V10"/>
    </row>
    <row r="11" spans="1:26" x14ac:dyDescent="0.3">
      <c r="A11" s="1">
        <v>1</v>
      </c>
      <c r="B11" s="184" t="s">
        <v>257</v>
      </c>
      <c r="C11" s="185">
        <v>7</v>
      </c>
      <c r="D11" s="185">
        <v>7</v>
      </c>
      <c r="E11" s="186">
        <v>1</v>
      </c>
      <c r="F11" s="185">
        <v>7</v>
      </c>
      <c r="G11" s="185">
        <v>7</v>
      </c>
      <c r="H11" s="186">
        <v>1</v>
      </c>
      <c r="I11" s="185">
        <v>9</v>
      </c>
      <c r="J11" s="185">
        <v>9</v>
      </c>
      <c r="K11" s="186">
        <v>1</v>
      </c>
      <c r="L11" s="185">
        <v>23</v>
      </c>
      <c r="M11" s="506">
        <v>23</v>
      </c>
      <c r="N11" s="187">
        <f>+M11/L11</f>
        <v>1</v>
      </c>
      <c r="O11">
        <v>1</v>
      </c>
      <c r="P11">
        <v>1</v>
      </c>
      <c r="Q11">
        <v>1</v>
      </c>
      <c r="R11">
        <v>8</v>
      </c>
      <c r="S11">
        <v>8</v>
      </c>
      <c r="T11">
        <v>1</v>
      </c>
      <c r="U11">
        <v>9</v>
      </c>
      <c r="V11">
        <v>7</v>
      </c>
      <c r="W11" s="1">
        <v>0.77777777777777779</v>
      </c>
      <c r="X11" s="1">
        <v>18</v>
      </c>
      <c r="Y11" s="1">
        <v>16</v>
      </c>
    </row>
    <row r="12" spans="1:26" x14ac:dyDescent="0.3">
      <c r="A12" s="1">
        <v>2</v>
      </c>
      <c r="B12" s="184" t="s">
        <v>258</v>
      </c>
      <c r="C12" s="185">
        <v>116</v>
      </c>
      <c r="D12" s="185">
        <v>116</v>
      </c>
      <c r="E12" s="186">
        <v>1</v>
      </c>
      <c r="F12" s="185">
        <v>123</v>
      </c>
      <c r="G12" s="185">
        <v>122</v>
      </c>
      <c r="H12" s="186">
        <v>0.99186991869918695</v>
      </c>
      <c r="I12" s="185">
        <v>150</v>
      </c>
      <c r="J12" s="185">
        <v>148</v>
      </c>
      <c r="K12" s="186">
        <v>0.98666666666666669</v>
      </c>
      <c r="L12" s="249">
        <v>389</v>
      </c>
      <c r="M12" s="66">
        <v>386</v>
      </c>
      <c r="N12" s="187">
        <f t="shared" ref="N12:N23" si="0">+M12/L12</f>
        <v>0.99228791773778924</v>
      </c>
      <c r="O12"/>
      <c r="P12">
        <v>147</v>
      </c>
      <c r="Q12">
        <v>0.9932432432432432</v>
      </c>
      <c r="R12">
        <v>178</v>
      </c>
      <c r="S12">
        <v>176</v>
      </c>
      <c r="T12">
        <v>0.9887640449438202</v>
      </c>
      <c r="U12">
        <v>154</v>
      </c>
      <c r="V12">
        <v>151</v>
      </c>
      <c r="W12" s="1">
        <v>0.98051948051948057</v>
      </c>
      <c r="X12" s="1">
        <v>480</v>
      </c>
      <c r="Y12" s="1">
        <v>474</v>
      </c>
    </row>
    <row r="13" spans="1:26" x14ac:dyDescent="0.3">
      <c r="A13" s="1">
        <v>3</v>
      </c>
      <c r="B13" s="184" t="s">
        <v>259</v>
      </c>
      <c r="C13" s="185">
        <v>261</v>
      </c>
      <c r="D13" s="185">
        <v>260</v>
      </c>
      <c r="E13" s="186">
        <v>0.99616858237547889</v>
      </c>
      <c r="F13" s="185">
        <v>261</v>
      </c>
      <c r="G13" s="185">
        <v>261</v>
      </c>
      <c r="H13" s="186">
        <v>1</v>
      </c>
      <c r="I13" s="185">
        <v>331</v>
      </c>
      <c r="J13" s="185">
        <v>331</v>
      </c>
      <c r="K13" s="186">
        <v>1</v>
      </c>
      <c r="L13" s="249">
        <v>853</v>
      </c>
      <c r="M13" s="66">
        <v>852</v>
      </c>
      <c r="N13" s="187">
        <f t="shared" si="0"/>
        <v>0.9988276670574443</v>
      </c>
      <c r="O13" s="64"/>
      <c r="P13">
        <v>239</v>
      </c>
      <c r="Q13">
        <v>0.99583333333333335</v>
      </c>
      <c r="R13">
        <v>159</v>
      </c>
      <c r="S13">
        <v>159</v>
      </c>
      <c r="T13">
        <v>1</v>
      </c>
      <c r="U13">
        <v>44</v>
      </c>
      <c r="V13">
        <v>44</v>
      </c>
      <c r="W13" s="1">
        <v>1</v>
      </c>
      <c r="X13" s="1">
        <v>443</v>
      </c>
      <c r="Y13" s="1">
        <v>442</v>
      </c>
    </row>
    <row r="14" spans="1:26" x14ac:dyDescent="0.3">
      <c r="A14" s="1">
        <v>4</v>
      </c>
      <c r="B14" s="184" t="s">
        <v>260</v>
      </c>
      <c r="C14" s="185">
        <v>27</v>
      </c>
      <c r="D14" s="185">
        <v>25</v>
      </c>
      <c r="E14" s="186">
        <v>0.92592592592592593</v>
      </c>
      <c r="F14" s="185">
        <v>44</v>
      </c>
      <c r="G14" s="185">
        <v>44</v>
      </c>
      <c r="H14" s="186">
        <v>1</v>
      </c>
      <c r="I14" s="185">
        <v>28</v>
      </c>
      <c r="J14" s="185">
        <v>26</v>
      </c>
      <c r="K14" s="186">
        <v>0.9285714285714286</v>
      </c>
      <c r="L14" s="249">
        <v>99</v>
      </c>
      <c r="M14" s="66">
        <v>95</v>
      </c>
      <c r="N14" s="187">
        <f t="shared" si="0"/>
        <v>0.95959595959595956</v>
      </c>
      <c r="O14"/>
      <c r="P14">
        <v>36</v>
      </c>
      <c r="Q14">
        <v>0.92307692307692313</v>
      </c>
      <c r="R14">
        <v>30</v>
      </c>
      <c r="S14">
        <v>26</v>
      </c>
      <c r="T14">
        <v>0.8666666666666667</v>
      </c>
      <c r="U14">
        <v>138</v>
      </c>
      <c r="V14">
        <v>137</v>
      </c>
      <c r="W14" s="1">
        <v>0.99275362318840576</v>
      </c>
      <c r="X14" s="1">
        <v>207</v>
      </c>
      <c r="Y14" s="1">
        <v>199</v>
      </c>
    </row>
    <row r="15" spans="1:26" x14ac:dyDescent="0.3">
      <c r="A15" s="1">
        <v>5</v>
      </c>
      <c r="B15" s="184" t="s">
        <v>261</v>
      </c>
      <c r="C15" s="185">
        <v>4</v>
      </c>
      <c r="D15" s="185">
        <v>4</v>
      </c>
      <c r="E15" s="186">
        <v>1</v>
      </c>
      <c r="F15" s="185">
        <v>5</v>
      </c>
      <c r="G15" s="185">
        <v>5</v>
      </c>
      <c r="H15" s="186">
        <v>1</v>
      </c>
      <c r="I15" s="185">
        <v>6</v>
      </c>
      <c r="J15" s="185">
        <v>6</v>
      </c>
      <c r="K15" s="186">
        <v>1</v>
      </c>
      <c r="L15" s="249">
        <v>15</v>
      </c>
      <c r="M15" s="66">
        <v>15</v>
      </c>
      <c r="N15" s="187">
        <f t="shared" si="0"/>
        <v>1</v>
      </c>
      <c r="O15"/>
      <c r="P15">
        <v>4</v>
      </c>
      <c r="Q15">
        <v>1</v>
      </c>
      <c r="R15">
        <v>12</v>
      </c>
      <c r="S15">
        <v>12</v>
      </c>
      <c r="T15">
        <v>1</v>
      </c>
      <c r="U15">
        <v>8</v>
      </c>
      <c r="V15">
        <v>8</v>
      </c>
      <c r="W15" s="1">
        <v>1</v>
      </c>
      <c r="X15" s="1">
        <v>24</v>
      </c>
      <c r="Y15" s="1">
        <v>24</v>
      </c>
    </row>
    <row r="16" spans="1:26" x14ac:dyDescent="0.3">
      <c r="A16" s="1">
        <v>6</v>
      </c>
      <c r="B16" s="184" t="s">
        <v>262</v>
      </c>
      <c r="C16" s="185">
        <v>152</v>
      </c>
      <c r="D16" s="185">
        <v>150</v>
      </c>
      <c r="E16" s="186">
        <v>0.98684210526315785</v>
      </c>
      <c r="F16" s="185">
        <v>258</v>
      </c>
      <c r="G16" s="185">
        <v>252</v>
      </c>
      <c r="H16" s="186">
        <v>0.97674418604651159</v>
      </c>
      <c r="I16" s="185">
        <v>236</v>
      </c>
      <c r="J16" s="185">
        <v>233</v>
      </c>
      <c r="K16" s="186">
        <v>0.98728813559322037</v>
      </c>
      <c r="L16" s="249">
        <v>646</v>
      </c>
      <c r="M16" s="66">
        <v>635</v>
      </c>
      <c r="N16" s="187">
        <f t="shared" si="0"/>
        <v>0.98297213622291024</v>
      </c>
      <c r="O16"/>
      <c r="P16">
        <v>237</v>
      </c>
      <c r="Q16">
        <v>0.99579831932773111</v>
      </c>
      <c r="R16">
        <v>230</v>
      </c>
      <c r="S16">
        <v>227</v>
      </c>
      <c r="T16">
        <v>0.9869565217391304</v>
      </c>
      <c r="U16">
        <v>277</v>
      </c>
      <c r="V16">
        <v>275</v>
      </c>
      <c r="W16" s="1">
        <v>0.99277978339350181</v>
      </c>
      <c r="X16" s="1">
        <v>745</v>
      </c>
      <c r="Y16" s="1">
        <v>739</v>
      </c>
    </row>
    <row r="17" spans="1:25" x14ac:dyDescent="0.3">
      <c r="A17" s="1">
        <v>7</v>
      </c>
      <c r="B17" s="184" t="s">
        <v>263</v>
      </c>
      <c r="C17" s="185">
        <v>59</v>
      </c>
      <c r="D17" s="185">
        <v>59</v>
      </c>
      <c r="E17" s="186">
        <v>1</v>
      </c>
      <c r="F17" s="185">
        <v>192</v>
      </c>
      <c r="G17" s="185">
        <v>192</v>
      </c>
      <c r="H17" s="186">
        <v>1</v>
      </c>
      <c r="I17" s="185">
        <v>221</v>
      </c>
      <c r="J17" s="185">
        <v>221</v>
      </c>
      <c r="K17" s="186">
        <v>1</v>
      </c>
      <c r="L17" s="249">
        <v>472</v>
      </c>
      <c r="M17" s="66">
        <v>472</v>
      </c>
      <c r="N17" s="187">
        <f t="shared" si="0"/>
        <v>1</v>
      </c>
      <c r="O17"/>
      <c r="P17">
        <v>7</v>
      </c>
      <c r="Q17">
        <v>0.77777777777777779</v>
      </c>
      <c r="R17">
        <v>45</v>
      </c>
      <c r="S17">
        <v>43</v>
      </c>
      <c r="T17">
        <v>0.9555555555555556</v>
      </c>
      <c r="U17">
        <v>30</v>
      </c>
      <c r="V17">
        <v>27</v>
      </c>
      <c r="W17" s="1">
        <v>0.9</v>
      </c>
      <c r="X17" s="1">
        <v>84</v>
      </c>
      <c r="Y17" s="1">
        <v>77</v>
      </c>
    </row>
    <row r="18" spans="1:25" x14ac:dyDescent="0.3">
      <c r="A18" s="1">
        <v>8</v>
      </c>
      <c r="B18" s="184" t="s">
        <v>264</v>
      </c>
      <c r="C18" s="185">
        <v>3</v>
      </c>
      <c r="D18" s="185">
        <v>3</v>
      </c>
      <c r="E18" s="186">
        <v>1</v>
      </c>
      <c r="F18" s="185">
        <v>3</v>
      </c>
      <c r="G18" s="185">
        <v>3</v>
      </c>
      <c r="H18" s="186">
        <v>1</v>
      </c>
      <c r="I18" s="185">
        <v>7</v>
      </c>
      <c r="J18" s="185">
        <v>7</v>
      </c>
      <c r="K18" s="186">
        <v>1</v>
      </c>
      <c r="L18" s="249">
        <v>13</v>
      </c>
      <c r="M18" s="66">
        <v>13</v>
      </c>
      <c r="N18" s="187">
        <f t="shared" si="0"/>
        <v>1</v>
      </c>
      <c r="O18"/>
      <c r="P18">
        <v>5</v>
      </c>
      <c r="Q18">
        <v>1</v>
      </c>
      <c r="R18">
        <v>9</v>
      </c>
      <c r="S18">
        <v>9</v>
      </c>
      <c r="T18">
        <v>1</v>
      </c>
      <c r="U18">
        <v>8</v>
      </c>
      <c r="V18">
        <v>8</v>
      </c>
      <c r="W18" s="1">
        <v>1</v>
      </c>
      <c r="X18" s="1">
        <v>22</v>
      </c>
      <c r="Y18" s="1">
        <v>22</v>
      </c>
    </row>
    <row r="19" spans="1:25" x14ac:dyDescent="0.3">
      <c r="A19" s="1">
        <v>9</v>
      </c>
      <c r="B19" s="184" t="s">
        <v>265</v>
      </c>
      <c r="C19" s="185">
        <v>730</v>
      </c>
      <c r="D19" s="185">
        <v>722</v>
      </c>
      <c r="E19" s="186">
        <v>0.989041095890411</v>
      </c>
      <c r="F19" s="185">
        <v>528</v>
      </c>
      <c r="G19" s="185">
        <v>526</v>
      </c>
      <c r="H19" s="186">
        <v>0.99621212121212122</v>
      </c>
      <c r="I19" s="185">
        <v>485</v>
      </c>
      <c r="J19" s="185">
        <v>478</v>
      </c>
      <c r="K19" s="186">
        <v>0.9855670103092784</v>
      </c>
      <c r="L19" s="249">
        <v>1743</v>
      </c>
      <c r="M19" s="66">
        <v>1726</v>
      </c>
      <c r="N19" s="187">
        <f t="shared" si="0"/>
        <v>0.99024670109007462</v>
      </c>
      <c r="O19"/>
      <c r="P19">
        <v>373</v>
      </c>
      <c r="Q19">
        <v>1</v>
      </c>
      <c r="R19">
        <v>549</v>
      </c>
      <c r="S19">
        <v>546</v>
      </c>
      <c r="T19">
        <v>0.99453551912568305</v>
      </c>
      <c r="U19">
        <v>666</v>
      </c>
      <c r="V19">
        <v>665</v>
      </c>
      <c r="W19" s="1">
        <v>0.99849849849849848</v>
      </c>
      <c r="X19" s="1">
        <v>1588</v>
      </c>
      <c r="Y19" s="1">
        <v>1584</v>
      </c>
    </row>
    <row r="20" spans="1:25" x14ac:dyDescent="0.3">
      <c r="A20" s="1">
        <v>10</v>
      </c>
      <c r="B20" s="184" t="s">
        <v>266</v>
      </c>
      <c r="C20" s="185">
        <v>4888</v>
      </c>
      <c r="D20" s="185">
        <v>4865</v>
      </c>
      <c r="E20" s="186">
        <v>0.99529459901800332</v>
      </c>
      <c r="F20" s="185">
        <v>3270</v>
      </c>
      <c r="G20" s="185">
        <v>3246</v>
      </c>
      <c r="H20" s="186">
        <v>0.9926605504587156</v>
      </c>
      <c r="I20" s="185">
        <v>2546</v>
      </c>
      <c r="J20" s="185">
        <v>2509</v>
      </c>
      <c r="K20" s="186">
        <v>0.98546739984289078</v>
      </c>
      <c r="L20" s="249">
        <v>10704</v>
      </c>
      <c r="M20" s="66">
        <v>10620</v>
      </c>
      <c r="N20" s="187">
        <f t="shared" si="0"/>
        <v>0.99215246636771304</v>
      </c>
      <c r="O20"/>
      <c r="P20">
        <v>2356</v>
      </c>
      <c r="Q20">
        <v>0.99703766398645788</v>
      </c>
      <c r="R20">
        <v>3917</v>
      </c>
      <c r="S20">
        <v>3910</v>
      </c>
      <c r="T20">
        <v>0.99821291804952772</v>
      </c>
      <c r="U20">
        <v>2517</v>
      </c>
      <c r="V20">
        <v>2470</v>
      </c>
      <c r="W20" s="1">
        <v>0.98132697655939616</v>
      </c>
      <c r="X20" s="1">
        <v>8797</v>
      </c>
      <c r="Y20" s="1">
        <v>8736</v>
      </c>
    </row>
    <row r="21" spans="1:25" x14ac:dyDescent="0.3">
      <c r="A21" s="1">
        <v>11</v>
      </c>
      <c r="B21" s="184" t="s">
        <v>267</v>
      </c>
      <c r="C21" s="185">
        <v>3</v>
      </c>
      <c r="D21" s="185">
        <v>3</v>
      </c>
      <c r="E21" s="186">
        <v>1</v>
      </c>
      <c r="F21" s="185">
        <v>8</v>
      </c>
      <c r="G21" s="185">
        <v>8</v>
      </c>
      <c r="H21" s="186">
        <v>1</v>
      </c>
      <c r="I21" s="185">
        <v>11</v>
      </c>
      <c r="J21" s="185">
        <v>3</v>
      </c>
      <c r="K21" s="186">
        <v>0.27272727272727271</v>
      </c>
      <c r="L21" s="249">
        <v>22</v>
      </c>
      <c r="M21" s="66">
        <v>14</v>
      </c>
      <c r="N21" s="187">
        <f t="shared" si="0"/>
        <v>0.63636363636363635</v>
      </c>
      <c r="O21"/>
      <c r="P21">
        <v>1</v>
      </c>
      <c r="Q21">
        <v>0.5</v>
      </c>
      <c r="R21">
        <v>6</v>
      </c>
      <c r="S21">
        <v>6</v>
      </c>
      <c r="T21">
        <v>1</v>
      </c>
      <c r="U21">
        <v>10</v>
      </c>
      <c r="V21">
        <v>9</v>
      </c>
      <c r="W21" s="1">
        <v>0.9</v>
      </c>
      <c r="X21" s="1">
        <v>18</v>
      </c>
      <c r="Y21" s="1">
        <v>16</v>
      </c>
    </row>
    <row r="22" spans="1:25" x14ac:dyDescent="0.3">
      <c r="A22" s="1">
        <v>12</v>
      </c>
      <c r="B22" s="184" t="s">
        <v>268</v>
      </c>
      <c r="C22" s="185">
        <v>54</v>
      </c>
      <c r="D22" s="185">
        <v>54</v>
      </c>
      <c r="E22" s="186">
        <v>1</v>
      </c>
      <c r="F22" s="185">
        <v>126</v>
      </c>
      <c r="G22" s="185">
        <v>126</v>
      </c>
      <c r="H22" s="186">
        <v>1</v>
      </c>
      <c r="I22" s="185">
        <v>80</v>
      </c>
      <c r="J22" s="185">
        <v>77</v>
      </c>
      <c r="K22" s="186">
        <v>0.96250000000000002</v>
      </c>
      <c r="L22" s="249">
        <v>260</v>
      </c>
      <c r="M22" s="66">
        <v>257</v>
      </c>
      <c r="N22" s="187">
        <f t="shared" si="0"/>
        <v>0.9884615384615385</v>
      </c>
      <c r="O22"/>
      <c r="P22">
        <v>46</v>
      </c>
      <c r="Q22">
        <v>1</v>
      </c>
      <c r="R22">
        <v>63</v>
      </c>
      <c r="S22">
        <v>63</v>
      </c>
      <c r="T22">
        <v>1</v>
      </c>
      <c r="U22">
        <v>32</v>
      </c>
      <c r="V22">
        <v>32</v>
      </c>
      <c r="W22" s="1">
        <v>1</v>
      </c>
      <c r="X22" s="1">
        <v>141</v>
      </c>
      <c r="Y22" s="1">
        <v>141</v>
      </c>
    </row>
    <row r="23" spans="1:25" x14ac:dyDescent="0.3">
      <c r="A23" s="1">
        <v>13</v>
      </c>
      <c r="B23" s="184" t="s">
        <v>269</v>
      </c>
      <c r="C23" s="185">
        <v>5005</v>
      </c>
      <c r="D23" s="185">
        <v>5005</v>
      </c>
      <c r="E23" s="186">
        <v>1</v>
      </c>
      <c r="F23" s="185">
        <v>3514</v>
      </c>
      <c r="G23" s="185">
        <v>3509</v>
      </c>
      <c r="H23" s="186">
        <v>0.99857712009106436</v>
      </c>
      <c r="I23" s="185">
        <v>3055</v>
      </c>
      <c r="J23" s="185">
        <v>3055</v>
      </c>
      <c r="K23" s="186">
        <v>1</v>
      </c>
      <c r="L23" s="249">
        <v>11574</v>
      </c>
      <c r="M23" s="66">
        <v>11569</v>
      </c>
      <c r="N23" s="187">
        <f t="shared" si="0"/>
        <v>0.9995679972351823</v>
      </c>
      <c r="O23"/>
      <c r="P23">
        <v>3599</v>
      </c>
      <c r="Q23">
        <v>0.99972222222222218</v>
      </c>
      <c r="R23">
        <v>5303</v>
      </c>
      <c r="S23">
        <v>5184</v>
      </c>
      <c r="T23">
        <v>0.97755987177069581</v>
      </c>
      <c r="U23">
        <v>3570</v>
      </c>
      <c r="V23">
        <v>3506</v>
      </c>
      <c r="W23" s="1">
        <v>0.98207282913165261</v>
      </c>
      <c r="X23" s="1">
        <v>12473</v>
      </c>
      <c r="Y23" s="1">
        <v>12289</v>
      </c>
    </row>
    <row r="24" spans="1:25" x14ac:dyDescent="0.3">
      <c r="B24" s="341" t="s">
        <v>270</v>
      </c>
      <c r="C24" s="212">
        <f>SUM(C11:C23)</f>
        <v>11309</v>
      </c>
      <c r="D24" s="212">
        <f>SUM(D11:D23)</f>
        <v>11273</v>
      </c>
      <c r="E24" s="212">
        <f t="shared" ref="E24" si="1">IFERROR(D24/C24,"-")</f>
        <v>0.99681669466796352</v>
      </c>
      <c r="F24" s="212">
        <f>SUM(F11:F23)</f>
        <v>8339</v>
      </c>
      <c r="G24" s="212">
        <f>SUM(G11:G23)</f>
        <v>8301</v>
      </c>
      <c r="H24" s="212">
        <f t="shared" ref="H24" si="2">IFERROR(G24/F24,"-")</f>
        <v>0.99544309869288883</v>
      </c>
      <c r="I24" s="212">
        <f>SUM(I11:I23)</f>
        <v>7165</v>
      </c>
      <c r="J24" s="212">
        <f>SUM(J11:J23)</f>
        <v>7103</v>
      </c>
      <c r="K24" s="212">
        <f t="shared" ref="K24" si="3">IFERROR(J24/I24,"-")</f>
        <v>0.99134682484298675</v>
      </c>
      <c r="L24" s="212">
        <f>SUM(L11:L23)</f>
        <v>26813</v>
      </c>
      <c r="M24" s="212">
        <f>SUM(M11:M23)</f>
        <v>26677</v>
      </c>
      <c r="N24" s="342">
        <f>+M24/L24</f>
        <v>0.99492783351359415</v>
      </c>
      <c r="O24"/>
      <c r="P24"/>
      <c r="Q24"/>
      <c r="R24"/>
      <c r="S24"/>
      <c r="T24"/>
      <c r="U24"/>
      <c r="V24"/>
    </row>
    <row r="25" spans="1:25" x14ac:dyDescent="0.3">
      <c r="B25" s="111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5" x14ac:dyDescent="0.3">
      <c r="B26" s="111" t="s">
        <v>271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5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5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5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5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5" ht="15.6" x14ac:dyDescent="0.3">
      <c r="B31" s="570" t="s">
        <v>272</v>
      </c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/>
      <c r="P31"/>
      <c r="Q31"/>
      <c r="R31"/>
      <c r="S31"/>
      <c r="T31"/>
      <c r="U31"/>
      <c r="V31"/>
    </row>
    <row r="32" spans="1:25" x14ac:dyDescent="0.3">
      <c r="B32" s="502"/>
      <c r="C32" s="503" t="s">
        <v>42</v>
      </c>
      <c r="D32" s="503"/>
      <c r="E32" s="503"/>
      <c r="F32" s="503" t="s">
        <v>22</v>
      </c>
      <c r="G32" s="503"/>
      <c r="H32" s="503"/>
      <c r="I32" s="503" t="s">
        <v>23</v>
      </c>
      <c r="J32" s="503"/>
      <c r="K32" s="503"/>
      <c r="L32" s="569" t="s">
        <v>16</v>
      </c>
      <c r="M32" s="569"/>
      <c r="N32" s="569"/>
      <c r="O32"/>
      <c r="P32"/>
      <c r="Q32"/>
      <c r="R32"/>
      <c r="S32"/>
      <c r="T32"/>
      <c r="U32"/>
      <c r="V32"/>
    </row>
    <row r="33" spans="1:22" x14ac:dyDescent="0.3">
      <c r="B33" s="48" t="s">
        <v>253</v>
      </c>
      <c r="C33" s="48" t="s">
        <v>254</v>
      </c>
      <c r="D33" s="48" t="s">
        <v>255</v>
      </c>
      <c r="E33" s="48" t="s">
        <v>62</v>
      </c>
      <c r="F33" s="48" t="s">
        <v>254</v>
      </c>
      <c r="G33" s="48" t="s">
        <v>255</v>
      </c>
      <c r="H33" s="48" t="s">
        <v>256</v>
      </c>
      <c r="I33" s="48" t="s">
        <v>254</v>
      </c>
      <c r="J33" s="48" t="s">
        <v>255</v>
      </c>
      <c r="K33" s="48" t="s">
        <v>256</v>
      </c>
      <c r="L33" s="48" t="s">
        <v>254</v>
      </c>
      <c r="M33" s="48" t="s">
        <v>255</v>
      </c>
      <c r="N33" s="48" t="s">
        <v>256</v>
      </c>
      <c r="O33"/>
      <c r="P33"/>
      <c r="Q33"/>
      <c r="R33"/>
      <c r="S33"/>
      <c r="T33"/>
      <c r="U33"/>
      <c r="V33"/>
    </row>
    <row r="34" spans="1:22" x14ac:dyDescent="0.3">
      <c r="A34" s="1">
        <v>1</v>
      </c>
      <c r="B34" s="497" t="s">
        <v>273</v>
      </c>
      <c r="C34" s="477">
        <v>16</v>
      </c>
      <c r="D34" s="477">
        <v>7</v>
      </c>
      <c r="E34" s="498">
        <f>IFERROR(D34/C34,"-")</f>
        <v>0.4375</v>
      </c>
      <c r="F34" s="477">
        <v>11</v>
      </c>
      <c r="G34" s="477">
        <v>8</v>
      </c>
      <c r="H34" s="498">
        <f t="shared" ref="H34:H53" si="4">IFERROR(G34/F34,"-")</f>
        <v>0.72727272727272729</v>
      </c>
      <c r="I34" s="477">
        <v>14</v>
      </c>
      <c r="J34" s="477">
        <v>4</v>
      </c>
      <c r="K34" s="498">
        <f t="shared" ref="K34:K53" si="5">IFERROR(J34/I34,"-")</f>
        <v>0.2857142857142857</v>
      </c>
      <c r="L34" s="504">
        <v>614</v>
      </c>
      <c r="M34" s="505">
        <v>65</v>
      </c>
      <c r="N34" s="409">
        <f t="shared" ref="N34:N52" si="6">IFERROR(M34/L34,"-")</f>
        <v>0.10586319218241043</v>
      </c>
      <c r="O34"/>
      <c r="P34"/>
      <c r="Q34"/>
      <c r="R34"/>
      <c r="S34"/>
      <c r="T34"/>
      <c r="U34"/>
      <c r="V34"/>
    </row>
    <row r="35" spans="1:22" x14ac:dyDescent="0.3">
      <c r="A35" s="1">
        <v>2</v>
      </c>
      <c r="B35" s="497" t="s">
        <v>274</v>
      </c>
      <c r="C35" s="477">
        <v>15</v>
      </c>
      <c r="D35" s="477">
        <v>3</v>
      </c>
      <c r="E35" s="498">
        <f t="shared" ref="E35:E47" si="7">IFERROR(D35/C35,"-")</f>
        <v>0.2</v>
      </c>
      <c r="F35" s="477">
        <v>6</v>
      </c>
      <c r="G35" s="477">
        <v>0</v>
      </c>
      <c r="H35" s="498">
        <f t="shared" si="4"/>
        <v>0</v>
      </c>
      <c r="I35" s="477">
        <v>23</v>
      </c>
      <c r="J35" s="477">
        <v>2</v>
      </c>
      <c r="K35" s="498">
        <f t="shared" si="5"/>
        <v>8.6956521739130432E-2</v>
      </c>
      <c r="L35" s="504">
        <v>5645</v>
      </c>
      <c r="M35" s="505">
        <v>4961</v>
      </c>
      <c r="N35" s="409">
        <f t="shared" si="6"/>
        <v>0.87883082373782107</v>
      </c>
      <c r="O35"/>
      <c r="P35"/>
      <c r="Q35"/>
      <c r="R35"/>
      <c r="S35"/>
      <c r="T35"/>
      <c r="U35"/>
      <c r="V35"/>
    </row>
    <row r="36" spans="1:22" x14ac:dyDescent="0.3">
      <c r="A36" s="1">
        <v>3</v>
      </c>
      <c r="B36" s="497" t="s">
        <v>275</v>
      </c>
      <c r="C36" s="477">
        <v>106</v>
      </c>
      <c r="D36" s="477">
        <v>38</v>
      </c>
      <c r="E36" s="498">
        <f t="shared" si="7"/>
        <v>0.35849056603773582</v>
      </c>
      <c r="F36" s="477">
        <v>130</v>
      </c>
      <c r="G36" s="477">
        <v>30</v>
      </c>
      <c r="H36" s="498">
        <f t="shared" si="4"/>
        <v>0.23076923076923078</v>
      </c>
      <c r="I36" s="477">
        <v>228</v>
      </c>
      <c r="J36" s="477">
        <v>34</v>
      </c>
      <c r="K36" s="498">
        <f t="shared" si="5"/>
        <v>0.14912280701754385</v>
      </c>
      <c r="L36" s="504">
        <v>148</v>
      </c>
      <c r="M36" s="505">
        <v>142</v>
      </c>
      <c r="N36" s="409">
        <f t="shared" si="6"/>
        <v>0.95945945945945943</v>
      </c>
      <c r="O36"/>
      <c r="P36"/>
      <c r="Q36"/>
      <c r="R36"/>
      <c r="S36"/>
      <c r="T36"/>
      <c r="U36"/>
      <c r="V36"/>
    </row>
    <row r="37" spans="1:22" x14ac:dyDescent="0.3">
      <c r="A37" s="1">
        <v>4</v>
      </c>
      <c r="B37" s="497" t="s">
        <v>276</v>
      </c>
      <c r="C37" s="477">
        <v>8</v>
      </c>
      <c r="D37" s="477">
        <v>3</v>
      </c>
      <c r="E37" s="498">
        <f t="shared" si="7"/>
        <v>0.375</v>
      </c>
      <c r="F37" s="477">
        <v>2</v>
      </c>
      <c r="G37" s="477">
        <v>0</v>
      </c>
      <c r="H37" s="498">
        <f t="shared" si="4"/>
        <v>0</v>
      </c>
      <c r="I37" s="477">
        <v>1</v>
      </c>
      <c r="J37" s="477">
        <v>0</v>
      </c>
      <c r="K37" s="498">
        <f t="shared" si="5"/>
        <v>0</v>
      </c>
      <c r="L37" s="504">
        <v>2711</v>
      </c>
      <c r="M37" s="505">
        <v>2028</v>
      </c>
      <c r="N37" s="409">
        <f t="shared" si="6"/>
        <v>0.74806344522316492</v>
      </c>
      <c r="O37"/>
      <c r="P37"/>
      <c r="Q37"/>
      <c r="R37"/>
      <c r="S37"/>
      <c r="T37"/>
      <c r="U37"/>
      <c r="V37"/>
    </row>
    <row r="38" spans="1:22" x14ac:dyDescent="0.3">
      <c r="A38" s="1">
        <v>5</v>
      </c>
      <c r="B38" s="497" t="s">
        <v>277</v>
      </c>
      <c r="C38" s="477">
        <v>0</v>
      </c>
      <c r="D38" s="477">
        <v>0</v>
      </c>
      <c r="E38" s="498" t="str">
        <f t="shared" si="7"/>
        <v>-</v>
      </c>
      <c r="F38" s="477">
        <v>0</v>
      </c>
      <c r="G38" s="477">
        <v>0</v>
      </c>
      <c r="H38" s="498" t="str">
        <f t="shared" si="4"/>
        <v>-</v>
      </c>
      <c r="I38" s="477">
        <v>0</v>
      </c>
      <c r="J38" s="477">
        <v>0</v>
      </c>
      <c r="K38" s="498" t="str">
        <f t="shared" si="5"/>
        <v>-</v>
      </c>
      <c r="L38" s="504">
        <v>5147</v>
      </c>
      <c r="M38" s="505">
        <v>3689</v>
      </c>
      <c r="N38" s="409">
        <f t="shared" si="6"/>
        <v>0.71672819117932773</v>
      </c>
      <c r="O38"/>
      <c r="P38"/>
      <c r="Q38"/>
      <c r="R38"/>
      <c r="S38"/>
      <c r="T38"/>
      <c r="U38"/>
      <c r="V38"/>
    </row>
    <row r="39" spans="1:22" x14ac:dyDescent="0.3">
      <c r="A39" s="1">
        <v>6</v>
      </c>
      <c r="B39" s="497" t="s">
        <v>278</v>
      </c>
      <c r="C39" s="477"/>
      <c r="D39" s="477"/>
      <c r="E39" s="498"/>
      <c r="F39" s="477"/>
      <c r="G39" s="477"/>
      <c r="H39" s="498"/>
      <c r="I39" s="477"/>
      <c r="J39" s="477"/>
      <c r="K39" s="498"/>
      <c r="L39" s="504">
        <v>121</v>
      </c>
      <c r="M39" s="505">
        <v>80</v>
      </c>
      <c r="N39" s="409">
        <f t="shared" si="6"/>
        <v>0.66115702479338845</v>
      </c>
      <c r="O39"/>
      <c r="P39"/>
      <c r="Q39"/>
      <c r="R39"/>
      <c r="S39"/>
      <c r="T39"/>
      <c r="U39"/>
      <c r="V39"/>
    </row>
    <row r="40" spans="1:22" x14ac:dyDescent="0.3">
      <c r="A40" s="1">
        <v>7</v>
      </c>
      <c r="B40" s="497" t="s">
        <v>279</v>
      </c>
      <c r="C40" s="477"/>
      <c r="D40" s="477"/>
      <c r="E40" s="498"/>
      <c r="F40" s="477"/>
      <c r="G40" s="477"/>
      <c r="H40" s="498"/>
      <c r="I40" s="477"/>
      <c r="J40" s="477"/>
      <c r="K40" s="498"/>
      <c r="L40" s="504">
        <v>29</v>
      </c>
      <c r="M40" s="505">
        <v>21</v>
      </c>
      <c r="N40" s="409">
        <f t="shared" si="6"/>
        <v>0.72413793103448276</v>
      </c>
      <c r="O40"/>
      <c r="P40"/>
      <c r="Q40"/>
      <c r="R40"/>
      <c r="S40"/>
      <c r="T40"/>
      <c r="U40"/>
      <c r="V40"/>
    </row>
    <row r="41" spans="1:22" x14ac:dyDescent="0.3">
      <c r="A41" s="1">
        <v>8</v>
      </c>
      <c r="B41" s="497" t="s">
        <v>280</v>
      </c>
      <c r="C41" s="477">
        <v>113</v>
      </c>
      <c r="D41" s="477">
        <v>58</v>
      </c>
      <c r="E41" s="498">
        <f t="shared" si="7"/>
        <v>0.51327433628318586</v>
      </c>
      <c r="F41" s="477">
        <v>76</v>
      </c>
      <c r="G41" s="477">
        <v>40</v>
      </c>
      <c r="H41" s="498">
        <f t="shared" si="4"/>
        <v>0.52631578947368418</v>
      </c>
      <c r="I41" s="477">
        <v>157</v>
      </c>
      <c r="J41" s="477">
        <v>38</v>
      </c>
      <c r="K41" s="498">
        <f t="shared" si="5"/>
        <v>0.24203821656050956</v>
      </c>
      <c r="L41" s="504">
        <v>67</v>
      </c>
      <c r="M41" s="505">
        <v>51</v>
      </c>
      <c r="N41" s="409">
        <f t="shared" si="6"/>
        <v>0.76119402985074625</v>
      </c>
      <c r="O41"/>
      <c r="P41"/>
      <c r="Q41"/>
      <c r="R41"/>
      <c r="S41"/>
      <c r="T41"/>
      <c r="U41"/>
      <c r="V41"/>
    </row>
    <row r="42" spans="1:22" x14ac:dyDescent="0.3">
      <c r="A42" s="1">
        <v>9</v>
      </c>
      <c r="B42" s="497" t="s">
        <v>281</v>
      </c>
      <c r="C42" s="477">
        <v>67</v>
      </c>
      <c r="D42" s="477">
        <v>26</v>
      </c>
      <c r="E42" s="498">
        <f t="shared" si="7"/>
        <v>0.38805970149253732</v>
      </c>
      <c r="F42" s="477">
        <v>55</v>
      </c>
      <c r="G42" s="477">
        <v>2</v>
      </c>
      <c r="H42" s="498">
        <f t="shared" si="4"/>
        <v>3.6363636363636362E-2</v>
      </c>
      <c r="I42" s="477">
        <v>123</v>
      </c>
      <c r="J42" s="477">
        <v>9</v>
      </c>
      <c r="K42" s="498">
        <f t="shared" si="5"/>
        <v>7.3170731707317069E-2</v>
      </c>
      <c r="L42" s="504">
        <v>297</v>
      </c>
      <c r="M42" s="505">
        <v>249</v>
      </c>
      <c r="N42" s="409">
        <f t="shared" si="6"/>
        <v>0.83838383838383834</v>
      </c>
      <c r="O42"/>
      <c r="P42"/>
      <c r="Q42"/>
      <c r="R42"/>
      <c r="S42"/>
      <c r="T42"/>
      <c r="U42"/>
      <c r="V42"/>
    </row>
    <row r="43" spans="1:22" x14ac:dyDescent="0.3">
      <c r="A43" s="1">
        <v>10</v>
      </c>
      <c r="B43" s="497" t="s">
        <v>282</v>
      </c>
      <c r="C43" s="477">
        <v>3</v>
      </c>
      <c r="D43" s="477">
        <v>2</v>
      </c>
      <c r="E43" s="498">
        <f t="shared" si="7"/>
        <v>0.66666666666666663</v>
      </c>
      <c r="F43" s="477">
        <v>5</v>
      </c>
      <c r="G43" s="477">
        <v>1</v>
      </c>
      <c r="H43" s="498">
        <f t="shared" si="4"/>
        <v>0.2</v>
      </c>
      <c r="I43" s="477">
        <v>4</v>
      </c>
      <c r="J43" s="477">
        <v>1</v>
      </c>
      <c r="K43" s="498">
        <f t="shared" si="5"/>
        <v>0.25</v>
      </c>
      <c r="L43" s="504">
        <v>23</v>
      </c>
      <c r="M43" s="505">
        <v>22</v>
      </c>
      <c r="N43" s="409">
        <f t="shared" si="6"/>
        <v>0.95652173913043481</v>
      </c>
      <c r="O43"/>
      <c r="P43"/>
      <c r="Q43"/>
      <c r="R43"/>
      <c r="S43"/>
      <c r="T43"/>
      <c r="U43"/>
      <c r="V43"/>
    </row>
    <row r="44" spans="1:22" x14ac:dyDescent="0.3">
      <c r="A44" s="1">
        <v>11</v>
      </c>
      <c r="B44" s="497" t="s">
        <v>283</v>
      </c>
      <c r="C44" s="477">
        <v>65</v>
      </c>
      <c r="D44" s="477">
        <v>12</v>
      </c>
      <c r="E44" s="498">
        <f t="shared" si="7"/>
        <v>0.18461538461538463</v>
      </c>
      <c r="F44" s="477">
        <v>51</v>
      </c>
      <c r="G44" s="477">
        <v>10</v>
      </c>
      <c r="H44" s="498">
        <f t="shared" si="4"/>
        <v>0.19607843137254902</v>
      </c>
      <c r="I44" s="477">
        <v>55</v>
      </c>
      <c r="J44" s="477">
        <v>5</v>
      </c>
      <c r="K44" s="498">
        <f t="shared" si="5"/>
        <v>9.0909090909090912E-2</v>
      </c>
      <c r="L44" s="504">
        <v>0</v>
      </c>
      <c r="M44" s="505">
        <v>51</v>
      </c>
      <c r="N44" s="409" t="str">
        <f t="shared" si="6"/>
        <v>-</v>
      </c>
      <c r="O44"/>
      <c r="P44"/>
      <c r="Q44"/>
      <c r="R44"/>
      <c r="S44"/>
      <c r="T44"/>
      <c r="U44"/>
      <c r="V44"/>
    </row>
    <row r="45" spans="1:22" x14ac:dyDescent="0.3">
      <c r="A45" s="1">
        <v>12</v>
      </c>
      <c r="B45" s="497" t="s">
        <v>284</v>
      </c>
      <c r="C45" s="477"/>
      <c r="D45" s="477"/>
      <c r="E45" s="498"/>
      <c r="F45" s="477"/>
      <c r="G45" s="477"/>
      <c r="H45" s="498"/>
      <c r="I45" s="477"/>
      <c r="J45" s="477"/>
      <c r="K45" s="498"/>
      <c r="L45" s="504">
        <v>0</v>
      </c>
      <c r="M45" s="505">
        <v>0</v>
      </c>
      <c r="N45" s="409" t="str">
        <f t="shared" si="6"/>
        <v>-</v>
      </c>
      <c r="O45"/>
      <c r="P45"/>
      <c r="Q45"/>
      <c r="R45"/>
      <c r="S45"/>
      <c r="T45"/>
      <c r="U45"/>
      <c r="V45"/>
    </row>
    <row r="46" spans="1:22" x14ac:dyDescent="0.3">
      <c r="A46" s="1">
        <v>13</v>
      </c>
      <c r="B46" s="497" t="s">
        <v>285</v>
      </c>
      <c r="C46" s="477">
        <v>1709</v>
      </c>
      <c r="D46" s="477">
        <v>518</v>
      </c>
      <c r="E46" s="498">
        <f t="shared" si="7"/>
        <v>0.30310122878876539</v>
      </c>
      <c r="F46" s="477">
        <v>3485</v>
      </c>
      <c r="G46" s="477">
        <v>964</v>
      </c>
      <c r="H46" s="498">
        <f t="shared" si="4"/>
        <v>0.27661406025824964</v>
      </c>
      <c r="I46" s="477">
        <v>3858</v>
      </c>
      <c r="J46" s="477">
        <v>229</v>
      </c>
      <c r="K46" s="498">
        <f t="shared" si="5"/>
        <v>5.9357179885951267E-2</v>
      </c>
      <c r="L46" s="504">
        <v>218</v>
      </c>
      <c r="M46" s="505">
        <v>128</v>
      </c>
      <c r="N46" s="409">
        <f t="shared" si="6"/>
        <v>0.58715596330275233</v>
      </c>
      <c r="O46"/>
      <c r="P46"/>
      <c r="Q46"/>
      <c r="R46"/>
      <c r="S46"/>
      <c r="T46"/>
      <c r="U46"/>
      <c r="V46"/>
    </row>
    <row r="47" spans="1:22" x14ac:dyDescent="0.3">
      <c r="A47" s="1">
        <v>14</v>
      </c>
      <c r="B47" s="497" t="s">
        <v>286</v>
      </c>
      <c r="C47" s="477">
        <v>35</v>
      </c>
      <c r="D47" s="477">
        <v>21</v>
      </c>
      <c r="E47" s="498">
        <f t="shared" si="7"/>
        <v>0.6</v>
      </c>
      <c r="F47" s="477">
        <v>28</v>
      </c>
      <c r="G47" s="477">
        <v>21</v>
      </c>
      <c r="H47" s="498">
        <f t="shared" si="4"/>
        <v>0.75</v>
      </c>
      <c r="I47" s="477">
        <v>63</v>
      </c>
      <c r="J47" s="477">
        <v>14</v>
      </c>
      <c r="K47" s="498">
        <f t="shared" si="5"/>
        <v>0.22222222222222221</v>
      </c>
      <c r="L47" s="504">
        <v>1538</v>
      </c>
      <c r="M47" s="505">
        <v>420</v>
      </c>
      <c r="N47" s="409">
        <f t="shared" si="6"/>
        <v>0.27308192457737324</v>
      </c>
      <c r="O47"/>
      <c r="P47"/>
      <c r="Q47"/>
      <c r="R47"/>
      <c r="S47"/>
      <c r="T47"/>
      <c r="U47"/>
      <c r="V47"/>
    </row>
    <row r="48" spans="1:22" x14ac:dyDescent="0.3">
      <c r="A48" s="1">
        <v>15</v>
      </c>
      <c r="B48" s="497" t="s">
        <v>287</v>
      </c>
      <c r="C48" s="477"/>
      <c r="D48" s="477"/>
      <c r="E48" s="498"/>
      <c r="F48" s="477"/>
      <c r="G48" s="477"/>
      <c r="H48" s="498"/>
      <c r="I48" s="477"/>
      <c r="J48" s="477"/>
      <c r="K48" s="498"/>
      <c r="L48" s="504">
        <v>428</v>
      </c>
      <c r="M48" s="505">
        <v>297</v>
      </c>
      <c r="N48" s="409">
        <f t="shared" si="6"/>
        <v>0.69392523364485981</v>
      </c>
      <c r="O48"/>
      <c r="P48"/>
      <c r="Q48"/>
      <c r="R48"/>
      <c r="S48"/>
      <c r="T48"/>
      <c r="U48"/>
      <c r="V48"/>
    </row>
    <row r="49" spans="1:22" x14ac:dyDescent="0.3">
      <c r="A49" s="1">
        <v>16</v>
      </c>
      <c r="B49" s="497" t="s">
        <v>288</v>
      </c>
      <c r="C49" s="477"/>
      <c r="D49" s="477"/>
      <c r="E49" s="498"/>
      <c r="F49" s="477"/>
      <c r="G49" s="477"/>
      <c r="H49" s="498"/>
      <c r="I49" s="477"/>
      <c r="J49" s="477"/>
      <c r="K49" s="498"/>
      <c r="L49" s="504">
        <v>1784</v>
      </c>
      <c r="M49" s="505">
        <v>1797</v>
      </c>
      <c r="N49" s="409">
        <f t="shared" si="6"/>
        <v>1.0072869955156951</v>
      </c>
      <c r="O49"/>
      <c r="P49"/>
      <c r="Q49"/>
      <c r="R49"/>
      <c r="S49"/>
      <c r="T49"/>
      <c r="U49"/>
      <c r="V49"/>
    </row>
    <row r="50" spans="1:22" x14ac:dyDescent="0.3">
      <c r="A50" s="1">
        <v>17</v>
      </c>
      <c r="B50" s="497" t="s">
        <v>289</v>
      </c>
      <c r="C50" s="477"/>
      <c r="D50" s="477"/>
      <c r="E50" s="498"/>
      <c r="F50" s="477"/>
      <c r="G50" s="477"/>
      <c r="H50" s="498"/>
      <c r="I50" s="477"/>
      <c r="J50" s="477"/>
      <c r="K50" s="498"/>
      <c r="L50" s="504">
        <v>0</v>
      </c>
      <c r="M50" s="505">
        <v>0</v>
      </c>
      <c r="N50" s="409" t="str">
        <f t="shared" si="6"/>
        <v>-</v>
      </c>
      <c r="O50"/>
      <c r="P50"/>
      <c r="Q50"/>
      <c r="R50"/>
      <c r="S50"/>
      <c r="T50"/>
      <c r="U50"/>
      <c r="V50"/>
    </row>
    <row r="51" spans="1:22" x14ac:dyDescent="0.3">
      <c r="A51" s="1">
        <v>18</v>
      </c>
      <c r="B51" s="497" t="s">
        <v>290</v>
      </c>
      <c r="C51" s="477"/>
      <c r="D51" s="477"/>
      <c r="E51" s="498"/>
      <c r="F51" s="477"/>
      <c r="G51" s="477"/>
      <c r="H51" s="498"/>
      <c r="I51" s="477"/>
      <c r="J51" s="477"/>
      <c r="K51" s="498"/>
      <c r="L51" s="505"/>
      <c r="M51" s="505">
        <v>129</v>
      </c>
      <c r="N51" s="409" t="str">
        <f t="shared" si="6"/>
        <v>-</v>
      </c>
      <c r="O51"/>
      <c r="P51"/>
      <c r="Q51"/>
      <c r="R51"/>
      <c r="S51"/>
      <c r="T51"/>
      <c r="U51"/>
      <c r="V51"/>
    </row>
    <row r="52" spans="1:22" x14ac:dyDescent="0.3">
      <c r="A52" s="1">
        <v>19</v>
      </c>
      <c r="B52" s="497" t="s">
        <v>291</v>
      </c>
      <c r="C52" s="477"/>
      <c r="D52" s="477"/>
      <c r="E52" s="498"/>
      <c r="F52" s="477"/>
      <c r="G52" s="477"/>
      <c r="H52" s="498"/>
      <c r="I52" s="477"/>
      <c r="J52" s="477"/>
      <c r="K52" s="498"/>
      <c r="L52" s="504">
        <v>43</v>
      </c>
      <c r="M52" s="505">
        <v>16</v>
      </c>
      <c r="N52" s="409">
        <f t="shared" si="6"/>
        <v>0.37209302325581395</v>
      </c>
      <c r="O52"/>
      <c r="P52"/>
      <c r="Q52"/>
      <c r="R52"/>
      <c r="S52"/>
      <c r="T52"/>
      <c r="U52"/>
      <c r="V52"/>
    </row>
    <row r="53" spans="1:22" x14ac:dyDescent="0.3">
      <c r="B53" s="499" t="s">
        <v>270</v>
      </c>
      <c r="C53" s="500">
        <f>SUM(C34:C47)</f>
        <v>2137</v>
      </c>
      <c r="D53" s="500">
        <f>SUM(D34:D47)</f>
        <v>688</v>
      </c>
      <c r="E53" s="500">
        <f>IFERROR(D53/C53,"-")</f>
        <v>0.32194665418811419</v>
      </c>
      <c r="F53" s="500">
        <f>SUM(F34:F47)</f>
        <v>3849</v>
      </c>
      <c r="G53" s="500">
        <f>SUM(G34:G47)</f>
        <v>1076</v>
      </c>
      <c r="H53" s="500">
        <f t="shared" si="4"/>
        <v>0.27955313068329435</v>
      </c>
      <c r="I53" s="500">
        <f>SUM(I34:I47)</f>
        <v>4526</v>
      </c>
      <c r="J53" s="500">
        <f>SUM(J34:J47)</f>
        <v>336</v>
      </c>
      <c r="K53" s="500">
        <f t="shared" si="5"/>
        <v>7.4237737516570923E-2</v>
      </c>
      <c r="L53" s="500">
        <f>SUM(L34:L52)</f>
        <v>18813</v>
      </c>
      <c r="M53" s="500">
        <f>SUM(M34:M52)</f>
        <v>14146</v>
      </c>
      <c r="N53" s="501">
        <f>+M53/L53</f>
        <v>0.75192685908680168</v>
      </c>
      <c r="O53"/>
      <c r="P53"/>
      <c r="Q53"/>
      <c r="R53"/>
      <c r="S53"/>
      <c r="T53"/>
      <c r="U53"/>
      <c r="V53"/>
    </row>
    <row r="54" spans="1:22" x14ac:dyDescent="0.3">
      <c r="B54" s="111" t="s">
        <v>292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x14ac:dyDescent="0.3">
      <c r="B55" s="192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x14ac:dyDescent="0.3">
      <c r="B56"/>
      <c r="C56"/>
      <c r="D56"/>
      <c r="E56"/>
      <c r="F56"/>
      <c r="G56"/>
      <c r="H56"/>
      <c r="I56"/>
      <c r="J56"/>
      <c r="K56"/>
      <c r="L56"/>
      <c r="M56"/>
      <c r="N56" s="85"/>
      <c r="O56"/>
      <c r="P56"/>
      <c r="Q56"/>
      <c r="R56"/>
      <c r="S56"/>
      <c r="T56"/>
      <c r="U56"/>
      <c r="V56"/>
    </row>
    <row r="57" spans="1:22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64" spans="1:22" ht="15.6" x14ac:dyDescent="0.3">
      <c r="B64" s="570" t="s">
        <v>293</v>
      </c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191"/>
    </row>
    <row r="65" spans="2:14" x14ac:dyDescent="0.3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571" t="s">
        <v>16</v>
      </c>
      <c r="M65" s="571"/>
    </row>
    <row r="66" spans="2:14" x14ac:dyDescent="0.3">
      <c r="B66" s="48" t="s">
        <v>253</v>
      </c>
      <c r="C66" s="48" t="s">
        <v>254</v>
      </c>
      <c r="D66" s="48" t="s">
        <v>255</v>
      </c>
      <c r="E66" s="48" t="s">
        <v>62</v>
      </c>
      <c r="F66" s="48" t="s">
        <v>254</v>
      </c>
      <c r="G66" s="48" t="s">
        <v>255</v>
      </c>
      <c r="H66" s="48" t="s">
        <v>256</v>
      </c>
      <c r="I66" s="48" t="s">
        <v>254</v>
      </c>
      <c r="J66" s="48" t="s">
        <v>255</v>
      </c>
      <c r="K66" s="48" t="s">
        <v>256</v>
      </c>
      <c r="L66" s="48" t="s">
        <v>254</v>
      </c>
      <c r="M66" s="48" t="s">
        <v>294</v>
      </c>
    </row>
    <row r="67" spans="2:14" x14ac:dyDescent="0.3">
      <c r="B67" s="47" t="s">
        <v>295</v>
      </c>
      <c r="C67" s="103">
        <v>16</v>
      </c>
      <c r="D67" s="103">
        <v>7</v>
      </c>
      <c r="E67" s="188">
        <f>IFERROR(D67/C67,"-")</f>
        <v>0.4375</v>
      </c>
      <c r="F67" s="103">
        <v>11</v>
      </c>
      <c r="G67" s="103">
        <v>8</v>
      </c>
      <c r="H67" s="188">
        <f t="shared" ref="H67:H71" si="8">IFERROR(G67/F67,"-")</f>
        <v>0.72727272727272729</v>
      </c>
      <c r="I67" s="103">
        <v>14</v>
      </c>
      <c r="J67" s="103">
        <v>4</v>
      </c>
      <c r="K67" s="188">
        <f t="shared" ref="K67:K71" si="9">IFERROR(J67/I67,"-")</f>
        <v>0.2857142857142857</v>
      </c>
      <c r="L67" s="103">
        <v>21</v>
      </c>
      <c r="M67" s="103">
        <v>34</v>
      </c>
    </row>
    <row r="68" spans="2:14" x14ac:dyDescent="0.3">
      <c r="B68" s="47" t="s">
        <v>296</v>
      </c>
      <c r="C68" s="103">
        <v>15</v>
      </c>
      <c r="D68" s="103">
        <v>3</v>
      </c>
      <c r="E68" s="188">
        <f t="shared" ref="E68:E70" si="10">IFERROR(D68/C68,"-")</f>
        <v>0.2</v>
      </c>
      <c r="F68" s="103">
        <v>6</v>
      </c>
      <c r="G68" s="103">
        <v>0</v>
      </c>
      <c r="H68" s="188">
        <f t="shared" si="8"/>
        <v>0</v>
      </c>
      <c r="I68" s="103">
        <v>23</v>
      </c>
      <c r="J68" s="103">
        <v>2</v>
      </c>
      <c r="K68" s="188">
        <f t="shared" si="9"/>
        <v>8.6956521739130432E-2</v>
      </c>
      <c r="L68" s="103">
        <v>13</v>
      </c>
      <c r="M68" s="103">
        <v>45</v>
      </c>
    </row>
    <row r="69" spans="2:14" x14ac:dyDescent="0.3">
      <c r="B69" s="47" t="s">
        <v>297</v>
      </c>
      <c r="C69" s="103">
        <v>106</v>
      </c>
      <c r="D69" s="103">
        <v>38</v>
      </c>
      <c r="E69" s="188">
        <f t="shared" si="10"/>
        <v>0.35849056603773582</v>
      </c>
      <c r="F69" s="103">
        <v>130</v>
      </c>
      <c r="G69" s="103">
        <v>30</v>
      </c>
      <c r="H69" s="188">
        <f t="shared" si="8"/>
        <v>0.23076923076923078</v>
      </c>
      <c r="I69" s="103">
        <v>228</v>
      </c>
      <c r="J69" s="103">
        <v>34</v>
      </c>
      <c r="K69" s="188">
        <f t="shared" si="9"/>
        <v>0.14912280701754385</v>
      </c>
      <c r="L69" s="103">
        <v>7</v>
      </c>
      <c r="M69" s="103">
        <v>13</v>
      </c>
    </row>
    <row r="70" spans="2:14" x14ac:dyDescent="0.3">
      <c r="B70" s="47" t="s">
        <v>298</v>
      </c>
      <c r="C70" s="103">
        <v>8</v>
      </c>
      <c r="D70" s="103">
        <v>3</v>
      </c>
      <c r="E70" s="188">
        <f t="shared" si="10"/>
        <v>0.375</v>
      </c>
      <c r="F70" s="103">
        <v>2</v>
      </c>
      <c r="G70" s="103">
        <v>0</v>
      </c>
      <c r="H70" s="188">
        <f t="shared" si="8"/>
        <v>0</v>
      </c>
      <c r="I70" s="103">
        <v>1</v>
      </c>
      <c r="J70" s="103">
        <v>0</v>
      </c>
      <c r="K70" s="188">
        <f t="shared" si="9"/>
        <v>0</v>
      </c>
      <c r="L70" s="103">
        <v>0</v>
      </c>
      <c r="M70" s="103">
        <v>0</v>
      </c>
    </row>
    <row r="71" spans="2:14" x14ac:dyDescent="0.3">
      <c r="B71" s="40" t="s">
        <v>270</v>
      </c>
      <c r="C71" s="8">
        <f>SUM(C56:C63)</f>
        <v>0</v>
      </c>
      <c r="D71" s="8">
        <f>SUM(D56:D63)</f>
        <v>0</v>
      </c>
      <c r="E71" s="8" t="str">
        <f>IFERROR(D71/C71,"-")</f>
        <v>-</v>
      </c>
      <c r="F71" s="8">
        <f>SUM(F56:F63)</f>
        <v>0</v>
      </c>
      <c r="G71" s="8">
        <f>SUM(G56:G63)</f>
        <v>0</v>
      </c>
      <c r="H71" s="8" t="str">
        <f t="shared" si="8"/>
        <v>-</v>
      </c>
      <c r="I71" s="8">
        <f>SUM(I56:I63)</f>
        <v>0</v>
      </c>
      <c r="J71" s="8">
        <f>SUM(J56:J63)</f>
        <v>0</v>
      </c>
      <c r="K71" s="8" t="str">
        <f t="shared" si="9"/>
        <v>-</v>
      </c>
      <c r="L71" s="206">
        <f>SUM(L67:L70)</f>
        <v>41</v>
      </c>
      <c r="M71" s="206">
        <f>SUM(M67:M70)</f>
        <v>92</v>
      </c>
    </row>
    <row r="72" spans="2:14" ht="17.25" customHeight="1" x14ac:dyDescent="0.3">
      <c r="B72" s="192" t="s">
        <v>299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2:14" x14ac:dyDescent="0.3">
      <c r="B73" s="111"/>
    </row>
    <row r="86" spans="12:13" x14ac:dyDescent="0.3">
      <c r="L86" s="29"/>
      <c r="M86" s="29"/>
    </row>
  </sheetData>
  <mergeCells count="14">
    <mergeCell ref="B1:N1"/>
    <mergeCell ref="B2:N2"/>
    <mergeCell ref="B3:N3"/>
    <mergeCell ref="C9:E9"/>
    <mergeCell ref="B4:N4"/>
    <mergeCell ref="B8:N8"/>
    <mergeCell ref="F9:H9"/>
    <mergeCell ref="I9:K9"/>
    <mergeCell ref="L9:N9"/>
    <mergeCell ref="L32:N32"/>
    <mergeCell ref="B64:M64"/>
    <mergeCell ref="B5:N5"/>
    <mergeCell ref="B31:N31"/>
    <mergeCell ref="L65:M65"/>
  </mergeCells>
  <pageMargins left="0.7" right="0.7" top="0.75" bottom="0.75" header="0.3" footer="0.3"/>
  <pageSetup paperSize="9" scale="39" orientation="portrait" r:id="rId1"/>
  <colBreaks count="1" manualBreakCount="1">
    <brk id="23" max="1048575" man="1"/>
  </colBreaks>
  <ignoredErrors>
    <ignoredError sqref="N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C86"/>
  <sheetViews>
    <sheetView showGridLines="0" view="pageBreakPreview" topLeftCell="A10" zoomScaleNormal="100" zoomScaleSheetLayoutView="100" workbookViewId="0">
      <selection activeCell="C10" sqref="C10"/>
    </sheetView>
  </sheetViews>
  <sheetFormatPr baseColWidth="10" defaultColWidth="11.44140625" defaultRowHeight="14.4" x14ac:dyDescent="0.3"/>
  <cols>
    <col min="1" max="1" width="12.109375" style="1" customWidth="1"/>
    <col min="2" max="2" width="11.44140625" style="1"/>
    <col min="3" max="3" width="13.109375" style="1" bestFit="1" customWidth="1"/>
    <col min="4" max="4" width="12.109375" style="1" customWidth="1"/>
    <col min="5" max="5" width="13.44140625" style="1" customWidth="1"/>
    <col min="6" max="6" width="14.109375" style="1" customWidth="1"/>
    <col min="7" max="7" width="13.109375" style="1" customWidth="1"/>
    <col min="8" max="16384" width="11.44140625" style="1"/>
  </cols>
  <sheetData>
    <row r="1" spans="1:16" x14ac:dyDescent="0.3">
      <c r="A1" s="517" t="s">
        <v>0</v>
      </c>
      <c r="B1" s="517"/>
      <c r="C1" s="517"/>
      <c r="D1" s="517"/>
      <c r="E1" s="517"/>
      <c r="F1" s="517"/>
      <c r="G1" s="161"/>
    </row>
    <row r="2" spans="1:16" x14ac:dyDescent="0.3">
      <c r="A2" s="517" t="s">
        <v>31</v>
      </c>
      <c r="B2" s="517"/>
      <c r="C2" s="517"/>
      <c r="D2" s="517"/>
      <c r="E2" s="517"/>
      <c r="F2" s="517"/>
      <c r="G2" s="161"/>
    </row>
    <row r="3" spans="1:16" x14ac:dyDescent="0.3">
      <c r="A3" s="517" t="s">
        <v>32</v>
      </c>
      <c r="B3" s="517"/>
      <c r="C3" s="517"/>
      <c r="D3" s="517"/>
      <c r="E3" s="517"/>
      <c r="F3" s="517"/>
      <c r="G3" s="161"/>
    </row>
    <row r="4" spans="1:16" x14ac:dyDescent="0.3">
      <c r="A4" s="517" t="s">
        <v>3</v>
      </c>
      <c r="B4" s="517"/>
      <c r="C4" s="517"/>
      <c r="D4" s="517"/>
      <c r="E4" s="517"/>
      <c r="F4" s="517"/>
      <c r="G4" s="161"/>
    </row>
    <row r="5" spans="1:16" x14ac:dyDescent="0.3">
      <c r="A5" s="517" t="s">
        <v>4</v>
      </c>
      <c r="B5" s="517"/>
      <c r="C5" s="517"/>
      <c r="D5" s="517"/>
      <c r="E5" s="517"/>
      <c r="F5" s="517"/>
      <c r="G5" s="161"/>
      <c r="P5" s="18"/>
    </row>
    <row r="6" spans="1:16" ht="40.5" customHeight="1" x14ac:dyDescent="0.3">
      <c r="A6" s="37" t="s">
        <v>5</v>
      </c>
      <c r="B6" s="39" t="s">
        <v>33</v>
      </c>
      <c r="C6" s="39" t="s">
        <v>34</v>
      </c>
      <c r="D6" s="39" t="s">
        <v>35</v>
      </c>
      <c r="E6" s="39" t="s">
        <v>36</v>
      </c>
      <c r="F6" s="39" t="s">
        <v>37</v>
      </c>
      <c r="G6" s="39" t="s">
        <v>38</v>
      </c>
      <c r="H6"/>
      <c r="I6"/>
      <c r="J6"/>
      <c r="K6"/>
    </row>
    <row r="7" spans="1:16" ht="18" customHeight="1" x14ac:dyDescent="0.3">
      <c r="A7" s="196" t="s">
        <v>39</v>
      </c>
      <c r="B7" s="199">
        <v>93349</v>
      </c>
      <c r="C7" s="199">
        <v>28370</v>
      </c>
      <c r="D7" s="162">
        <f t="shared" ref="D7:D9" si="0">+C7/B7</f>
        <v>0.30391327170082166</v>
      </c>
      <c r="E7" s="198">
        <f>B7-C7</f>
        <v>64979</v>
      </c>
      <c r="F7" s="162">
        <f t="shared" ref="F7:F9" si="1">+E7/B7</f>
        <v>0.69608672829917839</v>
      </c>
      <c r="G7" s="66">
        <v>54661</v>
      </c>
      <c r="H7"/>
      <c r="I7"/>
      <c r="J7"/>
      <c r="K7"/>
    </row>
    <row r="8" spans="1:16" ht="18" customHeight="1" x14ac:dyDescent="0.3">
      <c r="A8" s="196" t="s">
        <v>14</v>
      </c>
      <c r="B8" s="199">
        <v>93301</v>
      </c>
      <c r="C8" s="199">
        <v>29218</v>
      </c>
      <c r="D8" s="162">
        <f t="shared" si="0"/>
        <v>0.31315848704729854</v>
      </c>
      <c r="E8" s="198">
        <f>B8-C8</f>
        <v>64083</v>
      </c>
      <c r="F8" s="162">
        <f t="shared" si="1"/>
        <v>0.68684151295270146</v>
      </c>
      <c r="G8" s="66">
        <v>54574</v>
      </c>
      <c r="H8"/>
      <c r="I8"/>
      <c r="J8"/>
      <c r="K8"/>
    </row>
    <row r="9" spans="1:16" ht="18" customHeight="1" x14ac:dyDescent="0.3">
      <c r="A9" s="197" t="s">
        <v>15</v>
      </c>
      <c r="B9" s="199">
        <v>93143</v>
      </c>
      <c r="C9" s="199">
        <v>28435</v>
      </c>
      <c r="D9" s="162">
        <f t="shared" si="0"/>
        <v>0.30528327410540779</v>
      </c>
      <c r="E9" s="198">
        <f>B9-C9</f>
        <v>64708</v>
      </c>
      <c r="F9" s="162">
        <f t="shared" si="1"/>
        <v>0.69471672589459221</v>
      </c>
      <c r="G9" s="66">
        <v>54538</v>
      </c>
      <c r="H9"/>
      <c r="I9"/>
      <c r="J9"/>
      <c r="K9"/>
    </row>
    <row r="10" spans="1:16" ht="27.75" customHeight="1" x14ac:dyDescent="0.3">
      <c r="A10" s="453" t="s">
        <v>40</v>
      </c>
      <c r="B10" s="457">
        <f>+AVERAGEA(B7:B9)</f>
        <v>93264.333333333328</v>
      </c>
      <c r="C10" s="456">
        <f t="shared" ref="C10:F10" si="2">+AVERAGEA(C7:C9)</f>
        <v>28674.333333333332</v>
      </c>
      <c r="D10" s="454">
        <f t="shared" si="2"/>
        <v>0.3074516776178427</v>
      </c>
      <c r="E10" s="455">
        <f t="shared" si="2"/>
        <v>64590</v>
      </c>
      <c r="F10" s="454">
        <f t="shared" si="2"/>
        <v>0.69254832238215736</v>
      </c>
      <c r="G10" s="461">
        <f>+AVERAGEA(G7:G9)</f>
        <v>54591</v>
      </c>
      <c r="H10"/>
      <c r="I10"/>
      <c r="J10"/>
      <c r="K10"/>
    </row>
    <row r="11" spans="1:16" ht="18" hidden="1" customHeight="1" x14ac:dyDescent="0.3">
      <c r="A11" s="165" t="s">
        <v>17</v>
      </c>
      <c r="B11" s="200">
        <v>93148</v>
      </c>
      <c r="C11" s="200">
        <v>29747</v>
      </c>
      <c r="D11" s="201">
        <f>+C11/B11</f>
        <v>0.31935199896938204</v>
      </c>
      <c r="E11" s="203">
        <v>63401</v>
      </c>
      <c r="F11" s="201">
        <f>+E11/B11</f>
        <v>0.68064800103061796</v>
      </c>
      <c r="G11" s="202">
        <v>54308</v>
      </c>
      <c r="H11"/>
      <c r="I11"/>
      <c r="J11"/>
      <c r="K11"/>
    </row>
    <row r="12" spans="1:16" ht="18" hidden="1" customHeight="1" x14ac:dyDescent="0.3">
      <c r="A12" s="165" t="s">
        <v>18</v>
      </c>
      <c r="B12" s="200">
        <v>92991</v>
      </c>
      <c r="C12" s="200">
        <v>28719</v>
      </c>
      <c r="D12" s="201">
        <f t="shared" ref="D12:D27" si="3">+C12/B12</f>
        <v>0.30883633900054847</v>
      </c>
      <c r="E12" s="203">
        <v>64272</v>
      </c>
      <c r="F12" s="201">
        <f t="shared" ref="F12:F27" si="4">+E12/B12</f>
        <v>0.69116366099945159</v>
      </c>
      <c r="G12" s="200">
        <v>54187</v>
      </c>
      <c r="H12"/>
      <c r="I12"/>
      <c r="J12"/>
      <c r="K12"/>
      <c r="L12" s="64"/>
      <c r="M12"/>
      <c r="N12"/>
      <c r="O12"/>
    </row>
    <row r="13" spans="1:16" ht="18" hidden="1" customHeight="1" x14ac:dyDescent="0.3">
      <c r="A13" s="163" t="s">
        <v>19</v>
      </c>
      <c r="B13" s="200">
        <v>92991</v>
      </c>
      <c r="C13" s="200">
        <v>28682</v>
      </c>
      <c r="D13" s="201">
        <f t="shared" si="3"/>
        <v>0.30843845103289563</v>
      </c>
      <c r="E13" s="203">
        <v>64309</v>
      </c>
      <c r="F13" s="201">
        <f t="shared" si="4"/>
        <v>0.69156154896710431</v>
      </c>
      <c r="G13" s="200">
        <v>54052</v>
      </c>
      <c r="H13"/>
      <c r="I13"/>
      <c r="J13"/>
      <c r="K13"/>
      <c r="L13"/>
      <c r="M13"/>
      <c r="N13"/>
      <c r="O13"/>
    </row>
    <row r="14" spans="1:16" ht="24" hidden="1" customHeight="1" x14ac:dyDescent="0.3">
      <c r="A14" s="167" t="s">
        <v>41</v>
      </c>
      <c r="B14" s="204">
        <f>+AVERAGE(B11:B13)</f>
        <v>93043.333333333328</v>
      </c>
      <c r="C14" s="204">
        <f>+AVERAGE(C11:C13)</f>
        <v>29049.333333333332</v>
      </c>
      <c r="D14" s="205">
        <f t="shared" si="3"/>
        <v>0.31221294737219218</v>
      </c>
      <c r="E14" s="204">
        <f>+AVERAGE(E11:E13)</f>
        <v>63994</v>
      </c>
      <c r="F14" s="205">
        <f t="shared" si="4"/>
        <v>0.68778705262780782</v>
      </c>
      <c r="G14" s="59">
        <f>AVERAGE(G11:G13)</f>
        <v>54182.333333333336</v>
      </c>
      <c r="H14"/>
      <c r="I14"/>
      <c r="J14"/>
      <c r="K14"/>
      <c r="L14" s="164"/>
      <c r="M14"/>
      <c r="N14"/>
      <c r="O14"/>
    </row>
    <row r="15" spans="1:16" hidden="1" x14ac:dyDescent="0.3">
      <c r="A15" s="163" t="s">
        <v>15</v>
      </c>
      <c r="B15" s="109"/>
      <c r="C15" s="109"/>
      <c r="D15" s="162" t="e">
        <f t="shared" si="3"/>
        <v>#DIV/0!</v>
      </c>
      <c r="E15" s="109"/>
      <c r="F15" s="162" t="e">
        <f t="shared" si="4"/>
        <v>#DIV/0!</v>
      </c>
      <c r="G15" s="162"/>
      <c r="H15"/>
      <c r="I15"/>
      <c r="J15"/>
      <c r="K15" s="64"/>
      <c r="L15" s="64"/>
      <c r="M15"/>
      <c r="N15"/>
      <c r="O15"/>
    </row>
    <row r="16" spans="1:16" hidden="1" x14ac:dyDescent="0.3">
      <c r="A16" s="165" t="s">
        <v>14</v>
      </c>
      <c r="B16" s="109"/>
      <c r="C16" s="109"/>
      <c r="D16" s="162" t="e">
        <f t="shared" si="3"/>
        <v>#DIV/0!</v>
      </c>
      <c r="E16" s="109"/>
      <c r="F16" s="162" t="e">
        <f t="shared" si="4"/>
        <v>#DIV/0!</v>
      </c>
      <c r="G16" s="162"/>
      <c r="H16"/>
      <c r="I16"/>
      <c r="J16"/>
      <c r="K16"/>
      <c r="L16" s="64"/>
      <c r="M16"/>
      <c r="N16"/>
      <c r="O16"/>
    </row>
    <row r="17" spans="1:15" hidden="1" x14ac:dyDescent="0.3">
      <c r="A17" s="165" t="s">
        <v>13</v>
      </c>
      <c r="B17" s="109"/>
      <c r="C17" s="109"/>
      <c r="D17" s="162" t="e">
        <f t="shared" si="3"/>
        <v>#DIV/0!</v>
      </c>
      <c r="E17" s="109"/>
      <c r="F17" s="162" t="e">
        <f t="shared" si="4"/>
        <v>#DIV/0!</v>
      </c>
      <c r="G17" s="162"/>
      <c r="H17"/>
      <c r="I17"/>
      <c r="J17"/>
      <c r="K17"/>
      <c r="L17"/>
      <c r="M17"/>
      <c r="N17"/>
      <c r="O17"/>
    </row>
    <row r="18" spans="1:15" ht="24" hidden="1" customHeight="1" x14ac:dyDescent="0.3">
      <c r="A18" s="110" t="s">
        <v>40</v>
      </c>
      <c r="B18" s="8" t="e">
        <f>+AVERAGE(B15:B17)</f>
        <v>#DIV/0!</v>
      </c>
      <c r="C18" s="8" t="e">
        <f>+AVERAGE(C15:C17)</f>
        <v>#DIV/0!</v>
      </c>
      <c r="D18" s="16" t="e">
        <f t="shared" si="3"/>
        <v>#DIV/0!</v>
      </c>
      <c r="E18" s="8" t="e">
        <f>+AVERAGE(E15:E17)</f>
        <v>#DIV/0!</v>
      </c>
      <c r="F18" s="16" t="e">
        <f t="shared" si="4"/>
        <v>#DIV/0!</v>
      </c>
      <c r="G18" s="16"/>
      <c r="H18"/>
      <c r="I18"/>
      <c r="J18"/>
      <c r="K18"/>
      <c r="L18" s="164"/>
      <c r="M18"/>
      <c r="N18"/>
      <c r="O18"/>
    </row>
    <row r="19" spans="1:15" hidden="1" x14ac:dyDescent="0.3">
      <c r="A19" s="163" t="s">
        <v>42</v>
      </c>
      <c r="B19" s="109"/>
      <c r="C19" s="109"/>
      <c r="D19" s="162" t="e">
        <f t="shared" si="3"/>
        <v>#DIV/0!</v>
      </c>
      <c r="E19" s="109"/>
      <c r="F19" s="162" t="e">
        <f t="shared" si="4"/>
        <v>#DIV/0!</v>
      </c>
      <c r="G19" s="162"/>
      <c r="H19"/>
      <c r="I19"/>
      <c r="J19"/>
      <c r="K19" s="64"/>
      <c r="L19" s="64"/>
      <c r="M19"/>
      <c r="N19"/>
      <c r="O19"/>
    </row>
    <row r="20" spans="1:15" hidden="1" x14ac:dyDescent="0.3">
      <c r="A20" s="165" t="s">
        <v>22</v>
      </c>
      <c r="B20" s="109"/>
      <c r="C20" s="109"/>
      <c r="D20" s="162" t="e">
        <f t="shared" si="3"/>
        <v>#DIV/0!</v>
      </c>
      <c r="E20" s="109"/>
      <c r="F20" s="162" t="e">
        <f t="shared" si="4"/>
        <v>#DIV/0!</v>
      </c>
      <c r="G20" s="162"/>
      <c r="H20"/>
      <c r="I20"/>
      <c r="J20"/>
      <c r="K20"/>
      <c r="L20" s="64"/>
      <c r="M20"/>
      <c r="N20"/>
      <c r="O20"/>
    </row>
    <row r="21" spans="1:15" hidden="1" x14ac:dyDescent="0.3">
      <c r="A21" s="165" t="s">
        <v>23</v>
      </c>
      <c r="B21" s="109"/>
      <c r="C21" s="109"/>
      <c r="D21" s="162" t="e">
        <f t="shared" si="3"/>
        <v>#DIV/0!</v>
      </c>
      <c r="E21" s="109"/>
      <c r="F21" s="162" t="e">
        <f t="shared" si="4"/>
        <v>#DIV/0!</v>
      </c>
      <c r="G21" s="162"/>
      <c r="H21"/>
      <c r="I21"/>
      <c r="J21"/>
      <c r="K21"/>
      <c r="L21"/>
      <c r="M21"/>
      <c r="N21"/>
      <c r="O21"/>
    </row>
    <row r="22" spans="1:15" ht="24" hidden="1" customHeight="1" x14ac:dyDescent="0.3">
      <c r="A22" s="110" t="s">
        <v>43</v>
      </c>
      <c r="B22" s="8" t="e">
        <f>+AVERAGE(B19:B21)</f>
        <v>#DIV/0!</v>
      </c>
      <c r="C22" s="8" t="e">
        <f>+AVERAGE(C19:C21)</f>
        <v>#DIV/0!</v>
      </c>
      <c r="D22" s="16" t="e">
        <f t="shared" si="3"/>
        <v>#DIV/0!</v>
      </c>
      <c r="E22" s="8" t="e">
        <f>+AVERAGE(E19:E21)</f>
        <v>#DIV/0!</v>
      </c>
      <c r="F22" s="16" t="e">
        <f t="shared" si="4"/>
        <v>#DIV/0!</v>
      </c>
      <c r="G22" s="16"/>
      <c r="H22"/>
      <c r="I22"/>
      <c r="J22"/>
      <c r="K22"/>
      <c r="L22" s="164"/>
      <c r="M22"/>
      <c r="N22"/>
      <c r="O22"/>
    </row>
    <row r="23" spans="1:15" hidden="1" x14ac:dyDescent="0.3">
      <c r="A23" s="163" t="s">
        <v>25</v>
      </c>
      <c r="B23" s="109"/>
      <c r="C23" s="109"/>
      <c r="D23" s="162" t="e">
        <f t="shared" si="3"/>
        <v>#DIV/0!</v>
      </c>
      <c r="E23" s="109"/>
      <c r="F23" s="162" t="e">
        <f t="shared" si="4"/>
        <v>#DIV/0!</v>
      </c>
      <c r="G23" s="162"/>
      <c r="H23"/>
      <c r="I23"/>
      <c r="J23"/>
      <c r="K23" s="64"/>
      <c r="L23" s="64"/>
      <c r="M23"/>
      <c r="N23"/>
      <c r="O23"/>
    </row>
    <row r="24" spans="1:15" hidden="1" x14ac:dyDescent="0.3">
      <c r="A24" s="165" t="s">
        <v>26</v>
      </c>
      <c r="B24" s="109"/>
      <c r="C24" s="109"/>
      <c r="D24" s="162" t="e">
        <f t="shared" si="3"/>
        <v>#DIV/0!</v>
      </c>
      <c r="E24" s="109"/>
      <c r="F24" s="162" t="e">
        <f t="shared" si="4"/>
        <v>#DIV/0!</v>
      </c>
      <c r="G24" s="162"/>
      <c r="H24"/>
      <c r="I24"/>
      <c r="J24"/>
      <c r="K24"/>
      <c r="L24" s="64"/>
      <c r="M24"/>
      <c r="N24"/>
      <c r="O24"/>
    </row>
    <row r="25" spans="1:15" hidden="1" x14ac:dyDescent="0.3">
      <c r="A25" s="165" t="s">
        <v>27</v>
      </c>
      <c r="B25" s="109"/>
      <c r="C25" s="109"/>
      <c r="D25" s="162" t="e">
        <f t="shared" si="3"/>
        <v>#DIV/0!</v>
      </c>
      <c r="E25" s="109"/>
      <c r="F25" s="162" t="e">
        <f t="shared" si="4"/>
        <v>#DIV/0!</v>
      </c>
      <c r="G25" s="162"/>
      <c r="H25"/>
      <c r="I25"/>
      <c r="J25"/>
      <c r="K25"/>
      <c r="L25"/>
      <c r="M25"/>
      <c r="N25"/>
      <c r="O25"/>
    </row>
    <row r="26" spans="1:15" ht="24" hidden="1" customHeight="1" x14ac:dyDescent="0.3">
      <c r="A26" s="110" t="s">
        <v>44</v>
      </c>
      <c r="B26" s="8" t="e">
        <f>+AVERAGE(B23:B25)</f>
        <v>#DIV/0!</v>
      </c>
      <c r="C26" s="8" t="e">
        <f>+AVERAGE(C23:C25)</f>
        <v>#DIV/0!</v>
      </c>
      <c r="D26" s="16" t="e">
        <f t="shared" si="3"/>
        <v>#DIV/0!</v>
      </c>
      <c r="E26" s="8" t="e">
        <f>+AVERAGE(E23:E25)</f>
        <v>#DIV/0!</v>
      </c>
      <c r="F26" s="16" t="e">
        <f t="shared" si="4"/>
        <v>#DIV/0!</v>
      </c>
      <c r="G26" s="16"/>
      <c r="H26"/>
      <c r="I26"/>
      <c r="J26"/>
      <c r="K26"/>
      <c r="L26" s="164"/>
      <c r="M26"/>
      <c r="N26"/>
      <c r="O26"/>
    </row>
    <row r="27" spans="1:15" hidden="1" x14ac:dyDescent="0.3">
      <c r="A27" s="25" t="s">
        <v>29</v>
      </c>
      <c r="B27" s="10" t="e">
        <f>+AVERAGE(B14,B18,B22,B26)</f>
        <v>#DIV/0!</v>
      </c>
      <c r="C27" s="10" t="e">
        <f>+AVERAGE(C14,C18,C22,C26)</f>
        <v>#DIV/0!</v>
      </c>
      <c r="D27" s="17" t="e">
        <f t="shared" si="3"/>
        <v>#DIV/0!</v>
      </c>
      <c r="E27" s="10" t="e">
        <f>+AVERAGE(E14,E18,E22,E26,)</f>
        <v>#DIV/0!</v>
      </c>
      <c r="F27" s="17" t="e">
        <f t="shared" si="4"/>
        <v>#DIV/0!</v>
      </c>
      <c r="G27" s="17"/>
      <c r="H27"/>
      <c r="I27"/>
      <c r="J27"/>
      <c r="K27"/>
      <c r="L27" s="164"/>
      <c r="M27"/>
      <c r="N27"/>
      <c r="O27"/>
    </row>
    <row r="28" spans="1:15" ht="11.25" customHeight="1" x14ac:dyDescent="0.3">
      <c r="A28" s="358" t="s">
        <v>45</v>
      </c>
      <c r="B28" s="154"/>
      <c r="C28"/>
      <c r="D28" s="164"/>
      <c r="E28"/>
      <c r="F28" s="164"/>
      <c r="G28"/>
      <c r="H28"/>
      <c r="I28"/>
      <c r="J28"/>
      <c r="K28"/>
      <c r="L28" s="164"/>
      <c r="M28"/>
      <c r="N28"/>
      <c r="O28"/>
    </row>
    <row r="29" spans="1:15" x14ac:dyDescent="0.3">
      <c r="A29" s="348" t="s">
        <v>46</v>
      </c>
      <c r="B29" s="109"/>
      <c r="C29" s="109"/>
      <c r="D29" s="162"/>
      <c r="E29" s="109"/>
      <c r="F29" s="162"/>
      <c r="G29" s="162"/>
      <c r="H29"/>
      <c r="I29"/>
      <c r="J29"/>
      <c r="K29"/>
      <c r="L29" s="164"/>
      <c r="M29"/>
      <c r="N29"/>
      <c r="O29"/>
    </row>
    <row r="30" spans="1:15" x14ac:dyDescent="0.3">
      <c r="A30" s="163"/>
      <c r="B30" s="109"/>
      <c r="C30" s="109"/>
      <c r="D30" s="162"/>
      <c r="E30" s="109"/>
      <c r="F30" s="162"/>
      <c r="G30" s="162"/>
      <c r="H30"/>
      <c r="I30"/>
      <c r="J30"/>
      <c r="K30"/>
      <c r="L30"/>
      <c r="M30"/>
      <c r="N30"/>
      <c r="O30"/>
    </row>
    <row r="31" spans="1:1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3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idden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idden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 t="s">
        <v>47</v>
      </c>
      <c r="O46"/>
    </row>
    <row r="47" spans="1:15" hidden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idden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29" hidden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29" hidden="1" x14ac:dyDescent="0.3"/>
    <row r="51" spans="1:29" hidden="1" x14ac:dyDescent="0.3"/>
    <row r="52" spans="1:29" hidden="1" x14ac:dyDescent="0.3"/>
    <row r="53" spans="1:29" hidden="1" x14ac:dyDescent="0.3"/>
    <row r="54" spans="1:29" hidden="1" x14ac:dyDescent="0.3"/>
    <row r="55" spans="1:29" hidden="1" x14ac:dyDescent="0.3"/>
    <row r="56" spans="1:29" hidden="1" x14ac:dyDescent="0.3"/>
    <row r="57" spans="1:29" hidden="1" x14ac:dyDescent="0.3"/>
    <row r="58" spans="1:29" hidden="1" x14ac:dyDescent="0.3"/>
    <row r="59" spans="1:29" hidden="1" x14ac:dyDescent="0.3"/>
    <row r="60" spans="1:29" x14ac:dyDescent="0.3">
      <c r="X60" s="39"/>
      <c r="Y60" s="39"/>
      <c r="Z60" s="39"/>
      <c r="AA60" s="39"/>
      <c r="AB60" s="39"/>
      <c r="AC60" s="39"/>
    </row>
    <row r="61" spans="1:29" x14ac:dyDescent="0.3">
      <c r="B61"/>
      <c r="C61" s="166"/>
      <c r="X61" s="199"/>
      <c r="Y61" s="199"/>
      <c r="Z61" s="162"/>
      <c r="AA61" s="198"/>
      <c r="AB61" s="162"/>
      <c r="AC61" s="29"/>
    </row>
    <row r="62" spans="1:29" x14ac:dyDescent="0.3">
      <c r="B62"/>
      <c r="C62" s="18"/>
      <c r="X62" s="199"/>
      <c r="Y62" s="199"/>
      <c r="Z62" s="162"/>
      <c r="AA62" s="198"/>
      <c r="AB62" s="162"/>
      <c r="AC62" s="29"/>
    </row>
    <row r="63" spans="1:29" x14ac:dyDescent="0.3">
      <c r="L63" s="100"/>
      <c r="X63" s="199"/>
      <c r="Y63" s="199"/>
      <c r="Z63" s="162"/>
      <c r="AA63" s="198"/>
      <c r="AB63" s="162"/>
      <c r="AC63" s="29"/>
    </row>
    <row r="64" spans="1:29" x14ac:dyDescent="0.3">
      <c r="L64" s="100"/>
      <c r="X64" s="251"/>
      <c r="Y64" s="251"/>
      <c r="Z64" s="253"/>
      <c r="AA64" s="251"/>
      <c r="AB64" s="253"/>
      <c r="AC64" s="252"/>
    </row>
    <row r="65" spans="5:29" x14ac:dyDescent="0.3">
      <c r="L65" s="100"/>
    </row>
    <row r="66" spans="5:29" x14ac:dyDescent="0.3">
      <c r="L66" s="14"/>
      <c r="Z66" s="1" t="s">
        <v>35</v>
      </c>
      <c r="AB66" s="1" t="s">
        <v>37</v>
      </c>
      <c r="AC66" s="1" t="s">
        <v>38</v>
      </c>
    </row>
    <row r="67" spans="5:29" x14ac:dyDescent="0.3">
      <c r="Y67" s="1">
        <v>28370</v>
      </c>
      <c r="Z67" s="18">
        <v>0.303913271700822</v>
      </c>
      <c r="AA67" s="1">
        <v>64979</v>
      </c>
      <c r="AB67" s="18">
        <v>0.69608672829917839</v>
      </c>
      <c r="AC67" s="1">
        <v>54661</v>
      </c>
    </row>
    <row r="68" spans="5:29" x14ac:dyDescent="0.3">
      <c r="Y68" s="1">
        <v>29370</v>
      </c>
      <c r="Z68" s="18">
        <v>0.31478762285506051</v>
      </c>
      <c r="AA68" s="1">
        <v>64083</v>
      </c>
      <c r="AB68" s="18">
        <v>0.68684151295270146</v>
      </c>
      <c r="AC68" s="1">
        <v>54574</v>
      </c>
    </row>
    <row r="69" spans="5:29" x14ac:dyDescent="0.3">
      <c r="Y69" s="1">
        <v>28435</v>
      </c>
      <c r="Z69" s="18">
        <v>0.30528327410540779</v>
      </c>
      <c r="AA69" s="1">
        <v>64708</v>
      </c>
      <c r="AB69" s="18">
        <v>0.69471672589459221</v>
      </c>
      <c r="AC69" s="1">
        <v>54538</v>
      </c>
    </row>
    <row r="70" spans="5:29" x14ac:dyDescent="0.3">
      <c r="Y70" s="1">
        <v>28725</v>
      </c>
      <c r="AA70" s="1">
        <v>64590</v>
      </c>
      <c r="AC70" s="1">
        <v>54591</v>
      </c>
    </row>
    <row r="74" spans="5:29" x14ac:dyDescent="0.3">
      <c r="Y74" s="234" t="s">
        <v>34</v>
      </c>
      <c r="Z74" s="254">
        <v>0.30799472288709667</v>
      </c>
    </row>
    <row r="75" spans="5:29" x14ac:dyDescent="0.3">
      <c r="Y75" s="234" t="s">
        <v>36</v>
      </c>
      <c r="Z75" s="254">
        <v>0.69254832238215736</v>
      </c>
    </row>
    <row r="77" spans="5:29" x14ac:dyDescent="0.3">
      <c r="E77"/>
      <c r="F77"/>
      <c r="G77"/>
      <c r="H77"/>
      <c r="I77"/>
    </row>
    <row r="78" spans="5:29" x14ac:dyDescent="0.3">
      <c r="E78"/>
      <c r="F78"/>
      <c r="G78"/>
      <c r="H78"/>
      <c r="I78"/>
    </row>
    <row r="79" spans="5:29" x14ac:dyDescent="0.3">
      <c r="E79"/>
      <c r="F79"/>
      <c r="G79"/>
      <c r="H79"/>
      <c r="I79"/>
    </row>
    <row r="80" spans="5:29" x14ac:dyDescent="0.3">
      <c r="E80"/>
      <c r="F80"/>
      <c r="G80"/>
      <c r="H80"/>
      <c r="I80"/>
    </row>
    <row r="81" spans="5:9" x14ac:dyDescent="0.3">
      <c r="E81"/>
      <c r="F81"/>
      <c r="G81"/>
      <c r="H81"/>
      <c r="I81"/>
    </row>
    <row r="82" spans="5:9" x14ac:dyDescent="0.3">
      <c r="E82"/>
      <c r="F82"/>
      <c r="G82"/>
      <c r="H82"/>
      <c r="I82"/>
    </row>
    <row r="83" spans="5:9" x14ac:dyDescent="0.3">
      <c r="E83"/>
      <c r="F83"/>
      <c r="G83"/>
      <c r="H83"/>
      <c r="I83"/>
    </row>
    <row r="84" spans="5:9" x14ac:dyDescent="0.3">
      <c r="E84"/>
      <c r="F84"/>
      <c r="G84"/>
      <c r="H84"/>
      <c r="I84"/>
    </row>
    <row r="85" spans="5:9" x14ac:dyDescent="0.3">
      <c r="E85"/>
      <c r="F85"/>
      <c r="G85"/>
      <c r="H85"/>
      <c r="I85"/>
    </row>
    <row r="86" spans="5:9" x14ac:dyDescent="0.3">
      <c r="E86"/>
      <c r="F86"/>
      <c r="G86"/>
      <c r="H86"/>
      <c r="I86"/>
    </row>
  </sheetData>
  <sortState xmlns:xlrd2="http://schemas.microsoft.com/office/spreadsheetml/2017/richdata2" ref="I10:L11">
    <sortCondition ref="I9:I11"/>
  </sortState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9"/>
  <sheetViews>
    <sheetView showGridLines="0" topLeftCell="A29" zoomScale="115" zoomScaleNormal="115" workbookViewId="0">
      <selection activeCell="C10" sqref="C10"/>
    </sheetView>
  </sheetViews>
  <sheetFormatPr baseColWidth="10" defaultColWidth="11.44140625" defaultRowHeight="14.4" x14ac:dyDescent="0.3"/>
  <cols>
    <col min="1" max="1" width="12.44140625" style="1" customWidth="1"/>
    <col min="2" max="2" width="14.44140625" style="1" customWidth="1"/>
    <col min="3" max="10" width="11.44140625" style="1"/>
    <col min="11" max="11" width="15" style="1" customWidth="1"/>
    <col min="12" max="12" width="6.88671875" style="1" customWidth="1"/>
    <col min="13" max="13" width="10.6640625" style="1" customWidth="1"/>
    <col min="14" max="14" width="10.109375" style="1" customWidth="1"/>
    <col min="15" max="15" width="24.88671875" style="1" customWidth="1"/>
    <col min="16" max="16384" width="11.44140625" style="1"/>
  </cols>
  <sheetData>
    <row r="1" spans="1:15" x14ac:dyDescent="0.3">
      <c r="A1" s="517" t="s">
        <v>0</v>
      </c>
      <c r="B1" s="517"/>
      <c r="C1" s="517"/>
      <c r="D1" s="517"/>
      <c r="E1" s="517"/>
      <c r="F1" s="517"/>
    </row>
    <row r="2" spans="1:15" x14ac:dyDescent="0.3">
      <c r="A2" s="517" t="s">
        <v>31</v>
      </c>
      <c r="B2" s="517"/>
      <c r="C2" s="517"/>
      <c r="D2" s="517"/>
      <c r="E2" s="517"/>
      <c r="F2" s="517"/>
    </row>
    <row r="3" spans="1:15" x14ac:dyDescent="0.3">
      <c r="A3" s="517" t="s">
        <v>48</v>
      </c>
      <c r="B3" s="517"/>
      <c r="C3" s="517"/>
      <c r="D3" s="517"/>
      <c r="E3" s="517"/>
      <c r="F3" s="517"/>
    </row>
    <row r="4" spans="1:15" x14ac:dyDescent="0.3">
      <c r="A4" s="517" t="s">
        <v>3</v>
      </c>
      <c r="B4" s="517"/>
      <c r="C4" s="517"/>
      <c r="D4" s="517"/>
      <c r="E4" s="517"/>
      <c r="F4" s="517"/>
    </row>
    <row r="5" spans="1:15" x14ac:dyDescent="0.3">
      <c r="A5" s="517" t="s">
        <v>4</v>
      </c>
      <c r="B5" s="517"/>
      <c r="C5" s="517"/>
      <c r="D5" s="517"/>
      <c r="E5" s="517"/>
      <c r="F5" s="517"/>
    </row>
    <row r="6" spans="1:15" ht="30.75" customHeight="1" x14ac:dyDescent="0.3">
      <c r="A6" s="518" t="s">
        <v>49</v>
      </c>
      <c r="B6" s="518"/>
      <c r="C6" s="518"/>
      <c r="D6" s="518"/>
      <c r="E6" s="518"/>
      <c r="F6" s="518"/>
      <c r="G6"/>
      <c r="H6"/>
      <c r="I6"/>
      <c r="J6"/>
      <c r="K6"/>
    </row>
    <row r="7" spans="1:15" ht="15" customHeight="1" x14ac:dyDescent="0.3">
      <c r="A7" s="112"/>
      <c r="B7" s="113" t="s">
        <v>50</v>
      </c>
      <c r="C7" s="113" t="s">
        <v>51</v>
      </c>
      <c r="D7" s="113" t="s">
        <v>29</v>
      </c>
      <c r="E7" s="113" t="s">
        <v>52</v>
      </c>
      <c r="F7" s="113" t="s">
        <v>53</v>
      </c>
      <c r="G7"/>
      <c r="H7"/>
      <c r="I7"/>
      <c r="J7"/>
      <c r="K7"/>
      <c r="L7" s="18"/>
      <c r="M7" s="18"/>
      <c r="N7" s="18"/>
    </row>
    <row r="8" spans="1:15" ht="15" customHeight="1" x14ac:dyDescent="0.3">
      <c r="A8" s="165" t="s">
        <v>13</v>
      </c>
      <c r="B8" s="462">
        <v>23080</v>
      </c>
      <c r="C8" s="462">
        <v>5290</v>
      </c>
      <c r="D8" s="462">
        <f>B8+C8</f>
        <v>28370</v>
      </c>
      <c r="E8" s="384">
        <f t="shared" ref="E8:E11" si="0">B8/D8</f>
        <v>0.8135354247444484</v>
      </c>
      <c r="F8" s="384">
        <f t="shared" ref="F8:F11" si="1">+C8/D8</f>
        <v>0.18646457525555163</v>
      </c>
      <c r="G8"/>
      <c r="H8"/>
      <c r="I8"/>
      <c r="J8"/>
      <c r="K8"/>
      <c r="L8" s="18"/>
      <c r="M8" s="18"/>
      <c r="N8" s="18"/>
    </row>
    <row r="9" spans="1:15" ht="15" customHeight="1" x14ac:dyDescent="0.3">
      <c r="A9" s="165" t="s">
        <v>14</v>
      </c>
      <c r="B9" s="462">
        <v>23667</v>
      </c>
      <c r="C9" s="462">
        <v>5551</v>
      </c>
      <c r="D9" s="462">
        <f>B9+C9</f>
        <v>29218</v>
      </c>
      <c r="E9" s="384">
        <f>B9/D9</f>
        <v>0.81001437470052706</v>
      </c>
      <c r="F9" s="384">
        <f t="shared" si="1"/>
        <v>0.18998562529947294</v>
      </c>
      <c r="G9" s="127"/>
      <c r="H9"/>
      <c r="I9"/>
      <c r="J9"/>
      <c r="K9"/>
      <c r="L9" s="18"/>
      <c r="M9" s="18"/>
      <c r="N9" s="18"/>
    </row>
    <row r="10" spans="1:15" ht="15" customHeight="1" x14ac:dyDescent="0.3">
      <c r="A10" s="165" t="s">
        <v>15</v>
      </c>
      <c r="B10" s="462">
        <v>23032</v>
      </c>
      <c r="C10" s="462">
        <v>5403</v>
      </c>
      <c r="D10" s="462">
        <f>B10+C10</f>
        <v>28435</v>
      </c>
      <c r="E10" s="384">
        <f>B10/D10</f>
        <v>0.80998769122560221</v>
      </c>
      <c r="F10" s="384">
        <f t="shared" si="1"/>
        <v>0.19001230877439776</v>
      </c>
      <c r="G10"/>
      <c r="H10"/>
      <c r="I10"/>
      <c r="J10"/>
      <c r="K10"/>
    </row>
    <row r="11" spans="1:15" ht="22.5" customHeight="1" x14ac:dyDescent="0.3">
      <c r="A11" s="385" t="s">
        <v>40</v>
      </c>
      <c r="B11" s="463">
        <f>AVERAGE(B8:B10)</f>
        <v>23259.666666666668</v>
      </c>
      <c r="C11" s="463">
        <f>AVERAGE(C8:C10)</f>
        <v>5414.666666666667</v>
      </c>
      <c r="D11" s="463">
        <f>AVERAGE(D8:D10)</f>
        <v>28674.333333333332</v>
      </c>
      <c r="E11" s="383">
        <f t="shared" si="0"/>
        <v>0.81116678097718065</v>
      </c>
      <c r="F11" s="383">
        <f t="shared" si="1"/>
        <v>0.18883321902281949</v>
      </c>
      <c r="G11"/>
      <c r="H11"/>
      <c r="I11"/>
      <c r="J11"/>
      <c r="K11"/>
    </row>
    <row r="12" spans="1:15" hidden="1" x14ac:dyDescent="0.3">
      <c r="A12" s="165" t="s">
        <v>17</v>
      </c>
      <c r="B12" s="149">
        <v>24095</v>
      </c>
      <c r="C12" s="149">
        <v>5652</v>
      </c>
      <c r="D12" s="149">
        <f>+B12+C12</f>
        <v>29747</v>
      </c>
      <c r="E12" s="20">
        <f>B12/D12</f>
        <v>0.80999764682152819</v>
      </c>
      <c r="F12" s="20">
        <f>+C12/D12</f>
        <v>0.19000235317847178</v>
      </c>
      <c r="G12"/>
      <c r="H12"/>
      <c r="I12"/>
      <c r="J12"/>
      <c r="K12"/>
      <c r="L12" s="14"/>
    </row>
    <row r="13" spans="1:15" hidden="1" x14ac:dyDescent="0.3">
      <c r="A13" s="165" t="s">
        <v>18</v>
      </c>
      <c r="B13" s="149">
        <v>23262</v>
      </c>
      <c r="C13" s="149">
        <v>5457</v>
      </c>
      <c r="D13" s="149">
        <f t="shared" ref="D13:D26" si="2">+B13+C13</f>
        <v>28719</v>
      </c>
      <c r="E13" s="20">
        <f>B13/D13</f>
        <v>0.80998642013997701</v>
      </c>
      <c r="F13" s="20">
        <f>+C13/D13</f>
        <v>0.19001357986002299</v>
      </c>
      <c r="G13"/>
      <c r="H13"/>
      <c r="I13"/>
      <c r="J13"/>
      <c r="K13"/>
      <c r="L13" s="14"/>
      <c r="O13" s="14"/>
    </row>
    <row r="14" spans="1:15" hidden="1" x14ac:dyDescent="0.3">
      <c r="A14" s="165" t="s">
        <v>19</v>
      </c>
      <c r="B14" s="149">
        <v>23232</v>
      </c>
      <c r="C14" s="149">
        <v>5450</v>
      </c>
      <c r="D14" s="149">
        <f>+B14+C14</f>
        <v>28682</v>
      </c>
      <c r="E14" s="20">
        <f>B14/D14</f>
        <v>0.80998535666968829</v>
      </c>
      <c r="F14" s="20">
        <f>+C14/D14</f>
        <v>0.19001464333031171</v>
      </c>
      <c r="G14"/>
      <c r="H14"/>
      <c r="I14"/>
      <c r="J14"/>
      <c r="K14"/>
      <c r="L14" s="14"/>
      <c r="O14" s="14"/>
    </row>
    <row r="15" spans="1:15" ht="27.6" hidden="1" x14ac:dyDescent="0.3">
      <c r="A15" s="110" t="s">
        <v>54</v>
      </c>
      <c r="B15" s="207">
        <f>AVERAGE(B12:B14)</f>
        <v>23529.666666666668</v>
      </c>
      <c r="C15" s="207">
        <f>AVERAGE(C12:C14)</f>
        <v>5519.666666666667</v>
      </c>
      <c r="D15" s="207">
        <f>AVERAGE(D12:D14)</f>
        <v>29049.333333333332</v>
      </c>
      <c r="E15" s="208">
        <f>+AVERAGE(E12:E14)</f>
        <v>0.80998980787706454</v>
      </c>
      <c r="F15" s="208">
        <f>+AVERAGE(F12:F14)</f>
        <v>0.19001019212293549</v>
      </c>
      <c r="G15"/>
      <c r="H15"/>
      <c r="I15"/>
      <c r="J15"/>
      <c r="K15"/>
      <c r="L15" s="14"/>
      <c r="M15" s="65"/>
      <c r="O15" s="14"/>
    </row>
    <row r="16" spans="1:15" hidden="1" x14ac:dyDescent="0.3">
      <c r="A16" s="47" t="s">
        <v>15</v>
      </c>
      <c r="B16" s="109"/>
      <c r="C16" s="109"/>
      <c r="D16" s="19">
        <f>+B16+C16</f>
        <v>0</v>
      </c>
      <c r="E16" s="20" t="e">
        <f>+B16/D16</f>
        <v>#DIV/0!</v>
      </c>
      <c r="F16" s="20" t="e">
        <f>+C16/D16</f>
        <v>#DIV/0!</v>
      </c>
      <c r="G16"/>
      <c r="H16"/>
      <c r="I16"/>
      <c r="J16"/>
      <c r="K16"/>
    </row>
    <row r="17" spans="1:11" hidden="1" x14ac:dyDescent="0.3">
      <c r="A17" s="47" t="s">
        <v>14</v>
      </c>
      <c r="B17" s="109"/>
      <c r="C17" s="109"/>
      <c r="D17" s="19">
        <f t="shared" si="2"/>
        <v>0</v>
      </c>
      <c r="E17" s="20" t="e">
        <f>+B17/D17</f>
        <v>#DIV/0!</v>
      </c>
      <c r="F17" s="20" t="e">
        <f>+C17/D17</f>
        <v>#DIV/0!</v>
      </c>
      <c r="G17"/>
      <c r="H17"/>
      <c r="I17"/>
      <c r="J17"/>
      <c r="K17"/>
    </row>
    <row r="18" spans="1:11" hidden="1" x14ac:dyDescent="0.3">
      <c r="A18" s="47" t="s">
        <v>13</v>
      </c>
      <c r="B18" s="109"/>
      <c r="C18" s="109"/>
      <c r="D18" s="19">
        <f t="shared" si="2"/>
        <v>0</v>
      </c>
      <c r="E18" s="20" t="e">
        <f>+B18/D18</f>
        <v>#DIV/0!</v>
      </c>
      <c r="F18" s="20" t="e">
        <f>+C18/D18</f>
        <v>#DIV/0!</v>
      </c>
      <c r="G18"/>
      <c r="H18"/>
      <c r="I18"/>
      <c r="J18"/>
      <c r="K18"/>
    </row>
    <row r="19" spans="1:11" ht="27.6" hidden="1" x14ac:dyDescent="0.3">
      <c r="A19" s="110" t="s">
        <v>40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/>
      <c r="H19"/>
      <c r="I19"/>
      <c r="J19"/>
      <c r="K19"/>
    </row>
    <row r="20" spans="1:11" hidden="1" x14ac:dyDescent="0.3">
      <c r="A20" s="47" t="s">
        <v>42</v>
      </c>
      <c r="B20" s="109"/>
      <c r="C20" s="109"/>
      <c r="D20" s="19">
        <f t="shared" si="2"/>
        <v>0</v>
      </c>
      <c r="E20" s="20" t="e">
        <f>+B20/D20</f>
        <v>#DIV/0!</v>
      </c>
      <c r="F20" s="20" t="e">
        <f>+C20/D20</f>
        <v>#DIV/0!</v>
      </c>
      <c r="G20"/>
      <c r="H20"/>
      <c r="I20"/>
      <c r="J20"/>
      <c r="K20"/>
    </row>
    <row r="21" spans="1:11" hidden="1" x14ac:dyDescent="0.3">
      <c r="A21" s="47" t="s">
        <v>22</v>
      </c>
      <c r="B21" s="109"/>
      <c r="C21" s="109"/>
      <c r="D21" s="19">
        <f t="shared" si="2"/>
        <v>0</v>
      </c>
      <c r="E21" s="20" t="e">
        <f>+B21/D21</f>
        <v>#DIV/0!</v>
      </c>
      <c r="F21" s="20" t="e">
        <f>+C21/D21</f>
        <v>#DIV/0!</v>
      </c>
      <c r="G21"/>
      <c r="H21"/>
      <c r="I21"/>
      <c r="J21"/>
      <c r="K21"/>
    </row>
    <row r="22" spans="1:11" hidden="1" x14ac:dyDescent="0.3">
      <c r="A22" s="47" t="s">
        <v>23</v>
      </c>
      <c r="B22" s="109"/>
      <c r="C22" s="109"/>
      <c r="D22" s="19">
        <f t="shared" si="2"/>
        <v>0</v>
      </c>
      <c r="E22" s="20" t="e">
        <f>+B22/D22</f>
        <v>#DIV/0!</v>
      </c>
      <c r="F22" s="20" t="e">
        <f>+C22/D22</f>
        <v>#DIV/0!</v>
      </c>
      <c r="G22"/>
      <c r="H22"/>
      <c r="I22"/>
      <c r="J22"/>
      <c r="K22"/>
    </row>
    <row r="23" spans="1:11" ht="27.6" hidden="1" x14ac:dyDescent="0.3">
      <c r="A23" s="110" t="s">
        <v>43</v>
      </c>
      <c r="B23" s="8" t="e">
        <f>AVERAGE(B20:B22)</f>
        <v>#DIV/0!</v>
      </c>
      <c r="C23" s="8" t="e">
        <f>AVERAGE(C20:C22)</f>
        <v>#DIV/0!</v>
      </c>
      <c r="D23" s="8">
        <f>AVERAGE(D20:D22)</f>
        <v>0</v>
      </c>
      <c r="E23" s="16" t="e">
        <f>+AVERAGE(E20:E22)</f>
        <v>#DIV/0!</v>
      </c>
      <c r="F23" s="16" t="e">
        <f>+AVERAGE(F20:F22)</f>
        <v>#DIV/0!</v>
      </c>
      <c r="G23"/>
      <c r="H23"/>
      <c r="I23"/>
      <c r="J23"/>
      <c r="K23"/>
    </row>
    <row r="24" spans="1:11" hidden="1" x14ac:dyDescent="0.3">
      <c r="A24" s="47" t="s">
        <v>25</v>
      </c>
      <c r="B24" s="109"/>
      <c r="C24" s="109"/>
      <c r="D24" s="19">
        <f t="shared" si="2"/>
        <v>0</v>
      </c>
      <c r="E24" s="20" t="e">
        <f>+B24/D24</f>
        <v>#DIV/0!</v>
      </c>
      <c r="F24" s="20" t="e">
        <f>+C24/D24</f>
        <v>#DIV/0!</v>
      </c>
      <c r="G24"/>
      <c r="H24"/>
      <c r="I24"/>
      <c r="J24"/>
      <c r="K24"/>
    </row>
    <row r="25" spans="1:11" hidden="1" x14ac:dyDescent="0.3">
      <c r="A25" s="47" t="s">
        <v>26</v>
      </c>
      <c r="B25" s="109"/>
      <c r="C25" s="109"/>
      <c r="D25" s="19">
        <f t="shared" si="2"/>
        <v>0</v>
      </c>
      <c r="E25" s="20" t="e">
        <f>+B25/D25</f>
        <v>#DIV/0!</v>
      </c>
      <c r="F25" s="20" t="e">
        <f>+C25/D25</f>
        <v>#DIV/0!</v>
      </c>
      <c r="G25"/>
      <c r="H25"/>
      <c r="I25"/>
      <c r="J25"/>
      <c r="K25"/>
    </row>
    <row r="26" spans="1:11" hidden="1" x14ac:dyDescent="0.3">
      <c r="A26" s="47" t="s">
        <v>27</v>
      </c>
      <c r="B26" s="109"/>
      <c r="C26" s="109"/>
      <c r="D26" s="19">
        <f t="shared" si="2"/>
        <v>0</v>
      </c>
      <c r="E26" s="20" t="e">
        <f>+B26/D26</f>
        <v>#DIV/0!</v>
      </c>
      <c r="F26" s="20" t="e">
        <f>+C26/D26</f>
        <v>#DIV/0!</v>
      </c>
      <c r="G26"/>
      <c r="H26"/>
      <c r="I26" s="64"/>
      <c r="J26" s="64"/>
      <c r="K26" s="64"/>
    </row>
    <row r="27" spans="1:11" ht="27.6" hidden="1" x14ac:dyDescent="0.3">
      <c r="A27" s="110" t="s">
        <v>44</v>
      </c>
      <c r="B27" s="8" t="e">
        <f t="shared" ref="B27:D28" si="3">AVERAGE(B24:B26)</f>
        <v>#DIV/0!</v>
      </c>
      <c r="C27" s="8" t="e">
        <f t="shared" si="3"/>
        <v>#DIV/0!</v>
      </c>
      <c r="D27" s="8">
        <f t="shared" si="3"/>
        <v>0</v>
      </c>
      <c r="E27" s="16" t="e">
        <f>+AVERAGE(E24:E26)</f>
        <v>#DIV/0!</v>
      </c>
      <c r="F27" s="16" t="e">
        <f>+AVERAGE(F24:F26)</f>
        <v>#DIV/0!</v>
      </c>
      <c r="G27"/>
      <c r="H27"/>
      <c r="I27"/>
      <c r="J27"/>
      <c r="K27"/>
    </row>
    <row r="28" spans="1:11" hidden="1" x14ac:dyDescent="0.3">
      <c r="A28" s="25" t="s">
        <v>29</v>
      </c>
      <c r="B28" s="10" t="e">
        <f t="shared" si="3"/>
        <v>#DIV/0!</v>
      </c>
      <c r="C28" s="10" t="e">
        <f t="shared" si="3"/>
        <v>#DIV/0!</v>
      </c>
      <c r="D28" s="17">
        <f t="shared" si="3"/>
        <v>0</v>
      </c>
      <c r="E28" s="10" t="e">
        <f>+AVERAGE(E25:E27)</f>
        <v>#DIV/0!</v>
      </c>
      <c r="F28" s="17" t="e">
        <f>+AVERAGE(F25:F27)</f>
        <v>#DIV/0!</v>
      </c>
      <c r="G28"/>
      <c r="H28"/>
      <c r="I28"/>
      <c r="J28" s="100">
        <v>24095</v>
      </c>
      <c r="K28"/>
    </row>
    <row r="29" spans="1:11" x14ac:dyDescent="0.3">
      <c r="A29" s="171" t="s">
        <v>55</v>
      </c>
      <c r="B29"/>
      <c r="C29"/>
      <c r="D29"/>
      <c r="E29"/>
      <c r="F29"/>
      <c r="G29"/>
      <c r="H29"/>
      <c r="I29" s="18"/>
    </row>
    <row r="30" spans="1:11" x14ac:dyDescent="0.3">
      <c r="A30" s="358" t="s">
        <v>56</v>
      </c>
      <c r="B30"/>
      <c r="C30"/>
      <c r="D30"/>
      <c r="E30"/>
      <c r="F30"/>
      <c r="G30"/>
      <c r="H30"/>
      <c r="J30" s="349"/>
    </row>
    <row r="31" spans="1:11" x14ac:dyDescent="0.3">
      <c r="A31"/>
      <c r="B31"/>
      <c r="C31"/>
      <c r="D31"/>
      <c r="E31"/>
      <c r="F31"/>
      <c r="G31"/>
      <c r="H31"/>
      <c r="J31" s="349"/>
    </row>
    <row r="32" spans="1:11" x14ac:dyDescent="0.3">
      <c r="A32"/>
      <c r="B32"/>
      <c r="C32"/>
      <c r="D32"/>
      <c r="E32"/>
      <c r="F32"/>
      <c r="G32"/>
      <c r="H32"/>
      <c r="J32" s="350"/>
    </row>
    <row r="33" spans="1:15" x14ac:dyDescent="0.3">
      <c r="A33"/>
      <c r="B33"/>
      <c r="C33"/>
      <c r="D33"/>
      <c r="E33"/>
      <c r="F33"/>
      <c r="G33"/>
      <c r="H33"/>
      <c r="I33"/>
      <c r="J33"/>
      <c r="K33"/>
      <c r="M33" s="352"/>
    </row>
    <row r="34" spans="1:15" x14ac:dyDescent="0.3">
      <c r="A34"/>
      <c r="B34"/>
      <c r="C34"/>
      <c r="D34"/>
      <c r="E34"/>
      <c r="F34"/>
      <c r="G34"/>
      <c r="H34"/>
      <c r="I34"/>
      <c r="J34"/>
      <c r="K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</row>
    <row r="36" spans="1:15" x14ac:dyDescent="0.3">
      <c r="A36"/>
      <c r="B36"/>
      <c r="C36"/>
      <c r="D36"/>
      <c r="E36"/>
      <c r="F36"/>
      <c r="G36"/>
      <c r="H36"/>
      <c r="I36"/>
      <c r="J36" s="47"/>
      <c r="K36" s="149"/>
    </row>
    <row r="37" spans="1:15" x14ac:dyDescent="0.3">
      <c r="A37"/>
      <c r="B37"/>
      <c r="C37"/>
      <c r="D37"/>
      <c r="E37"/>
      <c r="F37"/>
      <c r="G37"/>
      <c r="H37"/>
      <c r="I37"/>
      <c r="J37" s="47"/>
      <c r="K37" s="149"/>
    </row>
    <row r="38" spans="1:15" x14ac:dyDescent="0.3">
      <c r="A38"/>
      <c r="B38"/>
      <c r="C38"/>
      <c r="D38"/>
      <c r="E38"/>
      <c r="F38"/>
      <c r="G38"/>
      <c r="H38"/>
      <c r="I38"/>
      <c r="J38" s="47"/>
      <c r="K38" s="149"/>
      <c r="L38" s="149"/>
      <c r="M38" s="19"/>
      <c r="N38" s="20"/>
      <c r="O38" s="20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 s="149"/>
      <c r="M39" s="19"/>
      <c r="N39" s="20"/>
      <c r="O39" s="20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 s="149"/>
      <c r="M40" s="19"/>
      <c r="N40" s="20"/>
      <c r="O40" s="20"/>
    </row>
    <row r="41" spans="1:15" x14ac:dyDescent="0.3">
      <c r="A41"/>
      <c r="B41"/>
      <c r="C41"/>
      <c r="D41"/>
      <c r="E41"/>
      <c r="F41"/>
      <c r="G41"/>
    </row>
    <row r="42" spans="1:15" x14ac:dyDescent="0.3">
      <c r="A42"/>
      <c r="B42"/>
      <c r="C42"/>
      <c r="D42"/>
      <c r="E42"/>
      <c r="F42"/>
      <c r="G42"/>
    </row>
    <row r="48" spans="1:15" x14ac:dyDescent="0.3">
      <c r="A48" s="47"/>
      <c r="B48" s="109"/>
      <c r="C48" s="109"/>
      <c r="D48" s="19"/>
      <c r="E48" s="20"/>
      <c r="F48" s="20"/>
    </row>
    <row r="49" spans="1:6" x14ac:dyDescent="0.3">
      <c r="A49" s="47"/>
      <c r="B49" s="109"/>
      <c r="C49" s="109"/>
      <c r="D49" s="19"/>
      <c r="E49" s="20"/>
      <c r="F49" s="20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5" orientation="portrait" r:id="rId1"/>
  <ignoredErrors>
    <ignoredError sqref="F15 D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5"/>
  <sheetViews>
    <sheetView showGridLines="0" topLeftCell="A10" zoomScale="115" zoomScaleNormal="115" workbookViewId="0">
      <selection activeCell="C10" sqref="C10"/>
    </sheetView>
  </sheetViews>
  <sheetFormatPr baseColWidth="10" defaultColWidth="11.44140625" defaultRowHeight="14.4" x14ac:dyDescent="0.3"/>
  <cols>
    <col min="1" max="1" width="11.6640625" style="1" customWidth="1"/>
    <col min="2" max="2" width="16.5546875" style="1" customWidth="1"/>
    <col min="3" max="3" width="19.6640625" style="1" customWidth="1"/>
    <col min="4" max="4" width="20" style="1" customWidth="1"/>
    <col min="5" max="16384" width="11.44140625" style="1"/>
  </cols>
  <sheetData>
    <row r="1" spans="1:11" x14ac:dyDescent="0.3">
      <c r="A1" s="517" t="s">
        <v>0</v>
      </c>
      <c r="B1" s="517"/>
      <c r="C1" s="517"/>
      <c r="D1" s="517"/>
      <c r="E1" s="21"/>
      <c r="F1" s="21"/>
    </row>
    <row r="2" spans="1:11" x14ac:dyDescent="0.3">
      <c r="A2" s="517" t="s">
        <v>31</v>
      </c>
      <c r="B2" s="517"/>
      <c r="C2" s="517"/>
      <c r="D2" s="517"/>
      <c r="E2" s="22"/>
      <c r="F2" s="22"/>
    </row>
    <row r="3" spans="1:11" x14ac:dyDescent="0.3">
      <c r="A3" s="517" t="s">
        <v>57</v>
      </c>
      <c r="B3" s="517"/>
      <c r="C3" s="517"/>
      <c r="D3" s="517"/>
      <c r="E3" s="22"/>
      <c r="F3" s="22"/>
    </row>
    <row r="4" spans="1:11" x14ac:dyDescent="0.3">
      <c r="A4" s="517" t="s">
        <v>3</v>
      </c>
      <c r="B4" s="517"/>
      <c r="C4" s="517"/>
      <c r="D4" s="517"/>
      <c r="E4" s="21"/>
      <c r="F4" s="21"/>
    </row>
    <row r="5" spans="1:11" x14ac:dyDescent="0.3">
      <c r="A5" s="517" t="s">
        <v>4</v>
      </c>
      <c r="B5" s="517"/>
      <c r="C5" s="517"/>
      <c r="D5" s="517"/>
      <c r="E5" s="22"/>
      <c r="F5" s="22"/>
    </row>
    <row r="6" spans="1:11" x14ac:dyDescent="0.3">
      <c r="A6" s="519" t="s">
        <v>58</v>
      </c>
      <c r="B6" s="519"/>
      <c r="C6" s="519"/>
      <c r="D6" s="519"/>
      <c r="E6"/>
      <c r="F6"/>
      <c r="G6"/>
      <c r="H6"/>
      <c r="I6"/>
      <c r="J6"/>
      <c r="K6"/>
    </row>
    <row r="7" spans="1:11" ht="13.5" customHeight="1" x14ac:dyDescent="0.3">
      <c r="A7" s="112"/>
      <c r="B7" s="99" t="s">
        <v>59</v>
      </c>
      <c r="C7" s="113" t="s">
        <v>60</v>
      </c>
      <c r="D7" s="113" t="s">
        <v>61</v>
      </c>
      <c r="E7"/>
      <c r="F7"/>
      <c r="J7"/>
      <c r="K7"/>
    </row>
    <row r="8" spans="1:11" x14ac:dyDescent="0.3">
      <c r="A8" t="s">
        <v>13</v>
      </c>
      <c r="B8" s="168">
        <v>89927860.780000001</v>
      </c>
      <c r="C8" s="168">
        <v>12262890.109999999</v>
      </c>
      <c r="D8" s="41">
        <f t="shared" ref="D8:D11" si="0">+B8+C8</f>
        <v>102190750.89</v>
      </c>
      <c r="E8"/>
      <c r="F8"/>
      <c r="J8"/>
      <c r="K8"/>
    </row>
    <row r="9" spans="1:11" x14ac:dyDescent="0.3">
      <c r="A9" t="s">
        <v>14</v>
      </c>
      <c r="B9" s="168">
        <v>92980731.709999993</v>
      </c>
      <c r="C9" s="168">
        <v>12679190.689999999</v>
      </c>
      <c r="D9" s="41">
        <f t="shared" si="0"/>
        <v>105659922.39999999</v>
      </c>
      <c r="E9"/>
      <c r="F9"/>
      <c r="J9"/>
      <c r="K9"/>
    </row>
    <row r="10" spans="1:11" x14ac:dyDescent="0.3">
      <c r="A10" t="s">
        <v>15</v>
      </c>
      <c r="B10" s="168">
        <v>88969411.890000001</v>
      </c>
      <c r="C10" s="168">
        <v>12132192.529999999</v>
      </c>
      <c r="D10" s="41">
        <f t="shared" si="0"/>
        <v>101101604.42</v>
      </c>
      <c r="E10"/>
      <c r="F10"/>
      <c r="G10"/>
      <c r="H10"/>
      <c r="I10"/>
      <c r="J10"/>
      <c r="K10"/>
    </row>
    <row r="11" spans="1:11" x14ac:dyDescent="0.3">
      <c r="A11" s="211" t="s">
        <v>16</v>
      </c>
      <c r="B11" s="212">
        <f>SUM(B8:B10)</f>
        <v>271878004.38</v>
      </c>
      <c r="C11" s="212">
        <f>SUM(C8:C10)</f>
        <v>37074273.329999998</v>
      </c>
      <c r="D11" s="212">
        <f t="shared" si="0"/>
        <v>308952277.70999998</v>
      </c>
      <c r="E11"/>
      <c r="F11"/>
      <c r="G11"/>
      <c r="H11"/>
      <c r="I11"/>
      <c r="J11"/>
      <c r="K11"/>
    </row>
    <row r="12" spans="1:11" hidden="1" x14ac:dyDescent="0.3">
      <c r="A12" s="60" t="s">
        <v>17</v>
      </c>
      <c r="B12" s="168">
        <v>95864876.870000005</v>
      </c>
      <c r="C12" s="168">
        <v>13072483.210000001</v>
      </c>
      <c r="D12" s="41">
        <f>+B12+C12</f>
        <v>108937360.08000001</v>
      </c>
      <c r="E12"/>
      <c r="F12" s="115"/>
      <c r="G12" s="115"/>
      <c r="H12"/>
      <c r="I12"/>
      <c r="J12"/>
      <c r="K12"/>
    </row>
    <row r="13" spans="1:11" hidden="1" x14ac:dyDescent="0.3">
      <c r="A13" s="60" t="s">
        <v>18</v>
      </c>
      <c r="B13" s="168">
        <v>89437997.010000005</v>
      </c>
      <c r="C13" s="168">
        <v>12196090.5</v>
      </c>
      <c r="D13" s="41">
        <f>+B13+C13</f>
        <v>101634087.51000001</v>
      </c>
      <c r="E13"/>
      <c r="F13"/>
      <c r="G13"/>
      <c r="H13"/>
      <c r="I13"/>
      <c r="J13"/>
      <c r="K13"/>
    </row>
    <row r="14" spans="1:11" hidden="1" x14ac:dyDescent="0.3">
      <c r="A14" s="60" t="s">
        <v>19</v>
      </c>
      <c r="B14" s="168">
        <v>90726862.260000005</v>
      </c>
      <c r="C14" s="168">
        <v>12371844.85</v>
      </c>
      <c r="D14" s="41">
        <f>+B14+C14</f>
        <v>103098707.11</v>
      </c>
      <c r="E14"/>
      <c r="F14"/>
      <c r="G14"/>
      <c r="H14"/>
      <c r="I14"/>
      <c r="J14"/>
      <c r="K14"/>
    </row>
    <row r="15" spans="1:11" ht="23.25" hidden="1" customHeight="1" x14ac:dyDescent="0.3">
      <c r="A15" s="211" t="s">
        <v>20</v>
      </c>
      <c r="B15" s="207">
        <f>SUM(B12:B14)</f>
        <v>276029736.13999999</v>
      </c>
      <c r="C15" s="207">
        <f>SUM(C12:C14)</f>
        <v>37640418.560000002</v>
      </c>
      <c r="D15" s="207">
        <f>SUM(D12:D14)</f>
        <v>313670154.70000005</v>
      </c>
      <c r="E15"/>
      <c r="F15"/>
      <c r="G15"/>
      <c r="H15"/>
      <c r="I15"/>
      <c r="J15"/>
      <c r="K15"/>
    </row>
    <row r="16" spans="1:11" hidden="1" x14ac:dyDescent="0.3">
      <c r="A16" s="176" t="s">
        <v>15</v>
      </c>
      <c r="B16" s="114"/>
      <c r="C16" s="114"/>
      <c r="D16" s="23">
        <f>+B16+C16</f>
        <v>0</v>
      </c>
      <c r="E16"/>
      <c r="F16" s="115"/>
      <c r="G16" s="115"/>
      <c r="H16"/>
      <c r="I16"/>
      <c r="J16"/>
      <c r="K16"/>
    </row>
    <row r="17" spans="1:11" hidden="1" x14ac:dyDescent="0.3">
      <c r="A17" s="176" t="s">
        <v>14</v>
      </c>
      <c r="B17" s="114"/>
      <c r="C17" s="114"/>
      <c r="D17" s="23">
        <f>+B17+C17</f>
        <v>0</v>
      </c>
      <c r="E17"/>
      <c r="F17"/>
      <c r="G17"/>
      <c r="H17"/>
      <c r="I17"/>
      <c r="J17"/>
      <c r="K17"/>
    </row>
    <row r="18" spans="1:11" hidden="1" x14ac:dyDescent="0.3">
      <c r="A18" s="176" t="s">
        <v>13</v>
      </c>
      <c r="B18" s="114"/>
      <c r="C18" s="114"/>
      <c r="D18" s="23">
        <f>+B18+C18</f>
        <v>0</v>
      </c>
      <c r="E18"/>
      <c r="F18"/>
      <c r="G18"/>
      <c r="H18"/>
      <c r="I18"/>
      <c r="J18"/>
      <c r="K18"/>
    </row>
    <row r="19" spans="1:11" hidden="1" x14ac:dyDescent="0.3">
      <c r="A19" s="24" t="s">
        <v>16</v>
      </c>
      <c r="B19" s="8">
        <f>SUM(B16:B18)</f>
        <v>0</v>
      </c>
      <c r="C19" s="8">
        <f>SUM(C16:C18)</f>
        <v>0</v>
      </c>
      <c r="D19" s="8">
        <f>SUM(D16:D18)</f>
        <v>0</v>
      </c>
      <c r="E19"/>
      <c r="F19"/>
      <c r="G19"/>
      <c r="H19"/>
      <c r="I19"/>
      <c r="J19"/>
      <c r="K19"/>
    </row>
    <row r="20" spans="1:11" hidden="1" x14ac:dyDescent="0.3">
      <c r="A20" s="176" t="s">
        <v>42</v>
      </c>
      <c r="B20" s="114"/>
      <c r="C20" s="114"/>
      <c r="D20" s="23">
        <f>+B20+C20</f>
        <v>0</v>
      </c>
      <c r="E20"/>
      <c r="F20" s="115"/>
      <c r="G20" s="115"/>
      <c r="H20"/>
      <c r="I20"/>
      <c r="J20"/>
      <c r="K20"/>
    </row>
    <row r="21" spans="1:11" hidden="1" x14ac:dyDescent="0.3">
      <c r="A21" s="176" t="s">
        <v>22</v>
      </c>
      <c r="B21" s="114"/>
      <c r="C21" s="114"/>
      <c r="D21" s="23">
        <f>+B21+C21</f>
        <v>0</v>
      </c>
      <c r="E21"/>
      <c r="F21"/>
      <c r="G21"/>
      <c r="H21"/>
      <c r="I21"/>
      <c r="J21"/>
      <c r="K21"/>
    </row>
    <row r="22" spans="1:11" hidden="1" x14ac:dyDescent="0.3">
      <c r="A22" s="176" t="s">
        <v>23</v>
      </c>
      <c r="B22" s="114"/>
      <c r="C22" s="114"/>
      <c r="D22" s="23">
        <f>+B22+C22</f>
        <v>0</v>
      </c>
      <c r="E22"/>
      <c r="F22"/>
      <c r="G22"/>
      <c r="H22"/>
      <c r="I22"/>
      <c r="J22"/>
      <c r="K22"/>
    </row>
    <row r="23" spans="1:11" hidden="1" x14ac:dyDescent="0.3">
      <c r="A23" s="24" t="s">
        <v>24</v>
      </c>
      <c r="B23" s="8">
        <f>SUM(B20:B22)</f>
        <v>0</v>
      </c>
      <c r="C23" s="8">
        <f>SUM(C20:C22)</f>
        <v>0</v>
      </c>
      <c r="D23" s="8">
        <f>SUM(D20:D22)</f>
        <v>0</v>
      </c>
      <c r="E23"/>
      <c r="F23"/>
      <c r="G23"/>
      <c r="H23"/>
      <c r="I23"/>
      <c r="J23"/>
      <c r="K23"/>
    </row>
    <row r="24" spans="1:11" hidden="1" x14ac:dyDescent="0.3">
      <c r="A24" s="176" t="s">
        <v>25</v>
      </c>
      <c r="B24" s="114"/>
      <c r="C24" s="114"/>
      <c r="D24" s="23">
        <f>+B24+C24</f>
        <v>0</v>
      </c>
      <c r="E24"/>
      <c r="F24" s="115"/>
      <c r="G24" s="115"/>
      <c r="H24"/>
      <c r="I24"/>
      <c r="J24"/>
      <c r="K24"/>
    </row>
    <row r="25" spans="1:11" hidden="1" x14ac:dyDescent="0.3">
      <c r="A25" s="176" t="s">
        <v>26</v>
      </c>
      <c r="B25" s="114"/>
      <c r="C25" s="114"/>
      <c r="D25" s="23">
        <f>+B25+C25</f>
        <v>0</v>
      </c>
      <c r="E25"/>
      <c r="F25"/>
      <c r="G25"/>
      <c r="H25"/>
      <c r="I25"/>
      <c r="J25"/>
      <c r="K25"/>
    </row>
    <row r="26" spans="1:11" ht="15.75" hidden="1" customHeight="1" x14ac:dyDescent="0.3">
      <c r="A26" s="176" t="s">
        <v>27</v>
      </c>
      <c r="B26" s="114"/>
      <c r="C26" s="114"/>
      <c r="D26" s="23">
        <f>+B26+C26</f>
        <v>0</v>
      </c>
      <c r="E26"/>
      <c r="F26"/>
      <c r="G26"/>
      <c r="H26"/>
      <c r="I26"/>
      <c r="J26"/>
      <c r="K26"/>
    </row>
    <row r="27" spans="1:11" ht="32.25" hidden="1" customHeight="1" x14ac:dyDescent="0.3">
      <c r="A27" s="24" t="s">
        <v>28</v>
      </c>
      <c r="B27" s="8">
        <f>SUM(B24:B26)</f>
        <v>0</v>
      </c>
      <c r="C27" s="8">
        <f>SUM(C24:C26)</f>
        <v>0</v>
      </c>
      <c r="D27" s="8">
        <f>SUM(D24:D26)</f>
        <v>0</v>
      </c>
      <c r="E27"/>
      <c r="F27"/>
      <c r="G27"/>
      <c r="H27"/>
      <c r="I27"/>
      <c r="J27"/>
      <c r="K27"/>
    </row>
    <row r="28" spans="1:11" ht="17.25" hidden="1" customHeight="1" x14ac:dyDescent="0.3">
      <c r="A28" s="215" t="s">
        <v>29</v>
      </c>
      <c r="B28" s="216">
        <f>+B15+B11</f>
        <v>547907740.51999998</v>
      </c>
      <c r="C28" s="216">
        <f>+C15+C11</f>
        <v>74714691.890000001</v>
      </c>
      <c r="D28" s="216">
        <f>+D15+D11</f>
        <v>622622432.41000009</v>
      </c>
      <c r="E28"/>
      <c r="F28"/>
      <c r="G28"/>
      <c r="H28"/>
      <c r="I28"/>
      <c r="J28"/>
      <c r="K28"/>
    </row>
    <row r="29" spans="1:11" ht="19.5" customHeight="1" x14ac:dyDescent="0.3">
      <c r="A29" s="213" t="s">
        <v>62</v>
      </c>
      <c r="B29" s="214">
        <f>B11/D11</f>
        <v>0.87999999998446365</v>
      </c>
      <c r="C29" s="214">
        <f>C11/D11</f>
        <v>0.12000000001553639</v>
      </c>
      <c r="D29" s="213"/>
      <c r="E29"/>
      <c r="F29"/>
      <c r="G29"/>
      <c r="H29"/>
      <c r="I29"/>
      <c r="J29"/>
      <c r="K29"/>
    </row>
    <row r="30" spans="1:11" x14ac:dyDescent="0.3">
      <c r="A30" s="171" t="s">
        <v>55</v>
      </c>
      <c r="B30" s="154"/>
      <c r="C30"/>
      <c r="D30"/>
      <c r="E30"/>
      <c r="F30"/>
      <c r="G30"/>
      <c r="H30"/>
      <c r="I30"/>
      <c r="J30"/>
      <c r="K30"/>
    </row>
    <row r="31" spans="1:11" x14ac:dyDescent="0.3">
      <c r="A31" s="358" t="s">
        <v>56</v>
      </c>
      <c r="B31"/>
      <c r="C31"/>
      <c r="D31"/>
      <c r="E31"/>
      <c r="F31"/>
      <c r="G31"/>
      <c r="H31"/>
      <c r="I31"/>
      <c r="J31"/>
      <c r="K31"/>
    </row>
    <row r="32" spans="1:11" x14ac:dyDescent="0.3">
      <c r="A32"/>
      <c r="B32"/>
      <c r="C32"/>
      <c r="D32"/>
      <c r="E32"/>
      <c r="F32"/>
      <c r="G32"/>
      <c r="H32"/>
      <c r="I32"/>
      <c r="J32"/>
      <c r="K32"/>
    </row>
    <row r="33" spans="1:11" x14ac:dyDescent="0.3">
      <c r="A33"/>
      <c r="B33"/>
      <c r="C33"/>
      <c r="D33"/>
      <c r="E33"/>
      <c r="F33"/>
      <c r="G33"/>
      <c r="H33"/>
      <c r="I33"/>
      <c r="J33"/>
      <c r="K33"/>
    </row>
    <row r="34" spans="1:11" x14ac:dyDescent="0.3">
      <c r="A34"/>
      <c r="B34"/>
      <c r="C34"/>
      <c r="D34"/>
      <c r="E34"/>
      <c r="F34"/>
      <c r="G34"/>
      <c r="H34"/>
      <c r="I34"/>
      <c r="J34"/>
      <c r="K34"/>
    </row>
    <row r="35" spans="1:11" x14ac:dyDescent="0.3">
      <c r="A35"/>
      <c r="B35"/>
      <c r="C35"/>
      <c r="D35"/>
      <c r="E35"/>
      <c r="F35"/>
      <c r="G35"/>
      <c r="H35"/>
      <c r="I35"/>
      <c r="J35"/>
      <c r="K35"/>
    </row>
    <row r="36" spans="1:11" x14ac:dyDescent="0.3">
      <c r="A36"/>
      <c r="B36"/>
      <c r="C36"/>
      <c r="D36"/>
      <c r="E36"/>
      <c r="F36"/>
      <c r="G36"/>
      <c r="H36"/>
      <c r="I36" s="255"/>
      <c r="J36"/>
      <c r="K36"/>
    </row>
    <row r="37" spans="1:11" x14ac:dyDescent="0.3">
      <c r="A37"/>
      <c r="B37"/>
      <c r="C37"/>
      <c r="D37"/>
      <c r="E37"/>
      <c r="F37"/>
      <c r="G37" s="116"/>
      <c r="H37" s="116"/>
      <c r="I37" s="255"/>
      <c r="J37" s="116"/>
      <c r="K37" s="108"/>
    </row>
    <row r="38" spans="1:11" x14ac:dyDescent="0.3">
      <c r="A38"/>
      <c r="B38"/>
      <c r="C38"/>
      <c r="D38"/>
      <c r="E38"/>
      <c r="F38"/>
      <c r="G38"/>
      <c r="H38"/>
      <c r="I38" s="255"/>
      <c r="J38"/>
      <c r="K38"/>
    </row>
    <row r="39" spans="1:11" x14ac:dyDescent="0.3">
      <c r="A39"/>
      <c r="B39"/>
      <c r="C39"/>
      <c r="D39"/>
      <c r="E39"/>
      <c r="F39"/>
      <c r="G39"/>
      <c r="H39"/>
      <c r="I39" s="64"/>
      <c r="J39"/>
      <c r="K39"/>
    </row>
    <row r="40" spans="1:11" x14ac:dyDescent="0.3">
      <c r="A40"/>
      <c r="B40"/>
      <c r="C40"/>
      <c r="D40"/>
      <c r="E40"/>
      <c r="F40"/>
      <c r="G40"/>
      <c r="H40"/>
      <c r="I40"/>
      <c r="J40"/>
      <c r="K40"/>
    </row>
    <row r="41" spans="1:11" x14ac:dyDescent="0.3">
      <c r="A41"/>
      <c r="B41"/>
      <c r="C41"/>
      <c r="D41"/>
      <c r="E41"/>
      <c r="F41"/>
      <c r="G41"/>
      <c r="H41"/>
      <c r="I41"/>
      <c r="J41"/>
      <c r="K41"/>
    </row>
    <row r="42" spans="1:11" x14ac:dyDescent="0.3">
      <c r="A42"/>
      <c r="B42"/>
      <c r="C42"/>
      <c r="D42"/>
      <c r="E42"/>
      <c r="F42"/>
      <c r="G42"/>
      <c r="H42"/>
      <c r="I42"/>
      <c r="J42"/>
      <c r="K42"/>
    </row>
    <row r="43" spans="1:11" x14ac:dyDescent="0.3">
      <c r="A43"/>
      <c r="B43"/>
      <c r="C43"/>
      <c r="D43"/>
      <c r="E43"/>
      <c r="F43"/>
      <c r="G43"/>
      <c r="H43"/>
      <c r="I43"/>
      <c r="J43"/>
      <c r="K43"/>
    </row>
    <row r="44" spans="1:11" x14ac:dyDescent="0.3">
      <c r="A44" s="47"/>
      <c r="B44" s="114"/>
      <c r="C44" s="114"/>
      <c r="D44" s="23"/>
    </row>
    <row r="45" spans="1:11" x14ac:dyDescent="0.3">
      <c r="A45" s="47"/>
      <c r="B45" s="114"/>
      <c r="C45" s="114"/>
      <c r="D45" s="23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59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59"/>
  <sheetViews>
    <sheetView showGridLines="0" topLeftCell="A29" zoomScale="115" zoomScaleNormal="115" zoomScaleSheetLayoutView="115" workbookViewId="0">
      <selection activeCell="C10" sqref="C10"/>
    </sheetView>
  </sheetViews>
  <sheetFormatPr baseColWidth="10" defaultColWidth="11.44140625" defaultRowHeight="14.4" x14ac:dyDescent="0.3"/>
  <cols>
    <col min="1" max="1" width="21.44140625" style="1" customWidth="1"/>
    <col min="2" max="2" width="15.6640625" style="1" customWidth="1"/>
    <col min="3" max="3" width="21.109375" style="1" customWidth="1"/>
    <col min="4" max="4" width="16.6640625" style="1" customWidth="1"/>
    <col min="5" max="16384" width="11.44140625" style="1"/>
  </cols>
  <sheetData>
    <row r="1" spans="1:7" x14ac:dyDescent="0.3">
      <c r="A1" s="517" t="s">
        <v>0</v>
      </c>
      <c r="B1" s="517"/>
      <c r="C1" s="517"/>
      <c r="D1" s="517"/>
    </row>
    <row r="2" spans="1:7" x14ac:dyDescent="0.3">
      <c r="A2" s="517" t="s">
        <v>31</v>
      </c>
      <c r="B2" s="517"/>
      <c r="C2" s="517"/>
      <c r="D2" s="517"/>
    </row>
    <row r="3" spans="1:7" x14ac:dyDescent="0.3">
      <c r="A3" s="517" t="s">
        <v>63</v>
      </c>
      <c r="B3" s="517"/>
      <c r="C3" s="517"/>
      <c r="D3" s="517"/>
    </row>
    <row r="4" spans="1:7" x14ac:dyDescent="0.3">
      <c r="A4" s="517" t="s">
        <v>3</v>
      </c>
      <c r="B4" s="517"/>
      <c r="C4" s="517"/>
      <c r="D4" s="517"/>
    </row>
    <row r="5" spans="1:7" x14ac:dyDescent="0.3">
      <c r="A5" s="517" t="s">
        <v>4</v>
      </c>
      <c r="B5" s="517"/>
      <c r="C5" s="517"/>
      <c r="D5" s="517"/>
    </row>
    <row r="6" spans="1:7" x14ac:dyDescent="0.3">
      <c r="A6" s="518" t="s">
        <v>63</v>
      </c>
      <c r="B6" s="518"/>
      <c r="C6" s="518"/>
      <c r="D6" s="518"/>
      <c r="E6"/>
      <c r="F6"/>
      <c r="G6"/>
    </row>
    <row r="7" spans="1:7" x14ac:dyDescent="0.3">
      <c r="A7" s="112"/>
      <c r="B7" s="113" t="s">
        <v>64</v>
      </c>
      <c r="C7" s="113" t="s">
        <v>65</v>
      </c>
      <c r="D7" s="113" t="s">
        <v>66</v>
      </c>
      <c r="E7"/>
      <c r="F7"/>
      <c r="G7"/>
    </row>
    <row r="8" spans="1:7" x14ac:dyDescent="0.3">
      <c r="A8" t="s">
        <v>13</v>
      </c>
      <c r="B8" s="138">
        <v>30859</v>
      </c>
      <c r="C8" s="124">
        <f>+B8-B9</f>
        <v>68</v>
      </c>
      <c r="D8" s="260">
        <f>+C8/B9</f>
        <v>2.2084375304472085E-3</v>
      </c>
      <c r="E8"/>
      <c r="F8"/>
      <c r="G8"/>
    </row>
    <row r="9" spans="1:7" x14ac:dyDescent="0.3">
      <c r="A9" t="s">
        <v>14</v>
      </c>
      <c r="B9" s="138">
        <v>30791</v>
      </c>
      <c r="C9" s="124">
        <f>+B9-B10</f>
        <v>407</v>
      </c>
      <c r="D9" s="260">
        <f>+C9/B10</f>
        <v>1.3395208004212743E-2</v>
      </c>
      <c r="E9"/>
      <c r="F9"/>
      <c r="G9"/>
    </row>
    <row r="10" spans="1:7" x14ac:dyDescent="0.3">
      <c r="A10" t="s">
        <v>15</v>
      </c>
      <c r="B10" s="138">
        <v>30384</v>
      </c>
      <c r="C10" s="124">
        <f>+B10-B12</f>
        <v>-1392</v>
      </c>
      <c r="D10" s="260">
        <f>+C10/B12</f>
        <v>-4.3806646525679761E-2</v>
      </c>
      <c r="E10"/>
      <c r="F10"/>
      <c r="G10"/>
    </row>
    <row r="11" spans="1:7" x14ac:dyDescent="0.3">
      <c r="A11" s="210" t="s">
        <v>16</v>
      </c>
      <c r="B11" s="173">
        <f>SUM(B8:B10)</f>
        <v>92034</v>
      </c>
      <c r="C11" s="173">
        <f>+B11-95277</f>
        <v>-3243</v>
      </c>
      <c r="D11" s="258">
        <f>C11/95277</f>
        <v>-3.4037595642180167E-2</v>
      </c>
      <c r="E11"/>
      <c r="F11"/>
      <c r="G11"/>
    </row>
    <row r="12" spans="1:7" ht="0.75" customHeight="1" x14ac:dyDescent="0.3">
      <c r="A12" s="165" t="s">
        <v>17</v>
      </c>
      <c r="B12" s="257">
        <v>31776</v>
      </c>
      <c r="C12" s="19">
        <f>+B12-B13</f>
        <v>1053</v>
      </c>
      <c r="D12" s="259">
        <f>C12/B13</f>
        <v>3.4273996680011715E-2</v>
      </c>
      <c r="E12"/>
      <c r="F12"/>
      <c r="G12"/>
    </row>
    <row r="13" spans="1:7" hidden="1" x14ac:dyDescent="0.3">
      <c r="A13" s="165" t="s">
        <v>18</v>
      </c>
      <c r="B13" s="138">
        <v>30723</v>
      </c>
      <c r="C13" s="109">
        <f>+B13-B14</f>
        <v>128</v>
      </c>
      <c r="D13" s="20">
        <f>C13/B14</f>
        <v>4.1836901454486031E-3</v>
      </c>
      <c r="E13"/>
      <c r="F13"/>
      <c r="G13"/>
    </row>
    <row r="14" spans="1:7" ht="17.25" hidden="1" customHeight="1" x14ac:dyDescent="0.3">
      <c r="A14" s="165" t="s">
        <v>19</v>
      </c>
      <c r="B14" s="138">
        <v>30595</v>
      </c>
      <c r="C14" s="109">
        <f>+B14-32829</f>
        <v>-2234</v>
      </c>
      <c r="D14" s="20">
        <f>C14/31800</f>
        <v>-7.0251572327044029E-2</v>
      </c>
      <c r="E14"/>
      <c r="F14"/>
      <c r="G14"/>
    </row>
    <row r="15" spans="1:7" ht="18" hidden="1" customHeight="1" x14ac:dyDescent="0.3">
      <c r="A15" s="24" t="s">
        <v>20</v>
      </c>
      <c r="B15" s="70">
        <f>SUM(B12:B14)</f>
        <v>93094</v>
      </c>
      <c r="C15" s="70">
        <f>+B15-95277</f>
        <v>-2183</v>
      </c>
      <c r="D15" s="181">
        <f>C15/95277</f>
        <v>-2.2912140390650419E-2</v>
      </c>
      <c r="E15"/>
      <c r="F15" s="64"/>
      <c r="G15" s="115"/>
    </row>
    <row r="16" spans="1:7" ht="11.25" hidden="1" customHeight="1" x14ac:dyDescent="0.3">
      <c r="A16" s="47" t="s">
        <v>15</v>
      </c>
      <c r="B16" s="103"/>
      <c r="C16" s="118">
        <f>+B16-B14</f>
        <v>-30595</v>
      </c>
      <c r="D16" s="181">
        <f t="shared" ref="D16:D28" si="0">C16/95277</f>
        <v>-0.32111632398165352</v>
      </c>
      <c r="E16"/>
      <c r="F16"/>
      <c r="G16"/>
    </row>
    <row r="17" spans="1:7" ht="11.25" hidden="1" customHeight="1" x14ac:dyDescent="0.3">
      <c r="A17" s="47" t="s">
        <v>14</v>
      </c>
      <c r="B17" s="103"/>
      <c r="C17" s="118">
        <f>+B17-B16</f>
        <v>0</v>
      </c>
      <c r="D17" s="181">
        <f t="shared" si="0"/>
        <v>0</v>
      </c>
      <c r="E17"/>
      <c r="F17"/>
      <c r="G17"/>
    </row>
    <row r="18" spans="1:7" ht="11.25" hidden="1" customHeight="1" x14ac:dyDescent="0.3">
      <c r="A18" s="47" t="s">
        <v>13</v>
      </c>
      <c r="B18" s="103"/>
      <c r="C18" s="118">
        <f>+B18-B17</f>
        <v>0</v>
      </c>
      <c r="D18" s="181">
        <f t="shared" si="0"/>
        <v>0</v>
      </c>
      <c r="E18"/>
      <c r="F18"/>
      <c r="G18"/>
    </row>
    <row r="19" spans="1:7" ht="11.25" hidden="1" customHeight="1" x14ac:dyDescent="0.3">
      <c r="A19" s="24" t="s">
        <v>16</v>
      </c>
      <c r="B19" s="8">
        <f>SUM(B16:B18)</f>
        <v>0</v>
      </c>
      <c r="C19" s="63">
        <f>+B19-B15</f>
        <v>-93094</v>
      </c>
      <c r="D19" s="181">
        <f t="shared" si="0"/>
        <v>-0.97708785960934963</v>
      </c>
      <c r="E19"/>
      <c r="F19" s="64"/>
      <c r="G19"/>
    </row>
    <row r="20" spans="1:7" ht="11.25" hidden="1" customHeight="1" x14ac:dyDescent="0.3">
      <c r="A20" s="47" t="s">
        <v>42</v>
      </c>
      <c r="B20" s="103"/>
      <c r="C20" s="118">
        <f>+B20-B18</f>
        <v>0</v>
      </c>
      <c r="D20" s="181">
        <f t="shared" si="0"/>
        <v>0</v>
      </c>
      <c r="E20"/>
      <c r="F20"/>
      <c r="G20"/>
    </row>
    <row r="21" spans="1:7" ht="11.25" hidden="1" customHeight="1" x14ac:dyDescent="0.3">
      <c r="A21" s="47" t="s">
        <v>22</v>
      </c>
      <c r="B21" s="103"/>
      <c r="C21" s="118">
        <f>+B21-B20</f>
        <v>0</v>
      </c>
      <c r="D21" s="181">
        <f t="shared" si="0"/>
        <v>0</v>
      </c>
      <c r="E21"/>
      <c r="F21"/>
      <c r="G21"/>
    </row>
    <row r="22" spans="1:7" ht="11.25" hidden="1" customHeight="1" x14ac:dyDescent="0.3">
      <c r="A22" s="47" t="s">
        <v>23</v>
      </c>
      <c r="B22" s="103"/>
      <c r="C22" s="118">
        <f>+B22-B21</f>
        <v>0</v>
      </c>
      <c r="D22" s="181">
        <f t="shared" si="0"/>
        <v>0</v>
      </c>
      <c r="E22"/>
      <c r="F22"/>
      <c r="G22"/>
    </row>
    <row r="23" spans="1:7" ht="11.25" hidden="1" customHeight="1" x14ac:dyDescent="0.3">
      <c r="A23" s="24" t="s">
        <v>24</v>
      </c>
      <c r="B23" s="8">
        <f>SUM(B20:B22)</f>
        <v>0</v>
      </c>
      <c r="C23" s="63">
        <f>+B23-B19</f>
        <v>0</v>
      </c>
      <c r="D23" s="181">
        <f t="shared" si="0"/>
        <v>0</v>
      </c>
      <c r="E23"/>
      <c r="F23" s="64"/>
      <c r="G23"/>
    </row>
    <row r="24" spans="1:7" ht="11.25" hidden="1" customHeight="1" x14ac:dyDescent="0.3">
      <c r="A24" s="47" t="s">
        <v>25</v>
      </c>
      <c r="B24" s="103"/>
      <c r="C24" s="118">
        <f>+B24-B22</f>
        <v>0</v>
      </c>
      <c r="D24" s="181">
        <f t="shared" si="0"/>
        <v>0</v>
      </c>
      <c r="E24"/>
      <c r="F24"/>
      <c r="G24"/>
    </row>
    <row r="25" spans="1:7" ht="11.25" hidden="1" customHeight="1" x14ac:dyDescent="0.3">
      <c r="A25" s="47" t="s">
        <v>26</v>
      </c>
      <c r="B25" s="103"/>
      <c r="C25" s="118">
        <f>+B25-B24</f>
        <v>0</v>
      </c>
      <c r="D25" s="181">
        <f t="shared" si="0"/>
        <v>0</v>
      </c>
      <c r="E25"/>
      <c r="F25"/>
      <c r="G25"/>
    </row>
    <row r="26" spans="1:7" ht="11.25" hidden="1" customHeight="1" x14ac:dyDescent="0.3">
      <c r="A26" s="47" t="s">
        <v>27</v>
      </c>
      <c r="B26" s="103"/>
      <c r="C26" s="118">
        <f>+B26-B25</f>
        <v>0</v>
      </c>
      <c r="D26" s="181">
        <f t="shared" si="0"/>
        <v>0</v>
      </c>
      <c r="E26"/>
      <c r="F26"/>
      <c r="G26"/>
    </row>
    <row r="27" spans="1:7" ht="0.75" hidden="1" customHeight="1" x14ac:dyDescent="0.3">
      <c r="A27" s="24" t="s">
        <v>28</v>
      </c>
      <c r="B27" s="8">
        <f>SUM(B24:B26)</f>
        <v>0</v>
      </c>
      <c r="C27" s="63">
        <f>+B27-B23</f>
        <v>0</v>
      </c>
      <c r="D27" s="181">
        <f t="shared" si="0"/>
        <v>0</v>
      </c>
      <c r="E27"/>
      <c r="F27" s="64"/>
      <c r="G27"/>
    </row>
    <row r="28" spans="1:7" ht="13.5" hidden="1" customHeight="1" x14ac:dyDescent="0.3">
      <c r="A28" s="217" t="s">
        <v>29</v>
      </c>
      <c r="B28" s="218">
        <f>B15+B11</f>
        <v>185128</v>
      </c>
      <c r="C28" s="218">
        <f>+C15+C11</f>
        <v>-5426</v>
      </c>
      <c r="D28" s="219">
        <f t="shared" si="0"/>
        <v>-5.6949736032830586E-2</v>
      </c>
      <c r="E28"/>
      <c r="F28"/>
      <c r="G28"/>
    </row>
    <row r="29" spans="1:7" ht="12" customHeight="1" x14ac:dyDescent="0.3">
      <c r="A29" s="520" t="s">
        <v>67</v>
      </c>
      <c r="B29" s="520"/>
      <c r="C29" s="520"/>
      <c r="D29" s="520"/>
      <c r="E29"/>
      <c r="F29"/>
      <c r="G29"/>
    </row>
    <row r="30" spans="1:7" ht="13.5" customHeight="1" x14ac:dyDescent="0.3">
      <c r="A30" s="358" t="s">
        <v>56</v>
      </c>
      <c r="B30"/>
      <c r="C30"/>
      <c r="D30"/>
      <c r="E30" s="108"/>
      <c r="F30" s="108"/>
      <c r="G30"/>
    </row>
    <row r="31" spans="1:7" ht="12.75" customHeight="1" x14ac:dyDescent="0.3"/>
    <row r="32" spans="1:7" x14ac:dyDescent="0.3">
      <c r="A32"/>
      <c r="B32"/>
      <c r="C32"/>
      <c r="D32"/>
    </row>
    <row r="33" spans="1:10" x14ac:dyDescent="0.3">
      <c r="A33"/>
      <c r="B33"/>
      <c r="C33"/>
      <c r="D33"/>
      <c r="E33"/>
      <c r="F33"/>
      <c r="G33"/>
    </row>
    <row r="34" spans="1:10" x14ac:dyDescent="0.3">
      <c r="A34"/>
      <c r="B34"/>
      <c r="C34"/>
      <c r="D34"/>
      <c r="E34"/>
      <c r="F34"/>
      <c r="G34"/>
      <c r="J34" s="28"/>
    </row>
    <row r="35" spans="1:10" x14ac:dyDescent="0.3">
      <c r="A35"/>
      <c r="B35"/>
      <c r="C35"/>
      <c r="D35"/>
      <c r="E35"/>
      <c r="F35"/>
      <c r="G35"/>
    </row>
    <row r="36" spans="1:10" x14ac:dyDescent="0.3">
      <c r="A36"/>
      <c r="B36"/>
      <c r="C36"/>
      <c r="D36"/>
      <c r="E36"/>
      <c r="F36"/>
      <c r="G36"/>
    </row>
    <row r="37" spans="1:10" x14ac:dyDescent="0.3">
      <c r="A37"/>
      <c r="B37"/>
      <c r="C37"/>
      <c r="D37"/>
      <c r="E37"/>
      <c r="F37"/>
      <c r="G37"/>
    </row>
    <row r="38" spans="1:10" x14ac:dyDescent="0.3">
      <c r="A38"/>
      <c r="B38"/>
      <c r="C38"/>
      <c r="D38"/>
      <c r="E38"/>
      <c r="F38"/>
      <c r="G38"/>
    </row>
    <row r="39" spans="1:10" x14ac:dyDescent="0.3">
      <c r="A39"/>
      <c r="B39"/>
      <c r="C39"/>
      <c r="D39"/>
      <c r="E39"/>
      <c r="F39"/>
      <c r="G39"/>
    </row>
    <row r="40" spans="1:10" x14ac:dyDescent="0.3">
      <c r="A40"/>
      <c r="B40"/>
      <c r="C40"/>
      <c r="D40"/>
      <c r="E40"/>
      <c r="F40"/>
      <c r="G40"/>
    </row>
    <row r="41" spans="1:10" x14ac:dyDescent="0.3">
      <c r="A41"/>
      <c r="B41"/>
      <c r="C41"/>
      <c r="D41"/>
      <c r="E41"/>
      <c r="F41"/>
      <c r="G41"/>
    </row>
    <row r="42" spans="1:10" x14ac:dyDescent="0.3">
      <c r="A42"/>
      <c r="B42"/>
      <c r="C42"/>
      <c r="D42"/>
      <c r="E42"/>
      <c r="F42"/>
      <c r="G42"/>
    </row>
    <row r="43" spans="1:10" ht="14.25" customHeight="1" x14ac:dyDescent="0.3">
      <c r="A43"/>
      <c r="B43"/>
      <c r="C43"/>
      <c r="D43"/>
      <c r="E43"/>
      <c r="F43"/>
      <c r="G43"/>
    </row>
    <row r="44" spans="1:10" hidden="1" x14ac:dyDescent="0.3">
      <c r="A44"/>
      <c r="B44"/>
      <c r="C44"/>
      <c r="D44"/>
      <c r="E44"/>
      <c r="F44"/>
      <c r="G44"/>
    </row>
    <row r="45" spans="1:10" hidden="1" x14ac:dyDescent="0.3"/>
    <row r="46" spans="1:10" hidden="1" x14ac:dyDescent="0.3">
      <c r="A46" s="47"/>
      <c r="B46" s="103"/>
      <c r="C46" s="109"/>
      <c r="D46" s="117"/>
    </row>
    <row r="47" spans="1:10" hidden="1" x14ac:dyDescent="0.3">
      <c r="A47" s="47"/>
      <c r="B47" s="103"/>
      <c r="C47" s="109"/>
      <c r="D47" s="20"/>
    </row>
    <row r="48" spans="1:10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</sheetData>
  <mergeCells count="7">
    <mergeCell ref="A29:D29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62"/>
  <sheetViews>
    <sheetView showGridLines="0" topLeftCell="A36" zoomScale="115" zoomScaleNormal="115" zoomScaleSheetLayoutView="130" workbookViewId="0">
      <selection activeCell="C10" sqref="C10"/>
    </sheetView>
  </sheetViews>
  <sheetFormatPr baseColWidth="10" defaultColWidth="11.44140625" defaultRowHeight="14.4" x14ac:dyDescent="0.3"/>
  <cols>
    <col min="1" max="1" width="15" style="1" customWidth="1"/>
    <col min="2" max="2" width="22" style="1" customWidth="1"/>
    <col min="3" max="3" width="20.44140625" style="1" customWidth="1"/>
    <col min="4" max="4" width="22.44140625" style="1" customWidth="1"/>
    <col min="5" max="16384" width="11.44140625" style="1"/>
  </cols>
  <sheetData>
    <row r="1" spans="1:7" x14ac:dyDescent="0.3">
      <c r="A1" s="521" t="s">
        <v>0</v>
      </c>
      <c r="B1" s="521"/>
      <c r="C1" s="521"/>
      <c r="D1" s="521"/>
      <c r="E1" s="22"/>
      <c r="F1" s="22"/>
      <c r="G1" s="22"/>
    </row>
    <row r="2" spans="1:7" x14ac:dyDescent="0.3">
      <c r="A2" s="517" t="s">
        <v>31</v>
      </c>
      <c r="B2" s="517"/>
      <c r="C2" s="517"/>
      <c r="D2" s="517"/>
      <c r="E2" s="22"/>
      <c r="F2" s="22"/>
      <c r="G2" s="22"/>
    </row>
    <row r="3" spans="1:7" x14ac:dyDescent="0.3">
      <c r="A3" s="517" t="s">
        <v>68</v>
      </c>
      <c r="B3" s="517"/>
      <c r="C3" s="517"/>
      <c r="D3" s="517"/>
      <c r="E3" s="22"/>
      <c r="F3" s="22"/>
      <c r="G3" s="22"/>
    </row>
    <row r="4" spans="1:7" x14ac:dyDescent="0.3">
      <c r="A4" s="521" t="s">
        <v>3</v>
      </c>
      <c r="B4" s="521"/>
      <c r="C4" s="521"/>
      <c r="D4" s="521"/>
      <c r="E4" s="21"/>
      <c r="F4" s="22"/>
      <c r="G4" s="22"/>
    </row>
    <row r="5" spans="1:7" x14ac:dyDescent="0.3">
      <c r="A5" s="517" t="s">
        <v>4</v>
      </c>
      <c r="B5" s="517"/>
      <c r="C5" s="517"/>
      <c r="D5" s="517"/>
      <c r="E5" s="22"/>
      <c r="F5" s="22"/>
      <c r="G5" s="22"/>
    </row>
    <row r="6" spans="1:7" ht="15" customHeight="1" x14ac:dyDescent="0.3">
      <c r="A6" s="518" t="s">
        <v>68</v>
      </c>
      <c r="B6" s="518"/>
      <c r="C6" s="518"/>
      <c r="D6" s="518"/>
      <c r="E6"/>
      <c r="F6"/>
    </row>
    <row r="7" spans="1:7" ht="25.5" customHeight="1" x14ac:dyDescent="0.3">
      <c r="A7" s="112" t="s">
        <v>5</v>
      </c>
      <c r="B7" s="99" t="s">
        <v>69</v>
      </c>
      <c r="C7" s="99" t="s">
        <v>70</v>
      </c>
      <c r="D7" s="99" t="s">
        <v>71</v>
      </c>
      <c r="E7"/>
      <c r="F7"/>
    </row>
    <row r="8" spans="1:7" ht="19.5" customHeight="1" x14ac:dyDescent="0.3">
      <c r="A8" t="s">
        <v>13</v>
      </c>
      <c r="B8" s="119">
        <v>10</v>
      </c>
      <c r="C8" s="119">
        <v>2</v>
      </c>
      <c r="D8" s="357">
        <v>9156070</v>
      </c>
      <c r="E8"/>
      <c r="F8"/>
    </row>
    <row r="9" spans="1:7" ht="19.5" customHeight="1" x14ac:dyDescent="0.3">
      <c r="A9" t="s">
        <v>14</v>
      </c>
      <c r="B9" s="119">
        <v>163</v>
      </c>
      <c r="C9" s="119">
        <v>3</v>
      </c>
      <c r="D9" s="220">
        <v>126388222.56</v>
      </c>
      <c r="E9"/>
      <c r="F9"/>
    </row>
    <row r="10" spans="1:7" ht="19.5" customHeight="1" x14ac:dyDescent="0.3">
      <c r="A10" t="s">
        <v>15</v>
      </c>
      <c r="B10" s="119">
        <v>0</v>
      </c>
      <c r="C10" s="119">
        <v>4</v>
      </c>
      <c r="D10" s="220">
        <v>3066427.8</v>
      </c>
      <c r="E10"/>
      <c r="F10"/>
    </row>
    <row r="11" spans="1:7" ht="21" customHeight="1" x14ac:dyDescent="0.3">
      <c r="A11" s="210" t="s">
        <v>16</v>
      </c>
      <c r="B11" s="206">
        <f>SUM(B8:B10)</f>
        <v>173</v>
      </c>
      <c r="C11" s="206">
        <f>SUM(C8:C10)</f>
        <v>9</v>
      </c>
      <c r="D11" s="221">
        <f>SUM(D8:D10)</f>
        <v>138610720.36000001</v>
      </c>
      <c r="E11"/>
      <c r="F11"/>
    </row>
    <row r="12" spans="1:7" ht="0.75" hidden="1" customHeight="1" x14ac:dyDescent="0.3">
      <c r="A12" s="165" t="s">
        <v>17</v>
      </c>
      <c r="B12" s="119">
        <v>162</v>
      </c>
      <c r="C12" s="119">
        <v>5</v>
      </c>
      <c r="D12" s="222">
        <v>124127103.37</v>
      </c>
      <c r="E12"/>
      <c r="F12"/>
    </row>
    <row r="13" spans="1:7" hidden="1" x14ac:dyDescent="0.3">
      <c r="A13" s="165" t="s">
        <v>18</v>
      </c>
      <c r="B13" s="119">
        <v>1</v>
      </c>
      <c r="C13" s="119">
        <v>1</v>
      </c>
      <c r="D13" s="222">
        <v>4407042.8099999996</v>
      </c>
      <c r="E13"/>
      <c r="F13"/>
      <c r="G13" s="47"/>
    </row>
    <row r="14" spans="1:7" hidden="1" x14ac:dyDescent="0.3">
      <c r="A14" s="165" t="s">
        <v>19</v>
      </c>
      <c r="B14" s="119">
        <v>210</v>
      </c>
      <c r="C14" s="119">
        <v>1</v>
      </c>
      <c r="D14" s="222">
        <v>174414722.21000001</v>
      </c>
      <c r="E14"/>
      <c r="F14"/>
      <c r="G14" s="47"/>
    </row>
    <row r="15" spans="1:7" ht="14.25" hidden="1" customHeight="1" x14ac:dyDescent="0.3">
      <c r="A15" s="24" t="s">
        <v>20</v>
      </c>
      <c r="B15" s="8">
        <f>SUM(B12:B14)</f>
        <v>373</v>
      </c>
      <c r="C15" s="70">
        <f>SUM(C12:C14)</f>
        <v>7</v>
      </c>
      <c r="D15" s="179">
        <f>SUM(D12:D14)</f>
        <v>302948868.38999999</v>
      </c>
      <c r="E15"/>
      <c r="F15"/>
      <c r="G15" s="47"/>
    </row>
    <row r="16" spans="1:7" hidden="1" x14ac:dyDescent="0.3">
      <c r="E16"/>
      <c r="F16"/>
    </row>
    <row r="17" spans="1:6" hidden="1" x14ac:dyDescent="0.3">
      <c r="E17"/>
      <c r="F17"/>
    </row>
    <row r="18" spans="1:6" hidden="1" x14ac:dyDescent="0.3">
      <c r="E18"/>
      <c r="F18"/>
    </row>
    <row r="19" spans="1:6" hidden="1" x14ac:dyDescent="0.3">
      <c r="E19"/>
      <c r="F19"/>
    </row>
    <row r="20" spans="1:6" hidden="1" x14ac:dyDescent="0.3">
      <c r="A20" s="47" t="s">
        <v>42</v>
      </c>
      <c r="B20" s="119"/>
      <c r="C20" s="119"/>
      <c r="D20" s="119"/>
      <c r="E20"/>
      <c r="F20"/>
    </row>
    <row r="21" spans="1:6" hidden="1" x14ac:dyDescent="0.3">
      <c r="A21" s="47" t="s">
        <v>22</v>
      </c>
      <c r="B21" s="119"/>
      <c r="C21" s="119"/>
      <c r="D21" s="119"/>
      <c r="E21"/>
      <c r="F21"/>
    </row>
    <row r="22" spans="1:6" hidden="1" x14ac:dyDescent="0.3">
      <c r="A22" s="47" t="s">
        <v>23</v>
      </c>
      <c r="B22" s="119"/>
      <c r="C22" s="119"/>
      <c r="D22" s="119"/>
      <c r="E22"/>
      <c r="F22"/>
    </row>
    <row r="23" spans="1:6" hidden="1" x14ac:dyDescent="0.3">
      <c r="A23" s="24" t="s">
        <v>72</v>
      </c>
      <c r="B23" s="8">
        <f>SUM(B20:B22)</f>
        <v>0</v>
      </c>
      <c r="C23" s="8">
        <f>SUM(C20:C22)</f>
        <v>0</v>
      </c>
      <c r="D23" s="8"/>
      <c r="E23"/>
      <c r="F23"/>
    </row>
    <row r="24" spans="1:6" hidden="1" x14ac:dyDescent="0.3">
      <c r="A24" s="47" t="s">
        <v>25</v>
      </c>
      <c r="B24" s="119"/>
      <c r="C24" s="119"/>
      <c r="D24" s="119"/>
      <c r="E24"/>
      <c r="F24"/>
    </row>
    <row r="25" spans="1:6" hidden="1" x14ac:dyDescent="0.3">
      <c r="A25" s="47" t="s">
        <v>26</v>
      </c>
      <c r="B25" s="119"/>
      <c r="C25" s="119"/>
      <c r="D25" s="119"/>
      <c r="E25"/>
      <c r="F25"/>
    </row>
    <row r="26" spans="1:6" hidden="1" x14ac:dyDescent="0.3">
      <c r="A26" s="47" t="s">
        <v>27</v>
      </c>
      <c r="B26" s="119"/>
      <c r="C26" s="119"/>
      <c r="D26" s="119"/>
      <c r="E26"/>
      <c r="F26"/>
    </row>
    <row r="27" spans="1:6" hidden="1" x14ac:dyDescent="0.3">
      <c r="A27" s="24" t="s">
        <v>73</v>
      </c>
      <c r="B27" s="8">
        <f>SUM(B24:B26)</f>
        <v>0</v>
      </c>
      <c r="C27" s="8">
        <f>SUM(C24:C26)</f>
        <v>0</v>
      </c>
      <c r="D27" s="8"/>
      <c r="E27"/>
      <c r="F27"/>
    </row>
    <row r="28" spans="1:6" hidden="1" x14ac:dyDescent="0.3">
      <c r="A28" s="223" t="s">
        <v>29</v>
      </c>
      <c r="B28" s="224">
        <f>+B15+B11</f>
        <v>546</v>
      </c>
      <c r="C28" s="224">
        <f>+C15+C11</f>
        <v>16</v>
      </c>
      <c r="D28" s="225">
        <f>+D11+D15</f>
        <v>441559588.75</v>
      </c>
      <c r="E28"/>
      <c r="F28"/>
    </row>
    <row r="29" spans="1:6" hidden="1" x14ac:dyDescent="0.3">
      <c r="A29" s="171"/>
      <c r="B29" s="171"/>
      <c r="C29" s="171"/>
      <c r="D29" s="171"/>
      <c r="E29"/>
      <c r="F29"/>
    </row>
    <row r="30" spans="1:6" ht="12" customHeight="1" x14ac:dyDescent="0.3">
      <c r="A30" s="171" t="s">
        <v>74</v>
      </c>
      <c r="B30"/>
      <c r="C30"/>
      <c r="D30"/>
      <c r="E30"/>
      <c r="F30"/>
    </row>
    <row r="31" spans="1:6" x14ac:dyDescent="0.3">
      <c r="A31" s="358" t="s">
        <v>56</v>
      </c>
      <c r="B31"/>
      <c r="C31"/>
      <c r="D31"/>
      <c r="E31"/>
      <c r="F31"/>
    </row>
    <row r="32" spans="1:6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  <row r="36" spans="1:6" x14ac:dyDescent="0.3">
      <c r="A36"/>
      <c r="B36"/>
      <c r="C36"/>
      <c r="D36"/>
      <c r="E36"/>
      <c r="F36"/>
    </row>
    <row r="37" spans="1:6" x14ac:dyDescent="0.3">
      <c r="A37"/>
      <c r="B37"/>
      <c r="C37"/>
      <c r="D37"/>
      <c r="E37" s="47"/>
      <c r="F37" s="99"/>
    </row>
    <row r="38" spans="1:6" x14ac:dyDescent="0.3">
      <c r="A38"/>
      <c r="B38"/>
      <c r="C38"/>
      <c r="D38"/>
      <c r="E38" s="47"/>
      <c r="F38" s="114"/>
    </row>
    <row r="39" spans="1:6" x14ac:dyDescent="0.3">
      <c r="A39"/>
      <c r="B39"/>
      <c r="C39"/>
      <c r="D39"/>
      <c r="E39" s="47"/>
      <c r="F39" s="114"/>
    </row>
    <row r="40" spans="1:6" x14ac:dyDescent="0.3">
      <c r="A40"/>
      <c r="B40"/>
      <c r="C40"/>
      <c r="D40"/>
      <c r="E40"/>
      <c r="F40" s="114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6" spans="1:6" ht="14.25" customHeight="1" x14ac:dyDescent="0.3"/>
    <row r="47" spans="1:6" hidden="1" x14ac:dyDescent="0.3">
      <c r="A47" s="47"/>
      <c r="B47" s="119"/>
      <c r="C47" s="119"/>
      <c r="D47" s="119"/>
    </row>
    <row r="48" spans="1:6" hidden="1" x14ac:dyDescent="0.3">
      <c r="A48" s="47"/>
      <c r="B48" s="119"/>
      <c r="C48" s="119"/>
      <c r="D48" s="119"/>
    </row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102"/>
  <sheetViews>
    <sheetView showGridLines="0" topLeftCell="C29" zoomScale="85" zoomScaleNormal="85" workbookViewId="0">
      <selection activeCell="C10" sqref="C10"/>
    </sheetView>
  </sheetViews>
  <sheetFormatPr baseColWidth="10" defaultColWidth="11.44140625" defaultRowHeight="14.4" x14ac:dyDescent="0.3"/>
  <cols>
    <col min="1" max="1" width="12" style="1" customWidth="1"/>
    <col min="2" max="4" width="18.109375" style="1" customWidth="1"/>
    <col min="5" max="5" width="19.33203125" style="1" customWidth="1"/>
    <col min="6" max="6" width="11.44140625" style="1"/>
    <col min="7" max="7" width="18" style="1" customWidth="1"/>
    <col min="8" max="8" width="15.5546875" style="1" customWidth="1"/>
    <col min="9" max="9" width="18.109375" style="1" customWidth="1"/>
    <col min="10" max="16" width="16.33203125" style="1" customWidth="1"/>
    <col min="17" max="16384" width="11.44140625" style="1"/>
  </cols>
  <sheetData>
    <row r="1" spans="1:13" x14ac:dyDescent="0.3">
      <c r="A1" s="516" t="s">
        <v>0</v>
      </c>
      <c r="B1" s="516"/>
      <c r="C1" s="516"/>
      <c r="D1" s="516"/>
      <c r="E1" s="516"/>
      <c r="F1" s="516"/>
      <c r="G1" s="516"/>
      <c r="H1" s="516"/>
    </row>
    <row r="2" spans="1:13" x14ac:dyDescent="0.3">
      <c r="A2" s="516" t="s">
        <v>75</v>
      </c>
      <c r="B2" s="516"/>
      <c r="C2" s="516"/>
      <c r="D2" s="516"/>
      <c r="E2" s="516"/>
      <c r="F2" s="516"/>
      <c r="G2" s="516"/>
      <c r="H2" s="516"/>
    </row>
    <row r="3" spans="1:13" x14ac:dyDescent="0.3">
      <c r="A3" s="516" t="s">
        <v>76</v>
      </c>
      <c r="B3" s="516"/>
      <c r="C3" s="516"/>
      <c r="D3" s="516"/>
      <c r="E3" s="516"/>
      <c r="F3" s="516"/>
      <c r="G3" s="516"/>
      <c r="H3" s="516"/>
    </row>
    <row r="4" spans="1:13" x14ac:dyDescent="0.3">
      <c r="A4" s="516" t="s">
        <v>3</v>
      </c>
      <c r="B4" s="516"/>
      <c r="C4" s="516"/>
      <c r="D4" s="516"/>
      <c r="E4" s="516"/>
      <c r="F4" s="516"/>
      <c r="G4" s="516"/>
      <c r="H4" s="516"/>
    </row>
    <row r="5" spans="1:13" x14ac:dyDescent="0.3">
      <c r="A5" s="516" t="s">
        <v>4</v>
      </c>
      <c r="B5" s="516"/>
      <c r="C5" s="516"/>
      <c r="D5" s="516"/>
      <c r="E5" s="516"/>
      <c r="F5" s="516"/>
      <c r="G5" s="516"/>
      <c r="H5" s="516"/>
    </row>
    <row r="6" spans="1:13" x14ac:dyDescent="0.3">
      <c r="A6" s="193"/>
      <c r="B6" s="526" t="s">
        <v>77</v>
      </c>
      <c r="C6" s="526"/>
      <c r="D6" s="526"/>
      <c r="E6" s="526" t="s">
        <v>78</v>
      </c>
      <c r="F6" s="526"/>
      <c r="G6" s="526"/>
      <c r="H6" s="526"/>
    </row>
    <row r="7" spans="1:13" ht="15" customHeight="1" x14ac:dyDescent="0.3">
      <c r="A7" s="39" t="s">
        <v>5</v>
      </c>
      <c r="B7" s="518" t="s">
        <v>79</v>
      </c>
      <c r="C7" s="518" t="s">
        <v>80</v>
      </c>
      <c r="D7" s="518" t="s">
        <v>81</v>
      </c>
      <c r="E7" s="518" t="s">
        <v>82</v>
      </c>
      <c r="F7" s="518"/>
      <c r="G7" s="518" t="s">
        <v>8</v>
      </c>
      <c r="H7" s="518"/>
      <c r="I7" s="14"/>
    </row>
    <row r="8" spans="1:13" x14ac:dyDescent="0.3">
      <c r="A8" s="39"/>
      <c r="B8" s="518"/>
      <c r="C8" s="518"/>
      <c r="D8" s="518"/>
      <c r="E8" s="518"/>
      <c r="F8" s="518"/>
      <c r="G8" s="518"/>
      <c r="H8" s="518"/>
      <c r="I8" s="14"/>
    </row>
    <row r="9" spans="1:13" ht="13.5" customHeight="1" x14ac:dyDescent="0.3">
      <c r="A9" s="120"/>
      <c r="B9" s="99" t="s">
        <v>9</v>
      </c>
      <c r="C9" s="99" t="s">
        <v>9</v>
      </c>
      <c r="D9" s="99" t="s">
        <v>9</v>
      </c>
      <c r="E9" s="99" t="s">
        <v>10</v>
      </c>
      <c r="F9" s="99" t="s">
        <v>11</v>
      </c>
      <c r="G9" s="99" t="s">
        <v>10</v>
      </c>
      <c r="H9" s="99" t="s">
        <v>11</v>
      </c>
    </row>
    <row r="10" spans="1:13" hidden="1" x14ac:dyDescent="0.3">
      <c r="A10" s="139" t="s">
        <v>12</v>
      </c>
      <c r="B10" s="138"/>
      <c r="C10" s="138"/>
      <c r="D10" s="137"/>
      <c r="E10" s="104"/>
      <c r="F10" s="180" t="e">
        <f>(E10/D10)</f>
        <v>#DIV/0!</v>
      </c>
      <c r="G10" s="62">
        <f>+D10-E10</f>
        <v>0</v>
      </c>
      <c r="H10" s="136" t="e">
        <f>(G10/D10)</f>
        <v>#DIV/0!</v>
      </c>
    </row>
    <row r="11" spans="1:13" ht="2.25" hidden="1" customHeight="1" x14ac:dyDescent="0.3">
      <c r="A11" s="75" t="s">
        <v>17</v>
      </c>
      <c r="B11" s="103">
        <v>2990518195.5700002</v>
      </c>
      <c r="C11" s="103">
        <v>3889644.92</v>
      </c>
      <c r="D11" s="103">
        <v>3043479848.3199997</v>
      </c>
      <c r="E11" s="359">
        <v>2993540874.0500002</v>
      </c>
      <c r="F11" s="2">
        <f t="shared" ref="F11" si="0">(E11/D11)</f>
        <v>0.98359148844124411</v>
      </c>
      <c r="G11" s="62">
        <f>+D11-E11</f>
        <v>49938974.269999504</v>
      </c>
      <c r="H11" s="360">
        <f t="shared" ref="H11" si="1">(G11/D11)</f>
        <v>1.6408511558755945E-2</v>
      </c>
      <c r="I11" s="14"/>
    </row>
    <row r="12" spans="1:13" hidden="1" x14ac:dyDescent="0.3">
      <c r="A12" s="75" t="s">
        <v>18</v>
      </c>
      <c r="B12" s="103">
        <v>2952232164</v>
      </c>
      <c r="C12" s="174">
        <v>374463.47000000003</v>
      </c>
      <c r="D12" s="103">
        <v>2991604052.5299993</v>
      </c>
      <c r="E12" s="104">
        <v>2942532044.6999998</v>
      </c>
      <c r="F12" s="2">
        <f t="shared" ref="F12" si="2">(E12/D12)</f>
        <v>0.98359675713485573</v>
      </c>
      <c r="G12" s="62">
        <f>+D12-E12</f>
        <v>49072007.829999447</v>
      </c>
      <c r="H12" s="360">
        <f t="shared" ref="H12" si="3">(G12/D12)</f>
        <v>1.6403242865144288E-2</v>
      </c>
      <c r="K12" s="14"/>
      <c r="M12" s="94"/>
    </row>
    <row r="13" spans="1:13" hidden="1" x14ac:dyDescent="0.3">
      <c r="A13" s="75" t="s">
        <v>19</v>
      </c>
      <c r="B13" s="103">
        <v>2987602838.7799997</v>
      </c>
      <c r="C13" s="174">
        <v>0</v>
      </c>
      <c r="D13" s="103">
        <v>2987602838.7799997</v>
      </c>
      <c r="E13" s="361">
        <v>2948605413.7200003</v>
      </c>
      <c r="F13" s="2">
        <f>(E13/D13)</f>
        <v>0.98694691792570255</v>
      </c>
      <c r="G13" s="96">
        <f>+D13-E13</f>
        <v>38997425.059999466</v>
      </c>
      <c r="H13" s="360">
        <f>(G13/D13)</f>
        <v>1.3053082074297475E-2</v>
      </c>
    </row>
    <row r="14" spans="1:13" ht="48" hidden="1" customHeight="1" x14ac:dyDescent="0.3">
      <c r="A14" s="24" t="s">
        <v>20</v>
      </c>
      <c r="B14" s="70">
        <f>SUM(B10:B13)</f>
        <v>8930353198.3499985</v>
      </c>
      <c r="C14" s="8">
        <f>SUM(C10:C13)</f>
        <v>4264108.3899999997</v>
      </c>
      <c r="D14" s="8">
        <f>SUM(D10:D13)</f>
        <v>9022686739.6299973</v>
      </c>
      <c r="E14" s="8">
        <f>SUM(E10:E13)</f>
        <v>8884678332.4700012</v>
      </c>
      <c r="F14" s="362">
        <f>+E14/D14</f>
        <v>0.98470428918319564</v>
      </c>
      <c r="G14" s="363">
        <f>(B14+C14)-E14</f>
        <v>49938974.269996643</v>
      </c>
      <c r="H14" s="182">
        <f>+G14/D14</f>
        <v>5.5348230201378509E-3</v>
      </c>
      <c r="I14" s="18"/>
    </row>
    <row r="15" spans="1:13" x14ac:dyDescent="0.3">
      <c r="A15" s="1" t="s">
        <v>13</v>
      </c>
      <c r="B15" s="387">
        <v>3155991435.9400001</v>
      </c>
      <c r="C15" s="387">
        <v>1059726.92</v>
      </c>
      <c r="D15" s="387">
        <v>3191027890.6199994</v>
      </c>
      <c r="E15" s="387">
        <v>3131972063.1999998</v>
      </c>
      <c r="F15" s="343">
        <v>0.98148701667558291</v>
      </c>
      <c r="G15" s="387">
        <v>59055827.419999599</v>
      </c>
      <c r="H15" s="386">
        <f>(G15/D15)</f>
        <v>1.8506835240642592E-2</v>
      </c>
    </row>
    <row r="16" spans="1:13" x14ac:dyDescent="0.3">
      <c r="A16" s="1" t="s">
        <v>14</v>
      </c>
      <c r="B16" s="387">
        <v>3143190720.0000005</v>
      </c>
      <c r="C16" s="387">
        <v>557941.93000000005</v>
      </c>
      <c r="D16" s="387">
        <v>3133552588.0300002</v>
      </c>
      <c r="E16" s="387">
        <v>3099575860.27</v>
      </c>
      <c r="F16" s="343">
        <v>0.98915519124736007</v>
      </c>
      <c r="G16" s="387">
        <v>33976727.759999275</v>
      </c>
      <c r="H16" s="386">
        <f t="shared" ref="H16:H17" si="4">(G16/D16)</f>
        <v>1.0842877789825045E-2</v>
      </c>
    </row>
    <row r="17" spans="1:13" x14ac:dyDescent="0.3">
      <c r="A17" s="1" t="s">
        <v>15</v>
      </c>
      <c r="B17" s="387">
        <v>3003939801.5500002</v>
      </c>
      <c r="C17" s="387">
        <v>426396.11</v>
      </c>
      <c r="D17" s="387">
        <v>3050777948.02</v>
      </c>
      <c r="E17" s="387">
        <v>3060974021.9200001</v>
      </c>
      <c r="F17" s="343">
        <v>1.003342589772519</v>
      </c>
      <c r="G17" s="387">
        <v>-10196073.900001001</v>
      </c>
      <c r="H17" s="386">
        <f t="shared" si="4"/>
        <v>-3.3421225909340282E-3</v>
      </c>
    </row>
    <row r="18" spans="1:13" x14ac:dyDescent="0.3">
      <c r="A18" s="210" t="s">
        <v>16</v>
      </c>
      <c r="B18" s="458">
        <f>+B15+B16+B17</f>
        <v>9303121957.4900017</v>
      </c>
      <c r="C18" s="458">
        <f>+C15+C16+C17</f>
        <v>2044064.96</v>
      </c>
      <c r="D18" s="458">
        <f t="shared" ref="D18:E18" si="5">+D15+D16+D17</f>
        <v>9375358426.6700001</v>
      </c>
      <c r="E18" s="458">
        <f t="shared" si="5"/>
        <v>9292521945.3899994</v>
      </c>
      <c r="F18" s="459">
        <f>+E18/D18</f>
        <v>0.99116444646592317</v>
      </c>
      <c r="G18" s="458">
        <v>59055827.419998169</v>
      </c>
      <c r="H18" s="460">
        <f>+G18/D18</f>
        <v>6.299047431829654E-3</v>
      </c>
      <c r="I18" s="388"/>
      <c r="J18" s="388"/>
    </row>
    <row r="19" spans="1:13" hidden="1" x14ac:dyDescent="0.3">
      <c r="A19" s="75" t="s">
        <v>21</v>
      </c>
      <c r="B19" s="103"/>
      <c r="C19" s="103"/>
      <c r="D19" s="103"/>
      <c r="E19" s="104"/>
      <c r="F19" s="2"/>
      <c r="G19" s="62"/>
      <c r="H19" s="4"/>
    </row>
    <row r="20" spans="1:13" hidden="1" x14ac:dyDescent="0.3">
      <c r="A20" s="75" t="s">
        <v>22</v>
      </c>
      <c r="B20" s="103"/>
      <c r="C20" s="103"/>
      <c r="D20" s="103"/>
      <c r="E20" s="104"/>
      <c r="F20" s="2"/>
      <c r="G20" s="62"/>
      <c r="H20" s="4"/>
    </row>
    <row r="21" spans="1:13" hidden="1" x14ac:dyDescent="0.3">
      <c r="A21" s="75" t="s">
        <v>23</v>
      </c>
      <c r="B21" s="103"/>
      <c r="C21" s="103"/>
      <c r="D21" s="103"/>
      <c r="E21" s="104"/>
      <c r="F21" s="2"/>
      <c r="G21" s="62"/>
      <c r="H21" s="4"/>
    </row>
    <row r="22" spans="1:13" hidden="1" x14ac:dyDescent="0.3">
      <c r="A22" s="24" t="s">
        <v>24</v>
      </c>
      <c r="B22" s="8"/>
      <c r="C22" s="8"/>
      <c r="D22" s="8"/>
      <c r="E22" s="8"/>
      <c r="F22" s="3"/>
      <c r="G22" s="13"/>
      <c r="H22" s="5"/>
    </row>
    <row r="23" spans="1:13" hidden="1" x14ac:dyDescent="0.3">
      <c r="A23" s="75" t="s">
        <v>25</v>
      </c>
      <c r="B23" s="103"/>
      <c r="C23" s="103"/>
      <c r="D23" s="103"/>
      <c r="E23" s="104"/>
      <c r="F23" s="2"/>
      <c r="G23" s="62"/>
      <c r="H23" s="4"/>
    </row>
    <row r="24" spans="1:13" hidden="1" x14ac:dyDescent="0.3">
      <c r="A24" s="75" t="s">
        <v>26</v>
      </c>
      <c r="B24" s="103"/>
      <c r="C24" s="103"/>
      <c r="D24" s="103"/>
      <c r="E24" s="104"/>
      <c r="F24" s="2"/>
      <c r="G24" s="62"/>
      <c r="H24" s="4"/>
    </row>
    <row r="25" spans="1:13" hidden="1" x14ac:dyDescent="0.3">
      <c r="A25" s="75" t="s">
        <v>27</v>
      </c>
      <c r="B25" s="103"/>
      <c r="C25" s="103"/>
      <c r="D25" s="103"/>
      <c r="E25" s="104"/>
      <c r="F25" s="2"/>
      <c r="G25" s="62"/>
      <c r="H25" s="4"/>
    </row>
    <row r="26" spans="1:13" ht="24.75" hidden="1" customHeight="1" x14ac:dyDescent="0.3">
      <c r="A26" s="75" t="s">
        <v>12</v>
      </c>
      <c r="B26" s="103"/>
      <c r="C26" s="103"/>
      <c r="D26" s="103"/>
      <c r="E26" s="104"/>
      <c r="F26" s="2"/>
      <c r="G26" s="62"/>
      <c r="H26" s="4"/>
    </row>
    <row r="27" spans="1:13" ht="50.25" hidden="1" customHeight="1" x14ac:dyDescent="0.3">
      <c r="A27" s="24" t="s">
        <v>28</v>
      </c>
      <c r="B27" s="8">
        <f>SUM(B23:B26)</f>
        <v>0</v>
      </c>
      <c r="C27" s="8"/>
      <c r="D27" s="8"/>
      <c r="E27" s="8">
        <f>SUM(E23:E26)</f>
        <v>0</v>
      </c>
      <c r="F27" s="3" t="e">
        <f t="shared" ref="F27:F28" si="6">(E27/B27)</f>
        <v>#DIV/0!</v>
      </c>
      <c r="G27" s="13">
        <f>SUM(G23:G26)</f>
        <v>0</v>
      </c>
      <c r="H27" s="5" t="e">
        <f t="shared" ref="H27" si="7">(G27/B27)</f>
        <v>#DIV/0!</v>
      </c>
      <c r="M27" s="226"/>
    </row>
    <row r="28" spans="1:13" ht="35.25" hidden="1" customHeight="1" x14ac:dyDescent="0.3">
      <c r="A28" s="106" t="s">
        <v>29</v>
      </c>
      <c r="B28" s="10">
        <f>+B14+B18+B22+B27</f>
        <v>18233475155.84</v>
      </c>
      <c r="C28" s="10"/>
      <c r="D28" s="10"/>
      <c r="E28" s="10">
        <f>+E14+E18+E22+E27</f>
        <v>18177200277.860001</v>
      </c>
      <c r="F28" s="17">
        <f t="shared" si="6"/>
        <v>0.99691365044244051</v>
      </c>
      <c r="G28" s="11">
        <f>+G14+G18+G22+G27</f>
        <v>108994801.68999481</v>
      </c>
      <c r="H28" s="17">
        <v>1</v>
      </c>
    </row>
    <row r="29" spans="1:13" ht="15.75" customHeight="1" x14ac:dyDescent="0.3">
      <c r="A29" s="523" t="s">
        <v>83</v>
      </c>
      <c r="B29" s="524"/>
      <c r="C29" s="524"/>
      <c r="D29" s="524"/>
      <c r="E29" s="524"/>
      <c r="F29" s="524"/>
      <c r="G29" s="524"/>
      <c r="H29" s="524"/>
    </row>
    <row r="30" spans="1:13" ht="13.5" customHeight="1" x14ac:dyDescent="0.3">
      <c r="A30" s="525" t="s">
        <v>84</v>
      </c>
      <c r="B30" s="525"/>
      <c r="C30" s="525"/>
      <c r="D30" s="525"/>
      <c r="E30" s="525"/>
      <c r="F30" s="525"/>
      <c r="G30" s="525"/>
      <c r="H30" s="525"/>
      <c r="I30" s="14"/>
      <c r="J30" s="94"/>
    </row>
    <row r="31" spans="1:13" ht="12.75" customHeight="1" x14ac:dyDescent="0.3">
      <c r="A31" s="522" t="s">
        <v>85</v>
      </c>
      <c r="B31" s="522"/>
      <c r="C31" s="522"/>
      <c r="D31" s="522"/>
      <c r="E31" s="522"/>
      <c r="F31" s="522"/>
      <c r="G31" s="522"/>
      <c r="H31" s="522"/>
      <c r="J31" s="28"/>
      <c r="L31" s="14"/>
    </row>
    <row r="32" spans="1:13" x14ac:dyDescent="0.3">
      <c r="B32" s="30"/>
      <c r="C32" s="30"/>
      <c r="D32" s="30"/>
      <c r="E32" s="30"/>
      <c r="F32" s="18"/>
      <c r="G32" s="30"/>
      <c r="H32" s="30"/>
      <c r="I32" s="14"/>
    </row>
    <row r="33" ht="14.25" customHeight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spans="4:9" hidden="1" x14ac:dyDescent="0.3"/>
    <row r="50" spans="4:9" hidden="1" x14ac:dyDescent="0.3"/>
    <row r="51" spans="4:9" hidden="1" x14ac:dyDescent="0.3"/>
    <row r="52" spans="4:9" hidden="1" x14ac:dyDescent="0.3"/>
    <row r="53" spans="4:9" hidden="1" x14ac:dyDescent="0.3"/>
    <row r="54" spans="4:9" hidden="1" x14ac:dyDescent="0.3">
      <c r="I54" s="4"/>
    </row>
    <row r="55" spans="4:9" hidden="1" x14ac:dyDescent="0.3"/>
    <row r="56" spans="4:9" hidden="1" x14ac:dyDescent="0.3">
      <c r="I56" s="4"/>
    </row>
    <row r="57" spans="4:9" hidden="1" x14ac:dyDescent="0.3"/>
    <row r="59" spans="4:9" x14ac:dyDescent="0.3">
      <c r="D59" s="31"/>
    </row>
    <row r="67" spans="1:8" x14ac:dyDescent="0.3">
      <c r="A67" s="522"/>
      <c r="B67" s="522"/>
      <c r="C67" s="522"/>
      <c r="D67" s="522"/>
      <c r="E67" s="522"/>
      <c r="F67" s="522"/>
      <c r="G67" s="522"/>
      <c r="H67" s="522"/>
    </row>
    <row r="68" spans="1:8" x14ac:dyDescent="0.3">
      <c r="A68" s="156"/>
      <c r="B68" s="154"/>
      <c r="C68"/>
      <c r="D68" s="64"/>
      <c r="E68"/>
      <c r="F68"/>
      <c r="G68"/>
      <c r="H68"/>
    </row>
    <row r="69" spans="1:8" x14ac:dyDescent="0.3">
      <c r="A69"/>
      <c r="B69" s="127"/>
      <c r="C69"/>
      <c r="D69" s="127"/>
      <c r="E69"/>
      <c r="F69"/>
      <c r="G69"/>
      <c r="H69"/>
    </row>
    <row r="70" spans="1:8" x14ac:dyDescent="0.3">
      <c r="A70"/>
      <c r="B70"/>
      <c r="C70"/>
      <c r="D70"/>
      <c r="E70"/>
      <c r="F70"/>
      <c r="G70"/>
      <c r="H70"/>
    </row>
    <row r="71" spans="1:8" x14ac:dyDescent="0.3">
      <c r="A71"/>
      <c r="B71"/>
      <c r="C71"/>
      <c r="D71"/>
      <c r="E71"/>
      <c r="F71"/>
      <c r="G71"/>
      <c r="H71"/>
    </row>
    <row r="72" spans="1:8" x14ac:dyDescent="0.3">
      <c r="A72"/>
      <c r="B72"/>
      <c r="C72"/>
      <c r="D72"/>
      <c r="E72"/>
      <c r="F72"/>
      <c r="G72"/>
      <c r="H72"/>
    </row>
    <row r="73" spans="1:8" x14ac:dyDescent="0.3">
      <c r="A73"/>
      <c r="B73"/>
      <c r="C73"/>
      <c r="D73"/>
      <c r="E73"/>
      <c r="F73"/>
      <c r="G73"/>
      <c r="H73"/>
    </row>
    <row r="74" spans="1:8" x14ac:dyDescent="0.3">
      <c r="A74"/>
      <c r="B74"/>
      <c r="C74"/>
      <c r="D74"/>
      <c r="E74"/>
      <c r="F74"/>
      <c r="G74"/>
      <c r="H74"/>
    </row>
    <row r="75" spans="1:8" x14ac:dyDescent="0.3">
      <c r="A75"/>
      <c r="B75"/>
      <c r="C75"/>
      <c r="D75"/>
      <c r="E75"/>
      <c r="F75"/>
      <c r="G75"/>
      <c r="H75"/>
    </row>
    <row r="76" spans="1:8" x14ac:dyDescent="0.3">
      <c r="A76"/>
      <c r="B76"/>
      <c r="C76"/>
      <c r="D76"/>
      <c r="E76"/>
      <c r="F76"/>
      <c r="G76"/>
      <c r="H76"/>
    </row>
    <row r="77" spans="1:8" x14ac:dyDescent="0.3">
      <c r="A77"/>
      <c r="B77"/>
      <c r="C77"/>
      <c r="D77"/>
      <c r="E77"/>
      <c r="F77"/>
      <c r="G77"/>
      <c r="H77"/>
    </row>
    <row r="78" spans="1:8" x14ac:dyDescent="0.3">
      <c r="A78"/>
      <c r="B78"/>
      <c r="C78"/>
      <c r="D78"/>
      <c r="E78"/>
      <c r="F78"/>
      <c r="G78"/>
      <c r="H78"/>
    </row>
    <row r="79" spans="1:8" x14ac:dyDescent="0.3">
      <c r="A79"/>
      <c r="B79"/>
      <c r="C79"/>
      <c r="D79"/>
      <c r="E79"/>
      <c r="F79"/>
      <c r="G79"/>
      <c r="H79"/>
    </row>
    <row r="80" spans="1:8" x14ac:dyDescent="0.3">
      <c r="A80"/>
      <c r="B80"/>
      <c r="C80"/>
      <c r="D80"/>
      <c r="E80"/>
      <c r="F80"/>
      <c r="G80"/>
      <c r="H80"/>
    </row>
    <row r="81" spans="1:8" x14ac:dyDescent="0.3">
      <c r="A81"/>
      <c r="B81"/>
      <c r="C81"/>
      <c r="D81"/>
      <c r="E81"/>
      <c r="F81"/>
      <c r="G81"/>
      <c r="H81"/>
    </row>
    <row r="82" spans="1:8" x14ac:dyDescent="0.3">
      <c r="A82"/>
      <c r="B82"/>
      <c r="C82"/>
      <c r="D82"/>
      <c r="E82"/>
      <c r="F82"/>
      <c r="G82"/>
      <c r="H82"/>
    </row>
    <row r="83" spans="1:8" x14ac:dyDescent="0.3">
      <c r="A83"/>
      <c r="B83"/>
      <c r="C83"/>
      <c r="D83"/>
      <c r="E83"/>
      <c r="F83"/>
      <c r="G83"/>
      <c r="H83"/>
    </row>
    <row r="84" spans="1:8" x14ac:dyDescent="0.3">
      <c r="A84"/>
      <c r="B84"/>
      <c r="C84"/>
      <c r="D84"/>
      <c r="E84"/>
      <c r="F84"/>
      <c r="G84"/>
      <c r="H84"/>
    </row>
    <row r="85" spans="1:8" x14ac:dyDescent="0.3">
      <c r="A85"/>
      <c r="B85"/>
      <c r="C85"/>
      <c r="D85"/>
      <c r="E85"/>
      <c r="F85"/>
      <c r="G85"/>
      <c r="H85"/>
    </row>
    <row r="86" spans="1:8" ht="15" customHeight="1" x14ac:dyDescent="0.3">
      <c r="A86"/>
      <c r="B86"/>
      <c r="C86"/>
      <c r="D86"/>
      <c r="E86"/>
      <c r="F86"/>
      <c r="G86"/>
      <c r="H86"/>
    </row>
    <row r="87" spans="1:8" x14ac:dyDescent="0.3">
      <c r="A87"/>
      <c r="B87"/>
      <c r="C87"/>
      <c r="D87"/>
      <c r="E87"/>
      <c r="F87"/>
      <c r="G87"/>
      <c r="H87"/>
    </row>
    <row r="88" spans="1:8" x14ac:dyDescent="0.3">
      <c r="A88"/>
      <c r="B88"/>
      <c r="C88"/>
      <c r="D88"/>
      <c r="E88"/>
      <c r="F88"/>
      <c r="G88"/>
      <c r="H88"/>
    </row>
    <row r="89" spans="1:8" ht="15" hidden="1" customHeight="1" x14ac:dyDescent="0.3">
      <c r="A89"/>
      <c r="B89"/>
      <c r="C89"/>
      <c r="D89"/>
      <c r="E89"/>
      <c r="F89"/>
      <c r="G89"/>
      <c r="H89"/>
    </row>
    <row r="90" spans="1:8" x14ac:dyDescent="0.3">
      <c r="B90" s="75"/>
      <c r="C90" s="103"/>
      <c r="D90" s="121"/>
      <c r="E90" s="103"/>
      <c r="F90" s="104"/>
      <c r="G90" s="2"/>
      <c r="H90" s="62"/>
    </row>
    <row r="92" spans="1:8" x14ac:dyDescent="0.3">
      <c r="B92" s="75"/>
      <c r="C92" s="121"/>
      <c r="D92" s="103"/>
      <c r="E92" s="103"/>
      <c r="F92" s="104"/>
      <c r="G92" s="2"/>
      <c r="H92" s="96"/>
    </row>
    <row r="94" spans="1:8" x14ac:dyDescent="0.3">
      <c r="B94" s="1">
        <v>3143190720.0000005</v>
      </c>
      <c r="C94" s="1">
        <v>557941.93000000005</v>
      </c>
      <c r="D94" s="1">
        <v>3133552588.0299993</v>
      </c>
      <c r="E94" s="1">
        <v>3099575860.27</v>
      </c>
      <c r="F94" s="1">
        <v>0.98915519124736007</v>
      </c>
      <c r="G94" s="1">
        <v>33976727.759999275</v>
      </c>
    </row>
    <row r="98" spans="1:8" x14ac:dyDescent="0.3">
      <c r="A98" s="234"/>
      <c r="B98" s="234">
        <v>8930353198.3400002</v>
      </c>
      <c r="C98" s="234">
        <v>736884.49</v>
      </c>
      <c r="D98" s="234">
        <v>9019159515.7199993</v>
      </c>
      <c r="E98" s="234">
        <v>8884678332.4700012</v>
      </c>
      <c r="F98" s="254">
        <v>0.99480292107946799</v>
      </c>
      <c r="G98" s="234">
        <v>46411750.359998703</v>
      </c>
      <c r="H98" s="355">
        <v>5.1966501210445951E-3</v>
      </c>
    </row>
    <row r="99" spans="1:8" x14ac:dyDescent="0.3">
      <c r="A99" s="234" t="s">
        <v>15</v>
      </c>
      <c r="B99" s="234">
        <v>3003939801.5499997</v>
      </c>
      <c r="C99" s="234">
        <v>426396.11</v>
      </c>
      <c r="D99" s="234">
        <v>3050777948.019999</v>
      </c>
      <c r="E99" s="234">
        <v>3060974021.9200001</v>
      </c>
      <c r="F99" s="254">
        <v>1.003342589772519</v>
      </c>
      <c r="G99" s="234">
        <v>-10196073.900001049</v>
      </c>
      <c r="H99" s="355">
        <v>-3.3421225909340451E-3</v>
      </c>
    </row>
    <row r="100" spans="1:8" x14ac:dyDescent="0.3">
      <c r="A100" s="234" t="s">
        <v>14</v>
      </c>
      <c r="B100" s="234">
        <v>3143190720.0000005</v>
      </c>
      <c r="C100" s="234">
        <v>557941.93000000005</v>
      </c>
      <c r="D100" s="234">
        <v>3133552588.0299993</v>
      </c>
      <c r="E100" s="234">
        <v>3099575860.27</v>
      </c>
      <c r="F100" s="254">
        <v>0.98915519124736007</v>
      </c>
      <c r="G100" s="234">
        <v>33976727.759999275</v>
      </c>
      <c r="H100" s="355">
        <v>1.0842877789825046E-2</v>
      </c>
    </row>
    <row r="101" spans="1:8" x14ac:dyDescent="0.3">
      <c r="A101" s="234" t="s">
        <v>13</v>
      </c>
      <c r="B101" s="234">
        <v>3155991435.9400001</v>
      </c>
      <c r="C101" s="234">
        <v>1059726.92</v>
      </c>
      <c r="D101" s="234">
        <v>3191027890.6199994</v>
      </c>
      <c r="E101" s="234">
        <v>3131972063.1999998</v>
      </c>
      <c r="F101" s="254">
        <v>0.98148701667558291</v>
      </c>
      <c r="G101" s="234">
        <v>59055827.419999599</v>
      </c>
      <c r="H101" s="355">
        <v>1.8506835240642592E-2</v>
      </c>
    </row>
    <row r="102" spans="1:8" x14ac:dyDescent="0.3">
      <c r="A102" s="234" t="s">
        <v>16</v>
      </c>
      <c r="B102" s="353">
        <v>9303121957.4899998</v>
      </c>
      <c r="C102" s="353">
        <v>2044064.96</v>
      </c>
      <c r="D102" s="353">
        <v>9375358426.6699982</v>
      </c>
      <c r="E102" s="353">
        <v>9292521945.3899994</v>
      </c>
      <c r="F102" s="354">
        <v>0.99368493436565275</v>
      </c>
      <c r="G102" s="353">
        <v>59055827.419998169</v>
      </c>
      <c r="H102" s="356">
        <v>6.3150656343472673E-3</v>
      </c>
    </row>
  </sheetData>
  <mergeCells count="16">
    <mergeCell ref="A31:H31"/>
    <mergeCell ref="A67:H67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O104"/>
  <sheetViews>
    <sheetView showGridLines="0" view="pageBreakPreview" topLeftCell="C1" zoomScale="130" zoomScaleNormal="100" zoomScaleSheetLayoutView="130" workbookViewId="0">
      <selection activeCell="C10" sqref="C10"/>
    </sheetView>
  </sheetViews>
  <sheetFormatPr baseColWidth="10" defaultColWidth="11.44140625" defaultRowHeight="14.4" x14ac:dyDescent="0.3"/>
  <cols>
    <col min="1" max="1" width="9.6640625" style="1" customWidth="1"/>
    <col min="2" max="2" width="10.33203125" style="1" customWidth="1"/>
    <col min="3" max="3" width="8.44140625" style="1" customWidth="1"/>
    <col min="4" max="4" width="15.6640625" style="1" customWidth="1"/>
    <col min="5" max="5" width="9.5546875" style="1" customWidth="1"/>
    <col min="6" max="6" width="9.109375" style="1" customWidth="1"/>
    <col min="7" max="7" width="12" style="1" customWidth="1"/>
    <col min="8" max="8" width="9.88671875" style="1" customWidth="1"/>
    <col min="9" max="9" width="8.33203125" style="1" customWidth="1"/>
    <col min="10" max="10" width="12.88671875" style="1" customWidth="1"/>
    <col min="11" max="11" width="10.33203125" style="1" customWidth="1"/>
    <col min="12" max="12" width="10.88671875" style="1" customWidth="1"/>
    <col min="13" max="13" width="13.6640625" style="1" customWidth="1"/>
    <col min="14" max="14" width="11" style="1" customWidth="1"/>
    <col min="15" max="15" width="15.44140625" style="1" hidden="1" customWidth="1"/>
    <col min="16" max="16" width="16.44140625" style="1" hidden="1" customWidth="1"/>
    <col min="17" max="17" width="14.6640625" style="1" hidden="1" customWidth="1"/>
    <col min="18" max="18" width="17.6640625" style="1" hidden="1" customWidth="1"/>
    <col min="19" max="19" width="16.6640625" style="1" hidden="1" customWidth="1"/>
    <col min="20" max="20" width="12.33203125" style="1" hidden="1" customWidth="1"/>
    <col min="21" max="21" width="17.6640625" style="1" hidden="1" customWidth="1"/>
    <col min="22" max="22" width="0" style="1" hidden="1" customWidth="1"/>
    <col min="23" max="25" width="11.44140625" style="1"/>
    <col min="26" max="26" width="17.33203125" style="1" customWidth="1"/>
    <col min="27" max="28" width="11.44140625" style="1"/>
    <col min="29" max="29" width="20.44140625" style="1" customWidth="1"/>
    <col min="30" max="31" width="11.44140625" style="1"/>
    <col min="32" max="32" width="20.5546875" style="1" customWidth="1"/>
    <col min="33" max="33" width="11.44140625" style="1"/>
    <col min="34" max="34" width="29.5546875" style="1" customWidth="1"/>
    <col min="35" max="16384" width="11.44140625" style="1"/>
  </cols>
  <sheetData>
    <row r="1" spans="1:41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22"/>
    </row>
    <row r="2" spans="1:41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41" x14ac:dyDescent="0.3">
      <c r="A3" s="516" t="s">
        <v>86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41" x14ac:dyDescent="0.3">
      <c r="A4" s="516" t="s">
        <v>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</row>
    <row r="5" spans="1:41" x14ac:dyDescent="0.3">
      <c r="A5" s="516" t="s">
        <v>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</row>
    <row r="6" spans="1:41" x14ac:dyDescent="0.3">
      <c r="A6" s="108"/>
      <c r="B6" s="528" t="s">
        <v>87</v>
      </c>
      <c r="C6" s="528"/>
      <c r="D6" s="528"/>
      <c r="E6" s="531" t="s">
        <v>88</v>
      </c>
      <c r="F6" s="531"/>
      <c r="G6" s="531"/>
      <c r="H6" s="529" t="s">
        <v>89</v>
      </c>
      <c r="I6" s="529"/>
      <c r="J6" s="529"/>
      <c r="K6" s="530" t="s">
        <v>90</v>
      </c>
      <c r="L6" s="530"/>
      <c r="M6" s="530"/>
    </row>
    <row r="7" spans="1:41" ht="20.399999999999999" x14ac:dyDescent="0.3">
      <c r="A7" s="261" t="s">
        <v>5</v>
      </c>
      <c r="B7" s="261" t="s">
        <v>91</v>
      </c>
      <c r="C7" s="261" t="s">
        <v>92</v>
      </c>
      <c r="D7" s="261" t="s">
        <v>9</v>
      </c>
      <c r="E7" s="261" t="s">
        <v>91</v>
      </c>
      <c r="F7" s="261" t="s">
        <v>92</v>
      </c>
      <c r="G7" s="261" t="s">
        <v>9</v>
      </c>
      <c r="H7" s="261" t="s">
        <v>91</v>
      </c>
      <c r="I7" s="261" t="s">
        <v>92</v>
      </c>
      <c r="J7" s="261" t="s">
        <v>9</v>
      </c>
      <c r="K7" s="261" t="s">
        <v>91</v>
      </c>
      <c r="L7" s="261" t="s">
        <v>92</v>
      </c>
      <c r="M7" s="261" t="s">
        <v>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40" customFormat="1" ht="15.75" hidden="1" customHeight="1" x14ac:dyDescent="0.3">
      <c r="A8" s="262" t="s">
        <v>12</v>
      </c>
      <c r="B8" s="263"/>
      <c r="C8" s="263"/>
      <c r="D8" s="263"/>
      <c r="E8" s="264"/>
      <c r="F8" s="264"/>
      <c r="G8" s="264"/>
      <c r="H8" s="264"/>
      <c r="I8" s="264"/>
      <c r="J8" s="264"/>
      <c r="K8" s="265">
        <f>+H8+E8+B8</f>
        <v>0</v>
      </c>
      <c r="L8" s="265">
        <f>+C8+F8+I8</f>
        <v>0</v>
      </c>
      <c r="M8" s="265">
        <f>+D8+G8+J8</f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40" customFormat="1" ht="15.75" customHeight="1" x14ac:dyDescent="0.3">
      <c r="A9" s="262" t="s">
        <v>13</v>
      </c>
      <c r="B9" s="266">
        <v>135160</v>
      </c>
      <c r="C9" s="266">
        <v>147747</v>
      </c>
      <c r="D9" s="300">
        <v>2268496707.9899998</v>
      </c>
      <c r="E9" s="267">
        <v>31259</v>
      </c>
      <c r="F9" s="267">
        <v>31259</v>
      </c>
      <c r="G9" s="268">
        <v>187554000</v>
      </c>
      <c r="H9" s="269">
        <v>24937</v>
      </c>
      <c r="I9" s="269">
        <v>25027</v>
      </c>
      <c r="J9" s="270">
        <v>675921355.21000004</v>
      </c>
      <c r="K9" s="298">
        <f t="shared" ref="K9:L11" si="0">+B9+E9+H9</f>
        <v>191356</v>
      </c>
      <c r="L9" s="298">
        <f t="shared" si="0"/>
        <v>204033</v>
      </c>
      <c r="M9" s="299">
        <f>+SUM(D9,G9,J9)</f>
        <v>3131972063.1999998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40" customFormat="1" ht="15.75" customHeight="1" x14ac:dyDescent="0.3">
      <c r="A10" s="262" t="s">
        <v>14</v>
      </c>
      <c r="B10" s="266">
        <v>133970</v>
      </c>
      <c r="C10" s="266">
        <v>146536</v>
      </c>
      <c r="D10" s="300">
        <v>2241793107.6700001</v>
      </c>
      <c r="E10" s="267">
        <v>30503</v>
      </c>
      <c r="F10" s="267">
        <v>30503</v>
      </c>
      <c r="G10" s="268">
        <v>183018000</v>
      </c>
      <c r="H10" s="269">
        <v>24440</v>
      </c>
      <c r="I10" s="269">
        <v>24529</v>
      </c>
      <c r="J10" s="270">
        <v>649819183.35000002</v>
      </c>
      <c r="K10" s="298">
        <f t="shared" si="0"/>
        <v>188913</v>
      </c>
      <c r="L10" s="298">
        <f t="shared" si="0"/>
        <v>201568</v>
      </c>
      <c r="M10" s="299">
        <f>+SUM(D10,G10,J10)</f>
        <v>3074630291.02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40" customFormat="1" ht="15.75" customHeight="1" x14ac:dyDescent="0.3">
      <c r="A11" s="262" t="s">
        <v>15</v>
      </c>
      <c r="B11" s="266">
        <v>132915</v>
      </c>
      <c r="C11" s="266">
        <v>145443</v>
      </c>
      <c r="D11" s="300">
        <v>2214157759.6199999</v>
      </c>
      <c r="E11" s="267">
        <v>29597</v>
      </c>
      <c r="F11" s="267">
        <v>29597</v>
      </c>
      <c r="G11" s="268">
        <v>177582000</v>
      </c>
      <c r="H11" s="269">
        <v>24071</v>
      </c>
      <c r="I11" s="269">
        <v>24157</v>
      </c>
      <c r="J11" s="270">
        <v>629051047.88</v>
      </c>
      <c r="K11" s="298">
        <f t="shared" si="0"/>
        <v>186583</v>
      </c>
      <c r="L11" s="298">
        <f t="shared" si="0"/>
        <v>199197</v>
      </c>
      <c r="M11" s="299">
        <f t="shared" ref="M11" si="1">+SUM(D11,G11,J11)</f>
        <v>3020790807.5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40" customFormat="1" ht="20.25" customHeight="1" x14ac:dyDescent="0.3">
      <c r="A12" s="271" t="s">
        <v>16</v>
      </c>
      <c r="B12" s="272">
        <f>+B9</f>
        <v>135160</v>
      </c>
      <c r="C12" s="272">
        <f>+C9</f>
        <v>147747</v>
      </c>
      <c r="D12" s="273">
        <f>+SUM(D9:D11)</f>
        <v>6724447575.2799997</v>
      </c>
      <c r="E12" s="272">
        <f>E9</f>
        <v>31259</v>
      </c>
      <c r="F12" s="272">
        <f>+F9</f>
        <v>31259</v>
      </c>
      <c r="G12" s="273">
        <f>+SUM(G9:G11)</f>
        <v>548154000</v>
      </c>
      <c r="H12" s="272">
        <f>+H9</f>
        <v>24937</v>
      </c>
      <c r="I12" s="272">
        <f>+I9</f>
        <v>25027</v>
      </c>
      <c r="J12" s="273">
        <f>SUM(J9:J11)</f>
        <v>1954791586.4400001</v>
      </c>
      <c r="K12" s="272">
        <f>B12+E12+H12</f>
        <v>191356</v>
      </c>
      <c r="L12" s="272">
        <f>SUM(C12,F12,I12)</f>
        <v>204033</v>
      </c>
      <c r="M12" s="273">
        <f>+SUM(D12,G12,J12)</f>
        <v>9227393161.7199993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0.75" hidden="1" customHeight="1" x14ac:dyDescent="0.3">
      <c r="A13" s="131" t="s">
        <v>17</v>
      </c>
      <c r="B13" s="274">
        <v>131472</v>
      </c>
      <c r="C13" s="275">
        <v>143955</v>
      </c>
      <c r="D13" s="264">
        <v>2168518692.8400002</v>
      </c>
      <c r="E13" s="264">
        <v>28481</v>
      </c>
      <c r="F13" s="264">
        <v>28481</v>
      </c>
      <c r="G13" s="264">
        <v>170886000</v>
      </c>
      <c r="H13" s="264">
        <v>24038</v>
      </c>
      <c r="I13" s="264">
        <v>24120</v>
      </c>
      <c r="J13" s="276">
        <v>627907662.75</v>
      </c>
      <c r="K13" s="277">
        <f>+B13+H13+E13</f>
        <v>183991</v>
      </c>
      <c r="L13" s="278">
        <f t="shared" ref="L13" si="2">+C13+I13+F13</f>
        <v>196556</v>
      </c>
      <c r="M13" s="277">
        <f t="shared" ref="M13" si="3">+D13+J13+G13</f>
        <v>2967312355.5900002</v>
      </c>
      <c r="U13" s="89">
        <f>+U35/1000000</f>
        <v>21169.215562629997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33.75" hidden="1" customHeight="1" x14ac:dyDescent="0.3">
      <c r="A14" s="131" t="s">
        <v>18</v>
      </c>
      <c r="B14" s="274">
        <v>130586</v>
      </c>
      <c r="C14" s="279">
        <v>143067</v>
      </c>
      <c r="D14" s="275">
        <v>2139856652.8</v>
      </c>
      <c r="E14" s="275">
        <v>26212</v>
      </c>
      <c r="F14" s="275">
        <v>26212</v>
      </c>
      <c r="G14" s="275">
        <v>157272000</v>
      </c>
      <c r="H14" s="275">
        <v>24014</v>
      </c>
      <c r="I14" s="275">
        <v>24094</v>
      </c>
      <c r="J14" s="275">
        <v>626541522.04999995</v>
      </c>
      <c r="K14" s="277">
        <f t="shared" ref="K14:M14" si="4">+B14+H14+E14</f>
        <v>180812</v>
      </c>
      <c r="L14" s="278">
        <f t="shared" si="4"/>
        <v>193373</v>
      </c>
      <c r="M14" s="277">
        <f t="shared" si="4"/>
        <v>2923670174.8499999</v>
      </c>
      <c r="Q14" s="30">
        <f>+L15-L14</f>
        <v>-2408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42.75" hidden="1" customHeight="1" x14ac:dyDescent="0.3">
      <c r="A15" s="131" t="s">
        <v>19</v>
      </c>
      <c r="B15" s="274">
        <v>129713</v>
      </c>
      <c r="C15" s="275">
        <v>142180</v>
      </c>
      <c r="D15" s="275">
        <v>2120108544.4200001</v>
      </c>
      <c r="E15" s="275">
        <v>24723</v>
      </c>
      <c r="F15" s="275">
        <v>24723</v>
      </c>
      <c r="G15" s="275">
        <v>148338000</v>
      </c>
      <c r="H15" s="275">
        <v>23983</v>
      </c>
      <c r="I15" s="275">
        <v>24062</v>
      </c>
      <c r="J15" s="275">
        <v>625129302.96000004</v>
      </c>
      <c r="K15" s="277">
        <f>+B15+H15+E15</f>
        <v>178419</v>
      </c>
      <c r="L15" s="278">
        <f t="shared" ref="L15" si="5">+C15+I15+F15</f>
        <v>190965</v>
      </c>
      <c r="M15" s="280">
        <f t="shared" ref="M15" si="6">+D15+J15+G15</f>
        <v>2893575847.3800001</v>
      </c>
      <c r="S15" s="28"/>
      <c r="V15" s="1">
        <f>+U35/1000000</f>
        <v>21169.215562629997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80.25" hidden="1" customHeight="1" x14ac:dyDescent="0.3">
      <c r="A16" s="281" t="s">
        <v>20</v>
      </c>
      <c r="B16" s="282">
        <f>+B13</f>
        <v>131472</v>
      </c>
      <c r="C16" s="282">
        <f>+C13</f>
        <v>143955</v>
      </c>
      <c r="D16" s="282">
        <f>SUM(D8:D15)</f>
        <v>19877379040.620003</v>
      </c>
      <c r="E16" s="282">
        <f>+E13</f>
        <v>28481</v>
      </c>
      <c r="F16" s="282">
        <f>+F13</f>
        <v>28481</v>
      </c>
      <c r="G16" s="282">
        <f>SUM(G8:G15)</f>
        <v>1572804000</v>
      </c>
      <c r="H16" s="282">
        <f>+H13</f>
        <v>24038</v>
      </c>
      <c r="I16" s="282">
        <f>+I13</f>
        <v>24120</v>
      </c>
      <c r="J16" s="283">
        <f>SUM(J8:J15)</f>
        <v>5789161660.6400003</v>
      </c>
      <c r="K16" s="282">
        <f>+K13</f>
        <v>183991</v>
      </c>
      <c r="L16" s="282">
        <f>+L13</f>
        <v>196556</v>
      </c>
      <c r="M16" s="283">
        <f>SUM(M8:M15)</f>
        <v>27239344701.259998</v>
      </c>
      <c r="S16" s="527" t="s">
        <v>93</v>
      </c>
      <c r="T16" s="527"/>
      <c r="U16" s="527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3" hidden="1" customHeight="1" x14ac:dyDescent="0.3">
      <c r="A17" s="131" t="s">
        <v>15</v>
      </c>
      <c r="B17" s="284"/>
      <c r="C17" s="285"/>
      <c r="D17" s="285">
        <f>SUM(D8:D15)</f>
        <v>19877379040.620003</v>
      </c>
      <c r="E17" s="285"/>
      <c r="F17" s="285"/>
      <c r="G17" s="285">
        <f>SUM(G8:G15)</f>
        <v>1572804000</v>
      </c>
      <c r="H17" s="285"/>
      <c r="I17" s="285"/>
      <c r="J17" s="285">
        <f>SUM(J8:J15)</f>
        <v>5789161660.6400003</v>
      </c>
      <c r="K17" s="277">
        <f t="shared" ref="K17:M19" si="7">+B17+H17+E17</f>
        <v>0</v>
      </c>
      <c r="L17" s="278">
        <f t="shared" si="7"/>
        <v>0</v>
      </c>
      <c r="M17" s="277">
        <f t="shared" si="7"/>
        <v>27239344701.260002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2.25" hidden="1" customHeight="1" x14ac:dyDescent="0.3">
      <c r="A18" s="131" t="s">
        <v>14</v>
      </c>
      <c r="B18" s="284"/>
      <c r="C18" s="286"/>
      <c r="D18" s="285"/>
      <c r="E18" s="285"/>
      <c r="F18" s="285"/>
      <c r="G18" s="285"/>
      <c r="H18" s="285"/>
      <c r="I18" s="285"/>
      <c r="J18" s="285"/>
      <c r="K18" s="277">
        <f t="shared" si="7"/>
        <v>0</v>
      </c>
      <c r="L18" s="278">
        <f t="shared" si="7"/>
        <v>0</v>
      </c>
      <c r="M18" s="277">
        <f t="shared" si="7"/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9.5" hidden="1" customHeight="1" x14ac:dyDescent="0.3">
      <c r="A19" s="131" t="s">
        <v>13</v>
      </c>
      <c r="B19" s="284"/>
      <c r="C19" s="285"/>
      <c r="D19" s="285"/>
      <c r="E19" s="285"/>
      <c r="F19" s="285"/>
      <c r="G19" s="285"/>
      <c r="H19" s="285"/>
      <c r="I19" s="285"/>
      <c r="J19" s="285"/>
      <c r="K19" s="277">
        <f t="shared" si="7"/>
        <v>0</v>
      </c>
      <c r="L19" s="278">
        <f t="shared" si="7"/>
        <v>0</v>
      </c>
      <c r="M19" s="277">
        <f t="shared" si="7"/>
        <v>0</v>
      </c>
      <c r="Q19" s="30">
        <f>+M15-M14</f>
        <v>-30094327.46999979</v>
      </c>
      <c r="S19" s="2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9.5" hidden="1" customHeight="1" x14ac:dyDescent="0.3">
      <c r="A20" s="281" t="s">
        <v>16</v>
      </c>
      <c r="B20" s="282">
        <f>+B19</f>
        <v>0</v>
      </c>
      <c r="C20" s="282">
        <f>+C19</f>
        <v>0</v>
      </c>
      <c r="D20" s="282">
        <f>+SUM(D17:D19)</f>
        <v>19877379040.620003</v>
      </c>
      <c r="E20" s="282">
        <f>+E19</f>
        <v>0</v>
      </c>
      <c r="F20" s="282">
        <f>+F19</f>
        <v>0</v>
      </c>
      <c r="G20" s="282">
        <f>+SUM(G17:G19)</f>
        <v>1572804000</v>
      </c>
      <c r="H20" s="282">
        <f>+H19</f>
        <v>0</v>
      </c>
      <c r="I20" s="282">
        <f>+I19</f>
        <v>0</v>
      </c>
      <c r="J20" s="282">
        <f>+SUM(J17:J19)</f>
        <v>5789161660.6400003</v>
      </c>
      <c r="K20" s="282">
        <f>+K19</f>
        <v>0</v>
      </c>
      <c r="L20" s="287">
        <f>+L19</f>
        <v>0</v>
      </c>
      <c r="M20" s="282">
        <f>+SUM(M17:M19)</f>
        <v>27239344701.260002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9.5" hidden="1" customHeight="1" x14ac:dyDescent="0.3">
      <c r="A21" s="131" t="s">
        <v>42</v>
      </c>
      <c r="B21" s="284"/>
      <c r="C21" s="285"/>
      <c r="D21" s="285"/>
      <c r="E21" s="285"/>
      <c r="F21" s="285"/>
      <c r="G21" s="285"/>
      <c r="H21" s="285"/>
      <c r="I21" s="285"/>
      <c r="J21" s="285"/>
      <c r="K21" s="277">
        <f t="shared" ref="K21:M23" si="8">+B21+H21+E21</f>
        <v>0</v>
      </c>
      <c r="L21" s="278">
        <f t="shared" si="8"/>
        <v>0</v>
      </c>
      <c r="M21" s="277">
        <f t="shared" si="8"/>
        <v>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9.5" hidden="1" customHeight="1" x14ac:dyDescent="0.3">
      <c r="A22" s="131" t="s">
        <v>22</v>
      </c>
      <c r="B22" s="284"/>
      <c r="C22" s="286"/>
      <c r="D22" s="285"/>
      <c r="E22" s="285"/>
      <c r="F22" s="285"/>
      <c r="G22" s="285"/>
      <c r="H22" s="285"/>
      <c r="I22" s="285"/>
      <c r="J22" s="285"/>
      <c r="K22" s="277">
        <f t="shared" si="8"/>
        <v>0</v>
      </c>
      <c r="L22" s="278">
        <f t="shared" si="8"/>
        <v>0</v>
      </c>
      <c r="M22" s="277">
        <f t="shared" si="8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9.5" hidden="1" customHeight="1" x14ac:dyDescent="0.3">
      <c r="A23" s="131" t="s">
        <v>23</v>
      </c>
      <c r="B23" s="284"/>
      <c r="C23" s="285"/>
      <c r="D23" s="285"/>
      <c r="E23" s="285"/>
      <c r="F23" s="285"/>
      <c r="G23" s="285"/>
      <c r="H23" s="285"/>
      <c r="I23" s="285"/>
      <c r="J23" s="285"/>
      <c r="K23" s="277">
        <f t="shared" si="8"/>
        <v>0</v>
      </c>
      <c r="L23" s="278">
        <f t="shared" si="8"/>
        <v>0</v>
      </c>
      <c r="M23" s="277">
        <f t="shared" si="8"/>
        <v>0</v>
      </c>
      <c r="S23" s="2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" hidden="1" customHeight="1" x14ac:dyDescent="0.3">
      <c r="A24" s="281" t="s">
        <v>24</v>
      </c>
      <c r="B24" s="282">
        <f>+B23</f>
        <v>0</v>
      </c>
      <c r="C24" s="282">
        <f>+C23</f>
        <v>0</v>
      </c>
      <c r="D24" s="282">
        <f>+SUM(D21:D23)</f>
        <v>0</v>
      </c>
      <c r="E24" s="282">
        <f>+E23</f>
        <v>0</v>
      </c>
      <c r="F24" s="282">
        <f>+F23</f>
        <v>0</v>
      </c>
      <c r="G24" s="282">
        <f>+SUM(G21:G23)</f>
        <v>0</v>
      </c>
      <c r="H24" s="282">
        <f>+H23</f>
        <v>0</v>
      </c>
      <c r="I24" s="282">
        <f>+I23</f>
        <v>0</v>
      </c>
      <c r="J24" s="282">
        <f>+SUM(J21:J23)</f>
        <v>0</v>
      </c>
      <c r="K24" s="282">
        <f>+K23</f>
        <v>0</v>
      </c>
      <c r="L24" s="287">
        <f>+L23</f>
        <v>0</v>
      </c>
      <c r="M24" s="282">
        <f>+SUM(M21:M23)</f>
        <v>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24" hidden="1" customHeight="1" x14ac:dyDescent="0.3">
      <c r="A25" s="131" t="s">
        <v>25</v>
      </c>
      <c r="B25" s="284"/>
      <c r="C25" s="285"/>
      <c r="D25" s="285"/>
      <c r="E25" s="285"/>
      <c r="F25" s="285"/>
      <c r="G25" s="285"/>
      <c r="H25" s="285"/>
      <c r="I25" s="285"/>
      <c r="J25" s="285"/>
      <c r="K25" s="277">
        <f t="shared" ref="K25:M28" si="9">+B25+H25+E25</f>
        <v>0</v>
      </c>
      <c r="L25" s="278">
        <f t="shared" si="9"/>
        <v>0</v>
      </c>
      <c r="M25" s="277">
        <f t="shared" si="9"/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45.75" hidden="1" customHeight="1" x14ac:dyDescent="0.3">
      <c r="A26" s="131" t="s">
        <v>26</v>
      </c>
      <c r="B26" s="284"/>
      <c r="C26" s="286"/>
      <c r="D26" s="285"/>
      <c r="E26" s="285"/>
      <c r="F26" s="285"/>
      <c r="G26" s="285"/>
      <c r="H26" s="285"/>
      <c r="I26" s="285"/>
      <c r="J26" s="285"/>
      <c r="K26" s="277">
        <f t="shared" si="9"/>
        <v>0</v>
      </c>
      <c r="L26" s="278">
        <f t="shared" si="9"/>
        <v>0</v>
      </c>
      <c r="M26" s="277">
        <f t="shared" si="9"/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0.75" hidden="1" customHeight="1" x14ac:dyDescent="0.3">
      <c r="A27" s="131" t="s">
        <v>27</v>
      </c>
      <c r="B27" s="284"/>
      <c r="C27" s="285"/>
      <c r="D27" s="285"/>
      <c r="E27" s="285"/>
      <c r="F27" s="285"/>
      <c r="G27" s="285"/>
      <c r="H27" s="285"/>
      <c r="I27" s="285"/>
      <c r="J27" s="285"/>
      <c r="K27" s="277">
        <f t="shared" si="9"/>
        <v>0</v>
      </c>
      <c r="L27" s="278">
        <f t="shared" si="9"/>
        <v>0</v>
      </c>
      <c r="M27" s="277">
        <f t="shared" si="9"/>
        <v>0</v>
      </c>
      <c r="S27" s="28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3.5" hidden="1" customHeight="1" x14ac:dyDescent="0.3">
      <c r="A28" s="131" t="s">
        <v>12</v>
      </c>
      <c r="B28" s="284"/>
      <c r="C28" s="285"/>
      <c r="D28" s="285"/>
      <c r="E28" s="285"/>
      <c r="F28" s="285"/>
      <c r="G28" s="285"/>
      <c r="H28" s="285"/>
      <c r="I28" s="285"/>
      <c r="J28" s="285"/>
      <c r="K28" s="277">
        <f t="shared" si="9"/>
        <v>0</v>
      </c>
      <c r="L28" s="278">
        <f t="shared" si="9"/>
        <v>0</v>
      </c>
      <c r="M28" s="277">
        <f t="shared" si="9"/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" hidden="1" customHeight="1" x14ac:dyDescent="0.3">
      <c r="A29" s="281" t="s">
        <v>28</v>
      </c>
      <c r="B29" s="282">
        <f>+B28</f>
        <v>0</v>
      </c>
      <c r="C29" s="282">
        <f>+C28</f>
        <v>0</v>
      </c>
      <c r="D29" s="282">
        <f>+SUM(D25:D28)</f>
        <v>0</v>
      </c>
      <c r="E29" s="282">
        <f>+E28</f>
        <v>0</v>
      </c>
      <c r="F29" s="282">
        <f>+F28</f>
        <v>0</v>
      </c>
      <c r="G29" s="282">
        <f>+SUM(G25:G28)</f>
        <v>0</v>
      </c>
      <c r="H29" s="282">
        <f>+H28</f>
        <v>0</v>
      </c>
      <c r="I29" s="282">
        <f>+I28</f>
        <v>0</v>
      </c>
      <c r="J29" s="282">
        <f>+SUM(J25:J28)</f>
        <v>0</v>
      </c>
      <c r="K29" s="282">
        <f>+K28</f>
        <v>0</v>
      </c>
      <c r="L29" s="287">
        <f>+L28</f>
        <v>0</v>
      </c>
      <c r="M29" s="282">
        <f>+SUM(M25:M28)</f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9.75" hidden="1" customHeight="1" x14ac:dyDescent="0.3">
      <c r="A30" s="288" t="s">
        <v>29</v>
      </c>
      <c r="B30" s="289">
        <f>+B29</f>
        <v>0</v>
      </c>
      <c r="C30" s="289">
        <f>+C29</f>
        <v>0</v>
      </c>
      <c r="D30" s="289">
        <f>+D16+D20+D24+D29</f>
        <v>39754758081.240005</v>
      </c>
      <c r="E30" s="289">
        <f>+E29</f>
        <v>0</v>
      </c>
      <c r="F30" s="289">
        <f>+F29</f>
        <v>0</v>
      </c>
      <c r="G30" s="289">
        <f>+G16+G20+G24+G29</f>
        <v>3145608000</v>
      </c>
      <c r="H30" s="289">
        <f>+H29</f>
        <v>0</v>
      </c>
      <c r="I30" s="289">
        <f>+I29</f>
        <v>0</v>
      </c>
      <c r="J30" s="289">
        <f>+J16+J20+J24+J29</f>
        <v>11578323321.280001</v>
      </c>
      <c r="K30" s="289">
        <f>+K29</f>
        <v>0</v>
      </c>
      <c r="L30" s="290">
        <f>+L29</f>
        <v>0</v>
      </c>
      <c r="M30" s="289">
        <f>+M16+M20+M24+M29</f>
        <v>54478689402.520004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6" hidden="1" customHeight="1" x14ac:dyDescent="0.3">
      <c r="A31" s="108" t="s">
        <v>28</v>
      </c>
      <c r="B31" s="291"/>
      <c r="C31" s="291"/>
      <c r="D31" s="292">
        <f>+D16/M16</f>
        <v>0.72973044170554302</v>
      </c>
      <c r="E31" s="293"/>
      <c r="F31" s="293"/>
      <c r="G31" s="292">
        <f>+G16/M16</f>
        <v>5.7740155545197368E-2</v>
      </c>
      <c r="H31" s="293"/>
      <c r="I31" s="293"/>
      <c r="J31" s="292">
        <f>+J16/M16</f>
        <v>0.21252940274925974</v>
      </c>
      <c r="K31" s="291"/>
      <c r="L31" s="291"/>
      <c r="M31" s="291"/>
      <c r="R31" s="30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x14ac:dyDescent="0.3">
      <c r="A32" s="108"/>
      <c r="B32" s="108"/>
      <c r="C32" s="108"/>
      <c r="D32" s="294">
        <f>+D12/M12</f>
        <v>0.72874835367116331</v>
      </c>
      <c r="E32" s="108"/>
      <c r="F32" s="108"/>
      <c r="G32" s="294">
        <f>+G12/M12</f>
        <v>5.9405076861147134E-2</v>
      </c>
      <c r="H32" s="108"/>
      <c r="I32" s="108"/>
      <c r="J32" s="294">
        <f>+J12/M12</f>
        <v>0.21184656946768962</v>
      </c>
      <c r="K32" s="295"/>
      <c r="L32" s="296"/>
      <c r="M32" s="297">
        <f>+SUM(D32,G32,J32)</f>
        <v>1</v>
      </c>
      <c r="Q32" s="1" t="s">
        <v>94</v>
      </c>
      <c r="S32" s="7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x14ac:dyDescent="0.3">
      <c r="A33" s="108" t="s">
        <v>95</v>
      </c>
      <c r="B33" s="154"/>
      <c r="C33"/>
      <c r="D33" s="229"/>
      <c r="E33"/>
      <c r="F33"/>
      <c r="G33" s="229"/>
      <c r="H33"/>
      <c r="I33"/>
      <c r="J33" s="229"/>
      <c r="K33" s="127"/>
      <c r="L33"/>
      <c r="M33"/>
      <c r="P33" s="1" t="s">
        <v>96</v>
      </c>
      <c r="Q33" s="29" t="s">
        <v>97</v>
      </c>
      <c r="R33" s="66" t="s">
        <v>9</v>
      </c>
      <c r="S33" s="29" t="s">
        <v>98</v>
      </c>
      <c r="T33" s="66" t="s">
        <v>97</v>
      </c>
      <c r="U33" s="1" t="s">
        <v>9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x14ac:dyDescent="0.3">
      <c r="A34"/>
      <c r="B34"/>
      <c r="C34"/>
      <c r="E34" s="229"/>
      <c r="F34" s="229"/>
      <c r="H34" s="229"/>
      <c r="I34" s="229"/>
      <c r="K34"/>
      <c r="L34"/>
      <c r="M34" s="228"/>
      <c r="Q34" s="64"/>
      <c r="R34" s="31"/>
      <c r="S34" s="65">
        <v>145883</v>
      </c>
      <c r="T34" s="14">
        <v>158341</v>
      </c>
      <c r="U34" s="14">
        <v>6070129138.6299992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x14ac:dyDescent="0.3">
      <c r="A35"/>
      <c r="B35"/>
      <c r="C35"/>
      <c r="D35"/>
      <c r="E35"/>
      <c r="F35"/>
      <c r="G35"/>
      <c r="H35"/>
      <c r="I35"/>
      <c r="J35"/>
      <c r="K35"/>
      <c r="L35"/>
      <c r="M35" s="228"/>
      <c r="Q35" s="71"/>
      <c r="R35" s="71"/>
      <c r="S35" s="30">
        <f>+K16-S34</f>
        <v>38108</v>
      </c>
      <c r="T35" s="30">
        <f>+L16-T34</f>
        <v>38215</v>
      </c>
      <c r="U35" s="30">
        <f>+M16-U34</f>
        <v>21169215562.629997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R36" s="3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S38" s="73">
        <f>+(K16-S34)/S34</f>
        <v>0.26122303489782911</v>
      </c>
      <c r="T38" s="73">
        <f>+(L16-T34)/T34</f>
        <v>0.24134620849937793</v>
      </c>
      <c r="U38" s="73">
        <f>+(M16-U34)/U34</f>
        <v>3.4874407247631956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S41" s="1" t="s">
        <v>99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S42" s="94" t="s">
        <v>98</v>
      </c>
      <c r="T42" s="94" t="s">
        <v>97</v>
      </c>
      <c r="U42" s="94" t="s">
        <v>9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S43" s="94">
        <v>139458</v>
      </c>
      <c r="T43" s="94">
        <v>151810</v>
      </c>
      <c r="U43" s="94">
        <v>5844095640.5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S44" s="94">
        <f>K16-S43</f>
        <v>44533</v>
      </c>
      <c r="T44" s="94">
        <f t="shared" ref="T44:U44" si="10">L16-T43</f>
        <v>44746</v>
      </c>
      <c r="U44" s="94">
        <f t="shared" si="10"/>
        <v>21395249060.759998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S45" s="94"/>
      <c r="T45" s="94"/>
      <c r="U45" s="9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S46" s="94"/>
      <c r="T46" s="94"/>
      <c r="U46" s="9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S47" s="73">
        <f>+(K16-S43)/S43</f>
        <v>0.31932911701013927</v>
      </c>
      <c r="T47" s="73">
        <f t="shared" ref="T47:U47" si="11">+(L16-T43)/T43</f>
        <v>0.29475001646795335</v>
      </c>
      <c r="U47" s="73">
        <f t="shared" si="11"/>
        <v>3.661002553156282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41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41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41" x14ac:dyDescent="0.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41" x14ac:dyDescent="0.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41" x14ac:dyDescent="0.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41" x14ac:dyDescent="0.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41" x14ac:dyDescent="0.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41" x14ac:dyDescent="0.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41" x14ac:dyDescent="0.3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41" x14ac:dyDescent="0.3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41" x14ac:dyDescent="0.3">
      <c r="A63"/>
      <c r="B63"/>
      <c r="C63"/>
      <c r="D63"/>
      <c r="E63"/>
      <c r="F63"/>
      <c r="G63"/>
      <c r="H63"/>
      <c r="I63"/>
      <c r="J63"/>
      <c r="K63"/>
      <c r="L63"/>
      <c r="M63"/>
    </row>
    <row r="69" spans="2:14" x14ac:dyDescent="0.3">
      <c r="B69" s="38"/>
      <c r="C69" s="122"/>
      <c r="D69" s="95"/>
      <c r="E69" s="95"/>
      <c r="F69" s="95"/>
      <c r="G69" s="95"/>
      <c r="H69" s="95"/>
      <c r="I69" s="95"/>
      <c r="J69" s="95"/>
      <c r="K69" s="95"/>
      <c r="L69" s="32"/>
      <c r="M69" s="33"/>
      <c r="N69" s="32"/>
    </row>
    <row r="71" spans="2:14" x14ac:dyDescent="0.3">
      <c r="B71" s="38"/>
      <c r="C71" s="122"/>
      <c r="D71" s="95"/>
      <c r="E71" s="95"/>
      <c r="F71" s="95"/>
      <c r="G71" s="95"/>
      <c r="H71" s="95"/>
      <c r="I71" s="95"/>
      <c r="J71" s="95"/>
      <c r="K71" s="95"/>
      <c r="L71" s="32"/>
      <c r="M71" s="33"/>
      <c r="N71" s="97"/>
    </row>
    <row r="73" spans="2:14" ht="5.25" customHeight="1" x14ac:dyDescent="0.3"/>
    <row r="74" spans="2:14" hidden="1" x14ac:dyDescent="0.3"/>
    <row r="75" spans="2:14" hidden="1" x14ac:dyDescent="0.3"/>
    <row r="76" spans="2:14" hidden="1" x14ac:dyDescent="0.3"/>
    <row r="77" spans="2:14" hidden="1" x14ac:dyDescent="0.3"/>
    <row r="78" spans="2:14" hidden="1" x14ac:dyDescent="0.3"/>
    <row r="79" spans="2:14" hidden="1" x14ac:dyDescent="0.3"/>
    <row r="80" spans="2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</sheetData>
  <mergeCells count="10">
    <mergeCell ref="S16:U16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7" orientation="portrait" r:id="rId1"/>
  <colBreaks count="1" manualBreakCount="1">
    <brk id="14" max="1048575" man="1"/>
  </colBreaks>
  <ignoredErrors>
    <ignoredError sqref="K16 L1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R54"/>
  <sheetViews>
    <sheetView showGridLines="0" tabSelected="1" view="pageBreakPreview" topLeftCell="G1" zoomScale="60" zoomScaleNormal="85" workbookViewId="0">
      <selection activeCell="C10" sqref="C10"/>
    </sheetView>
  </sheetViews>
  <sheetFormatPr baseColWidth="10" defaultColWidth="11.44140625" defaultRowHeight="14.4" x14ac:dyDescent="0.3"/>
  <cols>
    <col min="1" max="1" width="12.33203125" style="1" customWidth="1"/>
    <col min="2" max="2" width="10.109375" style="1" customWidth="1"/>
    <col min="3" max="4" width="11.5546875" style="1" customWidth="1"/>
    <col min="5" max="5" width="13" style="1" customWidth="1"/>
    <col min="6" max="6" width="13.109375" style="1" customWidth="1"/>
    <col min="7" max="7" width="7.88671875" style="1" customWidth="1"/>
    <col min="8" max="8" width="13.109375" style="1" customWidth="1"/>
    <col min="9" max="9" width="12.44140625" style="1" customWidth="1"/>
    <col min="10" max="11" width="10.44140625" style="1" customWidth="1"/>
    <col min="12" max="12" width="16.5546875" style="1" bestFit="1" customWidth="1"/>
    <col min="13" max="13" width="12.88671875" style="1" customWidth="1"/>
    <col min="14" max="14" width="17.5546875" style="1" bestFit="1" customWidth="1"/>
    <col min="15" max="16" width="12.5546875" style="1" customWidth="1"/>
    <col min="17" max="17" width="17.109375" style="1" customWidth="1"/>
    <col min="18" max="18" width="17" style="1" customWidth="1"/>
    <col min="19" max="16384" width="11.44140625" style="1"/>
  </cols>
  <sheetData>
    <row r="1" spans="1:18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18" x14ac:dyDescent="0.3">
      <c r="A2" s="516" t="s">
        <v>75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</row>
    <row r="3" spans="1:18" x14ac:dyDescent="0.3">
      <c r="A3" s="516" t="s">
        <v>100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1:18" x14ac:dyDescent="0.3">
      <c r="A4" s="516" t="s">
        <v>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</row>
    <row r="5" spans="1:18" x14ac:dyDescent="0.3">
      <c r="A5" s="516" t="s">
        <v>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</row>
    <row r="6" spans="1:18" ht="35.25" customHeight="1" x14ac:dyDescent="0.3">
      <c r="A6" s="364"/>
      <c r="B6" s="534" t="s">
        <v>101</v>
      </c>
      <c r="C6" s="534"/>
      <c r="D6" s="534"/>
      <c r="E6" s="534"/>
      <c r="F6" s="534"/>
      <c r="G6" s="533" t="s">
        <v>102</v>
      </c>
      <c r="H6" s="533"/>
      <c r="I6" s="533"/>
      <c r="J6" s="533"/>
      <c r="K6" s="533"/>
      <c r="L6" s="535" t="s">
        <v>103</v>
      </c>
      <c r="M6" s="535"/>
      <c r="N6" s="536" t="s">
        <v>104</v>
      </c>
      <c r="O6" s="536"/>
      <c r="P6" s="537" t="s">
        <v>90</v>
      </c>
      <c r="Q6" s="537"/>
      <c r="R6" s="22"/>
    </row>
    <row r="7" spans="1:18" ht="25.5" customHeight="1" x14ac:dyDescent="0.3">
      <c r="A7" s="261" t="s">
        <v>5</v>
      </c>
      <c r="B7" s="261" t="s">
        <v>105</v>
      </c>
      <c r="C7" s="261" t="s">
        <v>106</v>
      </c>
      <c r="D7" s="261" t="s">
        <v>107</v>
      </c>
      <c r="E7" s="261" t="s">
        <v>108</v>
      </c>
      <c r="F7" s="261" t="s">
        <v>109</v>
      </c>
      <c r="G7" s="261" t="s">
        <v>105</v>
      </c>
      <c r="H7" s="261" t="s">
        <v>106</v>
      </c>
      <c r="I7" s="261" t="s">
        <v>107</v>
      </c>
      <c r="J7" s="261" t="s">
        <v>108</v>
      </c>
      <c r="K7" s="261" t="s">
        <v>109</v>
      </c>
      <c r="L7" s="261" t="s">
        <v>105</v>
      </c>
      <c r="M7" s="261" t="s">
        <v>106</v>
      </c>
      <c r="N7" s="261" t="s">
        <v>105</v>
      </c>
      <c r="O7" s="261" t="s">
        <v>110</v>
      </c>
      <c r="P7" s="261" t="s">
        <v>105</v>
      </c>
      <c r="Q7" s="261" t="s">
        <v>106</v>
      </c>
    </row>
    <row r="8" spans="1:18" hidden="1" x14ac:dyDescent="0.3">
      <c r="A8" s="131" t="s">
        <v>12</v>
      </c>
      <c r="B8" s="369"/>
      <c r="C8" s="369"/>
      <c r="D8" s="369" t="s">
        <v>111</v>
      </c>
      <c r="E8" s="369" t="s">
        <v>111</v>
      </c>
      <c r="F8" s="369"/>
      <c r="G8" s="369"/>
      <c r="H8" s="370"/>
      <c r="I8" s="370"/>
      <c r="J8" s="370" t="s">
        <v>111</v>
      </c>
      <c r="K8" s="370"/>
      <c r="L8" s="369"/>
      <c r="M8" s="369"/>
      <c r="N8" s="369"/>
      <c r="O8" s="369"/>
      <c r="P8" s="370" t="e">
        <f>B8+#REF!+L8+N8</f>
        <v>#REF!</v>
      </c>
      <c r="Q8" s="369">
        <f>C8+H8+M8+O8</f>
        <v>0</v>
      </c>
    </row>
    <row r="9" spans="1:18" x14ac:dyDescent="0.3">
      <c r="A9" s="311" t="s">
        <v>13</v>
      </c>
      <c r="B9" s="311">
        <v>209</v>
      </c>
      <c r="C9" s="464">
        <v>2319154.89</v>
      </c>
      <c r="D9" s="464">
        <v>231219.73</v>
      </c>
      <c r="E9" s="464">
        <v>69574.64</v>
      </c>
      <c r="F9" s="464">
        <v>2018360.52</v>
      </c>
      <c r="G9" s="311">
        <v>2</v>
      </c>
      <c r="H9" s="464">
        <v>25000</v>
      </c>
      <c r="I9" s="464">
        <v>2492.5</v>
      </c>
      <c r="J9" s="311">
        <v>750</v>
      </c>
      <c r="K9" s="464">
        <v>21757.5</v>
      </c>
      <c r="L9" s="311">
        <v>530</v>
      </c>
      <c r="M9" s="464">
        <v>9012154.1999999993</v>
      </c>
      <c r="N9" s="311">
        <v>705</v>
      </c>
      <c r="O9" s="464">
        <v>8238015.4199999999</v>
      </c>
      <c r="P9" s="380">
        <f>+B9++L9+G9+N9</f>
        <v>1446</v>
      </c>
      <c r="Q9" s="371">
        <f>C9+H9+M9+O9</f>
        <v>19594324.509999998</v>
      </c>
    </row>
    <row r="10" spans="1:18" x14ac:dyDescent="0.3">
      <c r="A10" s="311" t="s">
        <v>14</v>
      </c>
      <c r="B10" s="311">
        <v>210</v>
      </c>
      <c r="C10" s="464">
        <v>2337505.66</v>
      </c>
      <c r="D10" s="464">
        <v>233049.31</v>
      </c>
      <c r="E10" s="464">
        <v>70125.16</v>
      </c>
      <c r="F10" s="464">
        <v>2034331.19</v>
      </c>
      <c r="G10" s="311">
        <v>2</v>
      </c>
      <c r="H10" s="464">
        <v>25000</v>
      </c>
      <c r="I10" s="464">
        <v>2492.5</v>
      </c>
      <c r="J10" s="311">
        <v>750</v>
      </c>
      <c r="K10" s="464">
        <v>21757.5</v>
      </c>
      <c r="L10" s="311">
        <v>531</v>
      </c>
      <c r="M10" s="464">
        <v>8912848.8800000008</v>
      </c>
      <c r="N10" s="311">
        <v>700</v>
      </c>
      <c r="O10" s="464">
        <v>8140271.0099999998</v>
      </c>
      <c r="P10" s="380">
        <f t="shared" ref="P10:P11" si="0">+B10++L10+G10+N10</f>
        <v>1443</v>
      </c>
      <c r="Q10" s="371">
        <f>C10+H10+M10+O10</f>
        <v>19415625.550000001</v>
      </c>
    </row>
    <row r="11" spans="1:18" x14ac:dyDescent="0.3">
      <c r="A11" s="311" t="s">
        <v>15</v>
      </c>
      <c r="B11" s="311">
        <v>208</v>
      </c>
      <c r="C11" s="464">
        <v>2320829.89</v>
      </c>
      <c r="D11" s="464">
        <v>231386.73</v>
      </c>
      <c r="E11" s="464">
        <v>69624.89</v>
      </c>
      <c r="F11" s="464">
        <v>2019818.27</v>
      </c>
      <c r="G11" s="311">
        <v>2</v>
      </c>
      <c r="H11" s="464">
        <v>25000</v>
      </c>
      <c r="I11" s="464">
        <v>2492.5</v>
      </c>
      <c r="J11" s="311">
        <v>750</v>
      </c>
      <c r="K11" s="464">
        <v>21757.5</v>
      </c>
      <c r="L11" s="311">
        <v>520</v>
      </c>
      <c r="M11" s="464">
        <v>8673579.5099999998</v>
      </c>
      <c r="N11" s="311">
        <v>685</v>
      </c>
      <c r="O11" s="464">
        <v>7820726.7599999998</v>
      </c>
      <c r="P11" s="380">
        <f t="shared" si="0"/>
        <v>1415</v>
      </c>
      <c r="Q11" s="371">
        <f>C11+H11+M11+O11</f>
        <v>18840136.16</v>
      </c>
    </row>
    <row r="12" spans="1:18" ht="20.25" customHeight="1" x14ac:dyDescent="0.3">
      <c r="A12" s="372" t="s">
        <v>16</v>
      </c>
      <c r="B12" s="372">
        <f>+B9</f>
        <v>209</v>
      </c>
      <c r="C12" s="372">
        <f t="shared" ref="C12:J12" si="1">+SUM(C9:C11)</f>
        <v>6977490.4400000013</v>
      </c>
      <c r="D12" s="372">
        <f t="shared" si="1"/>
        <v>695655.77</v>
      </c>
      <c r="E12" s="372">
        <f t="shared" si="1"/>
        <v>209324.69</v>
      </c>
      <c r="F12" s="372">
        <f t="shared" si="1"/>
        <v>6072509.9800000004</v>
      </c>
      <c r="G12" s="372">
        <v>2</v>
      </c>
      <c r="H12" s="372">
        <f t="shared" si="1"/>
        <v>75000</v>
      </c>
      <c r="I12" s="372">
        <f t="shared" si="1"/>
        <v>7477.5</v>
      </c>
      <c r="J12" s="372">
        <f t="shared" si="1"/>
        <v>2250</v>
      </c>
      <c r="K12" s="372">
        <f>+SUM(K9:K11)</f>
        <v>65272.5</v>
      </c>
      <c r="L12" s="372">
        <f>+L9</f>
        <v>530</v>
      </c>
      <c r="M12" s="372">
        <f>+SUM(M9:M11)</f>
        <v>26598582.589999996</v>
      </c>
      <c r="N12" s="372">
        <f>+N9</f>
        <v>705</v>
      </c>
      <c r="O12" s="372">
        <f>+SUM(O9:O11)</f>
        <v>24199013.189999998</v>
      </c>
      <c r="P12" s="381">
        <f>+B12+L12+G12+N12</f>
        <v>1446</v>
      </c>
      <c r="Q12" s="373">
        <f>+SUM(Q9:Q11)</f>
        <v>57850086.219999999</v>
      </c>
    </row>
    <row r="13" spans="1:18" ht="0.75" customHeight="1" x14ac:dyDescent="0.3">
      <c r="A13" s="131" t="s">
        <v>17</v>
      </c>
      <c r="B13" s="369">
        <v>197</v>
      </c>
      <c r="C13" s="369">
        <v>2179212.89</v>
      </c>
      <c r="D13" s="369">
        <v>217267.52</v>
      </c>
      <c r="E13" s="369">
        <v>65376.38</v>
      </c>
      <c r="F13" s="369">
        <v>1896568.99</v>
      </c>
      <c r="G13" s="369"/>
      <c r="H13" s="370">
        <v>25000</v>
      </c>
      <c r="I13" s="370"/>
      <c r="J13" s="370">
        <v>750</v>
      </c>
      <c r="K13" s="370"/>
      <c r="L13" s="369">
        <v>513</v>
      </c>
      <c r="M13" s="369">
        <v>8546125.8599999994</v>
      </c>
      <c r="N13" s="369">
        <v>666</v>
      </c>
      <c r="O13" s="369">
        <v>7640214.7599999998</v>
      </c>
      <c r="P13" s="374" t="e">
        <f>+L13+N13+B13+#REF!</f>
        <v>#REF!</v>
      </c>
      <c r="Q13" s="374">
        <f>+M13+O13+C13+H13</f>
        <v>18390553.509999998</v>
      </c>
    </row>
    <row r="14" spans="1:18" hidden="1" x14ac:dyDescent="0.3">
      <c r="A14" s="131" t="s">
        <v>18</v>
      </c>
      <c r="B14" s="369">
        <v>193</v>
      </c>
      <c r="C14" s="369">
        <v>2121784.19</v>
      </c>
      <c r="D14" s="369">
        <v>211541.89</v>
      </c>
      <c r="E14" s="369">
        <v>63653.52</v>
      </c>
      <c r="F14" s="369">
        <v>1846588.79</v>
      </c>
      <c r="G14" s="369"/>
      <c r="H14" s="370">
        <v>10000</v>
      </c>
      <c r="I14" s="370"/>
      <c r="J14" s="370">
        <v>300</v>
      </c>
      <c r="K14" s="370"/>
      <c r="L14" s="369">
        <v>508</v>
      </c>
      <c r="M14" s="369">
        <v>8389327.0199999996</v>
      </c>
      <c r="N14" s="369">
        <v>654</v>
      </c>
      <c r="O14" s="369">
        <v>7508917.3399999999</v>
      </c>
      <c r="P14" s="374" t="e">
        <f>+L14+N14+B14+#REF!</f>
        <v>#REF!</v>
      </c>
      <c r="Q14" s="374">
        <f>+M14+O14+C14+H14</f>
        <v>18030028.550000001</v>
      </c>
    </row>
    <row r="15" spans="1:18" hidden="1" x14ac:dyDescent="0.3">
      <c r="A15" s="131" t="s">
        <v>19</v>
      </c>
      <c r="B15" s="369">
        <v>196</v>
      </c>
      <c r="C15" s="369">
        <v>2150339.13</v>
      </c>
      <c r="D15" s="369">
        <v>214388.81</v>
      </c>
      <c r="E15" s="369">
        <v>64510.17</v>
      </c>
      <c r="F15" s="369">
        <v>1871440.16</v>
      </c>
      <c r="G15" s="369"/>
      <c r="H15" s="370">
        <v>10000</v>
      </c>
      <c r="I15" s="370"/>
      <c r="J15" s="370">
        <v>300</v>
      </c>
      <c r="K15" s="370"/>
      <c r="L15" s="369">
        <v>501</v>
      </c>
      <c r="M15" s="369">
        <v>8211484.8200000003</v>
      </c>
      <c r="N15" s="369">
        <v>649</v>
      </c>
      <c r="O15" s="369">
        <v>7441713.2999999998</v>
      </c>
      <c r="P15" s="374" t="e">
        <f>+L15+N15+B15+#REF!</f>
        <v>#REF!</v>
      </c>
      <c r="Q15" s="374">
        <f>+M15+O15+C15+H15</f>
        <v>17813537.25</v>
      </c>
    </row>
    <row r="16" spans="1:18" hidden="1" x14ac:dyDescent="0.3">
      <c r="A16" s="281" t="s">
        <v>20</v>
      </c>
      <c r="B16" s="375">
        <f>+B13</f>
        <v>197</v>
      </c>
      <c r="C16" s="376">
        <f>+SUM(C8:C15)</f>
        <v>20406317.090000004</v>
      </c>
      <c r="D16" s="375">
        <f>+SUM(D13:D15)</f>
        <v>643198.22</v>
      </c>
      <c r="E16" s="375">
        <f>+SUM(E13:E15)</f>
        <v>193540.07</v>
      </c>
      <c r="F16" s="375">
        <f>+SUM(F8:F15)</f>
        <v>17759617.900000002</v>
      </c>
      <c r="G16" s="375"/>
      <c r="H16" s="377">
        <f>SUM(H8:H15)</f>
        <v>195000</v>
      </c>
      <c r="I16" s="377"/>
      <c r="J16" s="377">
        <f>SUM(J13:J15)</f>
        <v>1350</v>
      </c>
      <c r="K16" s="377"/>
      <c r="L16" s="375">
        <f>+L13</f>
        <v>513</v>
      </c>
      <c r="M16" s="375">
        <f>+SUM(M8:M15)</f>
        <v>78344102.879999995</v>
      </c>
      <c r="N16" s="375">
        <f>+N13</f>
        <v>666</v>
      </c>
      <c r="O16" s="375">
        <f>+SUM(O8:O15)</f>
        <v>70988871.779999986</v>
      </c>
      <c r="P16" s="375" t="e">
        <f>+P13</f>
        <v>#REF!</v>
      </c>
      <c r="Q16" s="375">
        <f>SUM(Q8:Q15)</f>
        <v>169934291.75</v>
      </c>
    </row>
    <row r="17" spans="1:17" x14ac:dyDescent="0.3">
      <c r="A17" s="365" t="s">
        <v>112</v>
      </c>
      <c r="B17" s="15"/>
      <c r="C17" s="378">
        <f>+C12/Q12</f>
        <v>0.12061331098911543</v>
      </c>
      <c r="D17" s="364"/>
      <c r="E17" s="364"/>
      <c r="F17" s="364"/>
      <c r="G17" s="364"/>
      <c r="H17" s="379">
        <f>H12/Q12</f>
        <v>1.296454420392392E-3</v>
      </c>
      <c r="I17" s="367"/>
      <c r="J17" s="366"/>
      <c r="K17" s="366"/>
      <c r="L17" s="364"/>
      <c r="M17" s="378">
        <f>M12/Q12</f>
        <v>0.45978466633303483</v>
      </c>
      <c r="N17" s="364"/>
      <c r="O17" s="378">
        <f>+O12/Q12</f>
        <v>0.41830556825745729</v>
      </c>
      <c r="P17" s="364"/>
      <c r="Q17" s="378">
        <f>+SUM(C17,H17,M17,O17)</f>
        <v>1</v>
      </c>
    </row>
    <row r="18" spans="1:17" ht="45.75" customHeight="1" x14ac:dyDescent="0.3">
      <c r="A18" s="15"/>
      <c r="B18" s="15"/>
      <c r="C18" s="15"/>
      <c r="D18" s="15"/>
      <c r="E18" s="15"/>
      <c r="F18" s="15"/>
      <c r="G18" s="15"/>
      <c r="H18" s="532"/>
      <c r="I18" s="532"/>
      <c r="J18" s="532"/>
      <c r="K18" s="368"/>
      <c r="L18" s="15"/>
      <c r="M18" s="15"/>
      <c r="N18" s="15"/>
      <c r="O18" s="15"/>
      <c r="P18" s="15"/>
    </row>
    <row r="22" spans="1:17" ht="52.5" customHeight="1" x14ac:dyDescent="0.3">
      <c r="P22" s="30"/>
    </row>
    <row r="23" spans="1:17" ht="36.75" customHeight="1" x14ac:dyDescent="0.3">
      <c r="A23" s="76"/>
      <c r="B23" s="541" t="s">
        <v>113</v>
      </c>
      <c r="C23" s="541"/>
      <c r="D23" s="538" t="s">
        <v>102</v>
      </c>
      <c r="E23" s="538"/>
      <c r="F23" s="542" t="s">
        <v>114</v>
      </c>
      <c r="G23" s="542"/>
      <c r="H23" s="542"/>
      <c r="I23" s="303"/>
      <c r="J23" s="539" t="s">
        <v>115</v>
      </c>
      <c r="K23" s="539"/>
      <c r="L23" s="539"/>
      <c r="M23" s="540" t="s">
        <v>90</v>
      </c>
      <c r="N23" s="540"/>
      <c r="P23" s="30"/>
    </row>
    <row r="24" spans="1:17" ht="2.25" hidden="1" customHeight="1" x14ac:dyDescent="0.3">
      <c r="A24" s="39" t="s">
        <v>5</v>
      </c>
      <c r="B24" s="39" t="s">
        <v>105</v>
      </c>
      <c r="C24" s="39" t="s">
        <v>106</v>
      </c>
      <c r="D24" s="235" t="s">
        <v>105</v>
      </c>
      <c r="E24" s="236" t="s">
        <v>106</v>
      </c>
      <c r="F24" s="39" t="s">
        <v>105</v>
      </c>
      <c r="G24" s="39"/>
      <c r="H24" s="39" t="s">
        <v>106</v>
      </c>
      <c r="I24" s="39"/>
      <c r="J24" s="236" t="s">
        <v>116</v>
      </c>
      <c r="K24" s="236"/>
      <c r="L24" s="39" t="s">
        <v>9</v>
      </c>
      <c r="M24" s="39" t="s">
        <v>105</v>
      </c>
      <c r="N24" s="39" t="s">
        <v>106</v>
      </c>
      <c r="O24"/>
      <c r="Q24" s="30"/>
    </row>
    <row r="25" spans="1:17" ht="0.75" customHeight="1" x14ac:dyDescent="0.3">
      <c r="A25" s="38" t="s">
        <v>12</v>
      </c>
      <c r="B25" s="237">
        <v>0</v>
      </c>
      <c r="C25" s="27" t="s">
        <v>111</v>
      </c>
      <c r="D25" s="238">
        <v>0</v>
      </c>
      <c r="E25" s="238" t="s">
        <v>111</v>
      </c>
      <c r="F25" s="237">
        <v>0</v>
      </c>
      <c r="G25" s="237"/>
      <c r="H25" s="27" t="s">
        <v>111</v>
      </c>
      <c r="I25" s="27"/>
      <c r="J25" s="238">
        <v>0</v>
      </c>
      <c r="K25" s="238"/>
      <c r="L25" s="170" t="s">
        <v>111</v>
      </c>
      <c r="M25" s="178">
        <v>0</v>
      </c>
      <c r="N25" s="237" t="s">
        <v>111</v>
      </c>
    </row>
    <row r="26" spans="1:17" ht="17.25" hidden="1" customHeight="1" x14ac:dyDescent="0.3">
      <c r="A26" s="38" t="s">
        <v>17</v>
      </c>
      <c r="B26" s="237">
        <v>5</v>
      </c>
      <c r="C26" s="169">
        <v>1158542.3999999999</v>
      </c>
      <c r="D26" s="238">
        <v>1</v>
      </c>
      <c r="E26" s="238">
        <v>264542</v>
      </c>
      <c r="F26" s="237">
        <v>11</v>
      </c>
      <c r="G26" s="237"/>
      <c r="H26" s="27">
        <v>3397817.2</v>
      </c>
      <c r="I26" s="27"/>
      <c r="J26" s="238">
        <v>12</v>
      </c>
      <c r="K26" s="238"/>
      <c r="L26" s="170">
        <v>1605447</v>
      </c>
      <c r="M26" s="239">
        <f>+F26+J26+B26+D26</f>
        <v>29</v>
      </c>
      <c r="N26" s="239">
        <f>+H26+L26+C26+E26</f>
        <v>6426348.5999999996</v>
      </c>
    </row>
    <row r="27" spans="1:17" ht="17.25" hidden="1" customHeight="1" x14ac:dyDescent="0.3">
      <c r="A27" s="38" t="s">
        <v>18</v>
      </c>
      <c r="B27" s="194">
        <v>0</v>
      </c>
      <c r="C27" s="194">
        <v>0</v>
      </c>
      <c r="D27" s="232">
        <v>0</v>
      </c>
      <c r="E27" s="233">
        <v>0</v>
      </c>
      <c r="F27" s="237">
        <v>11</v>
      </c>
      <c r="G27" s="237"/>
      <c r="H27" s="27">
        <v>5613866.4000000004</v>
      </c>
      <c r="I27" s="27"/>
      <c r="J27" s="238">
        <v>6</v>
      </c>
      <c r="K27" s="238"/>
      <c r="L27" s="170">
        <v>1860940.2</v>
      </c>
      <c r="M27" s="239">
        <f>+F27+J27+B27+D27</f>
        <v>17</v>
      </c>
      <c r="N27" s="239">
        <f>+H27+L27+C27+E27</f>
        <v>7474806.6000000006</v>
      </c>
    </row>
    <row r="28" spans="1:17" ht="14.25" hidden="1" customHeight="1" x14ac:dyDescent="0.3">
      <c r="A28" s="38" t="s">
        <v>19</v>
      </c>
      <c r="B28" s="170">
        <v>6</v>
      </c>
      <c r="C28" s="169">
        <v>765128</v>
      </c>
      <c r="D28" s="232">
        <v>0</v>
      </c>
      <c r="E28" s="232">
        <v>0</v>
      </c>
      <c r="F28" s="170">
        <v>8</v>
      </c>
      <c r="G28" s="170"/>
      <c r="H28" s="170">
        <v>1854945.8</v>
      </c>
      <c r="I28" s="170"/>
      <c r="J28" s="238">
        <v>6</v>
      </c>
      <c r="K28" s="238"/>
      <c r="L28" s="170">
        <v>2264481</v>
      </c>
      <c r="M28" s="239">
        <f>+F28+J28+B28+D28</f>
        <v>20</v>
      </c>
      <c r="N28" s="239">
        <f>+H28+L28+C28+E28</f>
        <v>4884554.8</v>
      </c>
    </row>
    <row r="29" spans="1:17" hidden="1" x14ac:dyDescent="0.3">
      <c r="A29" s="24" t="s">
        <v>20</v>
      </c>
      <c r="B29" s="240">
        <f>SUM(B26:B28)</f>
        <v>11</v>
      </c>
      <c r="C29" s="240">
        <f>+SUM(C26:C28)</f>
        <v>1923670.4</v>
      </c>
      <c r="D29" s="241">
        <f>SUM(D26:D28)</f>
        <v>1</v>
      </c>
      <c r="E29" s="241">
        <f>SUM(E26:E28)</f>
        <v>264542</v>
      </c>
      <c r="F29" s="240">
        <f>SUM(F26:F28)</f>
        <v>30</v>
      </c>
      <c r="G29" s="240"/>
      <c r="H29" s="240">
        <f>+SUM(H26:H28)</f>
        <v>10866629.400000002</v>
      </c>
      <c r="I29" s="240"/>
      <c r="J29" s="241">
        <f>SUM(J26:J28)</f>
        <v>24</v>
      </c>
      <c r="K29" s="241"/>
      <c r="L29" s="240">
        <f>+SUM(L26:L28)</f>
        <v>5730868.2000000002</v>
      </c>
      <c r="M29" s="240">
        <f>SUM(M26:M28)</f>
        <v>66</v>
      </c>
      <c r="N29" s="240">
        <f>SUM(N26:N28)</f>
        <v>18785710</v>
      </c>
    </row>
    <row r="30" spans="1:17" x14ac:dyDescent="0.3">
      <c r="A30" s="38" t="s">
        <v>13</v>
      </c>
      <c r="B30" s="304">
        <v>0</v>
      </c>
      <c r="C30" s="465">
        <v>0</v>
      </c>
      <c r="D30" s="301"/>
      <c r="E30" s="301"/>
      <c r="F30" s="304">
        <v>8</v>
      </c>
      <c r="G30" s="304"/>
      <c r="H30" s="305">
        <v>3727081.4</v>
      </c>
      <c r="I30" s="305"/>
      <c r="J30" s="304">
        <v>10</v>
      </c>
      <c r="K30" s="304"/>
      <c r="L30" s="465">
        <v>1744496</v>
      </c>
      <c r="M30" s="304">
        <v>18</v>
      </c>
      <c r="N30" s="465">
        <v>5471577.4000000004</v>
      </c>
    </row>
    <row r="31" spans="1:17" x14ac:dyDescent="0.3">
      <c r="A31" s="38" t="s">
        <v>14</v>
      </c>
      <c r="B31" s="304">
        <v>2</v>
      </c>
      <c r="C31" s="465">
        <v>283747</v>
      </c>
      <c r="D31" s="301"/>
      <c r="E31" s="301"/>
      <c r="F31" s="304">
        <v>14</v>
      </c>
      <c r="G31" s="304"/>
      <c r="H31" s="305">
        <v>5370819.2000000002</v>
      </c>
      <c r="I31" s="305"/>
      <c r="J31" s="304">
        <v>16</v>
      </c>
      <c r="K31" s="304"/>
      <c r="L31" s="465">
        <v>3461124.4</v>
      </c>
      <c r="M31" s="304">
        <v>32</v>
      </c>
      <c r="N31" s="465">
        <v>9115690.5999999996</v>
      </c>
    </row>
    <row r="32" spans="1:17" x14ac:dyDescent="0.3">
      <c r="A32" s="38" t="s">
        <v>15</v>
      </c>
      <c r="B32" s="304">
        <v>11</v>
      </c>
      <c r="C32" s="465">
        <v>1904524</v>
      </c>
      <c r="D32" s="301"/>
      <c r="E32" s="301"/>
      <c r="F32" s="304">
        <v>12</v>
      </c>
      <c r="G32" s="304"/>
      <c r="H32" s="305">
        <v>2182326</v>
      </c>
      <c r="I32" s="305"/>
      <c r="J32" s="304">
        <v>19</v>
      </c>
      <c r="K32" s="304"/>
      <c r="L32" s="465">
        <v>3499198</v>
      </c>
      <c r="M32" s="304">
        <v>42</v>
      </c>
      <c r="N32" s="465">
        <v>7586048</v>
      </c>
    </row>
    <row r="33" spans="1:14" x14ac:dyDescent="0.3">
      <c r="A33" s="444" t="s">
        <v>16</v>
      </c>
      <c r="B33" s="242">
        <f>SUM(B30:B32)</f>
        <v>13</v>
      </c>
      <c r="C33" s="306">
        <f t="shared" ref="C33:N33" si="2">SUM(C30:C32)</f>
        <v>2188271</v>
      </c>
      <c r="D33" s="307"/>
      <c r="E33" s="307">
        <f>+SUM(E30:E32)</f>
        <v>0</v>
      </c>
      <c r="F33" s="242">
        <f>SUM(F30:F32)</f>
        <v>34</v>
      </c>
      <c r="G33" s="242"/>
      <c r="H33" s="302">
        <f>SUM(H30:H32)</f>
        <v>11280226.6</v>
      </c>
      <c r="I33" s="302"/>
      <c r="J33" s="242">
        <f t="shared" si="2"/>
        <v>45</v>
      </c>
      <c r="K33" s="242"/>
      <c r="L33" s="466">
        <f t="shared" si="2"/>
        <v>8704818.4000000004</v>
      </c>
      <c r="M33" s="242">
        <f t="shared" si="2"/>
        <v>92</v>
      </c>
      <c r="N33" s="466">
        <f t="shared" si="2"/>
        <v>22173316</v>
      </c>
    </row>
    <row r="34" spans="1:14" x14ac:dyDescent="0.3">
      <c r="A34" s="301"/>
      <c r="B34" s="301"/>
      <c r="C34" s="308">
        <f>+C33/N33</f>
        <v>9.8689388632715105E-2</v>
      </c>
      <c r="D34" s="309"/>
      <c r="E34" s="308">
        <f>+E33/N33</f>
        <v>0</v>
      </c>
      <c r="F34" s="309"/>
      <c r="G34" s="309"/>
      <c r="H34" s="308">
        <f>+H33/N33</f>
        <v>0.50872979936785279</v>
      </c>
      <c r="I34" s="308"/>
      <c r="J34" s="309"/>
      <c r="K34" s="309"/>
      <c r="L34" s="308">
        <f>+L33/N33</f>
        <v>0.39258081199943212</v>
      </c>
      <c r="M34" s="309"/>
      <c r="N34" s="308">
        <f>+SUM(C34,H34,L34)</f>
        <v>1</v>
      </c>
    </row>
    <row r="36" spans="1:14" x14ac:dyDescent="0.3">
      <c r="E36" s="153"/>
    </row>
    <row r="39" spans="1:14" ht="4.5" customHeight="1" x14ac:dyDescent="0.3"/>
    <row r="40" spans="1:14" ht="41.25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38.25" customHeight="1" x14ac:dyDescent="0.3">
      <c r="A41"/>
    </row>
    <row r="42" spans="1:14" hidden="1" x14ac:dyDescent="0.3">
      <c r="A42"/>
    </row>
    <row r="43" spans="1:14" x14ac:dyDescent="0.3">
      <c r="A43"/>
    </row>
    <row r="44" spans="1:14" x14ac:dyDescent="0.3">
      <c r="A44"/>
    </row>
    <row r="45" spans="1:14" x14ac:dyDescent="0.3">
      <c r="A45"/>
    </row>
    <row r="46" spans="1:14" x14ac:dyDescent="0.3">
      <c r="A46"/>
    </row>
    <row r="47" spans="1:14" x14ac:dyDescent="0.3">
      <c r="A47"/>
    </row>
    <row r="48" spans="1:14" x14ac:dyDescent="0.3">
      <c r="A48"/>
    </row>
    <row r="49" spans="1:12" ht="15" customHeight="1" x14ac:dyDescent="0.3">
      <c r="A49"/>
    </row>
    <row r="50" spans="1:12" x14ac:dyDescent="0.3">
      <c r="A50"/>
    </row>
    <row r="51" spans="1:12" x14ac:dyDescent="0.3">
      <c r="A51"/>
    </row>
    <row r="52" spans="1:12" x14ac:dyDescent="0.3">
      <c r="A52"/>
    </row>
    <row r="53" spans="1:12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3">
      <c r="A54"/>
      <c r="B54"/>
      <c r="C54"/>
      <c r="D54"/>
      <c r="E54"/>
      <c r="F54"/>
      <c r="G54"/>
      <c r="H54"/>
      <c r="I54"/>
      <c r="J54"/>
      <c r="K54"/>
      <c r="L54"/>
    </row>
  </sheetData>
  <mergeCells count="16">
    <mergeCell ref="D23:E23"/>
    <mergeCell ref="J23:L23"/>
    <mergeCell ref="M23:N23"/>
    <mergeCell ref="B23:C23"/>
    <mergeCell ref="F23:H23"/>
    <mergeCell ref="P6:Q6"/>
    <mergeCell ref="A1:R1"/>
    <mergeCell ref="A2:R2"/>
    <mergeCell ref="A3:R3"/>
    <mergeCell ref="A4:R4"/>
    <mergeCell ref="A5:R5"/>
    <mergeCell ref="H18:J18"/>
    <mergeCell ref="G6:K6"/>
    <mergeCell ref="B6:F6"/>
    <mergeCell ref="L6:M6"/>
    <mergeCell ref="N6:O6"/>
  </mergeCells>
  <pageMargins left="0.7" right="0.7" top="0.75" bottom="0.75" header="0.3" footer="0.3"/>
  <pageSetup paperSize="9" scale="43" orientation="landscape" r:id="rId1"/>
  <ignoredErrors>
    <ignoredError sqref="B16 D16 E16 N16 P13:P16 Q13:Q15 J16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1dedf2-7fe3-44f9-874d-7599cd1f9e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93686329ED34BB3FCA57F9547B145" ma:contentTypeVersion="15" ma:contentTypeDescription="Create a new document." ma:contentTypeScope="" ma:versionID="4ad2ad0628d58af04a36219439df2f1a">
  <xsd:schema xmlns:xsd="http://www.w3.org/2001/XMLSchema" xmlns:xs="http://www.w3.org/2001/XMLSchema" xmlns:p="http://schemas.microsoft.com/office/2006/metadata/properties" xmlns:ns3="5f679dd1-4131-4e79-bfbb-2ef5f7b29f1c" xmlns:ns4="631dedf2-7fe3-44f9-874d-7599cd1f9e78" targetNamespace="http://schemas.microsoft.com/office/2006/metadata/properties" ma:root="true" ma:fieldsID="0a4fd4dab5bf08fef466177875255070" ns3:_="" ns4:_="">
    <xsd:import namespace="5f679dd1-4131-4e79-bfbb-2ef5f7b29f1c"/>
    <xsd:import namespace="631dedf2-7fe3-44f9-874d-7599cd1f9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79dd1-4131-4e79-bfbb-2ef5f7b29f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dedf2-7fe3-44f9-874d-7599cd1f9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B29A6-FD56-4305-AD98-66C8C88A945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631dedf2-7fe3-44f9-874d-7599cd1f9e78"/>
    <ds:schemaRef ds:uri="5f679dd1-4131-4e79-bfbb-2ef5f7b29f1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4720F8-1715-4450-8987-9A5F2A8E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79dd1-4131-4e79-bfbb-2ef5f7b29f1c"/>
    <ds:schemaRef ds:uri="631dedf2-7fe3-44f9-874d-7599cd1f9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10D8E8-5630-4E86-BA1E-D985097EFB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Roa</dc:creator>
  <cp:keywords/>
  <dc:description/>
  <cp:lastModifiedBy>Lenovo</cp:lastModifiedBy>
  <cp:revision/>
  <cp:lastPrinted>2023-07-10T20:26:58Z</cp:lastPrinted>
  <dcterms:created xsi:type="dcterms:W3CDTF">2019-06-03T16:17:46Z</dcterms:created>
  <dcterms:modified xsi:type="dcterms:W3CDTF">2023-07-10T20:31:29Z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0x010100A1493686329ED34BB3FCA57F9547B145</vt:lpwstr>
  </property>
</Properties>
</file>