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7. Estadísticas\Boletín Estadístico 2023\T1\"/>
    </mc:Choice>
  </mc:AlternateContent>
  <xr:revisionPtr revIDLastSave="0" documentId="13_ncr:1_{76E94E35-A777-4052-AFE7-C4EB9E0CB045}" xr6:coauthVersionLast="47" xr6:coauthVersionMax="47" xr10:uidLastSave="{00000000-0000-0000-0000-000000000000}"/>
  <bookViews>
    <workbookView xWindow="-120" yWindow="-120" windowWidth="29040" windowHeight="15840" tabRatio="990" activeTab="7" xr2:uid="{00000000-000D-0000-FFFF-FFFF00000000}"/>
  </bookViews>
  <sheets>
    <sheet name="Presupuesto Adm." sheetId="1" r:id="rId1"/>
    <sheet name="Afiliados y Cotizantes" sheetId="21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Autoseguro" sheetId="22" r:id="rId9"/>
    <sheet name="Movimientos" sheetId="9" r:id="rId10"/>
    <sheet name="Hoja1" sheetId="18" state="hidden" r:id="rId11"/>
    <sheet name="Tipo de Pension" sheetId="12" r:id="rId12"/>
    <sheet name="Modalidad" sheetId="10" r:id="rId13"/>
    <sheet name="Retroactivos" sheetId="11" r:id="rId14"/>
    <sheet name="Reintegros" sheetId="16" state="hidden" r:id="rId15"/>
    <sheet name="Créditos Rechazados" sheetId="17" state="hidden" r:id="rId16"/>
    <sheet name="Recuperación Fondos" sheetId="15" r:id="rId17"/>
    <sheet name="Servicios" sheetId="13" r:id="rId18"/>
  </sheets>
  <definedNames>
    <definedName name="_xlnm.Print_Area" localSheetId="1">'Afiliados y Cotizantes'!$A$1:$N$56</definedName>
    <definedName name="_xlnm.Print_Area" localSheetId="4">Aportes!$A$1:$D$39</definedName>
    <definedName name="_xlnm.Print_Area" localSheetId="8">Autoseguro!$A$1:$R$64</definedName>
    <definedName name="_xlnm.Print_Area" localSheetId="2">Cotizantes!$A$1:$K$38</definedName>
    <definedName name="_xlnm.Print_Area" localSheetId="12">Modalidad!$A$1:$Q$44</definedName>
    <definedName name="_xlnm.Print_Area" localSheetId="9">Movimientos!$A$1:$Q$40</definedName>
    <definedName name="_xlnm.Print_Area" localSheetId="7">Nómina!$A$1:$O$57</definedName>
    <definedName name="_xlnm.Print_Area" localSheetId="6">'Presupuesto de Pensiones'!$A$1:$H$52</definedName>
    <definedName name="_xlnm.Print_Area" localSheetId="16">'Recuperación Fondos'!$A$1:$G$56</definedName>
    <definedName name="_xlnm.Print_Area" localSheetId="13">Retroactivos!$A$1:$M$44</definedName>
    <definedName name="_xlnm.Print_Area" localSheetId="17">Servicios!$A$1:$W$52</definedName>
    <definedName name="_xlnm.Print_Area" localSheetId="11">'Tipo de Pension'!$A$1:$AH$71</definedName>
    <definedName name="_xlnm.Print_Area" localSheetId="5">Traspaso!$A$1:$I$41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  <c r="C11" i="5"/>
  <c r="H34" i="12" l="1"/>
  <c r="F34" i="12"/>
  <c r="K12" i="11" l="1"/>
  <c r="L12" i="11"/>
  <c r="M11" i="11"/>
  <c r="M10" i="11"/>
  <c r="M9" i="11"/>
  <c r="L10" i="11"/>
  <c r="L9" i="11"/>
  <c r="K9" i="11"/>
  <c r="O11" i="9"/>
  <c r="O10" i="9"/>
  <c r="O9" i="9"/>
  <c r="N11" i="9"/>
  <c r="N10" i="9"/>
  <c r="N9" i="9"/>
  <c r="D12" i="8"/>
  <c r="M12" i="8"/>
  <c r="H66" i="12"/>
  <c r="G12" i="9" l="1"/>
  <c r="F12" i="9"/>
  <c r="E12" i="9"/>
  <c r="D12" i="9"/>
  <c r="G14" i="2" l="1"/>
  <c r="C10" i="5" l="1"/>
  <c r="D10" i="5" l="1"/>
  <c r="L13" i="10" l="1"/>
  <c r="H13" i="10"/>
  <c r="D13" i="10"/>
  <c r="C13" i="1" l="1"/>
  <c r="B13" i="1"/>
  <c r="E9" i="1"/>
  <c r="F9" i="1" s="1"/>
  <c r="D9" i="1"/>
  <c r="M13" i="10" l="1"/>
  <c r="K13" i="10"/>
  <c r="I13" i="10"/>
  <c r="G13" i="10"/>
  <c r="E13" i="10"/>
  <c r="C13" i="10"/>
  <c r="Q8" i="22"/>
  <c r="P8" i="22"/>
  <c r="O12" i="22"/>
  <c r="M12" i="22"/>
  <c r="K12" i="22"/>
  <c r="H12" i="22"/>
  <c r="F12" i="22"/>
  <c r="C12" i="22"/>
  <c r="J12" i="8"/>
  <c r="G12" i="8"/>
  <c r="D14" i="2"/>
  <c r="E14" i="2"/>
  <c r="C14" i="2"/>
  <c r="B14" i="2"/>
  <c r="F14" i="2" l="1"/>
  <c r="F66" i="12"/>
  <c r="H18" i="12" l="1"/>
  <c r="G11" i="2"/>
  <c r="G13" i="2" l="1"/>
  <c r="L55" i="12" l="1"/>
  <c r="J55" i="12"/>
  <c r="H12" i="9" l="1"/>
  <c r="M35" i="22"/>
  <c r="M36" i="22"/>
  <c r="M34" i="22"/>
  <c r="N35" i="22"/>
  <c r="N36" i="22"/>
  <c r="N34" i="22"/>
  <c r="J37" i="22"/>
  <c r="F37" i="22"/>
  <c r="D37" i="22"/>
  <c r="B37" i="22"/>
  <c r="M37" i="22" l="1"/>
  <c r="H37" i="22"/>
  <c r="Q10" i="22" l="1"/>
  <c r="Q9" i="22"/>
  <c r="P9" i="22"/>
  <c r="P10" i="22"/>
  <c r="P11" i="22"/>
  <c r="Q11" i="22"/>
  <c r="J12" i="22"/>
  <c r="I12" i="22"/>
  <c r="G12" i="22"/>
  <c r="Q12" i="22" l="1"/>
  <c r="B10" i="21" l="1"/>
  <c r="K36" i="13" l="1"/>
  <c r="H36" i="13"/>
  <c r="E36" i="13"/>
  <c r="K19" i="13"/>
  <c r="K15" i="13"/>
  <c r="H19" i="13"/>
  <c r="H15" i="13"/>
  <c r="E19" i="13"/>
  <c r="E15" i="13" l="1"/>
  <c r="E11" i="13"/>
  <c r="H11" i="13"/>
  <c r="E12" i="13"/>
  <c r="H12" i="13"/>
  <c r="E13" i="13"/>
  <c r="H13" i="13"/>
  <c r="E14" i="13"/>
  <c r="H14" i="13"/>
  <c r="E16" i="13"/>
  <c r="H16" i="13"/>
  <c r="E17" i="13"/>
  <c r="H17" i="13"/>
  <c r="E18" i="13"/>
  <c r="H18" i="13"/>
  <c r="E20" i="13"/>
  <c r="H20" i="13"/>
  <c r="E21" i="13"/>
  <c r="H21" i="13"/>
  <c r="E22" i="13"/>
  <c r="H22" i="13"/>
  <c r="D45" i="12"/>
  <c r="H45" i="12"/>
  <c r="I12" i="9" l="1"/>
  <c r="L37" i="22"/>
  <c r="E37" i="22"/>
  <c r="C37" i="22"/>
  <c r="N12" i="22"/>
  <c r="L12" i="22"/>
  <c r="E12" i="22"/>
  <c r="D12" i="22"/>
  <c r="B12" i="22"/>
  <c r="P12" i="22"/>
  <c r="N37" i="22" l="1"/>
  <c r="H13" i="22"/>
  <c r="C13" i="22" l="1"/>
  <c r="M13" i="22"/>
  <c r="O13" i="22"/>
  <c r="D11" i="6"/>
  <c r="D7" i="21"/>
  <c r="F7" i="21"/>
  <c r="D8" i="21"/>
  <c r="F8" i="21"/>
  <c r="D9" i="21"/>
  <c r="F9" i="21"/>
  <c r="C10" i="21"/>
  <c r="E10" i="21"/>
  <c r="G10" i="21"/>
  <c r="D11" i="21"/>
  <c r="F11" i="21"/>
  <c r="D12" i="21"/>
  <c r="F12" i="21"/>
  <c r="D13" i="21"/>
  <c r="F13" i="21"/>
  <c r="B14" i="21"/>
  <c r="B23" i="21" s="1"/>
  <c r="C14" i="21"/>
  <c r="E14" i="21"/>
  <c r="D15" i="21"/>
  <c r="F15" i="21"/>
  <c r="D16" i="21"/>
  <c r="F16" i="21"/>
  <c r="D17" i="21"/>
  <c r="F17" i="21"/>
  <c r="B18" i="21"/>
  <c r="C18" i="21"/>
  <c r="E18" i="21"/>
  <c r="D19" i="21"/>
  <c r="F19" i="21"/>
  <c r="D20" i="21"/>
  <c r="F20" i="21"/>
  <c r="D21" i="21"/>
  <c r="F21" i="21"/>
  <c r="B22" i="21"/>
  <c r="C22" i="21"/>
  <c r="E22" i="21"/>
  <c r="D18" i="21" l="1"/>
  <c r="D14" i="21"/>
  <c r="F14" i="21"/>
  <c r="C23" i="21"/>
  <c r="D23" i="21" s="1"/>
  <c r="F22" i="21"/>
  <c r="D22" i="21"/>
  <c r="F18" i="21"/>
  <c r="E23" i="21"/>
  <c r="F23" i="21" s="1"/>
  <c r="F10" i="21"/>
  <c r="D10" i="21"/>
  <c r="M23" i="13"/>
  <c r="F7" i="15"/>
  <c r="L33" i="12" l="1"/>
  <c r="M57" i="12"/>
  <c r="M58" i="12"/>
  <c r="M59" i="12"/>
  <c r="M60" i="12"/>
  <c r="M61" i="12"/>
  <c r="M62" i="12"/>
  <c r="M63" i="12"/>
  <c r="M64" i="12"/>
  <c r="M65" i="12"/>
  <c r="M56" i="12"/>
  <c r="L57" i="12"/>
  <c r="L58" i="12"/>
  <c r="L59" i="12"/>
  <c r="L60" i="12"/>
  <c r="L61" i="12"/>
  <c r="L62" i="12"/>
  <c r="L63" i="12"/>
  <c r="L64" i="12"/>
  <c r="L65" i="12"/>
  <c r="L56" i="12"/>
  <c r="K57" i="12"/>
  <c r="K58" i="12"/>
  <c r="K59" i="12"/>
  <c r="K60" i="12"/>
  <c r="K61" i="12"/>
  <c r="K62" i="12"/>
  <c r="K63" i="12"/>
  <c r="K64" i="12"/>
  <c r="K65" i="12"/>
  <c r="K56" i="12"/>
  <c r="J57" i="12"/>
  <c r="J58" i="12"/>
  <c r="J59" i="12"/>
  <c r="J60" i="12"/>
  <c r="J61" i="12"/>
  <c r="J62" i="12"/>
  <c r="J63" i="12"/>
  <c r="J64" i="12"/>
  <c r="J65" i="12"/>
  <c r="J56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32" i="12"/>
  <c r="L34" i="12"/>
  <c r="L35" i="12"/>
  <c r="L36" i="12"/>
  <c r="L37" i="12"/>
  <c r="L38" i="12"/>
  <c r="L39" i="12"/>
  <c r="L40" i="12"/>
  <c r="L41" i="12"/>
  <c r="L42" i="12"/>
  <c r="L43" i="12"/>
  <c r="L44" i="12"/>
  <c r="L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32" i="12"/>
  <c r="J9" i="12"/>
  <c r="K9" i="12"/>
  <c r="L9" i="12"/>
  <c r="M9" i="12"/>
  <c r="B45" i="12"/>
  <c r="E33" i="12"/>
  <c r="F45" i="12"/>
  <c r="I34" i="12"/>
  <c r="L14" i="12"/>
  <c r="C38" i="12" l="1"/>
  <c r="C33" i="12"/>
  <c r="C34" i="12"/>
  <c r="C40" i="12"/>
  <c r="C42" i="12"/>
  <c r="C44" i="12"/>
  <c r="C39" i="12"/>
  <c r="C32" i="12"/>
  <c r="C35" i="12"/>
  <c r="C41" i="12"/>
  <c r="C43" i="12"/>
  <c r="C36" i="12"/>
  <c r="C37" i="12"/>
  <c r="K45" i="12"/>
  <c r="L45" i="12"/>
  <c r="J45" i="12"/>
  <c r="M45" i="12"/>
  <c r="G40" i="12"/>
  <c r="G37" i="12"/>
  <c r="G43" i="12"/>
  <c r="G34" i="12"/>
  <c r="E40" i="12"/>
  <c r="E37" i="12"/>
  <c r="E34" i="12"/>
  <c r="E44" i="12"/>
  <c r="E35" i="12"/>
  <c r="E43" i="12"/>
  <c r="E38" i="12"/>
  <c r="E41" i="12"/>
  <c r="E32" i="12"/>
  <c r="I44" i="12"/>
  <c r="I41" i="12"/>
  <c r="I38" i="12"/>
  <c r="I35" i="12"/>
  <c r="I32" i="12"/>
  <c r="G44" i="12"/>
  <c r="G41" i="12"/>
  <c r="G38" i="12"/>
  <c r="G35" i="12"/>
  <c r="G32" i="12"/>
  <c r="I42" i="12"/>
  <c r="I39" i="12"/>
  <c r="I36" i="12"/>
  <c r="I33" i="12"/>
  <c r="G42" i="12"/>
  <c r="G39" i="12"/>
  <c r="G36" i="12"/>
  <c r="G33" i="12"/>
  <c r="I43" i="12"/>
  <c r="E42" i="12"/>
  <c r="I40" i="12"/>
  <c r="E39" i="12"/>
  <c r="I37" i="12"/>
  <c r="E36" i="12"/>
  <c r="E45" i="12" l="1"/>
  <c r="C45" i="12"/>
  <c r="G45" i="12"/>
  <c r="I45" i="12"/>
  <c r="M10" i="12" l="1"/>
  <c r="M11" i="12"/>
  <c r="M12" i="12"/>
  <c r="M13" i="12"/>
  <c r="M14" i="12"/>
  <c r="M15" i="12"/>
  <c r="M16" i="12"/>
  <c r="M17" i="12"/>
  <c r="L10" i="12"/>
  <c r="L11" i="12"/>
  <c r="L12" i="12"/>
  <c r="L13" i="12"/>
  <c r="L15" i="12"/>
  <c r="L16" i="12"/>
  <c r="L17" i="12"/>
  <c r="K10" i="12"/>
  <c r="K11" i="12"/>
  <c r="K12" i="12"/>
  <c r="K13" i="12"/>
  <c r="K14" i="12"/>
  <c r="K15" i="12"/>
  <c r="K16" i="12"/>
  <c r="K17" i="12"/>
  <c r="J10" i="12"/>
  <c r="J11" i="12"/>
  <c r="J12" i="12"/>
  <c r="J13" i="12"/>
  <c r="J14" i="12"/>
  <c r="J15" i="12"/>
  <c r="J16" i="12"/>
  <c r="J17" i="12"/>
  <c r="B18" i="12" l="1"/>
  <c r="C9" i="12" s="1"/>
  <c r="D18" i="12"/>
  <c r="E10" i="12" s="1"/>
  <c r="F18" i="12"/>
  <c r="G9" i="12" s="1"/>
  <c r="I13" i="12"/>
  <c r="I15" i="12" l="1"/>
  <c r="G10" i="12"/>
  <c r="K18" i="12"/>
  <c r="J18" i="12"/>
  <c r="I11" i="12"/>
  <c r="L18" i="12"/>
  <c r="M18" i="12"/>
  <c r="I10" i="12"/>
  <c r="E11" i="12"/>
  <c r="E14" i="12"/>
  <c r="C11" i="12"/>
  <c r="E17" i="12"/>
  <c r="C14" i="12"/>
  <c r="C17" i="12"/>
  <c r="C10" i="12"/>
  <c r="I16" i="12"/>
  <c r="C13" i="12"/>
  <c r="I9" i="12"/>
  <c r="C16" i="12"/>
  <c r="I12" i="12"/>
  <c r="G17" i="12"/>
  <c r="G14" i="12"/>
  <c r="G11" i="12"/>
  <c r="G15" i="12"/>
  <c r="G12" i="12"/>
  <c r="E15" i="12"/>
  <c r="E12" i="12"/>
  <c r="E9" i="12"/>
  <c r="G16" i="12"/>
  <c r="C15" i="12"/>
  <c r="G13" i="12"/>
  <c r="C12" i="12"/>
  <c r="I17" i="12"/>
  <c r="E16" i="12"/>
  <c r="I14" i="12"/>
  <c r="E13" i="12"/>
  <c r="I18" i="12" l="1"/>
  <c r="C18" i="12"/>
  <c r="E18" i="12"/>
  <c r="G18" i="12"/>
  <c r="J12" i="11" l="1"/>
  <c r="I12" i="11"/>
  <c r="H12" i="11"/>
  <c r="D12" i="11"/>
  <c r="C12" i="11"/>
  <c r="B12" i="11"/>
  <c r="K8" i="8"/>
  <c r="L8" i="8"/>
  <c r="M8" i="8"/>
  <c r="F10" i="2"/>
  <c r="F15" i="2"/>
  <c r="G15" i="2"/>
  <c r="H15" i="2" s="1"/>
  <c r="F16" i="2"/>
  <c r="G16" i="2"/>
  <c r="H16" i="2" s="1"/>
  <c r="G10" i="2" l="1"/>
  <c r="H10" i="2" l="1"/>
  <c r="D66" i="12"/>
  <c r="E61" i="12" s="1"/>
  <c r="Q12" i="10" l="1"/>
  <c r="Q9" i="10" l="1"/>
  <c r="P9" i="10"/>
  <c r="O9" i="10"/>
  <c r="N9" i="10"/>
  <c r="I12" i="8" l="1"/>
  <c r="H12" i="8"/>
  <c r="E12" i="8"/>
  <c r="D13" i="8"/>
  <c r="G13" i="8"/>
  <c r="J13" i="8"/>
  <c r="D10" i="1" l="1"/>
  <c r="H14" i="10" l="1"/>
  <c r="G7" i="15"/>
  <c r="F9" i="15"/>
  <c r="G9" i="15" s="1"/>
  <c r="L11" i="11"/>
  <c r="K11" i="11"/>
  <c r="J13" i="10"/>
  <c r="F13" i="10"/>
  <c r="B13" i="10"/>
  <c r="P12" i="10"/>
  <c r="O12" i="10"/>
  <c r="N12" i="10"/>
  <c r="Q10" i="10"/>
  <c r="P10" i="10"/>
  <c r="O10" i="10"/>
  <c r="N10" i="10"/>
  <c r="N13" i="10" s="1"/>
  <c r="F12" i="8"/>
  <c r="C12" i="8"/>
  <c r="B12" i="8"/>
  <c r="M9" i="8"/>
  <c r="L9" i="8"/>
  <c r="L12" i="8" s="1"/>
  <c r="K9" i="8"/>
  <c r="K12" i="8" s="1"/>
  <c r="M11" i="8"/>
  <c r="L11" i="8"/>
  <c r="K11" i="8"/>
  <c r="H13" i="2"/>
  <c r="C8" i="5"/>
  <c r="D8" i="5" s="1"/>
  <c r="F13" i="2" l="1"/>
  <c r="F11" i="2"/>
  <c r="H11" i="2" l="1"/>
  <c r="C9" i="5"/>
  <c r="D9" i="5" s="1"/>
  <c r="D10" i="7"/>
  <c r="D8" i="7"/>
  <c r="D10" i="4"/>
  <c r="F10" i="4" s="1"/>
  <c r="D8" i="4"/>
  <c r="F8" i="4" s="1"/>
  <c r="E10" i="1"/>
  <c r="E12" i="1"/>
  <c r="D12" i="1"/>
  <c r="F17" i="2"/>
  <c r="G17" i="2"/>
  <c r="H17" i="2" s="1"/>
  <c r="B18" i="2"/>
  <c r="E18" i="2"/>
  <c r="F19" i="2"/>
  <c r="G19" i="2"/>
  <c r="H19" i="2" s="1"/>
  <c r="F20" i="2"/>
  <c r="G20" i="2"/>
  <c r="F21" i="2"/>
  <c r="G21" i="2"/>
  <c r="H21" i="2" s="1"/>
  <c r="B22" i="2"/>
  <c r="E22" i="2"/>
  <c r="F23" i="2"/>
  <c r="G23" i="2"/>
  <c r="H23" i="2" s="1"/>
  <c r="F24" i="2"/>
  <c r="G24" i="2"/>
  <c r="H24" i="2" s="1"/>
  <c r="F25" i="2"/>
  <c r="G25" i="2"/>
  <c r="H25" i="2" s="1"/>
  <c r="F26" i="2"/>
  <c r="G26" i="2"/>
  <c r="H26" i="2" s="1"/>
  <c r="B27" i="2"/>
  <c r="E27" i="2"/>
  <c r="F10" i="1" l="1"/>
  <c r="F12" i="1"/>
  <c r="G12" i="2"/>
  <c r="F18" i="2"/>
  <c r="G22" i="2"/>
  <c r="H22" i="2" s="1"/>
  <c r="F27" i="2"/>
  <c r="F22" i="2"/>
  <c r="B28" i="2"/>
  <c r="H20" i="2"/>
  <c r="F12" i="2"/>
  <c r="E10" i="4"/>
  <c r="E8" i="4"/>
  <c r="G27" i="2"/>
  <c r="H27" i="2" s="1"/>
  <c r="E28" i="2"/>
  <c r="H14" i="2" l="1"/>
  <c r="G18" i="2"/>
  <c r="H18" i="2" s="1"/>
  <c r="H12" i="2"/>
  <c r="F28" i="2"/>
  <c r="G28" i="2" l="1"/>
  <c r="C72" i="18" l="1"/>
  <c r="D69" i="18" s="1"/>
  <c r="A72" i="18"/>
  <c r="B71" i="18"/>
  <c r="B70" i="18"/>
  <c r="B69" i="18"/>
  <c r="B68" i="18"/>
  <c r="B67" i="18"/>
  <c r="B66" i="18"/>
  <c r="B65" i="18"/>
  <c r="B64" i="18"/>
  <c r="B63" i="18"/>
  <c r="D71" i="18" l="1"/>
  <c r="D65" i="18"/>
  <c r="D68" i="18"/>
  <c r="D66" i="18"/>
  <c r="B72" i="18"/>
  <c r="D63" i="18"/>
  <c r="D70" i="18"/>
  <c r="D64" i="18"/>
  <c r="D67" i="18"/>
  <c r="D72" i="18" l="1"/>
  <c r="G55" i="12" l="1"/>
  <c r="G61" i="12" l="1"/>
  <c r="G62" i="12"/>
  <c r="G60" i="12"/>
  <c r="G9" i="16"/>
  <c r="F9" i="16"/>
  <c r="C9" i="16"/>
  <c r="B9" i="16"/>
  <c r="L54" i="12" l="1"/>
  <c r="J54" i="12"/>
  <c r="B66" i="12" l="1"/>
  <c r="C55" i="12" s="1"/>
  <c r="C61" i="12" l="1"/>
  <c r="C64" i="12"/>
  <c r="C59" i="12"/>
  <c r="C65" i="12"/>
  <c r="C62" i="12"/>
  <c r="C57" i="12"/>
  <c r="C63" i="12"/>
  <c r="C58" i="12"/>
  <c r="C56" i="12"/>
  <c r="C60" i="12"/>
  <c r="K66" i="12"/>
  <c r="J66" i="12"/>
  <c r="K55" i="12" s="1"/>
  <c r="E54" i="12"/>
  <c r="E63" i="12"/>
  <c r="E60" i="12"/>
  <c r="E65" i="12"/>
  <c r="E56" i="12"/>
  <c r="E64" i="12"/>
  <c r="E58" i="12"/>
  <c r="E57" i="12"/>
  <c r="E59" i="12"/>
  <c r="E62" i="12"/>
  <c r="E66" i="12" l="1"/>
  <c r="N19" i="13"/>
  <c r="N15" i="13"/>
  <c r="E12" i="11"/>
  <c r="F12" i="11"/>
  <c r="G12" i="11"/>
  <c r="E16" i="11"/>
  <c r="F16" i="11"/>
  <c r="G16" i="11"/>
  <c r="E20" i="11"/>
  <c r="F20" i="11"/>
  <c r="G20" i="11"/>
  <c r="E24" i="11"/>
  <c r="F24" i="11"/>
  <c r="G24" i="11"/>
  <c r="E25" i="11" l="1"/>
  <c r="F25" i="11"/>
  <c r="G25" i="11"/>
  <c r="N36" i="13"/>
  <c r="P39" i="17" l="1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 s="1"/>
  <c r="F11" i="17"/>
  <c r="E11" i="17"/>
  <c r="E24" i="17" s="1"/>
  <c r="D11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 s="1"/>
  <c r="F11" i="16"/>
  <c r="E11" i="16"/>
  <c r="E24" i="16" s="1"/>
  <c r="D11" i="16"/>
  <c r="C11" i="16"/>
  <c r="B11" i="16"/>
  <c r="I10" i="16"/>
  <c r="H10" i="16"/>
  <c r="I9" i="16"/>
  <c r="H9" i="16"/>
  <c r="I8" i="16"/>
  <c r="H8" i="16"/>
  <c r="F24" i="16" l="1"/>
  <c r="B24" i="16"/>
  <c r="F24" i="17"/>
  <c r="D24" i="17"/>
  <c r="H15" i="16"/>
  <c r="H11" i="17"/>
  <c r="H15" i="17"/>
  <c r="H19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H24" i="17" l="1"/>
  <c r="I24" i="16"/>
  <c r="I24" i="17"/>
  <c r="H24" i="16"/>
  <c r="B11" i="4"/>
  <c r="B12" i="9" l="1"/>
  <c r="E11" i="1"/>
  <c r="E13" i="1" s="1"/>
  <c r="C11" i="4" l="1"/>
  <c r="C12" i="9" l="1"/>
  <c r="C10" i="15" l="1"/>
  <c r="E10" i="15" l="1"/>
  <c r="D10" i="15"/>
  <c r="B10" i="15"/>
  <c r="C11" i="6"/>
  <c r="B11" i="6"/>
  <c r="B11" i="5"/>
  <c r="C11" i="7"/>
  <c r="B11" i="7"/>
  <c r="C54" i="12" l="1"/>
  <c r="C66" i="12" s="1"/>
  <c r="G56" i="12"/>
  <c r="G63" i="12"/>
  <c r="G58" i="12"/>
  <c r="G59" i="12"/>
  <c r="G65" i="12"/>
  <c r="G57" i="12"/>
  <c r="G64" i="12"/>
  <c r="D13" i="1"/>
  <c r="M43" i="13" l="1"/>
  <c r="L43" i="13"/>
  <c r="J43" i="13"/>
  <c r="I43" i="13"/>
  <c r="G43" i="13"/>
  <c r="F43" i="13"/>
  <c r="D43" i="13"/>
  <c r="C43" i="13"/>
  <c r="N42" i="13"/>
  <c r="K42" i="13"/>
  <c r="H42" i="13"/>
  <c r="E42" i="13"/>
  <c r="N41" i="13"/>
  <c r="K41" i="13"/>
  <c r="H41" i="13"/>
  <c r="E41" i="13"/>
  <c r="N40" i="13"/>
  <c r="K40" i="13"/>
  <c r="H40" i="13"/>
  <c r="E40" i="13"/>
  <c r="N39" i="13"/>
  <c r="K39" i="13"/>
  <c r="H39" i="13"/>
  <c r="E39" i="13"/>
  <c r="N38" i="13"/>
  <c r="K38" i="13"/>
  <c r="H38" i="13"/>
  <c r="E38" i="13"/>
  <c r="N37" i="13"/>
  <c r="K37" i="13"/>
  <c r="H37" i="13"/>
  <c r="E37" i="13"/>
  <c r="N35" i="13"/>
  <c r="K35" i="13"/>
  <c r="H35" i="13"/>
  <c r="E35" i="13"/>
  <c r="N34" i="13"/>
  <c r="K34" i="13"/>
  <c r="H34" i="13"/>
  <c r="E34" i="13"/>
  <c r="N33" i="13"/>
  <c r="K33" i="13"/>
  <c r="H33" i="13"/>
  <c r="E33" i="13"/>
  <c r="N32" i="13"/>
  <c r="K32" i="13"/>
  <c r="H32" i="13"/>
  <c r="E32" i="13"/>
  <c r="J23" i="13"/>
  <c r="I23" i="13"/>
  <c r="G23" i="13"/>
  <c r="F23" i="13"/>
  <c r="D23" i="13"/>
  <c r="C23" i="13"/>
  <c r="N22" i="13"/>
  <c r="K22" i="13"/>
  <c r="N21" i="13"/>
  <c r="K21" i="13"/>
  <c r="N20" i="13"/>
  <c r="K20" i="13"/>
  <c r="N18" i="13"/>
  <c r="K18" i="13"/>
  <c r="N17" i="13"/>
  <c r="K17" i="13"/>
  <c r="N16" i="13"/>
  <c r="K16" i="13"/>
  <c r="K14" i="13"/>
  <c r="K13" i="13"/>
  <c r="N12" i="13"/>
  <c r="K12" i="13"/>
  <c r="N11" i="13"/>
  <c r="K11" i="13"/>
  <c r="E22" i="15"/>
  <c r="D22" i="15"/>
  <c r="C22" i="15"/>
  <c r="B22" i="15"/>
  <c r="F21" i="15"/>
  <c r="G21" i="15" s="1"/>
  <c r="F20" i="15"/>
  <c r="G20" i="15" s="1"/>
  <c r="F19" i="15"/>
  <c r="G19" i="15" s="1"/>
  <c r="E18" i="15"/>
  <c r="D18" i="15"/>
  <c r="C18" i="15"/>
  <c r="B18" i="15"/>
  <c r="F17" i="15"/>
  <c r="G17" i="15" s="1"/>
  <c r="F16" i="15"/>
  <c r="G16" i="15" s="1"/>
  <c r="F15" i="15"/>
  <c r="G15" i="15" s="1"/>
  <c r="E14" i="15"/>
  <c r="D14" i="15"/>
  <c r="C14" i="15"/>
  <c r="B14" i="15"/>
  <c r="F13" i="15"/>
  <c r="G13" i="15" s="1"/>
  <c r="F12" i="15"/>
  <c r="G12" i="15" s="1"/>
  <c r="F11" i="15"/>
  <c r="G11" i="15" s="1"/>
  <c r="F8" i="15"/>
  <c r="G8" i="15" s="1"/>
  <c r="J24" i="11"/>
  <c r="I24" i="11"/>
  <c r="H24" i="11"/>
  <c r="D24" i="11"/>
  <c r="C24" i="11"/>
  <c r="B24" i="11"/>
  <c r="M23" i="11"/>
  <c r="L23" i="11"/>
  <c r="K23" i="11"/>
  <c r="M22" i="11"/>
  <c r="L22" i="11"/>
  <c r="K22" i="11"/>
  <c r="M21" i="11"/>
  <c r="L21" i="11"/>
  <c r="K21" i="11"/>
  <c r="J20" i="11"/>
  <c r="I20" i="11"/>
  <c r="H20" i="11"/>
  <c r="D20" i="11"/>
  <c r="C20" i="11"/>
  <c r="B20" i="11"/>
  <c r="M19" i="11"/>
  <c r="L19" i="11"/>
  <c r="K19" i="11"/>
  <c r="M18" i="11"/>
  <c r="L18" i="11"/>
  <c r="K18" i="11"/>
  <c r="M17" i="11"/>
  <c r="L17" i="11"/>
  <c r="K17" i="11"/>
  <c r="J16" i="11"/>
  <c r="I16" i="11"/>
  <c r="H16" i="11"/>
  <c r="D16" i="11"/>
  <c r="C16" i="11"/>
  <c r="B16" i="11"/>
  <c r="M15" i="11"/>
  <c r="L15" i="11"/>
  <c r="K15" i="11"/>
  <c r="M14" i="11"/>
  <c r="L14" i="11"/>
  <c r="K14" i="11"/>
  <c r="M13" i="11"/>
  <c r="L13" i="11"/>
  <c r="K13" i="11"/>
  <c r="M12" i="11"/>
  <c r="K10" i="11"/>
  <c r="I26" i="10"/>
  <c r="H26" i="10"/>
  <c r="H27" i="10" s="1"/>
  <c r="G26" i="10"/>
  <c r="F26" i="10"/>
  <c r="F27" i="10" s="1"/>
  <c r="M26" i="10"/>
  <c r="L26" i="10"/>
  <c r="L27" i="10" s="1"/>
  <c r="K26" i="10"/>
  <c r="J26" i="10"/>
  <c r="J27" i="10" s="1"/>
  <c r="E26" i="10"/>
  <c r="D26" i="10"/>
  <c r="D27" i="10" s="1"/>
  <c r="C26" i="10"/>
  <c r="B26" i="10"/>
  <c r="B27" i="10" s="1"/>
  <c r="Q25" i="10"/>
  <c r="P25" i="10"/>
  <c r="O25" i="10"/>
  <c r="N25" i="10"/>
  <c r="Q24" i="10"/>
  <c r="P24" i="10"/>
  <c r="P26" i="10" s="1"/>
  <c r="P27" i="10" s="1"/>
  <c r="O24" i="10"/>
  <c r="N24" i="10"/>
  <c r="N26" i="10" s="1"/>
  <c r="N27" i="10" s="1"/>
  <c r="Q23" i="10"/>
  <c r="P23" i="10"/>
  <c r="O23" i="10"/>
  <c r="N23" i="10"/>
  <c r="Q22" i="10"/>
  <c r="P22" i="10"/>
  <c r="O22" i="10"/>
  <c r="N22" i="10"/>
  <c r="I21" i="10"/>
  <c r="H21" i="10"/>
  <c r="G21" i="10"/>
  <c r="F21" i="10"/>
  <c r="M21" i="10"/>
  <c r="L21" i="10"/>
  <c r="K21" i="10"/>
  <c r="J21" i="10"/>
  <c r="E21" i="10"/>
  <c r="D21" i="10"/>
  <c r="C21" i="10"/>
  <c r="B21" i="10"/>
  <c r="Q20" i="10"/>
  <c r="P20" i="10"/>
  <c r="P21" i="10" s="1"/>
  <c r="O20" i="10"/>
  <c r="N20" i="10"/>
  <c r="N21" i="10" s="1"/>
  <c r="Q19" i="10"/>
  <c r="P19" i="10"/>
  <c r="O19" i="10"/>
  <c r="N19" i="10"/>
  <c r="Q18" i="10"/>
  <c r="P18" i="10"/>
  <c r="O18" i="10"/>
  <c r="N18" i="10"/>
  <c r="I17" i="10"/>
  <c r="H17" i="10"/>
  <c r="G17" i="10"/>
  <c r="F17" i="10"/>
  <c r="M17" i="10"/>
  <c r="L17" i="10"/>
  <c r="K17" i="10"/>
  <c r="J17" i="10"/>
  <c r="E17" i="10"/>
  <c r="D17" i="10"/>
  <c r="C17" i="10"/>
  <c r="B17" i="10"/>
  <c r="Q16" i="10"/>
  <c r="P16" i="10"/>
  <c r="P17" i="10" s="1"/>
  <c r="O16" i="10"/>
  <c r="N16" i="10"/>
  <c r="N17" i="10" s="1"/>
  <c r="Q15" i="10"/>
  <c r="P15" i="10"/>
  <c r="O15" i="10"/>
  <c r="N15" i="10"/>
  <c r="Q14" i="10"/>
  <c r="P14" i="10"/>
  <c r="O14" i="10"/>
  <c r="N14" i="10"/>
  <c r="Q11" i="10"/>
  <c r="Q13" i="10" s="1"/>
  <c r="P11" i="10"/>
  <c r="P13" i="10" s="1"/>
  <c r="O11" i="10"/>
  <c r="O13" i="10" s="1"/>
  <c r="N11" i="10"/>
  <c r="I55" i="12"/>
  <c r="G54" i="12"/>
  <c r="M24" i="9"/>
  <c r="L24" i="9"/>
  <c r="K24" i="9"/>
  <c r="J24" i="9"/>
  <c r="I24" i="9"/>
  <c r="H24" i="9"/>
  <c r="C24" i="9"/>
  <c r="B24" i="9"/>
  <c r="O23" i="9"/>
  <c r="N23" i="9"/>
  <c r="O22" i="9"/>
  <c r="N22" i="9"/>
  <c r="O21" i="9"/>
  <c r="N21" i="9"/>
  <c r="M20" i="9"/>
  <c r="L20" i="9"/>
  <c r="K20" i="9"/>
  <c r="J20" i="9"/>
  <c r="I20" i="9"/>
  <c r="H20" i="9"/>
  <c r="C20" i="9"/>
  <c r="B20" i="9"/>
  <c r="O19" i="9"/>
  <c r="N19" i="9"/>
  <c r="O18" i="9"/>
  <c r="N18" i="9"/>
  <c r="O17" i="9"/>
  <c r="N17" i="9"/>
  <c r="M16" i="9"/>
  <c r="L16" i="9"/>
  <c r="K16" i="9"/>
  <c r="J16" i="9"/>
  <c r="I16" i="9"/>
  <c r="H16" i="9"/>
  <c r="C16" i="9"/>
  <c r="B16" i="9"/>
  <c r="O15" i="9"/>
  <c r="N15" i="9"/>
  <c r="O14" i="9"/>
  <c r="N14" i="9"/>
  <c r="O13" i="9"/>
  <c r="N13" i="9"/>
  <c r="M12" i="9"/>
  <c r="L12" i="9"/>
  <c r="K12" i="9"/>
  <c r="J12" i="9"/>
  <c r="G25" i="8"/>
  <c r="F25" i="8"/>
  <c r="F26" i="8" s="1"/>
  <c r="E25" i="8"/>
  <c r="E26" i="8" s="1"/>
  <c r="J25" i="8"/>
  <c r="I25" i="8"/>
  <c r="I26" i="8" s="1"/>
  <c r="H25" i="8"/>
  <c r="H26" i="8" s="1"/>
  <c r="D25" i="8"/>
  <c r="C25" i="8"/>
  <c r="C26" i="8" s="1"/>
  <c r="B25" i="8"/>
  <c r="B26" i="8" s="1"/>
  <c r="M24" i="8"/>
  <c r="L24" i="8"/>
  <c r="L25" i="8" s="1"/>
  <c r="L26" i="8" s="1"/>
  <c r="K24" i="8"/>
  <c r="K25" i="8" s="1"/>
  <c r="K26" i="8" s="1"/>
  <c r="M23" i="8"/>
  <c r="L23" i="8"/>
  <c r="K23" i="8"/>
  <c r="M22" i="8"/>
  <c r="L22" i="8"/>
  <c r="K22" i="8"/>
  <c r="M21" i="8"/>
  <c r="L21" i="8"/>
  <c r="K21" i="8"/>
  <c r="G20" i="8"/>
  <c r="F20" i="8"/>
  <c r="E20" i="8"/>
  <c r="J20" i="8"/>
  <c r="I20" i="8"/>
  <c r="H20" i="8"/>
  <c r="D20" i="8"/>
  <c r="C20" i="8"/>
  <c r="B20" i="8"/>
  <c r="M19" i="8"/>
  <c r="L19" i="8"/>
  <c r="L20" i="8" s="1"/>
  <c r="K19" i="8"/>
  <c r="K20" i="8" s="1"/>
  <c r="M18" i="8"/>
  <c r="L18" i="8"/>
  <c r="K18" i="8"/>
  <c r="M17" i="8"/>
  <c r="L17" i="8"/>
  <c r="K17" i="8"/>
  <c r="G16" i="8"/>
  <c r="F16" i="8"/>
  <c r="E16" i="8"/>
  <c r="J16" i="8"/>
  <c r="I16" i="8"/>
  <c r="H16" i="8"/>
  <c r="D16" i="8"/>
  <c r="C16" i="8"/>
  <c r="B16" i="8"/>
  <c r="M15" i="8"/>
  <c r="L15" i="8"/>
  <c r="L16" i="8" s="1"/>
  <c r="K15" i="8"/>
  <c r="K16" i="8" s="1"/>
  <c r="M14" i="8"/>
  <c r="L14" i="8"/>
  <c r="K14" i="8"/>
  <c r="M13" i="8"/>
  <c r="L13" i="8"/>
  <c r="K13" i="8"/>
  <c r="M10" i="8"/>
  <c r="L10" i="8"/>
  <c r="K10" i="8"/>
  <c r="C23" i="6"/>
  <c r="B23" i="6"/>
  <c r="C19" i="6"/>
  <c r="B19" i="6"/>
  <c r="C15" i="6"/>
  <c r="B15" i="6"/>
  <c r="B23" i="5"/>
  <c r="C22" i="5"/>
  <c r="C21" i="5"/>
  <c r="C20" i="5"/>
  <c r="B19" i="5"/>
  <c r="C18" i="5"/>
  <c r="C17" i="5"/>
  <c r="C16" i="5"/>
  <c r="B15" i="5"/>
  <c r="D15" i="5" s="1"/>
  <c r="C14" i="5"/>
  <c r="C13" i="5"/>
  <c r="C12" i="5"/>
  <c r="C23" i="7"/>
  <c r="B23" i="7"/>
  <c r="D22" i="7"/>
  <c r="D21" i="7"/>
  <c r="D20" i="7"/>
  <c r="C19" i="7"/>
  <c r="B19" i="7"/>
  <c r="D18" i="7"/>
  <c r="D17" i="7"/>
  <c r="D16" i="7"/>
  <c r="C15" i="7"/>
  <c r="B15" i="7"/>
  <c r="D14" i="7"/>
  <c r="D13" i="7"/>
  <c r="D12" i="7"/>
  <c r="D9" i="7"/>
  <c r="C23" i="4"/>
  <c r="C24" i="4" s="1"/>
  <c r="B23" i="4"/>
  <c r="B24" i="4" s="1"/>
  <c r="D22" i="4"/>
  <c r="F22" i="4" s="1"/>
  <c r="D21" i="4"/>
  <c r="D20" i="4"/>
  <c r="F20" i="4" s="1"/>
  <c r="F23" i="4" s="1"/>
  <c r="C19" i="4"/>
  <c r="B19" i="4"/>
  <c r="D18" i="4"/>
  <c r="F18" i="4" s="1"/>
  <c r="D17" i="4"/>
  <c r="F17" i="4" s="1"/>
  <c r="D16" i="4"/>
  <c r="F16" i="4" s="1"/>
  <c r="F19" i="4" s="1"/>
  <c r="C15" i="4"/>
  <c r="B15" i="4"/>
  <c r="D14" i="4"/>
  <c r="E14" i="4" s="1"/>
  <c r="D13" i="4"/>
  <c r="E13" i="4" s="1"/>
  <c r="D12" i="4"/>
  <c r="F12" i="4" s="1"/>
  <c r="F15" i="4" s="1"/>
  <c r="D9" i="4"/>
  <c r="O10" i="4" s="1"/>
  <c r="E26" i="1"/>
  <c r="C26" i="1"/>
  <c r="B26" i="1"/>
  <c r="F25" i="1"/>
  <c r="D25" i="1"/>
  <c r="F24" i="1"/>
  <c r="D24" i="1"/>
  <c r="F23" i="1"/>
  <c r="D23" i="1"/>
  <c r="F22" i="1"/>
  <c r="D22" i="1"/>
  <c r="E21" i="1"/>
  <c r="C21" i="1"/>
  <c r="B21" i="1"/>
  <c r="F20" i="1"/>
  <c r="D20" i="1"/>
  <c r="F19" i="1"/>
  <c r="D19" i="1"/>
  <c r="F18" i="1"/>
  <c r="D18" i="1"/>
  <c r="E17" i="1"/>
  <c r="C17" i="1"/>
  <c r="B17" i="1"/>
  <c r="F16" i="1"/>
  <c r="D16" i="1"/>
  <c r="F15" i="1"/>
  <c r="D15" i="1"/>
  <c r="F14" i="1"/>
  <c r="D14" i="1"/>
  <c r="F11" i="1"/>
  <c r="D11" i="1"/>
  <c r="H23" i="13" l="1"/>
  <c r="M66" i="12"/>
  <c r="L66" i="12"/>
  <c r="M55" i="12" s="1"/>
  <c r="D23" i="5"/>
  <c r="S13" i="10"/>
  <c r="S28" i="10" s="1"/>
  <c r="C27" i="1"/>
  <c r="B23" i="15"/>
  <c r="D23" i="15"/>
  <c r="K23" i="13"/>
  <c r="E43" i="13"/>
  <c r="C25" i="9"/>
  <c r="K43" i="13"/>
  <c r="F13" i="4"/>
  <c r="J25" i="9"/>
  <c r="H25" i="9"/>
  <c r="N20" i="9"/>
  <c r="B25" i="9"/>
  <c r="D26" i="1"/>
  <c r="H43" i="13"/>
  <c r="C24" i="7"/>
  <c r="L16" i="11"/>
  <c r="B24" i="7"/>
  <c r="L25" i="9"/>
  <c r="N24" i="9"/>
  <c r="C23" i="15"/>
  <c r="D21" i="1"/>
  <c r="C23" i="5"/>
  <c r="M25" i="9"/>
  <c r="I65" i="12"/>
  <c r="J25" i="11"/>
  <c r="M20" i="11"/>
  <c r="E23" i="13"/>
  <c r="F21" i="1"/>
  <c r="F26" i="1"/>
  <c r="D23" i="7"/>
  <c r="N16" i="9"/>
  <c r="E12" i="4"/>
  <c r="E15" i="4" s="1"/>
  <c r="E20" i="4"/>
  <c r="E23" i="4" s="1"/>
  <c r="D19" i="7"/>
  <c r="F14" i="4"/>
  <c r="D11" i="4"/>
  <c r="D15" i="4"/>
  <c r="T43" i="8"/>
  <c r="T40" i="8"/>
  <c r="K27" i="10"/>
  <c r="B27" i="1"/>
  <c r="D23" i="4"/>
  <c r="D24" i="4" s="1"/>
  <c r="E22" i="4"/>
  <c r="E23" i="15"/>
  <c r="O24" i="9"/>
  <c r="D15" i="7"/>
  <c r="S31" i="8"/>
  <c r="S43" i="8"/>
  <c r="S40" i="8"/>
  <c r="O16" i="9"/>
  <c r="O20" i="9"/>
  <c r="K20" i="11"/>
  <c r="D11" i="7"/>
  <c r="E17" i="4"/>
  <c r="F14" i="15"/>
  <c r="G14" i="15" s="1"/>
  <c r="F18" i="15"/>
  <c r="G18" i="15" s="1"/>
  <c r="F22" i="15"/>
  <c r="G22" i="15" s="1"/>
  <c r="D17" i="1"/>
  <c r="D19" i="4"/>
  <c r="C19" i="5"/>
  <c r="I25" i="9"/>
  <c r="O17" i="10"/>
  <c r="O9" i="4"/>
  <c r="F17" i="1"/>
  <c r="E21" i="4"/>
  <c r="E24" i="4" s="1"/>
  <c r="D19" i="5"/>
  <c r="I27" i="10"/>
  <c r="E16" i="4"/>
  <c r="E19" i="4" s="1"/>
  <c r="E18" i="4"/>
  <c r="F21" i="4"/>
  <c r="F24" i="4" s="1"/>
  <c r="K25" i="9"/>
  <c r="I25" i="11"/>
  <c r="K16" i="11"/>
  <c r="L20" i="11"/>
  <c r="K24" i="11"/>
  <c r="M24" i="11"/>
  <c r="M27" i="10"/>
  <c r="O26" i="10"/>
  <c r="L24" i="11"/>
  <c r="D25" i="11"/>
  <c r="M16" i="11"/>
  <c r="H25" i="11"/>
  <c r="B25" i="11"/>
  <c r="C25" i="11"/>
  <c r="N43" i="13"/>
  <c r="I54" i="12"/>
  <c r="I57" i="12"/>
  <c r="I58" i="12"/>
  <c r="O12" i="9"/>
  <c r="S34" i="8"/>
  <c r="E9" i="4"/>
  <c r="E11" i="4" s="1"/>
  <c r="F9" i="4"/>
  <c r="I61" i="12"/>
  <c r="Q21" i="10"/>
  <c r="G27" i="10"/>
  <c r="Q26" i="10"/>
  <c r="Q17" i="10"/>
  <c r="O21" i="10"/>
  <c r="E27" i="10"/>
  <c r="F10" i="15"/>
  <c r="N12" i="9"/>
  <c r="Q15" i="8"/>
  <c r="M16" i="8"/>
  <c r="J26" i="8"/>
  <c r="M20" i="8"/>
  <c r="M25" i="8"/>
  <c r="Q10" i="8"/>
  <c r="F13" i="1"/>
  <c r="G66" i="12"/>
  <c r="I60" i="12"/>
  <c r="I64" i="12"/>
  <c r="I63" i="12"/>
  <c r="I56" i="12"/>
  <c r="I59" i="12"/>
  <c r="I62" i="12"/>
  <c r="T34" i="8"/>
  <c r="T31" i="8"/>
  <c r="D26" i="8"/>
  <c r="G26" i="8"/>
  <c r="B24" i="5"/>
  <c r="C15" i="5"/>
  <c r="O25" i="9" l="1"/>
  <c r="D27" i="1"/>
  <c r="L25" i="11"/>
  <c r="N25" i="9"/>
  <c r="Q28" i="10"/>
  <c r="U43" i="8"/>
  <c r="U40" i="8"/>
  <c r="D28" i="8"/>
  <c r="M11" i="4"/>
  <c r="O11" i="4"/>
  <c r="U34" i="8"/>
  <c r="U31" i="8"/>
  <c r="G28" i="8"/>
  <c r="G27" i="8"/>
  <c r="M26" i="8"/>
  <c r="K25" i="11"/>
  <c r="O27" i="10"/>
  <c r="J27" i="8"/>
  <c r="M25" i="11"/>
  <c r="Q27" i="10"/>
  <c r="J28" i="8"/>
  <c r="B25" i="7"/>
  <c r="C25" i="7"/>
  <c r="D24" i="7"/>
  <c r="F11" i="4"/>
  <c r="D27" i="8"/>
  <c r="I66" i="12"/>
  <c r="E27" i="1"/>
  <c r="F27" i="1" s="1"/>
  <c r="G10" i="15"/>
  <c r="F23" i="15"/>
  <c r="G23" i="15" s="1"/>
  <c r="N14" i="13"/>
  <c r="N13" i="13"/>
  <c r="L23" i="13"/>
  <c r="O28" i="10" l="1"/>
  <c r="U9" i="8"/>
  <c r="V11" i="8"/>
  <c r="N23" i="13"/>
  <c r="C2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tc={53856500-60A0-4F26-922A-C18EECE0A0A8}</author>
    <author>tc={E768646E-9BC3-4680-8DA3-036624A5B98F}</author>
  </authors>
  <commentList>
    <comment ref="F66" authorId="0" shapeId="0" xr:uid="{53856500-60A0-4F26-922A-C18EECE0A0A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Faltante de 1 pensionado</t>
      </text>
    </comment>
    <comment ref="H66" authorId="1" shapeId="0" xr:uid="{E768646E-9BC3-4680-8DA3-036624A5B9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Faltante de $40,000
Respuesta:
    Hay que buscar la cadena de los correos anteriores para comunicar esta nueva diferencia.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</authors>
  <commentList>
    <comment ref="E6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Estas columnas se pueden eliminar</t>
        </r>
      </text>
    </comment>
  </commentList>
</comments>
</file>

<file path=xl/sharedStrings.xml><?xml version="1.0" encoding="utf-8"?>
<sst xmlns="http://schemas.openxmlformats.org/spreadsheetml/2006/main" count="822" uniqueCount="278">
  <si>
    <t>Dirección General de Jubilaciones y Pensiones a Cargo del Estado</t>
  </si>
  <si>
    <t>Mes</t>
  </si>
  <si>
    <t>Cotizantes</t>
  </si>
  <si>
    <t>% Cotizantes</t>
  </si>
  <si>
    <t>No Cotizantes</t>
  </si>
  <si>
    <t>% No Cotizantes</t>
  </si>
  <si>
    <t>Direccion General de Jubilaciones y Pensiones a Cargo del Estado</t>
  </si>
  <si>
    <t>Distribución de Cotizantes por Tipo de Empleador</t>
  </si>
  <si>
    <t>Privado</t>
  </si>
  <si>
    <t>Total</t>
  </si>
  <si>
    <t>Distribución de Aportes</t>
  </si>
  <si>
    <t>Cantidad de Aportes</t>
  </si>
  <si>
    <t>Individualización por tipo de Empleador</t>
  </si>
  <si>
    <t>DGJP</t>
  </si>
  <si>
    <t>PN</t>
  </si>
  <si>
    <t>TOTAL</t>
  </si>
  <si>
    <t>Cantidad Pensionados</t>
  </si>
  <si>
    <t>Cantidad Pensiones</t>
  </si>
  <si>
    <t>Monto</t>
  </si>
  <si>
    <t>Inclusiones</t>
  </si>
  <si>
    <t>Exclusiones</t>
  </si>
  <si>
    <t>Suspensiones</t>
  </si>
  <si>
    <t>Cantidad</t>
  </si>
  <si>
    <t>TOTAL GENERAL</t>
  </si>
  <si>
    <t>Electrónico</t>
  </si>
  <si>
    <t>Cheque</t>
  </si>
  <si>
    <t>Cantidad de Pensiones</t>
  </si>
  <si>
    <t>Cantidad  Pensiones</t>
  </si>
  <si>
    <t>Cantidad Electrónico</t>
  </si>
  <si>
    <t>Cantidad Cheque</t>
  </si>
  <si>
    <t>% Recuperado</t>
  </si>
  <si>
    <t>Restante</t>
  </si>
  <si>
    <t>Absoluto (RD$)</t>
  </si>
  <si>
    <t>Relativo</t>
  </si>
  <si>
    <t>Abril</t>
  </si>
  <si>
    <t>Mayo</t>
  </si>
  <si>
    <t>Junio</t>
  </si>
  <si>
    <t xml:space="preserve">Tipo de Pensión </t>
  </si>
  <si>
    <t xml:space="preserve">Tipo  </t>
  </si>
  <si>
    <t>Porcentaje</t>
  </si>
  <si>
    <t>PENSIÓN CIVIL</t>
  </si>
  <si>
    <t>IDSS</t>
  </si>
  <si>
    <t>GLORIAS DEL DEPORTE</t>
  </si>
  <si>
    <t>PODER LEGISLATIVO</t>
  </si>
  <si>
    <t>PODER EJECUTIVO</t>
  </si>
  <si>
    <t>PENSION POR SOBREVIVENCIA</t>
  </si>
  <si>
    <t>TOTALES:</t>
  </si>
  <si>
    <t>Cantidad 
Pensionados</t>
  </si>
  <si>
    <t xml:space="preserve">Público 
</t>
  </si>
  <si>
    <t>Cantidad 
Pensiones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</si>
  <si>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</si>
  <si>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</si>
  <si>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</si>
  <si>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</si>
  <si>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</si>
  <si>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Pensiones por Monto</t>
  </si>
  <si>
    <t>Rango</t>
  </si>
  <si>
    <t xml:space="preserve">Cantidad </t>
  </si>
  <si>
    <t>Menos de RD$5117.50</t>
  </si>
  <si>
    <t>Igual a RD$5117.51</t>
  </si>
  <si>
    <t>&gt;=100,000.00</t>
  </si>
  <si>
    <t>Pensiones por Edad</t>
  </si>
  <si>
    <t xml:space="preserve">Descripción </t>
  </si>
  <si>
    <t>Recibidas</t>
  </si>
  <si>
    <t>Procesadas</t>
  </si>
  <si>
    <t>% Eficiencia</t>
  </si>
  <si>
    <t>Aplicación Descuento 2%</t>
  </si>
  <si>
    <t>Modificación de Datos</t>
  </si>
  <si>
    <t>Pensión por Sobrevivencia Concubin@</t>
  </si>
  <si>
    <t>Pensión por Sobrevivencia Conyuge</t>
  </si>
  <si>
    <t>Reactivación</t>
  </si>
  <si>
    <t>Reembolso</t>
  </si>
  <si>
    <t>Reinclusión</t>
  </si>
  <si>
    <t>Retroactivo</t>
  </si>
  <si>
    <t>Solicitud Inclusión a Nómina</t>
  </si>
  <si>
    <t>Solicitud de Pensión</t>
  </si>
  <si>
    <t>Suspensión Descuento 2%</t>
  </si>
  <si>
    <t>Total:</t>
  </si>
  <si>
    <t>Pensión por Sobrevivencia Menor</t>
  </si>
  <si>
    <t>Reajuste de Pensión</t>
  </si>
  <si>
    <t>Julio</t>
  </si>
  <si>
    <t>Agosto</t>
  </si>
  <si>
    <t>Septiembre</t>
  </si>
  <si>
    <t>Octubre</t>
  </si>
  <si>
    <t>Noviembre</t>
  </si>
  <si>
    <t>Diciembre</t>
  </si>
  <si>
    <t>3er Trimestre</t>
  </si>
  <si>
    <t>4to Trimestre</t>
  </si>
  <si>
    <t>Solicitudes Recibidas</t>
  </si>
  <si>
    <t>Cantidad de Tramites Procesados</t>
  </si>
  <si>
    <t>% Privado</t>
  </si>
  <si>
    <t>% Público</t>
  </si>
  <si>
    <t>10,000.00 - 20,000.00</t>
  </si>
  <si>
    <t>5,117.50 - 10,000.00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</si>
  <si>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</si>
  <si>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</si>
  <si>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</si>
  <si>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</si>
  <si>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</si>
  <si>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</si>
  <si>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</si>
  <si>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</si>
  <si>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</si>
  <si>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</si>
  <si>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</si>
  <si>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</si>
  <si>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</si>
  <si>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</si>
  <si>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</si>
  <si>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</si>
  <si>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Menos 18 años</t>
  </si>
  <si>
    <t xml:space="preserve">Electrónico </t>
  </si>
  <si>
    <t>Departamento Administrativo y Financiero</t>
  </si>
  <si>
    <t>Departamento de Gestión Financiera de Pensiones</t>
  </si>
  <si>
    <t>División de Seguimiento al Sistema de Reparto</t>
  </si>
  <si>
    <t>Gestión de Servicios a Pensionados</t>
  </si>
  <si>
    <t>Dirección de Servicios y Trámite de Pensiones</t>
  </si>
  <si>
    <t>PABELLÓN DE LA FAMA</t>
  </si>
  <si>
    <t>T4</t>
  </si>
  <si>
    <t>Regalía</t>
  </si>
  <si>
    <t>Diciembre**</t>
  </si>
  <si>
    <t xml:space="preserve"> **Estos totales incluyen las nóminas adicionales de regalía de pensionados inactivos.</t>
  </si>
  <si>
    <t>2do Trimestre</t>
  </si>
  <si>
    <t xml:space="preserve">Julio </t>
  </si>
  <si>
    <t>Promedio
2do Trimestre</t>
  </si>
  <si>
    <t>Promedio
3er Trimestre</t>
  </si>
  <si>
    <t>Promedio
4to Trimestre</t>
  </si>
  <si>
    <t>T2</t>
  </si>
  <si>
    <t>T3</t>
  </si>
  <si>
    <t>Público (RD$)</t>
  </si>
  <si>
    <t>Privado (RD$)</t>
  </si>
  <si>
    <t>Total (RD$)</t>
  </si>
  <si>
    <t>Pensiones Solidarias</t>
  </si>
  <si>
    <t>Δ Absoluta</t>
  </si>
  <si>
    <t>Δ Relativa</t>
  </si>
  <si>
    <t>Pensiones</t>
  </si>
  <si>
    <t>Variaciones</t>
  </si>
  <si>
    <t>Registro de Poder</t>
  </si>
  <si>
    <t>Abril-Junio 2019</t>
  </si>
  <si>
    <t xml:space="preserve">Cantidad* </t>
  </si>
  <si>
    <t>Monto*</t>
  </si>
  <si>
    <t>Pensionados</t>
  </si>
  <si>
    <t>Ajustes Monto Pensiones</t>
  </si>
  <si>
    <t>POLICÍA NACIONAL</t>
  </si>
  <si>
    <t>PENSIÓN SOLIDARIA</t>
  </si>
  <si>
    <t>Ejecución Presupuesto Administrativo</t>
  </si>
  <si>
    <t>Ejecución Presupuesto Pensionados</t>
  </si>
  <si>
    <t>Nómina de Pensionados</t>
  </si>
  <si>
    <t>Movimientos en Nómina</t>
  </si>
  <si>
    <t>Modalidad de Pago</t>
  </si>
  <si>
    <t>Pago de Retroactivos</t>
  </si>
  <si>
    <t>Recuperación de Fondos</t>
  </si>
  <si>
    <t>Cantidad de Cotizantes por Tipo de Empleador</t>
  </si>
  <si>
    <t>Año 2021</t>
  </si>
  <si>
    <t>Estadíticas Trimestre Enero-Marzo</t>
  </si>
  <si>
    <t>Reintegro de Cheques</t>
  </si>
  <si>
    <t>Cantidad 
de Cheques</t>
  </si>
  <si>
    <t xml:space="preserve"> *Estos totales incluyen las nóminas adicionales de regalía de pensionados inactivos.</t>
  </si>
  <si>
    <t>Créditos Rechazados</t>
  </si>
  <si>
    <t xml:space="preserve">Cantidad 
</t>
  </si>
  <si>
    <t>Individualización de aportes por tipo de Empleador</t>
  </si>
  <si>
    <t>Fuente: SIJUPEN</t>
  </si>
  <si>
    <t>Pensión por Sobrevivencia Padre/Madre</t>
  </si>
  <si>
    <t>Modificación de Datos Críticos</t>
  </si>
  <si>
    <t>Sin fecha de nacimiento</t>
  </si>
  <si>
    <t>Presupuesto Programado</t>
  </si>
  <si>
    <t>Presupuesto Ejecutado</t>
  </si>
  <si>
    <t>Cantidad de Traspasos</t>
  </si>
  <si>
    <t>Recibidos (SCI a Reparto)</t>
  </si>
  <si>
    <t>Cedidos (Reparto a SCI)</t>
  </si>
  <si>
    <t>Tipo Cantidad Porcentaje Monto Porcentaje</t>
  </si>
  <si>
    <t>PENSIÓN</t>
  </si>
  <si>
    <t>CIVIL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</si>
  <si>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</si>
  <si>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</si>
  <si>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</si>
  <si>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</si>
  <si>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</si>
  <si>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</si>
  <si>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</si>
  <si>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</si>
  <si>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</si>
  <si>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</si>
  <si>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</si>
  <si>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</si>
  <si>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</si>
  <si>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</si>
  <si>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</si>
  <si>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</si>
  <si>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Cantidad*</t>
  </si>
  <si>
    <t>Menos</t>
  </si>
  <si>
    <t>de</t>
  </si>
  <si>
    <t>RD$5117.50</t>
  </si>
  <si>
    <t>Igual</t>
  </si>
  <si>
    <t>a</t>
  </si>
  <si>
    <t>RD$5117.51</t>
  </si>
  <si>
    <t>-</t>
  </si>
  <si>
    <t>con</t>
  </si>
  <si>
    <t>Nacimiento</t>
  </si>
  <si>
    <t>Cantidad 
(Var Absoluta)</t>
  </si>
  <si>
    <t>Monto
(Var Absoluta)</t>
  </si>
  <si>
    <t>Porcentaje
(Var Porcentual)</t>
  </si>
  <si>
    <t>Trimestre Abril-Junio
Al 30 de Junio 2021</t>
  </si>
  <si>
    <t>Estadíticas Trimestre Abril-Junio</t>
  </si>
  <si>
    <t>Afiliados y Cotizantes</t>
  </si>
  <si>
    <t>Enero-Abril 2021</t>
  </si>
  <si>
    <t>Abril-Junio 2020</t>
  </si>
  <si>
    <t>Ajuste de Partidas Devengadas</t>
  </si>
  <si>
    <t>Programación Total</t>
  </si>
  <si>
    <t>Programación Presupuestaria</t>
  </si>
  <si>
    <t>Programación Ordinaria (RD$)</t>
  </si>
  <si>
    <t>Ejecución Presupuestaria</t>
  </si>
  <si>
    <t xml:space="preserve"> Ejecutado</t>
  </si>
  <si>
    <t>Pensiones Civiles</t>
  </si>
  <si>
    <t>Regalia</t>
  </si>
  <si>
    <t>Año 2022</t>
  </si>
  <si>
    <t>Nóminas Autoseguro</t>
  </si>
  <si>
    <t>Nómina Mensual Discapacidad Civil</t>
  </si>
  <si>
    <t>Nómina Mensual Sobrevivencia Civil</t>
  </si>
  <si>
    <t>Nómina Mensual Sobrevivencia Policía</t>
  </si>
  <si>
    <t>Cantidad Beneficiarios</t>
  </si>
  <si>
    <t>Monto Bruto
(RD$)</t>
  </si>
  <si>
    <t>AFP
(RD$)</t>
  </si>
  <si>
    <t>SFS
(RD$)</t>
  </si>
  <si>
    <t>Monto Neto
(RD$)</t>
  </si>
  <si>
    <t>Afiliados Policia Nacional</t>
  </si>
  <si>
    <t>Fuente: EasyNómina</t>
  </si>
  <si>
    <t>Afiliados al Sistema de Reparto</t>
  </si>
  <si>
    <t>Nómina Deuda Retroactiva 
Discapacidad Civil</t>
  </si>
  <si>
    <t>Nómina Deuda Retroactiva
Sobrevivencia Civil</t>
  </si>
  <si>
    <t>Nómina Deuda Retroactiva
Sobrevivencia Policía Nacional</t>
  </si>
  <si>
    <t xml:space="preserve"> </t>
  </si>
  <si>
    <t>Nómina Mensual Discapacidad Policía Nacional</t>
  </si>
  <si>
    <t>Pensión por sobrevivencia</t>
  </si>
  <si>
    <t>Solicitud Pago Único Compensatorio</t>
  </si>
  <si>
    <t>Solicitud de Reclamación de Deuda</t>
  </si>
  <si>
    <t>Solicitud Aplicación/Suspensión de Descuento 2%</t>
  </si>
  <si>
    <t>Solicitud de Exclusión y Suspension</t>
  </si>
  <si>
    <t>Solicitud de Inclusión a Nómina</t>
  </si>
  <si>
    <t>Solicitud Re-activación/Re-inclusión Pensión</t>
  </si>
  <si>
    <t>0-18</t>
  </si>
  <si>
    <t>Estadísticas Trimestre Octubre-diciembre</t>
  </si>
  <si>
    <r>
      <t xml:space="preserve">Fuente: </t>
    </r>
    <r>
      <rPr>
        <sz val="7"/>
        <rFont val="Calibri"/>
        <family val="2"/>
        <scheme val="minor"/>
      </rPr>
      <t>SIGEF</t>
    </r>
  </si>
  <si>
    <r>
      <rPr>
        <b/>
        <sz val="8"/>
        <color rgb="FF000000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</si>
  <si>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</si>
  <si>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SIJUPEN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</si>
  <si>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División de Nómina</t>
    </r>
  </si>
  <si>
    <r>
      <rPr>
        <b/>
        <sz val="8"/>
        <rFont val="Calibri"/>
        <family val="2"/>
        <scheme val="minor"/>
      </rPr>
      <t>Nota 2</t>
    </r>
    <r>
      <rPr>
        <sz val="8"/>
        <rFont val="Calibri"/>
        <family val="2"/>
        <scheme val="minor"/>
      </rPr>
      <t>: Incluye los montos y cantidad de Pensiones Solidarias.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</si>
  <si>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</si>
  <si>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SIJUPEN.</t>
    </r>
  </si>
  <si>
    <r>
      <rPr>
        <b/>
        <sz val="8"/>
        <color rgb="FF000000"/>
        <rFont val="Calibri"/>
        <family val="2"/>
        <scheme val="minor"/>
      </rPr>
      <t>Nota: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</si>
  <si>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</t>
    </r>
  </si>
  <si>
    <t>Monto
(RD$)</t>
  </si>
  <si>
    <t>Monto Traspasado (RD$)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</si>
  <si>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SJP, Division de Atencion al Publico</t>
    </r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</si>
  <si>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SJP,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Departamento de Trámite de Pensiones</t>
    </r>
  </si>
  <si>
    <t>Estadísticas Trimestre enero-marzo</t>
  </si>
  <si>
    <t>Año 2023</t>
  </si>
  <si>
    <t>1er Trimestre</t>
  </si>
  <si>
    <t>Marzo</t>
  </si>
  <si>
    <t>Febrero</t>
  </si>
  <si>
    <t>Enero</t>
  </si>
  <si>
    <t>Promedio 1er Trimestre</t>
  </si>
  <si>
    <t>Promedio
1er Trimestre</t>
  </si>
  <si>
    <t>Estadíticas Trimestre enero-marzo</t>
  </si>
  <si>
    <t>Cantidad
 Beneficiarios</t>
  </si>
  <si>
    <r>
      <rPr>
        <b/>
        <sz val="8"/>
        <rFont val="Calibri"/>
        <family val="2"/>
        <scheme val="minor"/>
      </rPr>
      <t>Nota 2</t>
    </r>
    <r>
      <rPr>
        <sz val="8"/>
        <rFont val="Calibri"/>
        <family val="2"/>
        <scheme val="minor"/>
      </rPr>
      <t>: El monto de ajuste de partidas deventadas, corresponde a los rechazos en transferencias de las diferentes nominas (civil, policia, solidaria y adicionales)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</si>
  <si>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SIGEF, División de Presupuesto de Pensiones</t>
    </r>
  </si>
  <si>
    <t>Pensiones por Sobrevivencia</t>
  </si>
  <si>
    <t>Reactivaciones &amp; Reinclusiones</t>
  </si>
  <si>
    <t>Trimestre enero-marzo
Al 31 de marzo 2023</t>
  </si>
  <si>
    <t>Trimestre enero-marzo
Al 31 de marzo 2022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</si>
  <si>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No incluye los pensionados de la Policía Nacional.</t>
    </r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</si>
  <si>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Datos recolectados DGJP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</si>
  <si>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Data extraída de UNIPAGO, analizada por la División de Seguimiento al Sistema de Reparto</t>
    </r>
  </si>
  <si>
    <r>
      <rPr>
        <b/>
        <sz val="8"/>
        <rFont val="Calibri"/>
        <family val="2"/>
        <scheme val="minor"/>
      </rPr>
      <t>Notas:</t>
    </r>
    <r>
      <rPr>
        <sz val="8"/>
        <rFont val="Calibri"/>
        <family val="2"/>
        <scheme val="minor"/>
      </rPr>
      <t xml:space="preserve"> Para el cálculo de las variaciones de enero, se utilizó la cantidad de aportes de diciembre 2022 $32,829; para las variaciones del trimestre, el total de aportes correspondientes al Trimestre Octubre-Diciembre del mismo año $95,277. 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</si>
  <si>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Dato de Afiliados Policia Nacional en el mes de marzo corresponde a proyecciones.</t>
    </r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</si>
  <si>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 xml:space="preserve">: Se presenta la información en base a los trámites gestionados dentro del mes por las distintas divisiones del departamento de Gestión Financiera.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</si>
</sst>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333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Alignment="1">
      <alignment horizontal="center" vertical="center"/>
    </xf>
    <xf numFmtId="9" fontId="7" fillId="7" borderId="0" xfId="0" applyNumberFormat="1" applyFont="1" applyFill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9" fontId="3" fillId="10" borderId="0" xfId="0" applyNumberFormat="1" applyFont="1" applyFill="1" applyAlignment="1">
      <alignment horizontal="center" vertical="center"/>
    </xf>
    <xf numFmtId="9" fontId="7" fillId="10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/>
      <protection locked="0"/>
    </xf>
    <xf numFmtId="165" fontId="6" fillId="7" borderId="0" xfId="0" applyNumberFormat="1" applyFont="1" applyFill="1" applyAlignment="1">
      <alignment horizontal="center" vertical="center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Alignment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6" fillId="10" borderId="0" xfId="0" applyNumberFormat="1" applyFont="1" applyFill="1" applyAlignment="1">
      <alignment horizontal="left" vertical="center" wrapText="1"/>
    </xf>
    <xf numFmtId="9" fontId="2" fillId="9" borderId="0" xfId="1" applyFont="1" applyFill="1" applyAlignment="1" applyProtection="1">
      <alignment horizontal="center"/>
    </xf>
    <xf numFmtId="0" fontId="2" fillId="9" borderId="0" xfId="0" applyFont="1" applyFill="1"/>
    <xf numFmtId="3" fontId="3" fillId="0" borderId="0" xfId="0" applyNumberFormat="1" applyFont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horizontal="center" vertical="center" wrapText="1"/>
    </xf>
    <xf numFmtId="0" fontId="0" fillId="10" borderId="0" xfId="0" applyFill="1"/>
    <xf numFmtId="0" fontId="4" fillId="0" borderId="0" xfId="0" applyFont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horizontal="center"/>
    </xf>
    <xf numFmtId="165" fontId="12" fillId="10" borderId="0" xfId="2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3" fontId="8" fillId="0" borderId="0" xfId="0" applyNumberFormat="1" applyFont="1" applyAlignment="1" applyProtection="1">
      <alignment horizontal="center" vertical="top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2" fillId="7" borderId="0" xfId="2" applyNumberFormat="1" applyFont="1" applyFill="1" applyBorder="1" applyAlignment="1" applyProtection="1">
      <alignment vertical="center"/>
    </xf>
    <xf numFmtId="37" fontId="12" fillId="7" borderId="0" xfId="2" applyNumberFormat="1" applyFont="1" applyFill="1" applyBorder="1" applyAlignment="1" applyProtection="1">
      <alignment horizontal="right" vertical="center"/>
    </xf>
    <xf numFmtId="43" fontId="3" fillId="0" borderId="0" xfId="2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vertical="center"/>
    </xf>
    <xf numFmtId="37" fontId="12" fillId="10" borderId="0" xfId="2" applyNumberFormat="1" applyFont="1" applyFill="1" applyBorder="1" applyAlignment="1" applyProtection="1">
      <alignment horizontal="right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6" fillId="10" borderId="0" xfId="0" applyFont="1" applyFill="1" applyAlignment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 vertical="top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Alignment="1">
      <alignment horizontal="center" vertical="center"/>
    </xf>
    <xf numFmtId="3" fontId="17" fillId="7" borderId="0" xfId="0" applyNumberFormat="1" applyFont="1" applyFill="1" applyAlignment="1">
      <alignment horizontal="center" vertical="center"/>
    </xf>
    <xf numFmtId="165" fontId="0" fillId="12" borderId="0" xfId="0" applyNumberFormat="1" applyFill="1" applyProtection="1">
      <protection locked="0"/>
    </xf>
    <xf numFmtId="0" fontId="0" fillId="13" borderId="0" xfId="0" applyFill="1" applyProtection="1">
      <protection locked="0"/>
    </xf>
    <xf numFmtId="10" fontId="8" fillId="0" borderId="0" xfId="1" applyNumberFormat="1" applyFont="1" applyBorder="1" applyAlignment="1" applyProtection="1">
      <alignment horizontal="center" vertical="top"/>
    </xf>
    <xf numFmtId="10" fontId="8" fillId="12" borderId="0" xfId="1" applyNumberFormat="1" applyFont="1" applyFill="1" applyBorder="1" applyAlignment="1" applyProtection="1">
      <alignment horizontal="center" vertical="top"/>
    </xf>
    <xf numFmtId="10" fontId="8" fillId="0" borderId="0" xfId="1" applyNumberFormat="1" applyFont="1" applyFill="1" applyBorder="1" applyAlignment="1" applyProtection="1">
      <alignment horizontal="center" vertical="top"/>
    </xf>
    <xf numFmtId="10" fontId="0" fillId="0" borderId="0" xfId="1" applyNumberFormat="1" applyFo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5" borderId="0" xfId="0" applyFont="1" applyFill="1" applyAlignment="1">
      <alignment horizontal="left" vertical="center"/>
    </xf>
    <xf numFmtId="10" fontId="6" fillId="7" borderId="0" xfId="1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6" fillId="7" borderId="11" xfId="0" applyFont="1" applyFill="1" applyBorder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10" xfId="0" applyFont="1" applyBorder="1" applyAlignment="1">
      <alignment vertical="center"/>
    </xf>
    <xf numFmtId="16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0" fontId="0" fillId="0" borderId="5" xfId="1" applyNumberFormat="1" applyFont="1" applyBorder="1" applyAlignment="1" applyProtection="1">
      <alignment horizontal="center"/>
    </xf>
    <xf numFmtId="10" fontId="0" fillId="0" borderId="5" xfId="1" applyNumberFormat="1" applyFont="1" applyFill="1" applyBorder="1" applyAlignment="1" applyProtection="1">
      <alignment horizontal="center"/>
    </xf>
    <xf numFmtId="14" fontId="0" fillId="0" borderId="0" xfId="0" applyNumberFormat="1"/>
    <xf numFmtId="0" fontId="2" fillId="0" borderId="10" xfId="0" applyFont="1" applyBorder="1" applyAlignment="1">
      <alignment horizontal="center" vertical="center"/>
    </xf>
    <xf numFmtId="166" fontId="2" fillId="12" borderId="10" xfId="0" applyNumberFormat="1" applyFont="1" applyFill="1" applyBorder="1" applyAlignment="1">
      <alignment vertical="center"/>
    </xf>
    <xf numFmtId="9" fontId="0" fillId="12" borderId="5" xfId="1" applyFon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8" fillId="0" borderId="5" xfId="1" applyNumberFormat="1" applyFont="1" applyBorder="1" applyAlignment="1" applyProtection="1">
      <alignment horizontal="center" vertical="top"/>
    </xf>
    <xf numFmtId="10" fontId="8" fillId="0" borderId="5" xfId="1" applyNumberFormat="1" applyFont="1" applyFill="1" applyBorder="1" applyAlignment="1" applyProtection="1">
      <alignment horizontal="center" vertical="top"/>
    </xf>
    <xf numFmtId="43" fontId="0" fillId="0" borderId="0" xfId="2" applyFont="1" applyProtection="1">
      <protection locked="0"/>
    </xf>
    <xf numFmtId="165" fontId="4" fillId="0" borderId="0" xfId="2" applyNumberFormat="1" applyFont="1" applyBorder="1" applyAlignment="1" applyProtection="1">
      <alignment horizontal="center"/>
    </xf>
    <xf numFmtId="165" fontId="24" fillId="0" borderId="0" xfId="2" applyNumberFormat="1" applyFont="1" applyFill="1" applyBorder="1" applyAlignment="1" applyProtection="1">
      <alignment horizontal="center" vertical="center"/>
    </xf>
    <xf numFmtId="165" fontId="17" fillId="7" borderId="0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Alignment="1">
      <alignment vertic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Alignment="1">
      <alignment vertical="center"/>
    </xf>
    <xf numFmtId="0" fontId="27" fillId="0" borderId="0" xfId="0" applyFont="1"/>
    <xf numFmtId="0" fontId="14" fillId="0" borderId="0" xfId="0" applyFont="1"/>
    <xf numFmtId="3" fontId="0" fillId="0" borderId="0" xfId="0" applyNumberFormat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2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9" fontId="0" fillId="0" borderId="0" xfId="1" applyFont="1" applyProtection="1"/>
    <xf numFmtId="0" fontId="2" fillId="9" borderId="0" xfId="0" applyFont="1" applyFill="1" applyAlignment="1">
      <alignment horizontal="left"/>
    </xf>
    <xf numFmtId="0" fontId="20" fillId="0" borderId="0" xfId="0" applyFont="1"/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26" fillId="0" borderId="0" xfId="0" applyNumberFormat="1" applyFont="1" applyAlignment="1">
      <alignment horizont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9" fontId="2" fillId="0" borderId="0" xfId="1" applyFont="1" applyAlignment="1" applyProtection="1">
      <alignment horizontal="center"/>
    </xf>
    <xf numFmtId="0" fontId="4" fillId="5" borderId="0" xfId="0" applyFont="1" applyFill="1"/>
    <xf numFmtId="3" fontId="4" fillId="0" borderId="0" xfId="0" applyNumberFormat="1" applyFont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0" fontId="0" fillId="0" borderId="4" xfId="0" applyBorder="1"/>
    <xf numFmtId="0" fontId="1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" fontId="8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0" fontId="2" fillId="9" borderId="0" xfId="1" applyNumberFormat="1" applyFont="1" applyFill="1" applyBorder="1" applyAlignment="1" applyProtection="1">
      <alignment horizontal="center"/>
    </xf>
    <xf numFmtId="165" fontId="0" fillId="0" borderId="0" xfId="0" applyNumberFormat="1"/>
    <xf numFmtId="43" fontId="4" fillId="0" borderId="0" xfId="2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3" fontId="24" fillId="0" borderId="0" xfId="2" applyNumberFormat="1" applyFont="1" applyBorder="1" applyAlignment="1" applyProtection="1"/>
    <xf numFmtId="3" fontId="4" fillId="0" borderId="0" xfId="2" applyNumberFormat="1" applyFont="1" applyBorder="1" applyAlignment="1" applyProtection="1"/>
    <xf numFmtId="0" fontId="24" fillId="0" borderId="0" xfId="0" applyFont="1" applyAlignment="1">
      <alignment horizontal="center"/>
    </xf>
    <xf numFmtId="0" fontId="9" fillId="5" borderId="0" xfId="0" applyFont="1" applyFill="1"/>
    <xf numFmtId="3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9" fontId="4" fillId="0" borderId="0" xfId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4" fontId="0" fillId="0" borderId="0" xfId="1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165" fontId="29" fillId="0" borderId="0" xfId="2" applyNumberFormat="1" applyFont="1" applyBorder="1" applyAlignment="1" applyProtection="1">
      <protection locked="0"/>
    </xf>
    <xf numFmtId="165" fontId="29" fillId="0" borderId="0" xfId="2" applyNumberFormat="1" applyFont="1" applyBorder="1" applyAlignment="1" applyProtection="1">
      <alignment horizontal="center"/>
      <protection locked="0"/>
    </xf>
    <xf numFmtId="165" fontId="24" fillId="0" borderId="0" xfId="2" applyNumberFormat="1" applyFont="1" applyBorder="1" applyAlignment="1" applyProtection="1">
      <alignment horizontal="center"/>
      <protection locked="0"/>
    </xf>
    <xf numFmtId="0" fontId="28" fillId="14" borderId="0" xfId="0" applyFont="1" applyFill="1" applyProtection="1">
      <protection locked="0"/>
    </xf>
    <xf numFmtId="0" fontId="24" fillId="14" borderId="0" xfId="0" applyFont="1" applyFill="1" applyAlignment="1">
      <alignment horizontal="left" vertical="center" wrapText="1"/>
    </xf>
    <xf numFmtId="165" fontId="24" fillId="0" borderId="0" xfId="2" applyNumberFormat="1" applyFont="1" applyBorder="1" applyAlignment="1" applyProtection="1">
      <protection locked="0"/>
    </xf>
    <xf numFmtId="165" fontId="16" fillId="14" borderId="0" xfId="0" applyNumberFormat="1" applyFont="1" applyFill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39" fontId="4" fillId="0" borderId="0" xfId="2" applyNumberFormat="1" applyFont="1" applyBorder="1" applyAlignment="1" applyProtection="1">
      <alignment horizontal="center" vertical="center"/>
      <protection locked="0"/>
    </xf>
    <xf numFmtId="43" fontId="4" fillId="0" borderId="0" xfId="2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2" applyNumberFormat="1" applyFont="1" applyBorder="1" applyAlignment="1" applyProtection="1">
      <alignment horizontal="right"/>
      <protection locked="0"/>
    </xf>
    <xf numFmtId="165" fontId="3" fillId="0" borderId="0" xfId="2" applyNumberFormat="1" applyFont="1" applyBorder="1" applyAlignment="1" applyProtection="1">
      <alignment vertical="center"/>
    </xf>
    <xf numFmtId="3" fontId="6" fillId="7" borderId="0" xfId="0" applyNumberFormat="1" applyFont="1" applyFill="1" applyAlignment="1">
      <alignment vertical="center"/>
    </xf>
    <xf numFmtId="10" fontId="2" fillId="12" borderId="0" xfId="1" applyNumberFormat="1" applyFont="1" applyFill="1" applyAlignment="1" applyProtection="1">
      <alignment horizontal="center"/>
    </xf>
    <xf numFmtId="165" fontId="24" fillId="0" borderId="0" xfId="2" applyNumberFormat="1" applyFont="1" applyBorder="1" applyAlignment="1" applyProtection="1">
      <alignment horizontal="center" vertical="center"/>
      <protection locked="0"/>
    </xf>
    <xf numFmtId="0" fontId="3" fillId="14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horizontal="left" vertical="center"/>
    </xf>
    <xf numFmtId="165" fontId="3" fillId="14" borderId="0" xfId="0" applyNumberFormat="1" applyFont="1" applyFill="1" applyAlignment="1">
      <alignment horizontal="center" vertical="center" wrapText="1"/>
    </xf>
    <xf numFmtId="43" fontId="3" fillId="14" borderId="0" xfId="0" applyNumberFormat="1" applyFont="1" applyFill="1" applyAlignment="1">
      <alignment horizontal="center" vertical="center" wrapText="1"/>
    </xf>
    <xf numFmtId="165" fontId="12" fillId="7" borderId="0" xfId="2" applyNumberFormat="1" applyFont="1" applyFill="1" applyBorder="1" applyAlignment="1" applyProtection="1">
      <alignment horizontal="right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165" fontId="5" fillId="0" borderId="0" xfId="2" applyNumberFormat="1" applyFont="1" applyFill="1" applyBorder="1" applyAlignment="1" applyProtection="1">
      <alignment horizontal="left" vertical="center" indent="1"/>
    </xf>
    <xf numFmtId="165" fontId="5" fillId="0" borderId="0" xfId="2" applyNumberFormat="1" applyFont="1" applyFill="1" applyBorder="1" applyAlignment="1" applyProtection="1">
      <alignment horizontal="left" vertical="center"/>
    </xf>
    <xf numFmtId="165" fontId="17" fillId="7" borderId="0" xfId="2" applyNumberFormat="1" applyFont="1" applyFill="1" applyBorder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12" fillId="14" borderId="0" xfId="0" applyNumberFormat="1" applyFont="1" applyFill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0" fontId="0" fillId="14" borderId="0" xfId="0" applyFill="1"/>
    <xf numFmtId="3" fontId="4" fillId="0" borderId="0" xfId="2" applyNumberFormat="1" applyFont="1" applyBorder="1" applyAlignment="1" applyProtection="1">
      <alignment horizontal="right"/>
      <protection locked="0"/>
    </xf>
    <xf numFmtId="0" fontId="4" fillId="14" borderId="0" xfId="0" applyFont="1" applyFill="1"/>
    <xf numFmtId="0" fontId="14" fillId="14" borderId="0" xfId="0" applyFont="1" applyFill="1"/>
    <xf numFmtId="0" fontId="14" fillId="14" borderId="0" xfId="0" applyFont="1" applyFill="1" applyProtection="1">
      <protection locked="0"/>
    </xf>
    <xf numFmtId="3" fontId="4" fillId="0" borderId="0" xfId="2" applyNumberFormat="1" applyFont="1" applyBorder="1" applyAlignment="1" applyProtection="1">
      <alignment horizontal="right"/>
    </xf>
    <xf numFmtId="3" fontId="17" fillId="7" borderId="0" xfId="0" applyNumberFormat="1" applyFont="1" applyFill="1" applyAlignment="1">
      <alignment horizontal="right"/>
    </xf>
    <xf numFmtId="0" fontId="23" fillId="14" borderId="0" xfId="0" applyFont="1" applyFill="1"/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left"/>
    </xf>
    <xf numFmtId="3" fontId="12" fillId="7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1" fontId="0" fillId="0" borderId="0" xfId="0" applyNumberFormat="1" applyProtection="1">
      <protection locked="0"/>
    </xf>
    <xf numFmtId="0" fontId="30" fillId="7" borderId="0" xfId="0" applyFont="1" applyFill="1" applyAlignment="1">
      <alignment horizontal="left" vertical="center" wrapText="1"/>
    </xf>
    <xf numFmtId="3" fontId="4" fillId="0" borderId="0" xfId="0" applyNumberFormat="1" applyFont="1" applyAlignment="1" applyProtection="1">
      <alignment horizontal="center"/>
      <protection locked="0"/>
    </xf>
    <xf numFmtId="165" fontId="4" fillId="0" borderId="0" xfId="2" applyNumberFormat="1" applyFont="1" applyBorder="1" applyAlignment="1" applyProtection="1">
      <protection locked="0"/>
    </xf>
    <xf numFmtId="3" fontId="4" fillId="0" borderId="0" xfId="2" applyNumberFormat="1" applyFont="1" applyBorder="1" applyAlignment="1" applyProtection="1">
      <alignment horizontal="center"/>
      <protection locked="0"/>
    </xf>
    <xf numFmtId="37" fontId="4" fillId="0" borderId="0" xfId="2" applyNumberFormat="1" applyFont="1" applyBorder="1" applyAlignment="1" applyProtection="1">
      <alignment horizontal="right" vertical="center"/>
      <protection locked="0"/>
    </xf>
    <xf numFmtId="164" fontId="0" fillId="12" borderId="0" xfId="1" applyNumberFormat="1" applyFont="1" applyFill="1" applyAlignment="1" applyProtection="1">
      <alignment horizontal="center" vertical="center"/>
      <protection locked="0"/>
    </xf>
    <xf numFmtId="9" fontId="0" fillId="12" borderId="0" xfId="1" applyFont="1" applyFill="1" applyAlignment="1" applyProtection="1">
      <alignment horizontal="center" vertical="center"/>
      <protection locked="0"/>
    </xf>
    <xf numFmtId="3" fontId="8" fillId="0" borderId="0" xfId="0" applyNumberFormat="1" applyFont="1" applyAlignment="1">
      <alignment horizontal="center"/>
    </xf>
    <xf numFmtId="3" fontId="17" fillId="7" borderId="7" xfId="0" applyNumberFormat="1" applyFont="1" applyFill="1" applyBorder="1" applyAlignment="1">
      <alignment horizontal="center" vertical="center"/>
    </xf>
    <xf numFmtId="0" fontId="32" fillId="0" borderId="0" xfId="0" applyFont="1"/>
    <xf numFmtId="166" fontId="2" fillId="0" borderId="10" xfId="0" applyNumberFormat="1" applyFont="1" applyBorder="1" applyAlignment="1">
      <alignment vertical="center"/>
    </xf>
    <xf numFmtId="9" fontId="0" fillId="0" borderId="5" xfId="1" applyFont="1" applyFill="1" applyBorder="1" applyAlignment="1" applyProtection="1">
      <alignment horizontal="center"/>
    </xf>
    <xf numFmtId="10" fontId="0" fillId="0" borderId="0" xfId="1" applyNumberFormat="1" applyFont="1" applyBorder="1" applyAlignment="1" applyProtection="1">
      <alignment horizontal="center"/>
    </xf>
    <xf numFmtId="165" fontId="35" fillId="0" borderId="0" xfId="0" applyNumberFormat="1" applyFont="1" applyProtection="1">
      <protection locked="0"/>
    </xf>
    <xf numFmtId="3" fontId="16" fillId="7" borderId="0" xfId="0" applyNumberFormat="1" applyFont="1" applyFill="1" applyAlignment="1">
      <alignment horizontal="center" vertical="center"/>
    </xf>
    <xf numFmtId="9" fontId="16" fillId="7" borderId="0" xfId="1" applyFont="1" applyFill="1" applyBorder="1" applyAlignment="1" applyProtection="1">
      <alignment horizontal="center" vertical="center"/>
    </xf>
    <xf numFmtId="165" fontId="17" fillId="7" borderId="0" xfId="0" applyNumberFormat="1" applyFont="1" applyFill="1" applyAlignment="1">
      <alignment horizontal="center" vertical="center"/>
    </xf>
    <xf numFmtId="3" fontId="26" fillId="14" borderId="0" xfId="0" applyNumberFormat="1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9" borderId="0" xfId="0" applyFont="1" applyFill="1" applyAlignment="1">
      <alignment horizontal="left"/>
    </xf>
    <xf numFmtId="9" fontId="3" fillId="9" borderId="0" xfId="1" applyFont="1" applyFill="1" applyAlignment="1" applyProtection="1">
      <alignment horizontal="center"/>
    </xf>
    <xf numFmtId="0" fontId="3" fillId="9" borderId="0" xfId="0" applyFont="1" applyFill="1"/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" fillId="0" borderId="0" xfId="2" applyNumberFormat="1" applyFont="1" applyAlignment="1" applyProtection="1">
      <alignment horizontal="center" vertical="center"/>
      <protection locked="0"/>
    </xf>
    <xf numFmtId="165" fontId="6" fillId="7" borderId="0" xfId="2" applyNumberFormat="1" applyFont="1" applyFill="1" applyAlignment="1">
      <alignment horizontal="right" vertical="center"/>
    </xf>
    <xf numFmtId="9" fontId="16" fillId="7" borderId="0" xfId="0" applyNumberFormat="1" applyFont="1" applyFill="1" applyAlignment="1">
      <alignment horizontal="center" vertical="center"/>
    </xf>
    <xf numFmtId="9" fontId="24" fillId="0" borderId="0" xfId="1" applyFont="1" applyFill="1" applyBorder="1" applyAlignment="1" applyProtection="1">
      <alignment horizontal="center" vertical="center" wrapText="1"/>
    </xf>
    <xf numFmtId="9" fontId="4" fillId="0" borderId="0" xfId="1" applyNumberFormat="1" applyFont="1" applyFill="1" applyBorder="1" applyAlignment="1" applyProtection="1">
      <alignment horizontal="center" vertical="center" wrapText="1"/>
    </xf>
    <xf numFmtId="9" fontId="17" fillId="7" borderId="0" xfId="1" applyNumberFormat="1" applyFont="1" applyFill="1" applyBorder="1" applyAlignment="1" applyProtection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1" fontId="4" fillId="0" borderId="0" xfId="2" applyNumberFormat="1" applyFont="1" applyBorder="1" applyAlignment="1" applyProtection="1">
      <alignment horizontal="center"/>
      <protection locked="0"/>
    </xf>
    <xf numFmtId="3" fontId="17" fillId="17" borderId="7" xfId="0" applyNumberFormat="1" applyFont="1" applyFill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3" fontId="0" fillId="17" borderId="0" xfId="0" applyNumberFormat="1" applyFill="1" applyAlignment="1">
      <alignment horizontal="center"/>
    </xf>
    <xf numFmtId="164" fontId="0" fillId="17" borderId="0" xfId="1" applyNumberFormat="1" applyFont="1" applyFill="1" applyBorder="1" applyAlignment="1" applyProtection="1">
      <alignment horizontal="center"/>
    </xf>
    <xf numFmtId="9" fontId="0" fillId="17" borderId="0" xfId="1" applyFont="1" applyFill="1" applyBorder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>
      <alignment horizontal="center" vertical="center"/>
    </xf>
    <xf numFmtId="0" fontId="34" fillId="14" borderId="0" xfId="0" applyFont="1" applyFill="1" applyAlignment="1">
      <alignment horizontal="left" vertical="center" wrapText="1"/>
    </xf>
    <xf numFmtId="0" fontId="33" fillId="14" borderId="0" xfId="0" applyFont="1" applyFill="1" applyAlignment="1">
      <alignment horizontal="left" vertical="center" wrapText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1" fontId="4" fillId="0" borderId="0" xfId="2" applyNumberFormat="1" applyFont="1" applyBorder="1" applyAlignment="1" applyProtection="1">
      <alignment horizontal="center"/>
      <protection locked="0"/>
    </xf>
    <xf numFmtId="1" fontId="4" fillId="0" borderId="0" xfId="2" applyNumberFormat="1" applyFont="1" applyBorder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1" defaultTableStyle="TableStyleMedium2" defaultPivotStyle="PivotStyleLight16">
    <tableStyle name="Invisible" pivot="0" table="0" count="0" xr9:uid="{EB55D738-EBA8-42B6-A2D2-EFAB11F34F90}"/>
  </tableStyles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-2.6960416099915951E-3"/>
                  <c:y val="0.42968747988164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-1.031542386507586E-3"/>
                  <c:y val="0.18099243678652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4.2734695700544483E-3"/>
                  <c:y val="0.29165400551596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Adm.'!$B$10:$B$12</c15:sqref>
                  </c15:fullRef>
                </c:ext>
              </c:extLst>
              <c:f>'Presupuesto Adm.'!$B$10:$B$12</c:f>
              <c:numCache>
                <c:formatCode>#,##0</c:formatCode>
                <c:ptCount val="3"/>
                <c:pt idx="0">
                  <c:v>37653391.100000001</c:v>
                </c:pt>
                <c:pt idx="1">
                  <c:v>33544691.100000001</c:v>
                </c:pt>
                <c:pt idx="2">
                  <c:v>33294691.100000001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805669807399E-3"/>
                  <c:y val="0.28427588089419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5.9003210707371089E-4"/>
                  <c:y val="0.200349512137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-1.6167621514736872E-3"/>
                  <c:y val="0.26327875733595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Adm.'!$C$10:$C$12</c15:sqref>
                  </c15:fullRef>
                </c:ext>
              </c:extLst>
              <c:f>'Presupuesto Adm.'!$C$10:$C$12</c:f>
              <c:numCache>
                <c:formatCode>#,##0</c:formatCode>
                <c:ptCount val="3"/>
                <c:pt idx="0">
                  <c:v>38913006.759999998</c:v>
                </c:pt>
                <c:pt idx="1">
                  <c:v>33205275.879999999</c:v>
                </c:pt>
                <c:pt idx="2">
                  <c:v>32763928.640000001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Adm.'!$D$8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868388303077307E-2"/>
                  <c:y val="-4.2331913567689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6.7514523672266388E-2"/>
                  <c:y val="-4.088049504670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6.111546482263059E-2"/>
                  <c:y val="-0.11855343563543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'Presupuesto Adm.'!$A$20:$A$25</c15:sqref>
                  </c15:fullRef>
                </c:ext>
              </c:extLst>
              <c:f>'Presupuesto Adm.'!$A$20:$A$22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Adm.'!$D$10:$D$12</c15:sqref>
                  </c15:fullRef>
                </c:ext>
              </c:extLst>
              <c:f>'Presupuesto Adm.'!$D$10:$D$12</c:f>
              <c:numCache>
                <c:formatCode>0.0%</c:formatCode>
                <c:ptCount val="3"/>
                <c:pt idx="0">
                  <c:v>1.0334529141520004</c:v>
                </c:pt>
                <c:pt idx="1">
                  <c:v>0.9898817008334293</c:v>
                </c:pt>
                <c:pt idx="2">
                  <c:v>0.98405864591427306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Aportes!$B$8:$B$10</c:f>
              <c:numCache>
                <c:formatCode>#,##0</c:formatCode>
                <c:ptCount val="3"/>
                <c:pt idx="0">
                  <c:v>31776</c:v>
                </c:pt>
                <c:pt idx="1">
                  <c:v>30723</c:v>
                </c:pt>
                <c:pt idx="2">
                  <c:v>30595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6036422311119411E-3"/>
                  <c:y val="-3.014202351868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7-4275-A789-0D686E766E43}"/>
                </c:ext>
              </c:extLst>
            </c:dLbl>
            <c:dLbl>
              <c:idx val="1"/>
              <c:layout>
                <c:manualLayout>
                  <c:x val="-1.1232343215769955E-2"/>
                  <c:y val="-8.5860068226984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dLbl>
              <c:idx val="2"/>
              <c:layout>
                <c:manualLayout>
                  <c:x val="-3.803055620437082E-3"/>
                  <c:y val="-1.0047341172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7-4275-A789-0D686E76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Traspaso!$C$8:$C$10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6.4523378603867268E-2"/>
                  <c:y val="0.10996696244351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1"/>
              <c:layout>
                <c:manualLayout>
                  <c:x val="-5.7008464291933403E-2"/>
                  <c:y val="-7.0331388210275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7-4275-A789-0D686E766E43}"/>
                </c:ext>
              </c:extLst>
            </c:dLbl>
            <c:dLbl>
              <c:idx val="2"/>
              <c:layout>
                <c:manualLayout>
                  <c:x val="-1.9955719893408847E-2"/>
                  <c:y val="7.0985652080353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Traspaso!$B$8:$B$10</c:f>
              <c:numCache>
                <c:formatCode>General</c:formatCode>
                <c:ptCount val="3"/>
                <c:pt idx="0">
                  <c:v>162</c:v>
                </c:pt>
                <c:pt idx="1">
                  <c:v>1</c:v>
                </c:pt>
                <c:pt idx="2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4975526654232419E-3"/>
          <c:y val="0.89408638814698549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39849932491882706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Traspaso!$A$8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Traspaso!$D$8</c:f>
              <c:numCache>
                <c:formatCode>_(* #,##0_);_(* \(#,##0\);_(* "-"??_);_(@_)</c:formatCode>
                <c:ptCount val="1"/>
                <c:pt idx="0">
                  <c:v>124127103.37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6-45AA-AADE-47CA6C4D53AA}"/>
            </c:ext>
          </c:extLst>
        </c:ser>
        <c:ser>
          <c:idx val="1"/>
          <c:order val="1"/>
          <c:tx>
            <c:strRef>
              <c:f>Traspaso!$A$9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Traspaso!$D$9</c:f>
              <c:numCache>
                <c:formatCode>_(* #,##0_);_(* \(#,##0\);_(* "-"??_);_(@_)</c:formatCode>
                <c:ptCount val="1"/>
                <c:pt idx="0">
                  <c:v>4407042.8099999996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6-45AA-AADE-47CA6C4D53AA}"/>
            </c:ext>
          </c:extLst>
        </c:ser>
        <c:ser>
          <c:idx val="2"/>
          <c:order val="2"/>
          <c:tx>
            <c:strRef>
              <c:f>Traspaso!$A$10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Traspaso!$D$10</c:f>
              <c:numCache>
                <c:formatCode>_(* #,##0_);_(* \(#,##0\);_(* "-"??_);_(@_)</c:formatCode>
                <c:ptCount val="1"/>
                <c:pt idx="0">
                  <c:v>174414722.21000001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6-45AA-AADE-47CA6C4D53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Programación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92952976606527E-3"/>
                  <c:y val="0.2572575505945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-4.5983469432681785E-3"/>
                  <c:y val="0.30995374323211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-2.5333231539865853E-3"/>
                  <c:y val="0.24598478649541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Pensiones'!$A$10:$A$13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'Presupuesto de Pensiones'!$D$10:$D$13</c:f>
              <c:numCache>
                <c:formatCode>#,##0</c:formatCode>
                <c:ptCount val="3"/>
                <c:pt idx="0">
                  <c:v>3043479848.3199997</c:v>
                </c:pt>
                <c:pt idx="1">
                  <c:v>2991604052.5299993</c:v>
                </c:pt>
                <c:pt idx="2">
                  <c:v>2987602838.7799997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056453866434961E-3"/>
                  <c:y val="0.23149365673028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1.1840428009545826E-3"/>
                  <c:y val="0.2446264955879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-4.5875252105605285E-3"/>
                  <c:y val="0.2355022713597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Pensiones'!$A$10:$A$13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'Presupuesto de Pensiones'!$E$10:$E$13</c:f>
              <c:numCache>
                <c:formatCode>#,##0</c:formatCode>
                <c:ptCount val="3"/>
                <c:pt idx="0">
                  <c:v>2993540874.0500002</c:v>
                </c:pt>
                <c:pt idx="1">
                  <c:v>2942532044.6999998</c:v>
                </c:pt>
                <c:pt idx="2">
                  <c:v>2948605413.7200003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4.0998519057577787E-2"/>
                  <c:y val="-4.617488796726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-5.3040869830121101E-2"/>
                  <c:y val="-4.765357467798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1.3552070694080872E-2"/>
                  <c:y val="-2.142425811136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Pensiones'!$A$10:$A$13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'Presupuesto de Pensiones'!$F$10:$F$13</c:f>
              <c:numCache>
                <c:formatCode>0%</c:formatCode>
                <c:ptCount val="3"/>
                <c:pt idx="0">
                  <c:v>0.98359148844124411</c:v>
                </c:pt>
                <c:pt idx="1">
                  <c:v>0.98359675713485573</c:v>
                </c:pt>
                <c:pt idx="2">
                  <c:v>0.98694691792570255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  <c:max val="3045000000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  <c:majorUnit val="20000000"/>
      </c:valAx>
      <c:valAx>
        <c:axId val="1665026160"/>
        <c:scaling>
          <c:orientation val="minMax"/>
          <c:max val="1"/>
          <c:min val="0.96000000000000008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  <c:majorUnit val="1.0000000000000002E-2"/>
        <c:minorUnit val="5.000000000000001E-3"/>
      </c:valAx>
      <c:catAx>
        <c:axId val="16650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Nómina!$B$9:$B$11</c:f>
              <c:numCache>
                <c:formatCode>_(* #,##0_);_(* \(#,##0\);_(* "-"??_);_(@_)</c:formatCode>
                <c:ptCount val="3"/>
                <c:pt idx="0">
                  <c:v>131472</c:v>
                </c:pt>
                <c:pt idx="1">
                  <c:v>130586</c:v>
                </c:pt>
                <c:pt idx="2">
                  <c:v>129713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Nómina!$E$9:$E$11</c:f>
              <c:numCache>
                <c:formatCode>_(* #,##0_);_(* \(#,##0\);_(* "-"??_);_(@_)</c:formatCode>
                <c:ptCount val="3"/>
                <c:pt idx="0">
                  <c:v>28481</c:v>
                </c:pt>
                <c:pt idx="1">
                  <c:v>26212</c:v>
                </c:pt>
                <c:pt idx="2">
                  <c:v>24723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Nómina!$H$9:$H$11</c:f>
              <c:numCache>
                <c:formatCode>_(* #,##0_);_(* \(#,##0\);_(* "-"??_);_(@_)</c:formatCode>
                <c:ptCount val="3"/>
                <c:pt idx="0">
                  <c:v>24038</c:v>
                </c:pt>
                <c:pt idx="1">
                  <c:v>24014</c:v>
                </c:pt>
                <c:pt idx="2">
                  <c:v>23983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Nómina!$C$9:$C$11</c:f>
              <c:numCache>
                <c:formatCode>_(* #,##0_);_(* \(#,##0\);_(* "-"??_);_(@_)</c:formatCode>
                <c:ptCount val="3"/>
                <c:pt idx="0">
                  <c:v>143955</c:v>
                </c:pt>
                <c:pt idx="1">
                  <c:v>143067</c:v>
                </c:pt>
                <c:pt idx="2">
                  <c:v>142180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Nómina!$F$9:$F$11</c:f>
              <c:numCache>
                <c:formatCode>_(* #,##0_);_(* \(#,##0\);_(* "-"??_);_(@_)</c:formatCode>
                <c:ptCount val="3"/>
                <c:pt idx="0">
                  <c:v>28481</c:v>
                </c:pt>
                <c:pt idx="1">
                  <c:v>26212</c:v>
                </c:pt>
                <c:pt idx="2">
                  <c:v>24723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Nómina!$I$9:$I$11</c:f>
              <c:numCache>
                <c:formatCode>_(* #,##0_);_(* \(#,##0\);_(* "-"??_);_(@_)</c:formatCode>
                <c:ptCount val="3"/>
                <c:pt idx="0">
                  <c:v>24120</c:v>
                </c:pt>
                <c:pt idx="1">
                  <c:v>24094</c:v>
                </c:pt>
                <c:pt idx="2">
                  <c:v>24062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Nómina!$D$9:$D$11</c:f>
              <c:numCache>
                <c:formatCode>_(* #,##0_);_(* \(#,##0\);_(* "-"??_);_(@_)</c:formatCode>
                <c:ptCount val="3"/>
                <c:pt idx="0">
                  <c:v>2168518692.8400002</c:v>
                </c:pt>
                <c:pt idx="1">
                  <c:v>2139856652.8</c:v>
                </c:pt>
                <c:pt idx="2">
                  <c:v>2120108544.4200001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Nómina!$G$9:$G$11</c:f>
              <c:numCache>
                <c:formatCode>_(* #,##0_);_(* \(#,##0\);_(* "-"??_);_(@_)</c:formatCode>
                <c:ptCount val="3"/>
                <c:pt idx="0">
                  <c:v>170886000</c:v>
                </c:pt>
                <c:pt idx="1">
                  <c:v>157272000</c:v>
                </c:pt>
                <c:pt idx="2">
                  <c:v>148338000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Nómina!$J$9:$J$11</c:f>
              <c:numCache>
                <c:formatCode>_(* #,##0_);_(* \(#,##0\);_(* "-"??_);_(@_)</c:formatCode>
                <c:ptCount val="3"/>
                <c:pt idx="0">
                  <c:v>627907662.75</c:v>
                </c:pt>
                <c:pt idx="1">
                  <c:v>626541522.04999995</c:v>
                </c:pt>
                <c:pt idx="2">
                  <c:v>625129302.96000004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%</a:t>
            </a:r>
            <a:r>
              <a:rPr lang="es-DO" baseline="0"/>
              <a:t> Pagado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658-4F4E-82BB-972C8E917EE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58-4F4E-82BB-972C8E917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8-4F4E-82BB-972C8E917EE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Civiles </a:t>
                    </a:r>
                    <a:fld id="{0DE1874E-31FB-46E3-8446-6F5D20BDC9B8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658-4F4E-82BB-972C8E917E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Solidarias </a:t>
                    </a:r>
                    <a:fld id="{90257C1E-480E-4FB7-972A-E16E1347AC87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658-4F4E-82BB-972C8E917E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P.N. </a:t>
                    </a:r>
                    <a:fld id="{903306AE-8C9B-491D-BABF-831CD724B3F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8-4F4E-82BB-972C8E917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(Nómina!$D$28,Nómina!$G$28,Nómina!$J$28)</c:f>
              <c:numCache>
                <c:formatCode>0.00%</c:formatCode>
                <c:ptCount val="3"/>
                <c:pt idx="0">
                  <c:v>0.73179363305174039</c:v>
                </c:pt>
                <c:pt idx="1">
                  <c:v>5.4242453576618901E-2</c:v>
                </c:pt>
                <c:pt idx="2">
                  <c:v>0.21396391337164081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8-4F4E-82BB-972C8E917E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accent1"/>
                </a:solidFill>
              </a:rPr>
              <a:t>Nóminas Autoseguro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37009135504037877"/>
          <c:y val="1.3082895352795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32881884700847E-2"/>
          <c:y val="0.19432888597258677"/>
          <c:w val="0.93897689989547006"/>
          <c:h val="0.64884186351706041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explosion val="24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D226-4742-8E7F-C6FD6D3E0DFF}"/>
              </c:ext>
            </c:extLst>
          </c:dPt>
          <c:dPt>
            <c:idx val="1"/>
            <c:bubble3D val="0"/>
            <c:explosion val="43"/>
            <c:spPr>
              <a:gradFill rotWithShape="1">
                <a:gsLst>
                  <a:gs pos="0">
                    <a:schemeClr val="accent3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226-4742-8E7F-C6FD6D3E0DFF}"/>
              </c:ext>
            </c:extLst>
          </c:dPt>
          <c:dPt>
            <c:idx val="2"/>
            <c:bubble3D val="0"/>
            <c:explosion val="25"/>
            <c:spPr>
              <a:gradFill rotWithShape="1">
                <a:gsLst>
                  <a:gs pos="0">
                    <a:schemeClr val="accent3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226-4742-8E7F-C6FD6D3E0DFF}"/>
              </c:ext>
            </c:extLst>
          </c:dPt>
          <c:dPt>
            <c:idx val="3"/>
            <c:bubble3D val="0"/>
            <c:explosion val="0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D226-4742-8E7F-C6FD6D3E0DFF}"/>
              </c:ext>
            </c:extLst>
          </c:dPt>
          <c:dLbls>
            <c:dLbl>
              <c:idx val="0"/>
              <c:layout>
                <c:manualLayout>
                  <c:x val="6.8765334830695996E-2"/>
                  <c:y val="-6.13939831052556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CF9C51-46E0-4294-B195-1D220E9FC5C4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Discapacidad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947429462203"/>
                      <c:h val="6.32508415413697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226-4742-8E7F-C6FD6D3E0DFF}"/>
                </c:ext>
              </c:extLst>
            </c:dLbl>
            <c:dLbl>
              <c:idx val="1"/>
              <c:layout>
                <c:manualLayout>
                  <c:x val="4.1222659314372308E-2"/>
                  <c:y val="9.621750525817800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B0CDDD-8AED-465F-8CB0-AD4C2AA7E6E9}" type="VALUE">
                      <a:rPr lang="en-US"/>
                      <a:pPr>
                        <a:defRPr b="1"/>
                      </a:pPr>
                      <a:t>[VALOR]</a:t>
                    </a:fld>
                    <a:r>
                      <a:rPr lang="en-US"/>
                      <a:t> Discapacidad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98503430418618"/>
                      <c:h val="5.480049531005783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226-4742-8E7F-C6FD6D3E0DFF}"/>
                </c:ext>
              </c:extLst>
            </c:dLbl>
            <c:dLbl>
              <c:idx val="2"/>
              <c:layout>
                <c:manualLayout>
                  <c:x val="5.2495967179825145E-2"/>
                  <c:y val="-8.81690459458451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31C39E-1E62-4572-8675-95EF26C6BE38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Sobrevivencia</a:t>
                    </a:r>
                    <a:r>
                      <a:rPr lang="en-US" baseline="0"/>
                      <a:t>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92695237817"/>
                      <c:h val="5.902567555211994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226-4742-8E7F-C6FD6D3E0DFF}"/>
                </c:ext>
              </c:extLst>
            </c:dLbl>
            <c:dLbl>
              <c:idx val="3"/>
              <c:layout>
                <c:manualLayout>
                  <c:x val="-3.3523265897112478E-2"/>
                  <c:y val="-9.66386800119945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7D688D-08E1-4C3E-B88A-5A6FCB65F87E}" type="PERCENTAGE">
                      <a:rPr lang="en-US"/>
                      <a:pPr>
                        <a:defRPr b="1"/>
                      </a:pPr>
                      <a:t>[PORCENTAJE]</a:t>
                    </a:fld>
                    <a:r>
                      <a:rPr lang="en-US"/>
                      <a:t> Sobrevivencia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71364109388787"/>
                      <c:h val="6.74760146570257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226-4742-8E7F-C6FD6D3E0D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2540" cap="flat" cmpd="sng" algn="ctr">
                  <a:solidFill>
                    <a:srgbClr val="0070C0">
                      <a:alpha val="99000"/>
                    </a:srgb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(Autoseguro!$C$13,Autoseguro!$H$13,Autoseguro!$M$13,Autoseguro!$O$13)</c:f>
              <c:numCache>
                <c:formatCode>0.0%</c:formatCode>
                <c:ptCount val="4"/>
                <c:pt idx="0" formatCode="0%">
                  <c:v>0.11895346125424157</c:v>
                </c:pt>
                <c:pt idx="1">
                  <c:v>8.2973597750858358E-4</c:v>
                </c:pt>
                <c:pt idx="2" formatCode="0%">
                  <c:v>0.46367375408571004</c:v>
                </c:pt>
                <c:pt idx="3" formatCode="0%">
                  <c:v>0.41654304868253972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6-4742-8E7F-C6FD6D3E0DF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Movimientos!$B$9:$B$11</c:f>
              <c:numCache>
                <c:formatCode>#,##0</c:formatCode>
                <c:ptCount val="3"/>
                <c:pt idx="0">
                  <c:v>4170</c:v>
                </c:pt>
                <c:pt idx="1">
                  <c:v>2656</c:v>
                </c:pt>
                <c:pt idx="2">
                  <c:v>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Movimientos!$H$9:$H$11</c:f>
              <c:numCache>
                <c:formatCode>#,##0</c:formatCode>
                <c:ptCount val="3"/>
                <c:pt idx="0">
                  <c:v>105</c:v>
                </c:pt>
                <c:pt idx="1">
                  <c:v>56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Movimientos!$J$9:$J$11</c:f>
              <c:numCache>
                <c:formatCode>#,##0</c:formatCode>
                <c:ptCount val="3"/>
                <c:pt idx="0">
                  <c:v>1167</c:v>
                </c:pt>
                <c:pt idx="1">
                  <c:v>321</c:v>
                </c:pt>
                <c:pt idx="2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Movimientos!$L$9:$L$11</c:f>
              <c:numCache>
                <c:formatCode>#,##0</c:formatCode>
                <c:ptCount val="3"/>
                <c:pt idx="0">
                  <c:v>96</c:v>
                </c:pt>
                <c:pt idx="1">
                  <c:v>79</c:v>
                </c:pt>
                <c:pt idx="2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ser>
          <c:idx val="4"/>
          <c:order val="4"/>
          <c:tx>
            <c:v>Sobrevivencia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Movimientos!$D$9:$D$11</c:f>
              <c:numCache>
                <c:formatCode>#,##0</c:formatCode>
                <c:ptCount val="3"/>
                <c:pt idx="0">
                  <c:v>115</c:v>
                </c:pt>
                <c:pt idx="1">
                  <c:v>102</c:v>
                </c:pt>
                <c:pt idx="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A-4A3F-8F7B-3DBD08485257}"/>
            </c:ext>
          </c:extLst>
        </c:ser>
        <c:ser>
          <c:idx val="5"/>
          <c:order val="5"/>
          <c:tx>
            <c:v>Reinclusión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Movimientos!$F$9:$F$11</c:f>
              <c:numCache>
                <c:formatCode>#,##0</c:formatCode>
                <c:ptCount val="3"/>
                <c:pt idx="0">
                  <c:v>161</c:v>
                </c:pt>
                <c:pt idx="1">
                  <c:v>50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A-4A3F-8F7B-3DBD084852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1665022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54-4B02-BE0A-FF69FF46AF7C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4-4B02-BE0A-FF69FF46AF7C}"/>
                </c:ext>
              </c:extLst>
            </c:dLbl>
            <c:dLbl>
              <c:idx val="2"/>
              <c:layout>
                <c:manualLayout>
                  <c:x val="0"/>
                  <c:y val="0.238922704380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93148</c:v>
                </c:pt>
                <c:pt idx="1">
                  <c:v>92991</c:v>
                </c:pt>
                <c:pt idx="2">
                  <c:v>92991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4-4B02-BE0A-FF69FF46AF7C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54-4B02-BE0A-FF69FF46AF7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54-4B02-BE0A-FF69FF46AF7C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Cotizantes'!$C$7:$C$9</c:f>
              <c:numCache>
                <c:formatCode>#,##0</c:formatCode>
                <c:ptCount val="3"/>
                <c:pt idx="0">
                  <c:v>29747</c:v>
                </c:pt>
                <c:pt idx="1">
                  <c:v>28719</c:v>
                </c:pt>
                <c:pt idx="2">
                  <c:v>28682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54-4B02-BE0A-FF69FF46AF7C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54-4B02-BE0A-FF69FF46AF7C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Cotizantes'!$D$7:$D$9</c:f>
              <c:numCache>
                <c:formatCode>0%</c:formatCode>
                <c:ptCount val="3"/>
                <c:pt idx="0">
                  <c:v>0.31935199896938204</c:v>
                </c:pt>
                <c:pt idx="1">
                  <c:v>0.30883633900054847</c:v>
                </c:pt>
                <c:pt idx="2">
                  <c:v>0.30843845103289563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Movimientos!$C$9:$C$11</c:f>
              <c:numCache>
                <c:formatCode>#,##0</c:formatCode>
                <c:ptCount val="3"/>
                <c:pt idx="0">
                  <c:v>50828036.170000002</c:v>
                </c:pt>
                <c:pt idx="1">
                  <c:v>32971327.190000001</c:v>
                </c:pt>
                <c:pt idx="2">
                  <c:v>36676179.780000001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Movimientos!$I$9:$I$11</c:f>
              <c:numCache>
                <c:formatCode>#,##0</c:formatCode>
                <c:ptCount val="3"/>
                <c:pt idx="0">
                  <c:v>592026.82000000007</c:v>
                </c:pt>
                <c:pt idx="1">
                  <c:v>1275175.6599999999</c:v>
                </c:pt>
                <c:pt idx="2">
                  <c:v>1237774.3700000001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Movimientos!$K$9:$K$11</c:f>
              <c:numCache>
                <c:formatCode>#,##0</c:formatCode>
                <c:ptCount val="3"/>
                <c:pt idx="0">
                  <c:v>9906559.9699999988</c:v>
                </c:pt>
                <c:pt idx="1">
                  <c:v>5011235.95</c:v>
                </c:pt>
                <c:pt idx="2">
                  <c:v>16109575.07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Movimientos!$M$9:$M$11</c:f>
              <c:numCache>
                <c:formatCode>#,##0</c:formatCode>
                <c:ptCount val="3"/>
                <c:pt idx="0">
                  <c:v>1304139.3399999999</c:v>
                </c:pt>
                <c:pt idx="1">
                  <c:v>1355049.0699999998</c:v>
                </c:pt>
                <c:pt idx="2">
                  <c:v>4798913.2299999995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ser>
          <c:idx val="4"/>
          <c:order val="4"/>
          <c:tx>
            <c:v>Sobrevivencia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Movimientos!$E$9:$E$11</c:f>
              <c:numCache>
                <c:formatCode>#,##0</c:formatCode>
                <c:ptCount val="3"/>
                <c:pt idx="0">
                  <c:v>1643022.84</c:v>
                </c:pt>
                <c:pt idx="1">
                  <c:v>1345011.23</c:v>
                </c:pt>
                <c:pt idx="2">
                  <c:v>2687023.4899999998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2-4EF9-8A5D-162C790AA846}"/>
            </c:ext>
          </c:extLst>
        </c:ser>
        <c:ser>
          <c:idx val="5"/>
          <c:order val="5"/>
          <c:tx>
            <c:v>Reinclusión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Movimientos!$G$9:$G$11</c:f>
              <c:numCache>
                <c:formatCode>#,##0</c:formatCode>
                <c:ptCount val="3"/>
                <c:pt idx="0">
                  <c:v>1326574.19</c:v>
                </c:pt>
                <c:pt idx="1">
                  <c:v>869098.40999999992</c:v>
                </c:pt>
                <c:pt idx="2">
                  <c:v>956119.84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2-4EF9-8A5D-162C790AA8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5616"/>
        <c:axId val="1670809952"/>
      </c:barChart>
      <c:catAx>
        <c:axId val="166502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  <c:max val="51000000"/>
          <c:min val="500000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1665025616"/>
        <c:crosses val="autoZero"/>
        <c:crossBetween val="between"/>
        <c:majorUnit val="10"/>
      </c:valAx>
    </c:plotArea>
    <c:legend>
      <c:legendPos val="r"/>
      <c:overlay val="0"/>
      <c:txPr>
        <a:bodyPr/>
        <a:lstStyle/>
        <a:p>
          <a:pPr>
            <a:defRPr b="1"/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Pension'!$B$9:$B$17</c:f>
              <c:numCache>
                <c:formatCode>#,##0</c:formatCode>
                <c:ptCount val="9"/>
                <c:pt idx="0">
                  <c:v>31103</c:v>
                </c:pt>
                <c:pt idx="1">
                  <c:v>61220</c:v>
                </c:pt>
                <c:pt idx="2">
                  <c:v>266</c:v>
                </c:pt>
                <c:pt idx="3">
                  <c:v>154</c:v>
                </c:pt>
                <c:pt idx="4">
                  <c:v>257</c:v>
                </c:pt>
                <c:pt idx="5">
                  <c:v>20523</c:v>
                </c:pt>
                <c:pt idx="6">
                  <c:v>21421</c:v>
                </c:pt>
                <c:pt idx="7">
                  <c:v>18228</c:v>
                </c:pt>
                <c:pt idx="8">
                  <c:v>18269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Pension'!$F$9:$F$17</c:f>
              <c:numCache>
                <c:formatCode>#,##0</c:formatCode>
                <c:ptCount val="9"/>
                <c:pt idx="0">
                  <c:v>32199</c:v>
                </c:pt>
                <c:pt idx="1">
                  <c:v>64416</c:v>
                </c:pt>
                <c:pt idx="2">
                  <c:v>255</c:v>
                </c:pt>
                <c:pt idx="3">
                  <c:v>159</c:v>
                </c:pt>
                <c:pt idx="4">
                  <c:v>250</c:v>
                </c:pt>
                <c:pt idx="5">
                  <c:v>27655</c:v>
                </c:pt>
                <c:pt idx="6">
                  <c:v>24120</c:v>
                </c:pt>
                <c:pt idx="7">
                  <c:v>28481</c:v>
                </c:pt>
                <c:pt idx="8">
                  <c:v>19021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179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97366905261974"/>
          <c:y val="0.8993319686340091"/>
          <c:w val="0.64265757475713148"/>
          <c:h val="6.8292536811192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Pension'!$D$9:$D$17</c:f>
              <c:numCache>
                <c:formatCode>#,##0</c:formatCode>
                <c:ptCount val="9"/>
                <c:pt idx="0">
                  <c:v>1368632905.6900001</c:v>
                </c:pt>
                <c:pt idx="1">
                  <c:v>1883566164.0599999</c:v>
                </c:pt>
                <c:pt idx="2">
                  <c:v>13460123.25</c:v>
                </c:pt>
                <c:pt idx="3">
                  <c:v>13542287.620000001</c:v>
                </c:pt>
                <c:pt idx="4">
                  <c:v>22664903.100000001</c:v>
                </c:pt>
                <c:pt idx="5">
                  <c:v>1623729475.97</c:v>
                </c:pt>
                <c:pt idx="6">
                  <c:v>1451242238.04</c:v>
                </c:pt>
                <c:pt idx="7">
                  <c:v>320286000</c:v>
                </c:pt>
                <c:pt idx="8">
                  <c:v>665640070.26999998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Pension'!$H$9:$H$17</c:f>
              <c:numCache>
                <c:formatCode>#,##0</c:formatCode>
                <c:ptCount val="9"/>
                <c:pt idx="0">
                  <c:v>1506888435.25</c:v>
                </c:pt>
                <c:pt idx="1">
                  <c:v>1986643385.1399999</c:v>
                </c:pt>
                <c:pt idx="2">
                  <c:v>22770450</c:v>
                </c:pt>
                <c:pt idx="3">
                  <c:v>23453003.200000003</c:v>
                </c:pt>
                <c:pt idx="4">
                  <c:v>22722177.950000003</c:v>
                </c:pt>
                <c:pt idx="5">
                  <c:v>2162742545.0599999</c:v>
                </c:pt>
                <c:pt idx="6">
                  <c:v>1879578487.76</c:v>
                </c:pt>
                <c:pt idx="7">
                  <c:v>476496000</c:v>
                </c:pt>
                <c:pt idx="8">
                  <c:v>703263893.46000004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  <c:max val="22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8864"/>
        <c:crosses val="autoZero"/>
        <c:crossBetween val="between"/>
        <c:majorUnit val="30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Pension'!$B$32:$B$44</c:f>
              <c:numCache>
                <c:formatCode>#,##0</c:formatCode>
                <c:ptCount val="13"/>
                <c:pt idx="0">
                  <c:v>37</c:v>
                </c:pt>
                <c:pt idx="1">
                  <c:v>1</c:v>
                </c:pt>
                <c:pt idx="2">
                  <c:v>18248</c:v>
                </c:pt>
                <c:pt idx="3">
                  <c:v>114775</c:v>
                </c:pt>
                <c:pt idx="4">
                  <c:v>6704</c:v>
                </c:pt>
                <c:pt idx="5">
                  <c:v>3603</c:v>
                </c:pt>
                <c:pt idx="6">
                  <c:v>2002</c:v>
                </c:pt>
                <c:pt idx="7">
                  <c:v>2387</c:v>
                </c:pt>
                <c:pt idx="8">
                  <c:v>767</c:v>
                </c:pt>
                <c:pt idx="9">
                  <c:v>399</c:v>
                </c:pt>
                <c:pt idx="10">
                  <c:v>405</c:v>
                </c:pt>
                <c:pt idx="11">
                  <c:v>320</c:v>
                </c:pt>
                <c:pt idx="12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Pension'!$F$32:$F$44</c:f>
              <c:numCache>
                <c:formatCode>#,##0</c:formatCode>
                <c:ptCount val="13"/>
                <c:pt idx="0">
                  <c:v>35</c:v>
                </c:pt>
                <c:pt idx="1">
                  <c:v>0</c:v>
                </c:pt>
                <c:pt idx="2">
                  <c:v>28494</c:v>
                </c:pt>
                <c:pt idx="3">
                  <c:v>121168</c:v>
                </c:pt>
                <c:pt idx="4">
                  <c:v>8817</c:v>
                </c:pt>
                <c:pt idx="5">
                  <c:v>5116</c:v>
                </c:pt>
                <c:pt idx="6">
                  <c:v>2264</c:v>
                </c:pt>
                <c:pt idx="7">
                  <c:v>3515</c:v>
                </c:pt>
                <c:pt idx="8">
                  <c:v>974</c:v>
                </c:pt>
                <c:pt idx="9">
                  <c:v>575</c:v>
                </c:pt>
                <c:pt idx="10">
                  <c:v>614</c:v>
                </c:pt>
                <c:pt idx="11">
                  <c:v>386</c:v>
                </c:pt>
                <c:pt idx="12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  <c:max val="12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2128"/>
        <c:crosses val="autoZero"/>
        <c:crossBetween val="between"/>
        <c:majorUnit val="18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Pension'!$D$32:$D$44</c:f>
              <c:numCache>
                <c:formatCode>#,##0.00</c:formatCode>
                <c:ptCount val="13"/>
                <c:pt idx="0">
                  <c:v>515546.37</c:v>
                </c:pt>
                <c:pt idx="1">
                  <c:v>10235</c:v>
                </c:pt>
                <c:pt idx="2">
                  <c:v>320667997.75</c:v>
                </c:pt>
                <c:pt idx="3">
                  <c:v>3566111614.25</c:v>
                </c:pt>
                <c:pt idx="4">
                  <c:v>483581746.31</c:v>
                </c:pt>
                <c:pt idx="5">
                  <c:v>359234657.25999999</c:v>
                </c:pt>
                <c:pt idx="6">
                  <c:v>255220751.20000002</c:v>
                </c:pt>
                <c:pt idx="7">
                  <c:v>358526631.28999996</c:v>
                </c:pt>
                <c:pt idx="8">
                  <c:v>144852887.40000001</c:v>
                </c:pt>
                <c:pt idx="9">
                  <c:v>86041751.370000005</c:v>
                </c:pt>
                <c:pt idx="10">
                  <c:v>98152950.609999999</c:v>
                </c:pt>
                <c:pt idx="11">
                  <c:v>91831318.870000005</c:v>
                </c:pt>
                <c:pt idx="12">
                  <c:v>146773842.28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Pension'!$H$32:$H$44</c:f>
              <c:numCache>
                <c:formatCode>#,##0</c:formatCode>
                <c:ptCount val="13"/>
                <c:pt idx="0">
                  <c:v>507379.04</c:v>
                </c:pt>
                <c:pt idx="1">
                  <c:v>0</c:v>
                </c:pt>
                <c:pt idx="2">
                  <c:v>476796149.37</c:v>
                </c:pt>
                <c:pt idx="3">
                  <c:v>3757304665.5199995</c:v>
                </c:pt>
                <c:pt idx="4">
                  <c:v>610457118.84000003</c:v>
                </c:pt>
                <c:pt idx="5">
                  <c:v>505233848.44999999</c:v>
                </c:pt>
                <c:pt idx="6">
                  <c:v>287213827.44</c:v>
                </c:pt>
                <c:pt idx="7">
                  <c:v>524500184.10000002</c:v>
                </c:pt>
                <c:pt idx="8">
                  <c:v>185433663.54000002</c:v>
                </c:pt>
                <c:pt idx="9">
                  <c:v>117944175.16</c:v>
                </c:pt>
                <c:pt idx="10">
                  <c:v>142943487.50999999</c:v>
                </c:pt>
                <c:pt idx="11">
                  <c:v>105976702.34999999</c:v>
                </c:pt>
                <c:pt idx="12">
                  <c:v>190668688.74000001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65485564304461"/>
          <c:y val="0.89405975544116423"/>
          <c:w val="0.61224562554680662"/>
          <c:h val="7.8152782903344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Pension'!$A$54:$A$65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Pension'!$B$56:$B$65</c:f>
              <c:numCache>
                <c:formatCode>#,##0</c:formatCode>
                <c:ptCount val="10"/>
                <c:pt idx="0">
                  <c:v>8</c:v>
                </c:pt>
                <c:pt idx="1">
                  <c:v>72</c:v>
                </c:pt>
                <c:pt idx="2">
                  <c:v>544</c:v>
                </c:pt>
                <c:pt idx="3">
                  <c:v>2871</c:v>
                </c:pt>
                <c:pt idx="4">
                  <c:v>36619</c:v>
                </c:pt>
                <c:pt idx="5">
                  <c:v>48042</c:v>
                </c:pt>
                <c:pt idx="6">
                  <c:v>25214</c:v>
                </c:pt>
                <c:pt idx="7">
                  <c:v>5551</c:v>
                </c:pt>
                <c:pt idx="8">
                  <c:v>344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Pension'!$A$54:$A$65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Pension'!$F$56:$F$65</c:f>
              <c:numCache>
                <c:formatCode>#,##0</c:formatCode>
                <c:ptCount val="10"/>
                <c:pt idx="0">
                  <c:v>7</c:v>
                </c:pt>
                <c:pt idx="1">
                  <c:v>62</c:v>
                </c:pt>
                <c:pt idx="2">
                  <c:v>509</c:v>
                </c:pt>
                <c:pt idx="3">
                  <c:v>2694</c:v>
                </c:pt>
                <c:pt idx="4">
                  <c:v>41174</c:v>
                </c:pt>
                <c:pt idx="5">
                  <c:v>53660</c:v>
                </c:pt>
                <c:pt idx="6">
                  <c:v>27122</c:v>
                </c:pt>
                <c:pt idx="7">
                  <c:v>5833</c:v>
                </c:pt>
                <c:pt idx="8">
                  <c:v>344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0160"/>
        <c:crosses val="autoZero"/>
        <c:crossBetween val="between"/>
        <c:majorUnit val="9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Octubre-Diciembre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Pension'!$A$56:$A$65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Pension'!$D$54:$D$65</c:f>
              <c:numCache>
                <c:formatCode>#,##0.00</c:formatCode>
                <c:ptCount val="11"/>
                <c:pt idx="0">
                  <c:v>0</c:v>
                </c:pt>
                <c:pt idx="1">
                  <c:v>310922.05000000005</c:v>
                </c:pt>
                <c:pt idx="2">
                  <c:v>3961764.74</c:v>
                </c:pt>
                <c:pt idx="3">
                  <c:v>25998302.120000001</c:v>
                </c:pt>
                <c:pt idx="4">
                  <c:v>145901725.61000001</c:v>
                </c:pt>
                <c:pt idx="5">
                  <c:v>1817112746.6800003</c:v>
                </c:pt>
                <c:pt idx="6">
                  <c:v>2286397095.04</c:v>
                </c:pt>
                <c:pt idx="7">
                  <c:v>1069835090.74</c:v>
                </c:pt>
                <c:pt idx="8">
                  <c:v>227271265.56999999</c:v>
                </c:pt>
                <c:pt idx="9">
                  <c:v>13207017.41</c:v>
                </c:pt>
                <c:pt idx="10">
                  <c:v>1240000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v>Octubre-Diciembre 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Pension'!$A$56:$A$65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Pension'!$H$56:$H$65</c:f>
              <c:numCache>
                <c:formatCode>#,##0</c:formatCode>
                <c:ptCount val="10"/>
                <c:pt idx="0">
                  <c:v>320422.05000000005</c:v>
                </c:pt>
                <c:pt idx="1">
                  <c:v>3260948.91</c:v>
                </c:pt>
                <c:pt idx="2">
                  <c:v>26753881.799999997</c:v>
                </c:pt>
                <c:pt idx="3">
                  <c:v>148609329.50999999</c:v>
                </c:pt>
                <c:pt idx="4">
                  <c:v>2119135425.79</c:v>
                </c:pt>
                <c:pt idx="5">
                  <c:v>2678679043.1800003</c:v>
                </c:pt>
                <c:pt idx="6">
                  <c:v>1189345709.3499999</c:v>
                </c:pt>
                <c:pt idx="7">
                  <c:v>245786575.77000004</c:v>
                </c:pt>
                <c:pt idx="8">
                  <c:v>12956436.02</c:v>
                </c:pt>
                <c:pt idx="9">
                  <c:v>3566117.6800000006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  <c:max val="2800000000"/>
          <c:min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7232"/>
        <c:crosses val="autoZero"/>
        <c:crossBetween val="between"/>
        <c:majorUnit val="45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317598335221177"/>
          <c:y val="3.2352237248844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(Modalidad!$O$28,Modalidad!$Q$28)</c:f>
              <c:numCache>
                <c:formatCode>0.00%</c:formatCode>
                <c:ptCount val="2"/>
                <c:pt idx="0">
                  <c:v>0.99963924327283171</c:v>
                </c:pt>
                <c:pt idx="1">
                  <c:v>3.6075672716816173E-4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0597950039618"/>
          <c:y val="4.2299470680314477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086428128019865E-3"/>
                  <c:y val="0.11694067953118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88-4D3B-A92B-728D1A25D15E}"/>
                </c:ext>
              </c:extLst>
            </c:dLbl>
            <c:dLbl>
              <c:idx val="1"/>
              <c:layout>
                <c:manualLayout>
                  <c:x val="2.788471476716947E-3"/>
                  <c:y val="0.2117624891955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06459726581629E-2"/>
                      <c:h val="0.130912999023211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888-4D3B-A92B-728D1A25D15E}"/>
                </c:ext>
              </c:extLst>
            </c:dLbl>
            <c:dLbl>
              <c:idx val="2"/>
              <c:layout>
                <c:manualLayout>
                  <c:x val="-1.310969913632988E-4"/>
                  <c:y val="0.219335678095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Retroactivos!$K$9:$K$11</c:f>
              <c:numCache>
                <c:formatCode>_(* #,##0_);_(* \(#,##0\);_(* "-"??_);_(@_)</c:formatCode>
                <c:ptCount val="3"/>
                <c:pt idx="0">
                  <c:v>350</c:v>
                </c:pt>
                <c:pt idx="1">
                  <c:v>260</c:v>
                </c:pt>
                <c:pt idx="2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8-4F3E-9D80-50FAAA1EC586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72814871227103E-4"/>
                  <c:y val="0.12011908515874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88-4D3B-A92B-728D1A25D15E}"/>
                </c:ext>
              </c:extLst>
            </c:dLbl>
            <c:dLbl>
              <c:idx val="1"/>
              <c:layout>
                <c:manualLayout>
                  <c:x val="-1.4313252250930985E-3"/>
                  <c:y val="0.20236602478245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88-4D3B-A92B-728D1A25D15E}"/>
                </c:ext>
              </c:extLst>
            </c:dLbl>
            <c:dLbl>
              <c:idx val="2"/>
              <c:layout>
                <c:manualLayout>
                  <c:x val="5.3043320703023114E-4"/>
                  <c:y val="0.28331799048509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Retroactivos!$L$9:$L$11</c:f>
              <c:numCache>
                <c:formatCode>_(* #,##0_);_(* \(#,##0\);_(* "-"??_);_(@_)</c:formatCode>
                <c:ptCount val="3"/>
                <c:pt idx="0">
                  <c:v>379</c:v>
                </c:pt>
                <c:pt idx="1">
                  <c:v>279</c:v>
                </c:pt>
                <c:pt idx="2">
                  <c:v>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6B88-4F3E-9D80-50FAAA1EC586}"/>
              </c:ext>
            </c:extLst>
          </c:dPt>
          <c:dLbls>
            <c:dLbl>
              <c:idx val="0"/>
              <c:layout>
                <c:manualLayout>
                  <c:x val="-8.2359133535238424E-2"/>
                  <c:y val="-9.25415310991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88-4F3E-9D80-50FAAA1EC586}"/>
                </c:ext>
              </c:extLst>
            </c:dLbl>
            <c:dLbl>
              <c:idx val="1"/>
              <c:layout>
                <c:manualLayout>
                  <c:x val="-7.3136265981191967E-2"/>
                  <c:y val="-0.12839372676612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88-4D3B-A92B-728D1A25D15E}"/>
                </c:ext>
              </c:extLst>
            </c:dLbl>
            <c:dLbl>
              <c:idx val="2"/>
              <c:layout>
                <c:manualLayout>
                  <c:x val="-9.4132182203010256E-2"/>
                  <c:y val="-4.827946353906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88-4D3B-A92B-728D1A25D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Retroactivos!$M$9:$M$11</c:f>
              <c:numCache>
                <c:formatCode>_(* #,##0_);_(* \(#,##0\);_(* "-"??_);_(@_)</c:formatCode>
                <c:ptCount val="3"/>
                <c:pt idx="0">
                  <c:v>26228518.460000001</c:v>
                </c:pt>
                <c:pt idx="1">
                  <c:v>17600216.850000001</c:v>
                </c:pt>
                <c:pt idx="2">
                  <c:v>55029566.340000004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61211035074938"/>
          <c:y val="3.4863870221580044E-2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5C-4406-B71E-65516B4B4A9D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93148</c:v>
                </c:pt>
                <c:pt idx="1">
                  <c:v>92991</c:v>
                </c:pt>
                <c:pt idx="2">
                  <c:v>92991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C-4406-B71E-65516B4B4A9D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5C-4406-B71E-65516B4B4A9D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Cotizantes'!$E$7:$E$9</c:f>
              <c:numCache>
                <c:formatCode>#,##0</c:formatCode>
                <c:ptCount val="3"/>
                <c:pt idx="0">
                  <c:v>63401</c:v>
                </c:pt>
                <c:pt idx="1">
                  <c:v>64272</c:v>
                </c:pt>
                <c:pt idx="2">
                  <c:v>64309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450106681931728E-3"/>
                  <c:y val="-0.12161646370644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5C-4406-B71E-65516B4B4A9D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5C-4406-B71E-65516B4B4A9D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Cotizantes'!$F$7:$F$9</c:f>
              <c:numCache>
                <c:formatCode>0%</c:formatCode>
                <c:ptCount val="3"/>
                <c:pt idx="0">
                  <c:v>0.68064800103061796</c:v>
                </c:pt>
                <c:pt idx="1">
                  <c:v>0.69116366099945159</c:v>
                </c:pt>
                <c:pt idx="2">
                  <c:v>0.69156154896710431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68720852990166E-2"/>
                  <c:y val="-2.0040690556597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53-4937-ACFC-AC9F032F728F}"/>
                </c:ext>
              </c:extLst>
            </c:dLbl>
            <c:dLbl>
              <c:idx val="1"/>
              <c:layout>
                <c:manualLayout>
                  <c:x val="1.9182306332050394E-2"/>
                  <c:y val="-4.014939585169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53-4937-ACFC-AC9F032F728F}"/>
                </c:ext>
              </c:extLst>
            </c:dLbl>
            <c:dLbl>
              <c:idx val="2"/>
              <c:layout>
                <c:manualLayout>
                  <c:x val="-4.1711647931624477E-4"/>
                  <c:y val="1.0088951449305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05018275115812"/>
                      <c:h val="4.20816058575475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'Recuperación Fondos'!$C$7:$C$9</c:f>
              <c:numCache>
                <c:formatCode>#,##0</c:formatCode>
                <c:ptCount val="3"/>
                <c:pt idx="0">
                  <c:v>5510195.6499999985</c:v>
                </c:pt>
                <c:pt idx="1">
                  <c:v>12205214.080000004</c:v>
                </c:pt>
                <c:pt idx="2">
                  <c:v>1715347.62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3-4937-ACFC-AC9F032F728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4354024410601823E-2"/>
                  <c:y val="1.2011107102512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07200811714922"/>
                      <c:h val="4.58372022876609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953-4937-ACFC-AC9F032F728F}"/>
                </c:ext>
              </c:extLst>
            </c:dLbl>
            <c:dLbl>
              <c:idx val="1"/>
              <c:layout>
                <c:manualLayout>
                  <c:x val="4.004152379754003E-3"/>
                  <c:y val="1.8518638995511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53-4937-ACFC-AC9F032F728F}"/>
                </c:ext>
              </c:extLst>
            </c:dLbl>
            <c:dLbl>
              <c:idx val="2"/>
              <c:layout>
                <c:manualLayout>
                  <c:x val="-1.598692580187087E-3"/>
                  <c:y val="2.3407715828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'Recuperación Fondos'!$F$7:$F$9</c:f>
              <c:numCache>
                <c:formatCode>_(* #,##0_);_(* \(#,##0\);_(* "-"??_);_(@_)</c:formatCode>
                <c:ptCount val="3"/>
                <c:pt idx="0">
                  <c:v>3527223.9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0280994766719553"/>
                  <c:y val="-1.6511021344799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94494495773472E-2"/>
                      <c:h val="6.69247283846203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953-4937-ACFC-AC9F032F728F}"/>
                </c:ext>
              </c:extLst>
            </c:dLbl>
            <c:dLbl>
              <c:idx val="1"/>
              <c:layout>
                <c:manualLayout>
                  <c:x val="-1.6031520125687478E-2"/>
                  <c:y val="-2.08194593124006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216124612678336E-2"/>
                      <c:h val="5.5657939094280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953-4937-ACFC-AC9F032F728F}"/>
                </c:ext>
              </c:extLst>
            </c:dLbl>
            <c:dLbl>
              <c:idx val="2"/>
              <c:layout>
                <c:manualLayout>
                  <c:x val="-1.9030230582906038E-2"/>
                  <c:y val="-4.2445041134131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'Recuperación Fondos'!$G$7:$G$9</c:f>
              <c:numCache>
                <c:formatCode>0%</c:formatCode>
                <c:ptCount val="3"/>
                <c:pt idx="0">
                  <c:v>0.64012679840143261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  <c:max val="5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1672048720"/>
        <c:crosses val="autoZero"/>
        <c:crossBetween val="between"/>
        <c:majorUnit val="500000"/>
      </c:valAx>
      <c:catAx>
        <c:axId val="16720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aseline="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Servicios!$L$11:$L$22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Servicios!$M$11:$M$22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Servicios!$B$11:$B$22</c:f>
              <c:strCache>
                <c:ptCount val="12"/>
                <c:pt idx="0">
                  <c:v>Modificación de Datos</c:v>
                </c:pt>
                <c:pt idx="1">
                  <c:v>Modificación de Datos Críticos</c:v>
                </c:pt>
                <c:pt idx="2">
                  <c:v>Pensión por sobrevivencia</c:v>
                </c:pt>
                <c:pt idx="3">
                  <c:v>Reajuste de Pensión</c:v>
                </c:pt>
                <c:pt idx="4">
                  <c:v>Registro de Poder</c:v>
                </c:pt>
                <c:pt idx="5">
                  <c:v>Solicitud de Pensión</c:v>
                </c:pt>
                <c:pt idx="6">
                  <c:v>Solicitud Pago Único Compensatorio</c:v>
                </c:pt>
                <c:pt idx="7">
                  <c:v>Solicitud de Reclamación de Deuda</c:v>
                </c:pt>
                <c:pt idx="8">
                  <c:v>Solicitud Aplicación/Suspensión de Descuento 2%</c:v>
                </c:pt>
                <c:pt idx="9">
                  <c:v>Solicitud de Exclusión y Suspension</c:v>
                </c:pt>
                <c:pt idx="10">
                  <c:v>Solicitud de Inclusión a Nómina</c:v>
                </c:pt>
                <c:pt idx="11">
                  <c:v>Solicitud Re-activación/Re-inclusión Pensión</c:v>
                </c:pt>
              </c:strCache>
            </c:strRef>
          </c:cat>
          <c:val>
            <c:numRef>
              <c:f>Servicios!$N$11:$N$22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  <c:max val="1"/>
          <c:min val="0.85000000000000009"/>
        </c:scaling>
        <c:delete val="0"/>
        <c:axPos val="r"/>
        <c:numFmt formatCode="0.0%" sourceLinked="1"/>
        <c:majorTickMark val="out"/>
        <c:minorTickMark val="none"/>
        <c:tickLblPos val="nextTo"/>
        <c:crossAx val="1672042192"/>
        <c:crosses val="max"/>
        <c:crossBetween val="between"/>
        <c:majorUnit val="5.000000000000001E-2"/>
      </c:valAx>
      <c:catAx>
        <c:axId val="16720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Servicios!$L$31:$L$42</c:f>
              <c:numCache>
                <c:formatCode>#,##0</c:formatCode>
                <c:ptCount val="12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Servicios!$M$31:$M$42</c:f>
              <c:numCache>
                <c:formatCode>#,##0</c:formatCode>
                <c:ptCount val="12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Servicios!$B$31:$B$42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Servicios!$N$31:$N$42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  <c:max val="12000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672043824"/>
        <c:crosses val="autoZero"/>
        <c:crossBetween val="between"/>
        <c:majorUnit val="10"/>
      </c:valAx>
      <c:valAx>
        <c:axId val="1672046544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crossAx val="1672377216"/>
        <c:crosses val="max"/>
        <c:crossBetween val="between"/>
        <c:majorUnit val="0.2"/>
      </c:valAx>
      <c:catAx>
        <c:axId val="1672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 de Cotizantes</a:t>
            </a:r>
            <a:r>
              <a:rPr lang="es-ES" sz="1100" baseline="0">
                <a:solidFill>
                  <a:schemeClr val="accent1"/>
                </a:solidFill>
              </a:rPr>
              <a:t> y No Cotizantes</a:t>
            </a:r>
            <a:endParaRPr lang="es-ES" sz="11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EA7-43FD-B304-646A53AEE0F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EA7-43FD-B304-646A53AEE0FB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7-43FD-B304-646A53AEE0FB}"/>
                </c:ext>
              </c:extLst>
            </c:dLbl>
            <c:dLbl>
              <c:idx val="1"/>
              <c:layout>
                <c:manualLayout>
                  <c:x val="0.21927088801399824"/>
                  <c:y val="-0.226812117235345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95822397200349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EA7-43FD-B304-646A53AEE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('Afiliados y Cotizantes'!$D$6,'Afiliados y Cotizantes'!$F$6)</c:f>
              <c:strCache>
                <c:ptCount val="2"/>
                <c:pt idx="0">
                  <c:v>% Cotizantes</c:v>
                </c:pt>
                <c:pt idx="1">
                  <c:v>% No Cotizantes</c:v>
                </c:pt>
              </c:strCache>
            </c:strRef>
          </c:cat>
          <c:val>
            <c:numRef>
              <c:f>('Afiliados y Cotizantes'!$D$10,'Afiliados y Cotizantes'!$F$10)</c:f>
              <c:numCache>
                <c:formatCode>0%</c:formatCode>
                <c:ptCount val="2"/>
                <c:pt idx="0">
                  <c:v>0.31221294737219218</c:v>
                </c:pt>
                <c:pt idx="1">
                  <c:v>0.68778705262780782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A7-43FD-B304-646A53AEE0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accent1"/>
                </a:solidFill>
              </a:rPr>
              <a:t>Afiliados Policia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Cotizantes'!$G$6</c:f>
              <c:strCache>
                <c:ptCount val="1"/>
                <c:pt idx="0">
                  <c:v>Afiliados Policia Nacional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'Afiliados y Cotizantes'!$G$7:$G$9</c:f>
              <c:numCache>
                <c:formatCode>#,##0</c:formatCode>
                <c:ptCount val="3"/>
                <c:pt idx="0">
                  <c:v>54308</c:v>
                </c:pt>
                <c:pt idx="1">
                  <c:v>54187</c:v>
                </c:pt>
                <c:pt idx="2">
                  <c:v>54052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C-4C5D-AA0A-07EE66F30F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9055728"/>
        <c:axId val="509058352"/>
      </c:barChart>
      <c:catAx>
        <c:axId val="5090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9058352"/>
        <c:crosses val="autoZero"/>
        <c:auto val="1"/>
        <c:lblAlgn val="ctr"/>
        <c:lblOffset val="100"/>
        <c:noMultiLvlLbl val="0"/>
      </c:catAx>
      <c:valAx>
        <c:axId val="5090583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090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1099146605784E-3"/>
                  <c:y val="0.2168701959302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Cotizantes!$B$8:$B$10</c:f>
              <c:numCache>
                <c:formatCode>#,##0</c:formatCode>
                <c:ptCount val="3"/>
                <c:pt idx="0">
                  <c:v>24095</c:v>
                </c:pt>
                <c:pt idx="1">
                  <c:v>23262</c:v>
                </c:pt>
                <c:pt idx="2">
                  <c:v>23232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Cotizantes!$C$8:$C$10</c:f>
              <c:numCache>
                <c:formatCode>#,##0</c:formatCode>
                <c:ptCount val="3"/>
                <c:pt idx="0">
                  <c:v>5652</c:v>
                </c:pt>
                <c:pt idx="1">
                  <c:v>5457</c:v>
                </c:pt>
                <c:pt idx="2">
                  <c:v>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1100">
                <a:solidFill>
                  <a:schemeClr val="accent1"/>
                </a:solidFill>
              </a:rPr>
              <a:t>Porcentaje</a:t>
            </a:r>
            <a:r>
              <a:rPr lang="es-ES" sz="1100" baseline="0">
                <a:solidFill>
                  <a:schemeClr val="accent1"/>
                </a:solidFill>
              </a:rPr>
              <a:t> Cotizantes por Tipo de Empleador</a:t>
            </a:r>
            <a:endParaRPr lang="es-ES" sz="11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explosion val="21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E83FA5F-D0AB-48CE-96D6-99FDB27CB41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layout>
                <c:manualLayout>
                  <c:x val="0.11996024068101704"/>
                  <c:y val="0.105161649465344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Cotizantes!$E$7:$F$7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Cotizantes!$E$11:$F$11</c:f>
              <c:numCache>
                <c:formatCode>0%</c:formatCode>
                <c:ptCount val="2"/>
                <c:pt idx="0">
                  <c:v>0.80998980787706454</c:v>
                </c:pt>
                <c:pt idx="1">
                  <c:v>0.19001019212293549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Empleador!$B$7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Empleador!$B$8:$B$10</c:f>
              <c:numCache>
                <c:formatCode>#,##0</c:formatCode>
                <c:ptCount val="3"/>
                <c:pt idx="0">
                  <c:v>95864876.870000005</c:v>
                </c:pt>
                <c:pt idx="1">
                  <c:v>89437997.010000005</c:v>
                </c:pt>
                <c:pt idx="2">
                  <c:v>90726862.260000005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4-4074-BEFF-2DE0A00E38F1}"/>
            </c:ext>
          </c:extLst>
        </c:ser>
        <c:ser>
          <c:idx val="1"/>
          <c:order val="1"/>
          <c:tx>
            <c:strRef>
              <c:f>Empleador!$C$7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38-4061-9CFB-E05ABCE275A3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38-4061-9CFB-E05ABCE275A3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B-423A-9D8D-AF7B1DB20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Empleador!$C$8:$C$10</c:f>
              <c:numCache>
                <c:formatCode>#,##0</c:formatCode>
                <c:ptCount val="3"/>
                <c:pt idx="0">
                  <c:v>13072483.210000001</c:v>
                </c:pt>
                <c:pt idx="1">
                  <c:v>12196090.5</c:v>
                </c:pt>
                <c:pt idx="2">
                  <c:v>12371844.85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4-4074-BEFF-2DE0A00E38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2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/>
                </a:solidFill>
              </a:rPr>
              <a:t>Porcentaje Monto Total</a:t>
            </a:r>
            <a:r>
              <a:rPr lang="en-US" sz="900" b="1" baseline="0">
                <a:solidFill>
                  <a:schemeClr val="accent1"/>
                </a:solidFill>
              </a:rPr>
              <a:t> Individualizado por Tipo de Empleador</a:t>
            </a:r>
            <a:endParaRPr lang="en-US" sz="900" b="1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2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1E0124BD-4345-4E4A-B14D-12CA58C6987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7.4119001557259923E-2"/>
                  <c:y val="9.942868556068289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9808AA45-761B-4E95-9508-60574774486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Empleador!$B$7:$C$7</c:f>
              <c:strCache>
                <c:ptCount val="2"/>
                <c:pt idx="0">
                  <c:v>Público (RD$)</c:v>
                </c:pt>
                <c:pt idx="1">
                  <c:v>Privado (RD$)</c:v>
                </c:pt>
              </c:strCache>
            </c:strRef>
          </c:cat>
          <c:val>
            <c:numRef>
              <c:f>Empleador!$B$25:$C$25</c:f>
              <c:numCache>
                <c:formatCode>0%</c:formatCode>
                <c:ptCount val="2"/>
                <c:pt idx="0">
                  <c:v>0.88000000001275203</c:v>
                </c:pt>
                <c:pt idx="1">
                  <c:v>0.11999999998724774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chart" Target="../charts/chart19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608135</xdr:colOff>
      <xdr:row>31</xdr:row>
      <xdr:rowOff>21981</xdr:rowOff>
    </xdr:from>
    <xdr:to>
      <xdr:col>5</xdr:col>
      <xdr:colOff>186837</xdr:colOff>
      <xdr:row>47</xdr:row>
      <xdr:rowOff>80597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293585</xdr:colOff>
      <xdr:row>1</xdr:row>
      <xdr:rowOff>43961</xdr:rowOff>
    </xdr:from>
    <xdr:to>
      <xdr:col>1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3</xdr:col>
      <xdr:colOff>581756</xdr:colOff>
      <xdr:row>1</xdr:row>
      <xdr:rowOff>22900</xdr:rowOff>
    </xdr:from>
    <xdr:to>
      <xdr:col>6</xdr:col>
      <xdr:colOff>340807</xdr:colOff>
      <xdr:row>4</xdr:row>
      <xdr:rowOff>9338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352" y="213400"/>
          <a:ext cx="2246436" cy="557938"/>
        </a:xfrm>
        <a:prstGeom prst="rect">
          <a:avLst/>
        </a:prstGeom>
      </xdr:spPr>
    </xdr:pic>
    <xdr:clientData/>
  </xdr:twoCellAnchor>
  <xdr:twoCellAnchor>
    <xdr:from>
      <xdr:col>2</xdr:col>
      <xdr:colOff>139212</xdr:colOff>
      <xdr:row>29</xdr:row>
      <xdr:rowOff>80596</xdr:rowOff>
    </xdr:from>
    <xdr:to>
      <xdr:col>4</xdr:col>
      <xdr:colOff>131885</xdr:colOff>
      <xdr:row>30</xdr:row>
      <xdr:rowOff>139211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505F560-0670-97A6-6B39-0A52AC835241}"/>
            </a:ext>
          </a:extLst>
        </xdr:cNvPr>
        <xdr:cNvSpPr txBox="1"/>
      </xdr:nvSpPr>
      <xdr:spPr>
        <a:xfrm>
          <a:off x="1948962" y="3480288"/>
          <a:ext cx="1670538" cy="249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Programado vs Ejecutado</a:t>
          </a:r>
          <a:endParaRPr lang="es-DO">
            <a:solidFill>
              <a:schemeClr val="accent1"/>
            </a:solidFill>
            <a:effectLst/>
          </a:endParaRPr>
        </a:p>
        <a:p>
          <a:endParaRPr lang="es-DO" sz="1100">
            <a:solidFill>
              <a:schemeClr val="accent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143531</xdr:colOff>
      <xdr:row>30</xdr:row>
      <xdr:rowOff>99393</xdr:rowOff>
    </xdr:from>
    <xdr:to>
      <xdr:col>6</xdr:col>
      <xdr:colOff>8282</xdr:colOff>
      <xdr:row>42</xdr:row>
      <xdr:rowOff>124239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44</xdr:row>
      <xdr:rowOff>137386</xdr:rowOff>
    </xdr:from>
    <xdr:to>
      <xdr:col>6</xdr:col>
      <xdr:colOff>482622</xdr:colOff>
      <xdr:row>56</xdr:row>
      <xdr:rowOff>60187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455544</xdr:colOff>
      <xdr:row>31</xdr:row>
      <xdr:rowOff>37272</xdr:rowOff>
    </xdr:from>
    <xdr:to>
      <xdr:col>12</xdr:col>
      <xdr:colOff>463827</xdr:colOff>
      <xdr:row>43</xdr:row>
      <xdr:rowOff>49696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431109</xdr:colOff>
      <xdr:row>43</xdr:row>
      <xdr:rowOff>113089</xdr:rowOff>
    </xdr:from>
    <xdr:to>
      <xdr:col>3</xdr:col>
      <xdr:colOff>630637</xdr:colOff>
      <xdr:row>44</xdr:row>
      <xdr:rowOff>132139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983684" y="5389939"/>
          <a:ext cx="96152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6</xdr:col>
      <xdr:colOff>542299</xdr:colOff>
      <xdr:row>30</xdr:row>
      <xdr:rowOff>4141</xdr:rowOff>
    </xdr:from>
    <xdr:to>
      <xdr:col>12</xdr:col>
      <xdr:colOff>324932</xdr:colOff>
      <xdr:row>30</xdr:row>
      <xdr:rowOff>58353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81908" y="2994163"/>
          <a:ext cx="2060350" cy="542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667472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12</xdr:col>
      <xdr:colOff>34980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43</xdr:row>
      <xdr:rowOff>33337</xdr:rowOff>
    </xdr:from>
    <xdr:to>
      <xdr:col>12</xdr:col>
      <xdr:colOff>638175</xdr:colOff>
      <xdr:row>57</xdr:row>
      <xdr:rowOff>109537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2BF6BF-17CA-41F1-AC5B-7C97748AD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446942</xdr:colOff>
      <xdr:row>1</xdr:row>
      <xdr:rowOff>36635</xdr:rowOff>
    </xdr:from>
    <xdr:to>
      <xdr:col>4</xdr:col>
      <xdr:colOff>34012</xdr:colOff>
      <xdr:row>4</xdr:row>
      <xdr:rowOff>87923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942B9E2-F9D1-4E35-8E7F-20E9BC515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092" y="227135"/>
          <a:ext cx="987658" cy="622788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1</xdr:row>
      <xdr:rowOff>9525</xdr:rowOff>
    </xdr:from>
    <xdr:to>
      <xdr:col>16</xdr:col>
      <xdr:colOff>373619</xdr:colOff>
      <xdr:row>3</xdr:row>
      <xdr:rowOff>186463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F0EDD90A-9281-44E9-A447-233166329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00025"/>
          <a:ext cx="2259569" cy="557938"/>
        </a:xfrm>
        <a:prstGeom prst="rect">
          <a:avLst/>
        </a:prstGeom>
      </xdr:spPr>
    </xdr:pic>
    <xdr:clientData/>
  </xdr:twoCellAnchor>
  <xdr:twoCellAnchor>
    <xdr:from>
      <xdr:col>2</xdr:col>
      <xdr:colOff>23595</xdr:colOff>
      <xdr:row>13</xdr:row>
      <xdr:rowOff>172726</xdr:rowOff>
    </xdr:from>
    <xdr:to>
      <xdr:col>12</xdr:col>
      <xdr:colOff>33057</xdr:colOff>
      <xdr:row>30</xdr:row>
      <xdr:rowOff>74491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89759A0-5C3E-1BAD-FEDD-D69933DC8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248089</xdr:colOff>
      <xdr:row>30</xdr:row>
      <xdr:rowOff>105815</xdr:rowOff>
    </xdr:from>
    <xdr:to>
      <xdr:col>12</xdr:col>
      <xdr:colOff>886240</xdr:colOff>
      <xdr:row>45</xdr:row>
      <xdr:rowOff>99392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674077</xdr:colOff>
      <xdr:row>2</xdr:row>
      <xdr:rowOff>0</xdr:rowOff>
    </xdr:from>
    <xdr:to>
      <xdr:col>3</xdr:col>
      <xdr:colOff>770050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0</xdr:col>
      <xdr:colOff>82827</xdr:colOff>
      <xdr:row>29</xdr:row>
      <xdr:rowOff>92489</xdr:rowOff>
    </xdr:from>
    <xdr:to>
      <xdr:col>6</xdr:col>
      <xdr:colOff>182217</xdr:colOff>
      <xdr:row>44</xdr:row>
      <xdr:rowOff>99391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865187</xdr:colOff>
      <xdr:row>1</xdr:row>
      <xdr:rowOff>119062</xdr:rowOff>
    </xdr:from>
    <xdr:to>
      <xdr:col>13</xdr:col>
      <xdr:colOff>420811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  <xdr:twoCellAnchor>
    <xdr:from>
      <xdr:col>9</xdr:col>
      <xdr:colOff>438978</xdr:colOff>
      <xdr:row>28</xdr:row>
      <xdr:rowOff>182217</xdr:rowOff>
    </xdr:from>
    <xdr:to>
      <xdr:col>10</xdr:col>
      <xdr:colOff>397565</xdr:colOff>
      <xdr:row>30</xdr:row>
      <xdr:rowOff>41413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CE4496F-D8FC-CEEB-BE14-D5023697E9AC}"/>
            </a:ext>
          </a:extLst>
        </xdr:cNvPr>
        <xdr:cNvSpPr txBox="1"/>
      </xdr:nvSpPr>
      <xdr:spPr>
        <a:xfrm>
          <a:off x="8357152" y="2990021"/>
          <a:ext cx="853109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2</xdr:col>
      <xdr:colOff>434009</xdr:colOff>
      <xdr:row>28</xdr:row>
      <xdr:rowOff>36444</xdr:rowOff>
    </xdr:from>
    <xdr:to>
      <xdr:col>3</xdr:col>
      <xdr:colOff>273328</xdr:colOff>
      <xdr:row>29</xdr:row>
      <xdr:rowOff>86140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25675C8-07B1-4698-AACB-19A6DB968645}"/>
            </a:ext>
          </a:extLst>
        </xdr:cNvPr>
        <xdr:cNvSpPr txBox="1"/>
      </xdr:nvSpPr>
      <xdr:spPr>
        <a:xfrm>
          <a:off x="2090531" y="2844248"/>
          <a:ext cx="733840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MONTO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499965</xdr:colOff>
      <xdr:row>4</xdr:row>
      <xdr:rowOff>106479</xdr:rowOff>
    </xdr:from>
    <xdr:to>
      <xdr:col>17</xdr:col>
      <xdr:colOff>965642</xdr:colOff>
      <xdr:row>6</xdr:row>
      <xdr:rowOff>266099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0878" y="868479"/>
          <a:ext cx="2238155" cy="548903"/>
        </a:xfrm>
        <a:prstGeom prst="rect">
          <a:avLst/>
        </a:prstGeom>
      </xdr:spPr>
    </xdr:pic>
    <xdr:clientData/>
  </xdr:twoCellAnchor>
  <xdr:oneCellAnchor>
    <xdr:from>
      <xdr:col>1</xdr:col>
      <xdr:colOff>198783</xdr:colOff>
      <xdr:row>0</xdr:row>
      <xdr:rowOff>82827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3892" y="82827"/>
          <a:ext cx="989857" cy="622788"/>
        </a:xfrm>
        <a:prstGeom prst="rect">
          <a:avLst/>
        </a:prstGeom>
      </xdr:spPr>
    </xdr:pic>
    <xdr:clientData/>
  </xdr:oneCellAnchor>
  <xdr:twoCellAnchor>
    <xdr:from>
      <xdr:col>14</xdr:col>
      <xdr:colOff>11538</xdr:colOff>
      <xdr:row>6</xdr:row>
      <xdr:rowOff>349233</xdr:rowOff>
    </xdr:from>
    <xdr:to>
      <xdr:col>18</xdr:col>
      <xdr:colOff>932414</xdr:colOff>
      <xdr:row>21</xdr:row>
      <xdr:rowOff>95044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637008</xdr:colOff>
      <xdr:row>6</xdr:row>
      <xdr:rowOff>375728</xdr:rowOff>
    </xdr:from>
    <xdr:to>
      <xdr:col>24</xdr:col>
      <xdr:colOff>221371</xdr:colOff>
      <xdr:row>21</xdr:row>
      <xdr:rowOff>115352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752257</xdr:colOff>
      <xdr:row>30</xdr:row>
      <xdr:rowOff>234350</xdr:rowOff>
    </xdr:from>
    <xdr:to>
      <xdr:col>19</xdr:col>
      <xdr:colOff>295252</xdr:colOff>
      <xdr:row>45</xdr:row>
      <xdr:rowOff>108845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840440</xdr:colOff>
      <xdr:row>30</xdr:row>
      <xdr:rowOff>526189</xdr:rowOff>
    </xdr:from>
    <xdr:to>
      <xdr:col>26</xdr:col>
      <xdr:colOff>78440</xdr:colOff>
      <xdr:row>45</xdr:row>
      <xdr:rowOff>22606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32644</xdr:colOff>
      <xdr:row>50</xdr:row>
      <xdr:rowOff>169062</xdr:rowOff>
    </xdr:from>
    <xdr:to>
      <xdr:col>18</xdr:col>
      <xdr:colOff>965169</xdr:colOff>
      <xdr:row>66</xdr:row>
      <xdr:rowOff>2143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165562</xdr:colOff>
      <xdr:row>51</xdr:row>
      <xdr:rowOff>43432</xdr:rowOff>
    </xdr:from>
    <xdr:to>
      <xdr:col>25</xdr:col>
      <xdr:colOff>221591</xdr:colOff>
      <xdr:row>66</xdr:row>
      <xdr:rowOff>78219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744862</xdr:colOff>
      <xdr:row>4</xdr:row>
      <xdr:rowOff>170527</xdr:rowOff>
    </xdr:from>
    <xdr:to>
      <xdr:col>22</xdr:col>
      <xdr:colOff>897569</xdr:colOff>
      <xdr:row>6</xdr:row>
      <xdr:rowOff>330147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7862" y="932527"/>
          <a:ext cx="2231642" cy="548903"/>
        </a:xfrm>
        <a:prstGeom prst="rect">
          <a:avLst/>
        </a:prstGeom>
      </xdr:spPr>
    </xdr:pic>
    <xdr:clientData/>
  </xdr:twoCellAnchor>
  <xdr:twoCellAnchor editAs="oneCell">
    <xdr:from>
      <xdr:col>8</xdr:col>
      <xdr:colOff>530173</xdr:colOff>
      <xdr:row>0</xdr:row>
      <xdr:rowOff>0</xdr:rowOff>
    </xdr:from>
    <xdr:to>
      <xdr:col>11</xdr:col>
      <xdr:colOff>480379</xdr:colOff>
      <xdr:row>2</xdr:row>
      <xdr:rowOff>170826</xdr:rowOff>
    </xdr:to>
    <xdr:pic>
      <xdr:nvPicPr>
        <xdr:cNvPr id="13" name="Picture 10">
          <a:extLst>
            <a:ext uri="{FF2B5EF4-FFF2-40B4-BE49-F238E27FC236}">
              <a16:creationId xmlns:a16="http://schemas.microsoft.com/office/drawing/2014/main" id="{25D078B7-007D-43F3-B3A7-90E4A374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055" y="0"/>
          <a:ext cx="2236206" cy="5518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520935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4</xdr:col>
      <xdr:colOff>325904</xdr:colOff>
      <xdr:row>29</xdr:row>
      <xdr:rowOff>169208</xdr:rowOff>
    </xdr:from>
    <xdr:to>
      <xdr:col>9</xdr:col>
      <xdr:colOff>419660</xdr:colOff>
      <xdr:row>45</xdr:row>
      <xdr:rowOff>100291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14</xdr:col>
      <xdr:colOff>474786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100954</xdr:colOff>
      <xdr:row>30</xdr:row>
      <xdr:rowOff>171252</xdr:rowOff>
    </xdr:from>
    <xdr:to>
      <xdr:col>11</xdr:col>
      <xdr:colOff>78441</xdr:colOff>
      <xdr:row>45</xdr:row>
      <xdr:rowOff>145675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17845</xdr:colOff>
      <xdr:row>28</xdr:row>
      <xdr:rowOff>146415</xdr:rowOff>
    </xdr:from>
    <xdr:to>
      <xdr:col>9</xdr:col>
      <xdr:colOff>484621</xdr:colOff>
      <xdr:row>30</xdr:row>
      <xdr:rowOff>29184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508227" y="2936680"/>
          <a:ext cx="3750100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372484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223631</xdr:colOff>
      <xdr:row>0</xdr:row>
      <xdr:rowOff>157370</xdr:rowOff>
    </xdr:from>
    <xdr:to>
      <xdr:col>12</xdr:col>
      <xdr:colOff>104652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24668</xdr:colOff>
      <xdr:row>36</xdr:row>
      <xdr:rowOff>98668</xdr:rowOff>
    </xdr:from>
    <xdr:to>
      <xdr:col>5</xdr:col>
      <xdr:colOff>503603</xdr:colOff>
      <xdr:row>54</xdr:row>
      <xdr:rowOff>51288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180245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  <xdr:twoCellAnchor>
    <xdr:from>
      <xdr:col>1</xdr:col>
      <xdr:colOff>836544</xdr:colOff>
      <xdr:row>34</xdr:row>
      <xdr:rowOff>107675</xdr:rowOff>
    </xdr:from>
    <xdr:to>
      <xdr:col>5</xdr:col>
      <xdr:colOff>91109</xdr:colOff>
      <xdr:row>36</xdr:row>
      <xdr:rowOff>182218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3CF2A34-922B-238A-7CE5-F0C850928E51}"/>
            </a:ext>
          </a:extLst>
        </xdr:cNvPr>
        <xdr:cNvSpPr txBox="1"/>
      </xdr:nvSpPr>
      <xdr:spPr>
        <a:xfrm>
          <a:off x="1714501" y="2658718"/>
          <a:ext cx="2766391" cy="4555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Recuperación de Fondos</a:t>
          </a:r>
          <a:endParaRPr lang="es-DO">
            <a:solidFill>
              <a:schemeClr val="accent1"/>
            </a:solidFill>
            <a:effectLst/>
          </a:endParaRPr>
        </a:p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Monto solicitado / Total Recuperado</a:t>
          </a:r>
          <a:endParaRPr lang="es-DO">
            <a:solidFill>
              <a:schemeClr val="accent1"/>
            </a:solidFill>
            <a:effectLst/>
          </a:endParaRPr>
        </a:p>
        <a:p>
          <a:pPr algn="ctr"/>
          <a:endParaRPr lang="es-DO" sz="1100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88058</xdr:colOff>
      <xdr:row>27</xdr:row>
      <xdr:rowOff>36566</xdr:rowOff>
    </xdr:from>
    <xdr:to>
      <xdr:col>5</xdr:col>
      <xdr:colOff>175314</xdr:colOff>
      <xdr:row>38</xdr:row>
      <xdr:rowOff>170649</xdr:rowOff>
    </xdr:to>
    <xdr:graphicFrame macro="">
      <xdr:nvGraphicFramePr>
        <xdr:cNvPr id="2" name="10 Gráfico">
          <a:extLst>
            <a:ext uri="{FF2B5EF4-FFF2-40B4-BE49-F238E27FC236}">
              <a16:creationId xmlns:a16="http://schemas.microsoft.com/office/drawing/2014/main" id="{7412F171-EEEB-49E2-966D-2F1CACD4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266242</xdr:colOff>
      <xdr:row>25</xdr:row>
      <xdr:rowOff>4587</xdr:rowOff>
    </xdr:from>
    <xdr:to>
      <xdr:col>9</xdr:col>
      <xdr:colOff>612806</xdr:colOff>
      <xdr:row>26</xdr:row>
      <xdr:rowOff>80787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641605F-E6E2-484F-A7BE-C823C39B7978}"/>
            </a:ext>
          </a:extLst>
        </xdr:cNvPr>
        <xdr:cNvSpPr txBox="1"/>
      </xdr:nvSpPr>
      <xdr:spPr>
        <a:xfrm>
          <a:off x="6389456" y="283487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oneCellAnchor>
    <xdr:from>
      <xdr:col>0</xdr:col>
      <xdr:colOff>270708</xdr:colOff>
      <xdr:row>1</xdr:row>
      <xdr:rowOff>65942</xdr:rowOff>
    </xdr:from>
    <xdr:ext cx="871814" cy="549520"/>
    <xdr:pic>
      <xdr:nvPicPr>
        <xdr:cNvPr id="5" name="Picture 8">
          <a:extLst>
            <a:ext uri="{FF2B5EF4-FFF2-40B4-BE49-F238E27FC236}">
              <a16:creationId xmlns:a16="http://schemas.microsoft.com/office/drawing/2014/main" id="{4DD5A5D0-8A9D-405C-BF51-D9919A66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708" y="256442"/>
          <a:ext cx="871814" cy="549520"/>
        </a:xfrm>
        <a:prstGeom prst="rect">
          <a:avLst/>
        </a:prstGeom>
      </xdr:spPr>
    </xdr:pic>
    <xdr:clientData/>
  </xdr:oneCellAnchor>
  <xdr:twoCellAnchor>
    <xdr:from>
      <xdr:col>5</xdr:col>
      <xdr:colOff>414854</xdr:colOff>
      <xdr:row>27</xdr:row>
      <xdr:rowOff>100407</xdr:rowOff>
    </xdr:from>
    <xdr:to>
      <xdr:col>11</xdr:col>
      <xdr:colOff>217865</xdr:colOff>
      <xdr:row>39</xdr:row>
      <xdr:rowOff>38757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3C96AE7C-3C81-42F8-9061-2945E252F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717560</xdr:colOff>
      <xdr:row>40</xdr:row>
      <xdr:rowOff>143770</xdr:rowOff>
    </xdr:from>
    <xdr:to>
      <xdr:col>11</xdr:col>
      <xdr:colOff>173275</xdr:colOff>
      <xdr:row>55</xdr:row>
      <xdr:rowOff>29470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918E741-4A5F-4509-AAD0-034771F70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769328</xdr:colOff>
      <xdr:row>1</xdr:row>
      <xdr:rowOff>14654</xdr:rowOff>
    </xdr:from>
    <xdr:ext cx="2232100" cy="557938"/>
    <xdr:pic>
      <xdr:nvPicPr>
        <xdr:cNvPr id="8" name="Picture 9">
          <a:extLst>
            <a:ext uri="{FF2B5EF4-FFF2-40B4-BE49-F238E27FC236}">
              <a16:creationId xmlns:a16="http://schemas.microsoft.com/office/drawing/2014/main" id="{F8AF9267-88C4-44C4-A567-EB0184EB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803" y="205154"/>
          <a:ext cx="2232100" cy="557938"/>
        </a:xfrm>
        <a:prstGeom prst="rect">
          <a:avLst/>
        </a:prstGeom>
      </xdr:spPr>
    </xdr:pic>
    <xdr:clientData/>
  </xdr:oneCellAnchor>
  <xdr:twoCellAnchor>
    <xdr:from>
      <xdr:col>1</xdr:col>
      <xdr:colOff>742950</xdr:colOff>
      <xdr:row>25</xdr:row>
      <xdr:rowOff>81062</xdr:rowOff>
    </xdr:from>
    <xdr:to>
      <xdr:col>3</xdr:col>
      <xdr:colOff>735624</xdr:colOff>
      <xdr:row>26</xdr:row>
      <xdr:rowOff>157262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53C8BA23-7508-4CB1-81D8-368BB9F6EE14}"/>
            </a:ext>
          </a:extLst>
        </xdr:cNvPr>
        <xdr:cNvSpPr txBox="1"/>
      </xdr:nvSpPr>
      <xdr:spPr>
        <a:xfrm>
          <a:off x="1552575" y="2757587"/>
          <a:ext cx="163097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0</xdr:col>
      <xdr:colOff>291351</xdr:colOff>
      <xdr:row>40</xdr:row>
      <xdr:rowOff>145675</xdr:rowOff>
    </xdr:from>
    <xdr:to>
      <xdr:col>5</xdr:col>
      <xdr:colOff>717175</xdr:colOff>
      <xdr:row>55</xdr:row>
      <xdr:rowOff>32496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B5FE624-4100-C68A-BE51-0D04822C9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180981</xdr:colOff>
      <xdr:row>5</xdr:row>
      <xdr:rowOff>130181</xdr:rowOff>
    </xdr:from>
    <xdr:to>
      <xdr:col>22</xdr:col>
      <xdr:colOff>333375</xdr:colOff>
      <xdr:row>27</xdr:row>
      <xdr:rowOff>152400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88900</xdr:colOff>
      <xdr:row>30</xdr:row>
      <xdr:rowOff>111125</xdr:rowOff>
    </xdr:from>
    <xdr:to>
      <xdr:col>22</xdr:col>
      <xdr:colOff>241294</xdr:colOff>
      <xdr:row>51</xdr:row>
      <xdr:rowOff>149219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2</xdr:row>
      <xdr:rowOff>133350</xdr:rowOff>
    </xdr:from>
    <xdr:to>
      <xdr:col>14</xdr:col>
      <xdr:colOff>379536</xdr:colOff>
      <xdr:row>5</xdr:row>
      <xdr:rowOff>119788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14350"/>
          <a:ext cx="2246436" cy="55793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27</xdr:row>
      <xdr:rowOff>64160</xdr:rowOff>
    </xdr:from>
    <xdr:to>
      <xdr:col>5</xdr:col>
      <xdr:colOff>516973</xdr:colOff>
      <xdr:row>39</xdr:row>
      <xdr:rowOff>120575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141832</xdr:colOff>
      <xdr:row>1</xdr:row>
      <xdr:rowOff>87924</xdr:rowOff>
    </xdr:from>
    <xdr:to>
      <xdr:col>1</xdr:col>
      <xdr:colOff>206650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5</xdr:col>
      <xdr:colOff>377336</xdr:colOff>
      <xdr:row>26</xdr:row>
      <xdr:rowOff>12212</xdr:rowOff>
    </xdr:from>
    <xdr:to>
      <xdr:col>10</xdr:col>
      <xdr:colOff>388327</xdr:colOff>
      <xdr:row>37</xdr:row>
      <xdr:rowOff>151424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534866</xdr:colOff>
      <xdr:row>1</xdr:row>
      <xdr:rowOff>58616</xdr:rowOff>
    </xdr:from>
    <xdr:to>
      <xdr:col>6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  <xdr:oneCellAnchor>
    <xdr:from>
      <xdr:col>0</xdr:col>
      <xdr:colOff>720587</xdr:colOff>
      <xdr:row>25</xdr:row>
      <xdr:rowOff>107674</xdr:rowOff>
    </xdr:from>
    <xdr:ext cx="2898914" cy="29817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8D513B-E3E0-7594-8479-50134A15EED6}"/>
            </a:ext>
          </a:extLst>
        </xdr:cNvPr>
        <xdr:cNvSpPr txBox="1"/>
      </xdr:nvSpPr>
      <xdr:spPr>
        <a:xfrm>
          <a:off x="720587" y="2915478"/>
          <a:ext cx="2898914" cy="29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es-E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Cantidad de cotizantes por tipo de empleador</a:t>
          </a:r>
          <a:endParaRPr lang="es-DO">
            <a:solidFill>
              <a:srgbClr val="0070C0"/>
            </a:solidFill>
            <a:effectLst/>
          </a:endParaRPr>
        </a:p>
        <a:p>
          <a:endParaRPr lang="es-DO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75711</xdr:colOff>
      <xdr:row>27</xdr:row>
      <xdr:rowOff>48600</xdr:rowOff>
    </xdr:from>
    <xdr:to>
      <xdr:col>4</xdr:col>
      <xdr:colOff>451827</xdr:colOff>
      <xdr:row>37</xdr:row>
      <xdr:rowOff>42740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80597</xdr:colOff>
      <xdr:row>2</xdr:row>
      <xdr:rowOff>36634</xdr:rowOff>
    </xdr:from>
    <xdr:to>
      <xdr:col>0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4</xdr:col>
      <xdr:colOff>594181</xdr:colOff>
      <xdr:row>26</xdr:row>
      <xdr:rowOff>12519</xdr:rowOff>
    </xdr:from>
    <xdr:to>
      <xdr:col>10</xdr:col>
      <xdr:colOff>8028</xdr:colOff>
      <xdr:row>37</xdr:row>
      <xdr:rowOff>79926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1215029</xdr:colOff>
      <xdr:row>1</xdr:row>
      <xdr:rowOff>171554</xdr:rowOff>
    </xdr:from>
    <xdr:to>
      <xdr:col>4</xdr:col>
      <xdr:colOff>217035</xdr:colOff>
      <xdr:row>4</xdr:row>
      <xdr:rowOff>10226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181" y="362054"/>
          <a:ext cx="1652441" cy="410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189851</xdr:rowOff>
    </xdr:from>
    <xdr:to>
      <xdr:col>2</xdr:col>
      <xdr:colOff>1006896</xdr:colOff>
      <xdr:row>39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3</xdr:row>
      <xdr:rowOff>184265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27</xdr:row>
      <xdr:rowOff>7083</xdr:rowOff>
    </xdr:from>
    <xdr:to>
      <xdr:col>2</xdr:col>
      <xdr:colOff>1044575</xdr:colOff>
      <xdr:row>40</xdr:row>
      <xdr:rowOff>58615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21981</xdr:colOff>
      <xdr:row>2</xdr:row>
      <xdr:rowOff>36634</xdr:rowOff>
    </xdr:from>
    <xdr:to>
      <xdr:col>0</xdr:col>
      <xdr:colOff>600808</xdr:colOff>
      <xdr:row>4</xdr:row>
      <xdr:rowOff>19814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1" y="417634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205155</xdr:colOff>
      <xdr:row>1</xdr:row>
      <xdr:rowOff>102577</xdr:rowOff>
    </xdr:from>
    <xdr:to>
      <xdr:col>3</xdr:col>
      <xdr:colOff>486506</xdr:colOff>
      <xdr:row>3</xdr:row>
      <xdr:rowOff>131749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732" y="293077"/>
          <a:ext cx="1651486" cy="410172"/>
        </a:xfrm>
        <a:prstGeom prst="rect">
          <a:avLst/>
        </a:prstGeom>
      </xdr:spPr>
    </xdr:pic>
    <xdr:clientData/>
  </xdr:twoCellAnchor>
  <xdr:twoCellAnchor>
    <xdr:from>
      <xdr:col>3</xdr:col>
      <xdr:colOff>600075</xdr:colOff>
      <xdr:row>27</xdr:row>
      <xdr:rowOff>71437</xdr:rowOff>
    </xdr:from>
    <xdr:to>
      <xdr:col>9</xdr:col>
      <xdr:colOff>57150</xdr:colOff>
      <xdr:row>40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BBF88E-78EE-4615-A07B-EE21FD664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163767</xdr:colOff>
      <xdr:row>34</xdr:row>
      <xdr:rowOff>148168</xdr:rowOff>
    </xdr:from>
    <xdr:to>
      <xdr:col>6</xdr:col>
      <xdr:colOff>707619</xdr:colOff>
      <xdr:row>55</xdr:row>
      <xdr:rowOff>80432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301325</xdr:colOff>
      <xdr:row>1</xdr:row>
      <xdr:rowOff>109903</xdr:rowOff>
    </xdr:from>
    <xdr:to>
      <xdr:col>1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5</xdr:col>
      <xdr:colOff>696058</xdr:colOff>
      <xdr:row>1</xdr:row>
      <xdr:rowOff>7326</xdr:rowOff>
    </xdr:from>
    <xdr:to>
      <xdr:col>8</xdr:col>
      <xdr:colOff>128818</xdr:colOff>
      <xdr:row>3</xdr:row>
      <xdr:rowOff>184264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  <xdr:twoCellAnchor>
    <xdr:from>
      <xdr:col>2</xdr:col>
      <xdr:colOff>539750</xdr:colOff>
      <xdr:row>33</xdr:row>
      <xdr:rowOff>63500</xdr:rowOff>
    </xdr:from>
    <xdr:to>
      <xdr:col>4</xdr:col>
      <xdr:colOff>306916</xdr:colOff>
      <xdr:row>34</xdr:row>
      <xdr:rowOff>95249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C084-82C1-FD55-AFDF-8B4E1841BABD}"/>
            </a:ext>
          </a:extLst>
        </xdr:cNvPr>
        <xdr:cNvSpPr txBox="1"/>
      </xdr:nvSpPr>
      <xdr:spPr>
        <a:xfrm>
          <a:off x="2550583" y="3429000"/>
          <a:ext cx="2180166" cy="222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 b="1">
              <a:solidFill>
                <a:schemeClr val="accent1"/>
              </a:solidFill>
            </a:rPr>
            <a:t>Programado Total</a:t>
          </a:r>
          <a:r>
            <a:rPr lang="es-DO" sz="1200" b="1" baseline="0">
              <a:solidFill>
                <a:schemeClr val="accent1"/>
              </a:solidFill>
            </a:rPr>
            <a:t> vs Ejecutado</a:t>
          </a:r>
          <a:endParaRPr lang="es-DO" sz="1200" b="1">
            <a:solidFill>
              <a:schemeClr val="accent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sabel Jáquez" id="{F270EC0C-3082-4F5F-83D9-15C3D5C83A66}" userId="c2e4ddec1ef0e32a" providerId="Windows Live"/>
  <person displayName="Eury Enrique Familia Marte" id="{53EA15B5-C39B-431E-8570-1592FBA27080}" userId="S::efamilia@dgjp.gob.do::bbb479f7-21bc-4498-958c-c4e8374054d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6" dT="2023-04-05T21:36:32.14" personId="{53EA15B5-C39B-431E-8570-1592FBA27080}" id="{53856500-60A0-4F26-922A-C18EECE0A0A8}">
    <text>Faltante de 1 pensionado</text>
  </threadedComment>
  <threadedComment ref="H66" dT="2023-04-05T21:37:56.29" personId="{53EA15B5-C39B-431E-8570-1592FBA27080}" id="{E768646E-9BC3-4680-8DA3-036624A5B98F}">
    <text>Faltante de $40,000</text>
  </threadedComment>
  <threadedComment ref="H66" dT="2023-04-08T08:39:06.61" personId="{F270EC0C-3082-4F5F-83D9-15C3D5C83A66}" id="{58E7C0DA-42E6-41DC-A159-E5FC43CD723F}" parentId="{E768646E-9BC3-4680-8DA3-036624A5B98F}">
    <text>Hay que buscar la cadena de los correos anteriores para comunicar esta nueva diferencia.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49"/>
  <sheetViews>
    <sheetView showGridLines="0" zoomScale="130" zoomScaleNormal="130" workbookViewId="0">
      <selection activeCell="H30" sqref="H30"/>
    </sheetView>
  </sheetViews>
  <sheetFormatPr baseColWidth="10" defaultColWidth="11.42578125" defaultRowHeight="15" x14ac:dyDescent="0.25"/>
  <cols>
    <col min="1" max="1" width="11.7109375" style="1" customWidth="1"/>
    <col min="2" max="2" width="15.42578125" style="1" customWidth="1"/>
    <col min="3" max="3" width="13.7109375" style="1" bestFit="1" customWidth="1"/>
    <col min="4" max="4" width="11.42578125" style="1" bestFit="1" customWidth="1"/>
    <col min="5" max="5" width="14.28515625" style="1" customWidth="1"/>
    <col min="6" max="6" width="11.42578125" style="1" bestFit="1" customWidth="1"/>
    <col min="7" max="16384" width="11.42578125" style="1"/>
  </cols>
  <sheetData>
    <row r="1" spans="1:8" x14ac:dyDescent="0.25">
      <c r="A1" s="287" t="s">
        <v>0</v>
      </c>
      <c r="B1" s="287"/>
      <c r="C1" s="287"/>
      <c r="D1" s="287"/>
      <c r="E1" s="287"/>
      <c r="F1" s="287"/>
    </row>
    <row r="2" spans="1:8" x14ac:dyDescent="0.25">
      <c r="A2" s="287" t="s">
        <v>112</v>
      </c>
      <c r="B2" s="287"/>
      <c r="C2" s="287"/>
      <c r="D2" s="287"/>
      <c r="E2" s="287"/>
      <c r="F2" s="287"/>
    </row>
    <row r="3" spans="1:8" x14ac:dyDescent="0.25">
      <c r="A3" s="287" t="s">
        <v>145</v>
      </c>
      <c r="B3" s="287"/>
      <c r="C3" s="287"/>
      <c r="D3" s="287"/>
      <c r="E3" s="287"/>
      <c r="F3" s="287"/>
    </row>
    <row r="4" spans="1:8" x14ac:dyDescent="0.25">
      <c r="A4" s="287" t="s">
        <v>256</v>
      </c>
      <c r="B4" s="287"/>
      <c r="C4" s="287"/>
      <c r="D4" s="287"/>
      <c r="E4" s="287"/>
      <c r="F4" s="287"/>
    </row>
    <row r="5" spans="1:8" x14ac:dyDescent="0.25">
      <c r="A5" s="287" t="s">
        <v>257</v>
      </c>
      <c r="B5" s="287"/>
      <c r="C5" s="287"/>
      <c r="D5" s="287"/>
      <c r="E5" s="287"/>
      <c r="F5" s="287"/>
    </row>
    <row r="6" spans="1:8" x14ac:dyDescent="0.25">
      <c r="A6" s="286" t="s">
        <v>1</v>
      </c>
      <c r="B6" s="286" t="s">
        <v>165</v>
      </c>
      <c r="C6" s="286" t="s">
        <v>166</v>
      </c>
      <c r="D6" s="286"/>
      <c r="E6" s="286" t="s">
        <v>31</v>
      </c>
      <c r="F6" s="286"/>
    </row>
    <row r="7" spans="1:8" ht="11.25" customHeight="1" x14ac:dyDescent="0.25">
      <c r="A7" s="286"/>
      <c r="B7" s="286"/>
      <c r="C7" s="286"/>
      <c r="D7" s="286"/>
      <c r="E7" s="286"/>
      <c r="F7" s="286"/>
    </row>
    <row r="8" spans="1:8" x14ac:dyDescent="0.25">
      <c r="A8" s="129"/>
      <c r="B8" s="130" t="s">
        <v>18</v>
      </c>
      <c r="C8" s="130" t="s">
        <v>32</v>
      </c>
      <c r="D8" s="130" t="s">
        <v>33</v>
      </c>
      <c r="E8" s="130" t="s">
        <v>32</v>
      </c>
      <c r="F8" s="130" t="s">
        <v>33</v>
      </c>
      <c r="G8"/>
      <c r="H8"/>
    </row>
    <row r="9" spans="1:8" ht="13.15" hidden="1" customHeight="1" x14ac:dyDescent="0.25">
      <c r="A9" s="188" t="s">
        <v>119</v>
      </c>
      <c r="B9" s="131"/>
      <c r="C9" s="131"/>
      <c r="D9" s="189" t="e">
        <f>C9/B9</f>
        <v>#DIV/0!</v>
      </c>
      <c r="E9" s="218">
        <f>B9-C9</f>
        <v>0</v>
      </c>
      <c r="F9" s="272" t="e">
        <f>E9/B9</f>
        <v>#DIV/0!</v>
      </c>
      <c r="G9"/>
      <c r="H9"/>
    </row>
    <row r="10" spans="1:8" x14ac:dyDescent="0.25">
      <c r="A10" s="87" t="s">
        <v>259</v>
      </c>
      <c r="B10" s="140">
        <v>37653391.100000001</v>
      </c>
      <c r="C10" s="140">
        <v>38913006.759999998</v>
      </c>
      <c r="D10" s="265">
        <f>+C10/B10</f>
        <v>1.0334529141520004</v>
      </c>
      <c r="E10" s="219">
        <f>+B10-C10</f>
        <v>-1259615.6599999964</v>
      </c>
      <c r="F10" s="4">
        <f>(E10/B10)</f>
        <v>-3.3452914152000413E-2</v>
      </c>
      <c r="G10"/>
      <c r="H10"/>
    </row>
    <row r="11" spans="1:8" x14ac:dyDescent="0.25">
      <c r="A11" s="87" t="s">
        <v>260</v>
      </c>
      <c r="B11" s="140">
        <v>33544691.100000001</v>
      </c>
      <c r="C11" s="140">
        <v>33205275.879999999</v>
      </c>
      <c r="D11" s="265">
        <f>+C11/B11</f>
        <v>0.9898817008334293</v>
      </c>
      <c r="E11" s="219">
        <f>+B11-C11</f>
        <v>339415.22000000253</v>
      </c>
      <c r="F11" s="4">
        <f>(E11/B11)</f>
        <v>1.0118299166570728E-2</v>
      </c>
      <c r="G11"/>
      <c r="H11"/>
    </row>
    <row r="12" spans="1:8" x14ac:dyDescent="0.25">
      <c r="A12" s="87" t="s">
        <v>261</v>
      </c>
      <c r="B12" s="140">
        <v>33294691.100000001</v>
      </c>
      <c r="C12" s="140">
        <v>32763928.640000001</v>
      </c>
      <c r="D12" s="265">
        <f>+C12/B12</f>
        <v>0.98405864591427306</v>
      </c>
      <c r="E12" s="219">
        <f>+B12-C12</f>
        <v>530762.46000000089</v>
      </c>
      <c r="F12" s="4">
        <f>(E12/B12)</f>
        <v>1.5941354085726923E-2</v>
      </c>
      <c r="G12"/>
      <c r="H12"/>
    </row>
    <row r="13" spans="1:8" x14ac:dyDescent="0.25">
      <c r="A13" s="133" t="s">
        <v>258</v>
      </c>
      <c r="B13" s="8">
        <f>SUM(B9:B12)</f>
        <v>104492773.30000001</v>
      </c>
      <c r="C13" s="8">
        <f>SUM(C9:C12)</f>
        <v>104882211.28</v>
      </c>
      <c r="D13" s="275">
        <f>(C13/B13)</f>
        <v>1.003726936970865</v>
      </c>
      <c r="E13" s="220">
        <f>SUM(E9:E12)</f>
        <v>-389437.979999993</v>
      </c>
      <c r="F13" s="274">
        <f>(E13/B13)</f>
        <v>-3.7269369708650747E-3</v>
      </c>
      <c r="G13"/>
      <c r="H13"/>
    </row>
    <row r="14" spans="1:8" hidden="1" x14ac:dyDescent="0.25">
      <c r="A14" s="87" t="s">
        <v>34</v>
      </c>
      <c r="B14" s="134"/>
      <c r="C14" s="135"/>
      <c r="D14" s="2" t="e">
        <f t="shared" ref="D14:D25" si="0">+C14/B14</f>
        <v>#DIV/0!</v>
      </c>
      <c r="E14" s="136"/>
      <c r="F14" s="4" t="e">
        <f t="shared" ref="F14:F25" si="1">(E14/B14)</f>
        <v>#DIV/0!</v>
      </c>
      <c r="G14"/>
      <c r="H14"/>
    </row>
    <row r="15" spans="1:8" hidden="1" x14ac:dyDescent="0.25">
      <c r="A15" s="87" t="s">
        <v>35</v>
      </c>
      <c r="B15" s="134"/>
      <c r="C15" s="135"/>
      <c r="D15" s="2" t="e">
        <f t="shared" si="0"/>
        <v>#DIV/0!</v>
      </c>
      <c r="E15" s="136"/>
      <c r="F15" s="4" t="e">
        <f t="shared" si="1"/>
        <v>#DIV/0!</v>
      </c>
      <c r="G15"/>
      <c r="H15"/>
    </row>
    <row r="16" spans="1:8" hidden="1" x14ac:dyDescent="0.25">
      <c r="A16" s="87" t="s">
        <v>36</v>
      </c>
      <c r="B16" s="134"/>
      <c r="C16" s="135"/>
      <c r="D16" s="2" t="e">
        <f t="shared" si="0"/>
        <v>#DIV/0!</v>
      </c>
      <c r="E16" s="136"/>
      <c r="F16" s="4" t="e">
        <f t="shared" si="1"/>
        <v>#DIV/0!</v>
      </c>
      <c r="G16"/>
      <c r="H16"/>
    </row>
    <row r="17" spans="1:8" hidden="1" x14ac:dyDescent="0.25">
      <c r="A17" s="133" t="s">
        <v>122</v>
      </c>
      <c r="B17" s="8">
        <f>SUM(B14:B16)</f>
        <v>0</v>
      </c>
      <c r="C17" s="8">
        <f>SUM(C14:C16)</f>
        <v>0</v>
      </c>
      <c r="D17" s="3" t="e">
        <f>(C17/B17)</f>
        <v>#DIV/0!</v>
      </c>
      <c r="E17" s="9">
        <f>SUM(E14:E16)</f>
        <v>0</v>
      </c>
      <c r="F17" s="5" t="e">
        <f>(E17/B17)</f>
        <v>#DIV/0!</v>
      </c>
      <c r="G17"/>
      <c r="H17"/>
    </row>
    <row r="18" spans="1:8" hidden="1" x14ac:dyDescent="0.25">
      <c r="A18" s="87" t="s">
        <v>123</v>
      </c>
      <c r="B18" s="134"/>
      <c r="C18" s="135"/>
      <c r="D18" s="2" t="e">
        <f t="shared" si="0"/>
        <v>#DIV/0!</v>
      </c>
      <c r="E18" s="136"/>
      <c r="F18" s="4" t="e">
        <f t="shared" si="1"/>
        <v>#DIV/0!</v>
      </c>
      <c r="G18"/>
      <c r="H18"/>
    </row>
    <row r="19" spans="1:8" hidden="1" x14ac:dyDescent="0.25">
      <c r="A19" s="87" t="s">
        <v>81</v>
      </c>
      <c r="B19" s="134"/>
      <c r="C19" s="135"/>
      <c r="D19" s="2" t="e">
        <f t="shared" si="0"/>
        <v>#DIV/0!</v>
      </c>
      <c r="E19" s="136"/>
      <c r="F19" s="4" t="e">
        <f t="shared" si="1"/>
        <v>#DIV/0!</v>
      </c>
      <c r="G19"/>
      <c r="H19"/>
    </row>
    <row r="20" spans="1:8" hidden="1" x14ac:dyDescent="0.25">
      <c r="A20" s="87" t="s">
        <v>82</v>
      </c>
      <c r="B20" s="134"/>
      <c r="C20" s="135"/>
      <c r="D20" s="2" t="e">
        <f t="shared" si="0"/>
        <v>#DIV/0!</v>
      </c>
      <c r="E20" s="136"/>
      <c r="F20" s="4" t="e">
        <f t="shared" si="1"/>
        <v>#DIV/0!</v>
      </c>
      <c r="G20"/>
      <c r="H20"/>
    </row>
    <row r="21" spans="1:8" hidden="1" x14ac:dyDescent="0.25">
      <c r="A21" s="133" t="s">
        <v>86</v>
      </c>
      <c r="B21" s="8">
        <f>SUM(B18:B20)</f>
        <v>0</v>
      </c>
      <c r="C21" s="8">
        <f>SUM(C18:C20)</f>
        <v>0</v>
      </c>
      <c r="D21" s="3" t="e">
        <f>(C21/B21)</f>
        <v>#DIV/0!</v>
      </c>
      <c r="E21" s="9">
        <f>SUM(E18:E20)</f>
        <v>0</v>
      </c>
      <c r="F21" s="5" t="e">
        <f>(E21/B21)</f>
        <v>#DIV/0!</v>
      </c>
      <c r="G21"/>
      <c r="H21"/>
    </row>
    <row r="22" spans="1:8" hidden="1" x14ac:dyDescent="0.25">
      <c r="A22" s="87" t="s">
        <v>83</v>
      </c>
      <c r="B22" s="134"/>
      <c r="C22" s="135"/>
      <c r="D22" s="2" t="e">
        <f t="shared" si="0"/>
        <v>#DIV/0!</v>
      </c>
      <c r="E22" s="136"/>
      <c r="F22" s="4" t="e">
        <f t="shared" si="1"/>
        <v>#DIV/0!</v>
      </c>
      <c r="G22"/>
      <c r="H22"/>
    </row>
    <row r="23" spans="1:8" hidden="1" x14ac:dyDescent="0.25">
      <c r="A23" s="87" t="s">
        <v>84</v>
      </c>
      <c r="B23" s="134"/>
      <c r="C23" s="135"/>
      <c r="D23" s="2" t="e">
        <f t="shared" si="0"/>
        <v>#DIV/0!</v>
      </c>
      <c r="E23" s="136"/>
      <c r="F23" s="4" t="e">
        <f t="shared" si="1"/>
        <v>#DIV/0!</v>
      </c>
      <c r="G23"/>
      <c r="H23"/>
    </row>
    <row r="24" spans="1:8" hidden="1" x14ac:dyDescent="0.25">
      <c r="A24" s="87" t="s">
        <v>85</v>
      </c>
      <c r="B24" s="134"/>
      <c r="C24" s="135"/>
      <c r="D24" s="2" t="e">
        <f t="shared" si="0"/>
        <v>#DIV/0!</v>
      </c>
      <c r="E24" s="136"/>
      <c r="F24" s="4" t="e">
        <f t="shared" si="1"/>
        <v>#DIV/0!</v>
      </c>
      <c r="G24"/>
      <c r="H24"/>
    </row>
    <row r="25" spans="1:8" hidden="1" x14ac:dyDescent="0.25">
      <c r="A25" s="87" t="s">
        <v>119</v>
      </c>
      <c r="B25" s="134"/>
      <c r="C25" s="135"/>
      <c r="D25" s="2" t="e">
        <f t="shared" si="0"/>
        <v>#DIV/0!</v>
      </c>
      <c r="E25" s="136"/>
      <c r="F25" s="4" t="e">
        <f t="shared" si="1"/>
        <v>#DIV/0!</v>
      </c>
      <c r="G25"/>
      <c r="H25"/>
    </row>
    <row r="26" spans="1:8" hidden="1" x14ac:dyDescent="0.25">
      <c r="A26" s="133" t="s">
        <v>87</v>
      </c>
      <c r="B26" s="8">
        <f>SUM(B22:B25)</f>
        <v>0</v>
      </c>
      <c r="C26" s="8">
        <f>SUM(C22:C25)</f>
        <v>0</v>
      </c>
      <c r="D26" s="3" t="e">
        <f>(C26/B26)</f>
        <v>#DIV/0!</v>
      </c>
      <c r="E26" s="9">
        <f>SUM(E22:E25)</f>
        <v>0</v>
      </c>
      <c r="F26" s="5" t="e">
        <f>(E26/B26)</f>
        <v>#DIV/0!</v>
      </c>
      <c r="G26"/>
      <c r="H26"/>
    </row>
    <row r="27" spans="1:8" hidden="1" x14ac:dyDescent="0.25">
      <c r="A27" s="137" t="s">
        <v>9</v>
      </c>
      <c r="B27" s="10">
        <f>+B13+B17+B21+B26</f>
        <v>104492773.30000001</v>
      </c>
      <c r="C27" s="10">
        <f>+C13+C17+C21+C26</f>
        <v>104882211.28</v>
      </c>
      <c r="D27" s="7">
        <f>(C27/B27)</f>
        <v>1.003726936970865</v>
      </c>
      <c r="E27" s="11">
        <f>+E13+E17+E21+E26</f>
        <v>-389437.979999993</v>
      </c>
      <c r="F27" s="6">
        <f>(E27/B27)</f>
        <v>-3.7269369708650747E-3</v>
      </c>
      <c r="G27"/>
      <c r="H27"/>
    </row>
    <row r="28" spans="1:8" ht="15.75" customHeight="1" x14ac:dyDescent="0.25">
      <c r="A28" s="284"/>
      <c r="B28" s="285"/>
      <c r="C28" s="285"/>
      <c r="D28" s="285"/>
      <c r="E28" s="285"/>
      <c r="F28" s="285"/>
      <c r="G28"/>
      <c r="H28"/>
    </row>
    <row r="29" spans="1:8" ht="12.75" customHeight="1" x14ac:dyDescent="0.25">
      <c r="A29" s="284" t="s">
        <v>242</v>
      </c>
      <c r="B29" s="285"/>
      <c r="C29" s="285"/>
      <c r="D29" s="285"/>
      <c r="E29" s="285"/>
      <c r="F29" s="285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9" spans="1:6" x14ac:dyDescent="0.25">
      <c r="A49" s="87"/>
      <c r="B49" s="131"/>
      <c r="C49" s="131"/>
      <c r="D49" s="2"/>
      <c r="E49" s="132"/>
      <c r="F49" s="4"/>
    </row>
  </sheetData>
  <mergeCells count="11">
    <mergeCell ref="A28:F28"/>
    <mergeCell ref="A29:F29"/>
    <mergeCell ref="B6:B7"/>
    <mergeCell ref="A6:A7"/>
    <mergeCell ref="A1:F1"/>
    <mergeCell ref="A2:F2"/>
    <mergeCell ref="A3:F3"/>
    <mergeCell ref="A5:F5"/>
    <mergeCell ref="C6:D7"/>
    <mergeCell ref="E6:F7"/>
    <mergeCell ref="A4:F4"/>
  </mergeCells>
  <pageMargins left="0.7" right="0.7" top="0.75" bottom="0.75" header="0.3" footer="0.3"/>
  <pageSetup paperSize="9" scale="99" orientation="portrait" r:id="rId1"/>
  <ignoredErrors>
    <ignoredError sqref="E11" unlockedFormula="1"/>
    <ignoredError sqref="D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Q44"/>
  <sheetViews>
    <sheetView showGridLines="0" zoomScale="115" zoomScaleNormal="115" workbookViewId="0">
      <selection activeCell="G29" sqref="G29"/>
    </sheetView>
  </sheetViews>
  <sheetFormatPr baseColWidth="10" defaultColWidth="11.42578125" defaultRowHeight="15" x14ac:dyDescent="0.25"/>
  <cols>
    <col min="1" max="1" width="11.42578125" style="1"/>
    <col min="2" max="15" width="13.42578125" style="1" customWidth="1"/>
    <col min="16" max="16384" width="11.42578125" style="1"/>
  </cols>
  <sheetData>
    <row r="1" spans="1:17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7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7" x14ac:dyDescent="0.25">
      <c r="A3" s="287" t="s">
        <v>148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7" x14ac:dyDescent="0.25">
      <c r="A4" s="287" t="s">
        <v>256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2"/>
      <c r="Q4" s="22"/>
    </row>
    <row r="5" spans="1:17" x14ac:dyDescent="0.25">
      <c r="A5" s="287" t="s">
        <v>257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7" x14ac:dyDescent="0.25">
      <c r="A6" s="287" t="s">
        <v>23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</row>
    <row r="7" spans="1:17" ht="15" customHeight="1" x14ac:dyDescent="0.25">
      <c r="A7" s="158"/>
      <c r="B7" s="289" t="s">
        <v>19</v>
      </c>
      <c r="C7" s="289"/>
      <c r="D7" s="289" t="s">
        <v>268</v>
      </c>
      <c r="E7" s="289"/>
      <c r="F7" s="289" t="s">
        <v>269</v>
      </c>
      <c r="G7" s="289"/>
      <c r="H7" s="289" t="s">
        <v>142</v>
      </c>
      <c r="I7" s="289"/>
      <c r="J7" s="289" t="s">
        <v>20</v>
      </c>
      <c r="K7" s="289"/>
      <c r="L7" s="314" t="s">
        <v>21</v>
      </c>
      <c r="M7" s="314"/>
      <c r="N7" s="314" t="s">
        <v>9</v>
      </c>
      <c r="O7" s="314"/>
      <c r="P7"/>
      <c r="Q7"/>
    </row>
    <row r="8" spans="1:17" x14ac:dyDescent="0.25">
      <c r="A8" s="144" t="s">
        <v>1</v>
      </c>
      <c r="B8" s="144" t="s">
        <v>22</v>
      </c>
      <c r="C8" s="144" t="s">
        <v>18</v>
      </c>
      <c r="D8" s="144" t="s">
        <v>22</v>
      </c>
      <c r="E8" s="144" t="s">
        <v>18</v>
      </c>
      <c r="F8" s="144" t="s">
        <v>22</v>
      </c>
      <c r="G8" s="144" t="s">
        <v>18</v>
      </c>
      <c r="H8" s="144" t="s">
        <v>22</v>
      </c>
      <c r="I8" s="144" t="s">
        <v>18</v>
      </c>
      <c r="J8" s="144" t="s">
        <v>22</v>
      </c>
      <c r="K8" s="144" t="s">
        <v>18</v>
      </c>
      <c r="L8" s="144" t="s">
        <v>22</v>
      </c>
      <c r="M8" s="144" t="s">
        <v>18</v>
      </c>
      <c r="N8" s="144" t="s">
        <v>22</v>
      </c>
      <c r="O8" s="144" t="s">
        <v>18</v>
      </c>
      <c r="P8"/>
      <c r="Q8"/>
    </row>
    <row r="9" spans="1:17" x14ac:dyDescent="0.25">
      <c r="A9" s="70" t="s">
        <v>259</v>
      </c>
      <c r="B9" s="159">
        <v>4170</v>
      </c>
      <c r="C9" s="159">
        <v>50828036.170000002</v>
      </c>
      <c r="D9" s="159">
        <v>115</v>
      </c>
      <c r="E9" s="159">
        <v>1643022.84</v>
      </c>
      <c r="F9" s="159">
        <v>161</v>
      </c>
      <c r="G9" s="159">
        <v>1326574.19</v>
      </c>
      <c r="H9" s="159">
        <v>105</v>
      </c>
      <c r="I9" s="159">
        <v>592026.82000000007</v>
      </c>
      <c r="J9" s="159">
        <v>1167</v>
      </c>
      <c r="K9" s="159">
        <v>9906559.9699999988</v>
      </c>
      <c r="L9" s="159">
        <v>96</v>
      </c>
      <c r="M9" s="159">
        <v>1304139.3399999999</v>
      </c>
      <c r="N9" s="47">
        <f>(B9+D9+F9)-(J9+L9)</f>
        <v>3183</v>
      </c>
      <c r="O9" s="79">
        <f>(C9+E9+G9+I9)-(K9+M9)</f>
        <v>43178960.710000008</v>
      </c>
      <c r="P9"/>
      <c r="Q9"/>
    </row>
    <row r="10" spans="1:17" x14ac:dyDescent="0.25">
      <c r="A10" s="70" t="s">
        <v>260</v>
      </c>
      <c r="B10" s="159">
        <v>2656</v>
      </c>
      <c r="C10" s="159">
        <v>32971327.190000001</v>
      </c>
      <c r="D10" s="159">
        <v>102</v>
      </c>
      <c r="E10" s="159">
        <v>1345011.23</v>
      </c>
      <c r="F10" s="159">
        <v>50</v>
      </c>
      <c r="G10" s="159">
        <v>869098.40999999992</v>
      </c>
      <c r="H10" s="159">
        <v>56</v>
      </c>
      <c r="I10" s="159">
        <v>1275175.6599999999</v>
      </c>
      <c r="J10" s="159">
        <v>321</v>
      </c>
      <c r="K10" s="159">
        <v>5011235.95</v>
      </c>
      <c r="L10" s="159">
        <v>79</v>
      </c>
      <c r="M10" s="159">
        <v>1355049.0699999998</v>
      </c>
      <c r="N10" s="47">
        <f>(B10+D10+F10)-(J10+L10)</f>
        <v>2408</v>
      </c>
      <c r="O10" s="79">
        <f>(C10+E10+G10+I10)-(K10+M10)</f>
        <v>30094327.469999995</v>
      </c>
      <c r="P10"/>
      <c r="Q10"/>
    </row>
    <row r="11" spans="1:17" x14ac:dyDescent="0.25">
      <c r="A11" s="70" t="s">
        <v>261</v>
      </c>
      <c r="B11" s="159">
        <v>2977</v>
      </c>
      <c r="C11" s="159">
        <v>36676179.780000001</v>
      </c>
      <c r="D11" s="159">
        <v>196</v>
      </c>
      <c r="E11" s="159">
        <v>2687023.4899999998</v>
      </c>
      <c r="F11" s="159">
        <v>77</v>
      </c>
      <c r="G11" s="159">
        <v>956119.84</v>
      </c>
      <c r="H11" s="159">
        <v>63</v>
      </c>
      <c r="I11" s="159">
        <v>1237774.3700000001</v>
      </c>
      <c r="J11" s="159">
        <v>1520</v>
      </c>
      <c r="K11" s="159">
        <v>16109575.07</v>
      </c>
      <c r="L11" s="159">
        <v>404</v>
      </c>
      <c r="M11" s="159">
        <v>4798913.2299999995</v>
      </c>
      <c r="N11" s="47">
        <f>(B11+D11+F11)-(J11+L11)</f>
        <v>1326</v>
      </c>
      <c r="O11" s="79">
        <f>(C11+E11+G11+I11)-(K11+M11)</f>
        <v>20648609.180000003</v>
      </c>
      <c r="P11"/>
      <c r="Q11"/>
    </row>
    <row r="12" spans="1:17" x14ac:dyDescent="0.25">
      <c r="A12" s="46" t="s">
        <v>258</v>
      </c>
      <c r="B12" s="8">
        <f t="shared" ref="B12:I12" si="0">SUM(B9:B11)</f>
        <v>9803</v>
      </c>
      <c r="C12" s="8">
        <f t="shared" si="0"/>
        <v>120475543.14</v>
      </c>
      <c r="D12" s="8">
        <f t="shared" si="0"/>
        <v>413</v>
      </c>
      <c r="E12" s="8">
        <f t="shared" si="0"/>
        <v>5675057.5600000005</v>
      </c>
      <c r="F12" s="8">
        <f t="shared" si="0"/>
        <v>288</v>
      </c>
      <c r="G12" s="8">
        <f t="shared" si="0"/>
        <v>3151792.4399999995</v>
      </c>
      <c r="H12" s="8">
        <f t="shared" si="0"/>
        <v>224</v>
      </c>
      <c r="I12" s="8">
        <f t="shared" si="0"/>
        <v>3104976.85</v>
      </c>
      <c r="J12" s="8">
        <f t="shared" ref="J12:M12" si="1">SUM(J9:J11)</f>
        <v>3008</v>
      </c>
      <c r="K12" s="8">
        <f t="shared" si="1"/>
        <v>31027370.989999998</v>
      </c>
      <c r="L12" s="8">
        <f t="shared" si="1"/>
        <v>579</v>
      </c>
      <c r="M12" s="8">
        <f t="shared" si="1"/>
        <v>7458101.6399999987</v>
      </c>
      <c r="N12" s="8">
        <f>SUM(N9:N11)</f>
        <v>6917</v>
      </c>
      <c r="O12" s="80">
        <f>SUM(O9:O11)</f>
        <v>93921897.360000014</v>
      </c>
      <c r="P12"/>
      <c r="Q12"/>
    </row>
    <row r="13" spans="1:17" hidden="1" x14ac:dyDescent="0.25">
      <c r="A13" s="70" t="s">
        <v>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47">
        <f t="shared" ref="N13:N23" si="2">+B13-(J13+L13)</f>
        <v>0</v>
      </c>
      <c r="O13" s="47">
        <f t="shared" ref="O13:O23" si="3">+K13+M13+I13+C13</f>
        <v>0</v>
      </c>
      <c r="P13"/>
      <c r="Q13"/>
    </row>
    <row r="14" spans="1:17" hidden="1" x14ac:dyDescent="0.25">
      <c r="A14" s="70" t="s">
        <v>35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47">
        <f t="shared" si="2"/>
        <v>0</v>
      </c>
      <c r="O14" s="47">
        <f t="shared" si="3"/>
        <v>0</v>
      </c>
      <c r="P14"/>
      <c r="Q14"/>
    </row>
    <row r="15" spans="1:17" hidden="1" x14ac:dyDescent="0.25">
      <c r="A15" s="70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47">
        <f t="shared" si="2"/>
        <v>0</v>
      </c>
      <c r="O15" s="47">
        <f t="shared" si="3"/>
        <v>0</v>
      </c>
      <c r="P15"/>
      <c r="Q15"/>
    </row>
    <row r="16" spans="1:17" hidden="1" x14ac:dyDescent="0.25">
      <c r="A16" s="46" t="s">
        <v>122</v>
      </c>
      <c r="B16" s="8">
        <f t="shared" ref="B16:O16" si="4">SUM(B13:B15)</f>
        <v>0</v>
      </c>
      <c r="C16" s="8">
        <f t="shared" si="4"/>
        <v>0</v>
      </c>
      <c r="D16" s="8"/>
      <c r="E16" s="8"/>
      <c r="F16" s="8"/>
      <c r="G16" s="8"/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/>
      <c r="Q16"/>
    </row>
    <row r="17" spans="1:17" hidden="1" x14ac:dyDescent="0.25">
      <c r="A17" s="70" t="s">
        <v>80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47">
        <f t="shared" si="2"/>
        <v>0</v>
      </c>
      <c r="O17" s="47">
        <f t="shared" si="3"/>
        <v>0</v>
      </c>
      <c r="P17"/>
      <c r="Q17"/>
    </row>
    <row r="18" spans="1:17" hidden="1" x14ac:dyDescent="0.25">
      <c r="A18" s="70" t="s">
        <v>81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47">
        <f t="shared" si="2"/>
        <v>0</v>
      </c>
      <c r="O18" s="47">
        <f t="shared" si="3"/>
        <v>0</v>
      </c>
      <c r="P18"/>
      <c r="Q18"/>
    </row>
    <row r="19" spans="1:17" hidden="1" x14ac:dyDescent="0.25">
      <c r="A19" s="70" t="s">
        <v>82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47">
        <f t="shared" si="2"/>
        <v>0</v>
      </c>
      <c r="O19" s="47">
        <f t="shared" si="3"/>
        <v>0</v>
      </c>
      <c r="P19"/>
      <c r="Q19"/>
    </row>
    <row r="20" spans="1:17" hidden="1" x14ac:dyDescent="0.25">
      <c r="A20" s="46" t="s">
        <v>86</v>
      </c>
      <c r="B20" s="8">
        <f t="shared" ref="B20:O20" si="5">SUM(B17:B19)</f>
        <v>0</v>
      </c>
      <c r="C20" s="8">
        <f t="shared" si="5"/>
        <v>0</v>
      </c>
      <c r="D20" s="8"/>
      <c r="E20" s="8"/>
      <c r="F20" s="8"/>
      <c r="G20" s="8"/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  <c r="P20"/>
      <c r="Q20"/>
    </row>
    <row r="21" spans="1:17" hidden="1" x14ac:dyDescent="0.25">
      <c r="A21" s="70" t="s">
        <v>83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47">
        <f t="shared" si="2"/>
        <v>0</v>
      </c>
      <c r="O21" s="47">
        <f t="shared" si="3"/>
        <v>0</v>
      </c>
      <c r="P21"/>
      <c r="Q21"/>
    </row>
    <row r="22" spans="1:17" hidden="1" x14ac:dyDescent="0.25">
      <c r="A22" s="70" t="s">
        <v>84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47">
        <f t="shared" si="2"/>
        <v>0</v>
      </c>
      <c r="O22" s="47">
        <f t="shared" si="3"/>
        <v>0</v>
      </c>
      <c r="P22"/>
      <c r="Q22"/>
    </row>
    <row r="23" spans="1:17" hidden="1" x14ac:dyDescent="0.25">
      <c r="A23" s="70" t="s">
        <v>85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47">
        <f t="shared" si="2"/>
        <v>0</v>
      </c>
      <c r="O23" s="47">
        <f t="shared" si="3"/>
        <v>0</v>
      </c>
      <c r="P23"/>
      <c r="Q23"/>
    </row>
    <row r="24" spans="1:17" hidden="1" x14ac:dyDescent="0.25">
      <c r="A24" s="46" t="s">
        <v>87</v>
      </c>
      <c r="B24" s="8">
        <f t="shared" ref="B24:O24" si="6">SUM(B21:B23)</f>
        <v>0</v>
      </c>
      <c r="C24" s="8">
        <f t="shared" si="6"/>
        <v>0</v>
      </c>
      <c r="D24" s="8"/>
      <c r="E24" s="8"/>
      <c r="F24" s="8"/>
      <c r="G24" s="8"/>
      <c r="H24" s="8">
        <f t="shared" si="6"/>
        <v>0</v>
      </c>
      <c r="I24" s="8">
        <f t="shared" si="6"/>
        <v>0</v>
      </c>
      <c r="J24" s="8">
        <f t="shared" si="6"/>
        <v>0</v>
      </c>
      <c r="K24" s="8">
        <f t="shared" si="6"/>
        <v>0</v>
      </c>
      <c r="L24" s="8">
        <f t="shared" si="6"/>
        <v>0</v>
      </c>
      <c r="M24" s="8">
        <f t="shared" si="6"/>
        <v>0</v>
      </c>
      <c r="N24" s="8">
        <f t="shared" si="6"/>
        <v>0</v>
      </c>
      <c r="O24" s="8">
        <f t="shared" si="6"/>
        <v>0</v>
      </c>
      <c r="P24"/>
      <c r="Q24"/>
    </row>
    <row r="25" spans="1:17" hidden="1" x14ac:dyDescent="0.25">
      <c r="A25" s="49" t="s">
        <v>9</v>
      </c>
      <c r="B25" s="50">
        <f>+B12+B16+B20+B24</f>
        <v>9803</v>
      </c>
      <c r="C25" s="48">
        <f t="shared" ref="C25:O25" si="7">+C12+C16+C20+C24</f>
        <v>120475543.14</v>
      </c>
      <c r="D25" s="48"/>
      <c r="E25" s="48"/>
      <c r="F25" s="48"/>
      <c r="G25" s="48"/>
      <c r="H25" s="48">
        <f t="shared" si="7"/>
        <v>224</v>
      </c>
      <c r="I25" s="48">
        <f t="shared" si="7"/>
        <v>3104976.85</v>
      </c>
      <c r="J25" s="48">
        <f t="shared" si="7"/>
        <v>3008</v>
      </c>
      <c r="K25" s="48">
        <f t="shared" si="7"/>
        <v>31027370.989999998</v>
      </c>
      <c r="L25" s="48">
        <f t="shared" si="7"/>
        <v>579</v>
      </c>
      <c r="M25" s="48">
        <f t="shared" si="7"/>
        <v>7458101.6399999987</v>
      </c>
      <c r="N25" s="48">
        <f t="shared" si="7"/>
        <v>6917</v>
      </c>
      <c r="O25" s="48">
        <f t="shared" si="7"/>
        <v>93921897.360000014</v>
      </c>
      <c r="P25"/>
      <c r="Q25"/>
    </row>
    <row r="26" spans="1:17" x14ac:dyDescent="0.25">
      <c r="A26" s="139" t="s">
        <v>245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15" customFormat="1" ht="11.25" x14ac:dyDescent="0.2">
      <c r="A27" s="232"/>
      <c r="B27" s="142"/>
      <c r="C27" s="142"/>
      <c r="D27" s="142"/>
      <c r="E27" s="142"/>
      <c r="F27" s="142"/>
      <c r="G27" s="142"/>
      <c r="H27" s="142"/>
      <c r="I27" s="142"/>
      <c r="J27" s="139"/>
      <c r="K27" s="139"/>
      <c r="L27" s="139"/>
      <c r="M27" s="139"/>
      <c r="N27" s="139"/>
      <c r="O27" s="139"/>
      <c r="P27" s="139"/>
      <c r="Q27" s="139"/>
    </row>
    <row r="28" spans="1:1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2" spans="1:17" x14ac:dyDescent="0.25">
      <c r="B42" s="70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47"/>
      <c r="P42" s="79"/>
    </row>
    <row r="44" spans="1:17" x14ac:dyDescent="0.25">
      <c r="B44" s="70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47"/>
      <c r="P44" s="79"/>
    </row>
  </sheetData>
  <mergeCells count="13">
    <mergeCell ref="A6:O6"/>
    <mergeCell ref="A1:O1"/>
    <mergeCell ref="A2:O2"/>
    <mergeCell ref="A3:O3"/>
    <mergeCell ref="A5:O5"/>
    <mergeCell ref="A4:O4"/>
    <mergeCell ref="B7:C7"/>
    <mergeCell ref="H7:I7"/>
    <mergeCell ref="J7:K7"/>
    <mergeCell ref="L7:M7"/>
    <mergeCell ref="N7:O7"/>
    <mergeCell ref="D7:E7"/>
    <mergeCell ref="F7:G7"/>
  </mergeCells>
  <pageMargins left="0.7" right="0.7" top="0.75" bottom="0.75" header="0.3" footer="0.3"/>
  <pageSetup paperSize="9" scale="51" orientation="portrait" r:id="rId1"/>
  <ignoredErrors>
    <ignoredError sqref="N1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2578125" defaultRowHeight="15" x14ac:dyDescent="0.25"/>
  <cols>
    <col min="1" max="1" width="18.42578125" customWidth="1"/>
    <col min="3" max="3" width="18.140625" customWidth="1"/>
    <col min="6" max="6" width="13.7109375" bestFit="1" customWidth="1"/>
  </cols>
  <sheetData>
    <row r="5" spans="1:8" x14ac:dyDescent="0.25">
      <c r="A5" t="s">
        <v>170</v>
      </c>
    </row>
    <row r="6" spans="1:8" x14ac:dyDescent="0.25">
      <c r="A6" t="s">
        <v>171</v>
      </c>
      <c r="B6" t="s">
        <v>172</v>
      </c>
      <c r="C6" s="74">
        <v>31310</v>
      </c>
      <c r="D6" s="103">
        <v>0.2</v>
      </c>
      <c r="E6" s="74">
        <v>391848281</v>
      </c>
      <c r="F6" s="103">
        <v>0.19</v>
      </c>
    </row>
    <row r="7" spans="1:8" x14ac:dyDescent="0.25">
      <c r="A7" t="s">
        <v>41</v>
      </c>
      <c r="B7" s="74">
        <v>58606</v>
      </c>
      <c r="C7" s="103">
        <v>0.37</v>
      </c>
      <c r="D7" s="74">
        <v>502596251</v>
      </c>
      <c r="E7" s="103">
        <v>0.25</v>
      </c>
    </row>
    <row r="8" spans="1:8" x14ac:dyDescent="0.25">
      <c r="A8" t="s">
        <v>173</v>
      </c>
      <c r="B8" t="s">
        <v>174</v>
      </c>
      <c r="C8" t="s">
        <v>175</v>
      </c>
      <c r="D8">
        <v>280</v>
      </c>
      <c r="E8" s="104">
        <v>2E-3</v>
      </c>
      <c r="F8" s="74">
        <v>4723136</v>
      </c>
      <c r="G8" s="104">
        <v>2E-3</v>
      </c>
    </row>
    <row r="9" spans="1:8" x14ac:dyDescent="0.25">
      <c r="A9" t="s">
        <v>176</v>
      </c>
      <c r="B9" t="s">
        <v>177</v>
      </c>
      <c r="C9" t="s">
        <v>178</v>
      </c>
      <c r="D9" t="s">
        <v>179</v>
      </c>
      <c r="E9">
        <v>164</v>
      </c>
      <c r="F9" s="104">
        <v>1E-3</v>
      </c>
      <c r="G9" s="74">
        <v>4627394</v>
      </c>
      <c r="H9" s="104">
        <v>2E-3</v>
      </c>
    </row>
    <row r="10" spans="1:8" x14ac:dyDescent="0.25">
      <c r="A10" t="s">
        <v>180</v>
      </c>
      <c r="B10" t="s">
        <v>181</v>
      </c>
      <c r="C10">
        <v>311</v>
      </c>
      <c r="D10" s="104">
        <v>2E-3</v>
      </c>
      <c r="E10" s="74">
        <v>8307901</v>
      </c>
      <c r="F10" s="104">
        <v>4.0000000000000001E-3</v>
      </c>
    </row>
    <row r="11" spans="1:8" x14ac:dyDescent="0.25">
      <c r="A11" t="s">
        <v>180</v>
      </c>
      <c r="B11" t="s">
        <v>182</v>
      </c>
      <c r="C11" s="74">
        <v>19019</v>
      </c>
      <c r="D11" s="103">
        <v>0.12</v>
      </c>
      <c r="E11" s="74">
        <v>425653300</v>
      </c>
      <c r="F11" s="103">
        <v>0.21</v>
      </c>
    </row>
    <row r="12" spans="1:8" x14ac:dyDescent="0.25">
      <c r="A12" t="s">
        <v>183</v>
      </c>
      <c r="B12" t="s">
        <v>184</v>
      </c>
      <c r="C12" s="74">
        <v>21131</v>
      </c>
      <c r="D12" s="103">
        <v>0.13</v>
      </c>
      <c r="E12" s="74">
        <v>448771667</v>
      </c>
      <c r="F12" s="103">
        <v>0.22</v>
      </c>
    </row>
    <row r="13" spans="1:8" x14ac:dyDescent="0.25">
      <c r="A13" t="s">
        <v>171</v>
      </c>
      <c r="B13" t="s">
        <v>185</v>
      </c>
      <c r="C13" s="74">
        <v>10163</v>
      </c>
      <c r="D13" s="103">
        <v>0.06</v>
      </c>
      <c r="E13" s="74">
        <v>60978000</v>
      </c>
      <c r="F13" s="103">
        <v>0.03</v>
      </c>
    </row>
    <row r="14" spans="1:8" x14ac:dyDescent="0.25">
      <c r="A14" t="s">
        <v>186</v>
      </c>
      <c r="B14" t="s">
        <v>187</v>
      </c>
      <c r="C14" t="s">
        <v>188</v>
      </c>
      <c r="D14" s="74">
        <v>16719</v>
      </c>
      <c r="E14" s="103">
        <v>0.11</v>
      </c>
      <c r="F14" s="74">
        <v>171659274</v>
      </c>
      <c r="G14" s="103">
        <v>0.09</v>
      </c>
    </row>
    <row r="17" spans="1:7" x14ac:dyDescent="0.25">
      <c r="A17" t="s">
        <v>56</v>
      </c>
      <c r="B17" t="s">
        <v>189</v>
      </c>
      <c r="C17" t="s">
        <v>39</v>
      </c>
      <c r="D17" t="s">
        <v>140</v>
      </c>
      <c r="E17" t="s">
        <v>39</v>
      </c>
    </row>
    <row r="18" spans="1:7" x14ac:dyDescent="0.25">
      <c r="A18" t="s">
        <v>190</v>
      </c>
      <c r="B18" t="s">
        <v>191</v>
      </c>
      <c r="C18" t="s">
        <v>192</v>
      </c>
      <c r="D18">
        <v>42</v>
      </c>
      <c r="E18" s="104">
        <v>2.9999999999999997E-4</v>
      </c>
      <c r="F18" s="105">
        <v>167356.85</v>
      </c>
      <c r="G18" s="103">
        <v>0</v>
      </c>
    </row>
    <row r="19" spans="1:7" x14ac:dyDescent="0.25">
      <c r="A19" t="s">
        <v>193</v>
      </c>
      <c r="B19" t="s">
        <v>194</v>
      </c>
      <c r="C19" t="s">
        <v>195</v>
      </c>
      <c r="D19">
        <v>1</v>
      </c>
      <c r="E19" s="104">
        <v>0</v>
      </c>
      <c r="F19" s="105">
        <v>5117.5</v>
      </c>
      <c r="G19" s="103">
        <v>0</v>
      </c>
    </row>
    <row r="20" spans="1:7" x14ac:dyDescent="0.25">
      <c r="A20" s="105">
        <v>5117.5</v>
      </c>
      <c r="B20" t="s">
        <v>196</v>
      </c>
      <c r="C20" s="105">
        <v>10000</v>
      </c>
      <c r="D20" s="74">
        <v>93522</v>
      </c>
      <c r="E20" s="104">
        <v>0.73980000000000001</v>
      </c>
      <c r="F20" s="105">
        <v>750253033.45000005</v>
      </c>
      <c r="G20" s="103">
        <v>0.5</v>
      </c>
    </row>
    <row r="21" spans="1:7" x14ac:dyDescent="0.25">
      <c r="A21" s="105">
        <v>10000</v>
      </c>
      <c r="B21" t="s">
        <v>196</v>
      </c>
      <c r="C21" s="105">
        <v>20000</v>
      </c>
      <c r="D21" s="74">
        <v>18138</v>
      </c>
      <c r="E21" s="104">
        <v>0.14349999999999999</v>
      </c>
      <c r="F21" s="105">
        <v>227429836.90000001</v>
      </c>
      <c r="G21" s="103">
        <v>0.15</v>
      </c>
    </row>
    <row r="22" spans="1:7" x14ac:dyDescent="0.25">
      <c r="A22" s="105">
        <v>20000</v>
      </c>
      <c r="B22" t="s">
        <v>196</v>
      </c>
      <c r="C22" s="105">
        <v>30000</v>
      </c>
      <c r="D22" s="74">
        <v>6578</v>
      </c>
      <c r="E22" s="104">
        <v>5.1999999999999998E-2</v>
      </c>
      <c r="F22" s="105">
        <v>161421192.27000001</v>
      </c>
      <c r="G22" s="103">
        <v>0.11</v>
      </c>
    </row>
    <row r="23" spans="1:7" x14ac:dyDescent="0.25">
      <c r="A23" s="105">
        <v>30000</v>
      </c>
      <c r="B23" t="s">
        <v>196</v>
      </c>
      <c r="C23" s="105">
        <v>40000</v>
      </c>
      <c r="D23" s="74">
        <v>3651</v>
      </c>
      <c r="E23" s="104">
        <v>2.8899999999999999E-2</v>
      </c>
      <c r="F23" s="105">
        <v>122505219.92</v>
      </c>
      <c r="G23" s="103">
        <v>0.08</v>
      </c>
    </row>
    <row r="24" spans="1:7" x14ac:dyDescent="0.25">
      <c r="A24" s="105">
        <v>40000</v>
      </c>
      <c r="B24" t="s">
        <v>196</v>
      </c>
      <c r="C24" s="105">
        <v>50000</v>
      </c>
      <c r="D24" s="74">
        <v>2228</v>
      </c>
      <c r="E24" s="104">
        <v>1.7600000000000001E-2</v>
      </c>
      <c r="F24" s="105">
        <v>96897867.079999998</v>
      </c>
      <c r="G24" s="103">
        <v>0.06</v>
      </c>
    </row>
    <row r="25" spans="1:7" x14ac:dyDescent="0.25">
      <c r="A25" s="105">
        <v>50000</v>
      </c>
      <c r="B25" t="s">
        <v>196</v>
      </c>
      <c r="C25" s="105">
        <v>60000</v>
      </c>
      <c r="D25" s="74">
        <v>1212</v>
      </c>
      <c r="E25" s="104">
        <v>9.5999999999999992E-3</v>
      </c>
      <c r="F25" s="105">
        <v>63870772.049999997</v>
      </c>
      <c r="G25" s="103">
        <v>0.04</v>
      </c>
    </row>
    <row r="26" spans="1:7" x14ac:dyDescent="0.25">
      <c r="A26" s="105">
        <v>60000</v>
      </c>
      <c r="B26" t="s">
        <v>196</v>
      </c>
      <c r="C26" s="105">
        <v>70000</v>
      </c>
      <c r="D26">
        <v>256</v>
      </c>
      <c r="E26" s="104">
        <v>2E-3</v>
      </c>
      <c r="F26" s="105">
        <v>15987935.460000001</v>
      </c>
      <c r="G26" s="103">
        <v>0.01</v>
      </c>
    </row>
    <row r="27" spans="1:7" x14ac:dyDescent="0.25">
      <c r="A27" s="105">
        <v>70000</v>
      </c>
      <c r="B27" t="s">
        <v>196</v>
      </c>
      <c r="C27" s="105">
        <v>80000</v>
      </c>
      <c r="D27">
        <v>185</v>
      </c>
      <c r="E27" s="104">
        <v>1.5E-3</v>
      </c>
      <c r="F27" s="105">
        <v>13603340.310000001</v>
      </c>
      <c r="G27" s="103">
        <v>0.01</v>
      </c>
    </row>
    <row r="28" spans="1:7" x14ac:dyDescent="0.25">
      <c r="A28" s="105">
        <v>80000</v>
      </c>
      <c r="B28" t="s">
        <v>196</v>
      </c>
      <c r="C28" s="105">
        <v>90000</v>
      </c>
      <c r="D28">
        <v>246</v>
      </c>
      <c r="E28" s="104">
        <v>1.9E-3</v>
      </c>
      <c r="F28" s="105">
        <v>20637258.829999998</v>
      </c>
      <c r="G28" s="103">
        <v>0.01</v>
      </c>
    </row>
    <row r="29" spans="1:7" x14ac:dyDescent="0.25">
      <c r="A29" s="105">
        <v>90000</v>
      </c>
      <c r="B29" t="s">
        <v>196</v>
      </c>
      <c r="C29" s="105">
        <v>100000</v>
      </c>
      <c r="D29">
        <v>300</v>
      </c>
      <c r="E29" s="104">
        <v>2.3999999999999998E-3</v>
      </c>
      <c r="F29" s="105">
        <v>28790914.350000001</v>
      </c>
      <c r="G29" s="103">
        <v>0.02</v>
      </c>
    </row>
    <row r="30" spans="1:7" x14ac:dyDescent="0.25">
      <c r="A30" t="s">
        <v>60</v>
      </c>
      <c r="B30">
        <v>50</v>
      </c>
      <c r="C30" s="104">
        <v>4.0000000000000002E-4</v>
      </c>
      <c r="D30" s="105">
        <v>7845693.5999999996</v>
      </c>
      <c r="E30" s="103">
        <v>0.01</v>
      </c>
    </row>
    <row r="32" spans="1:7" x14ac:dyDescent="0.25">
      <c r="A32" t="s">
        <v>56</v>
      </c>
      <c r="B32" t="s">
        <v>189</v>
      </c>
      <c r="C32" t="s">
        <v>39</v>
      </c>
      <c r="D32" t="s">
        <v>140</v>
      </c>
      <c r="E32" t="s">
        <v>39</v>
      </c>
    </row>
    <row r="33" spans="1:7" x14ac:dyDescent="0.25">
      <c r="A33" t="s">
        <v>102</v>
      </c>
      <c r="B33">
        <v>8</v>
      </c>
      <c r="C33" s="104">
        <v>1E-4</v>
      </c>
      <c r="D33" s="74">
        <v>120807</v>
      </c>
      <c r="E33" s="104">
        <v>1E-4</v>
      </c>
    </row>
    <row r="34" spans="1:7" x14ac:dyDescent="0.25">
      <c r="A34" t="s">
        <v>103</v>
      </c>
      <c r="B34">
        <v>105</v>
      </c>
      <c r="C34" s="104">
        <v>8.9999999999999998E-4</v>
      </c>
      <c r="D34" s="74">
        <v>1623898</v>
      </c>
      <c r="E34" s="104">
        <v>1.1000000000000001E-3</v>
      </c>
    </row>
    <row r="35" spans="1:7" x14ac:dyDescent="0.25">
      <c r="A35" t="s">
        <v>104</v>
      </c>
      <c r="B35">
        <v>662</v>
      </c>
      <c r="C35" s="104">
        <v>5.7999999999999996E-3</v>
      </c>
      <c r="D35" s="74">
        <v>8844351</v>
      </c>
      <c r="E35" s="104">
        <v>5.8999999999999999E-3</v>
      </c>
    </row>
    <row r="36" spans="1:7" x14ac:dyDescent="0.25">
      <c r="A36" t="s">
        <v>105</v>
      </c>
      <c r="B36" s="74">
        <v>3613</v>
      </c>
      <c r="C36" s="104">
        <v>3.1699999999999999E-2</v>
      </c>
      <c r="D36" s="74">
        <v>58835635</v>
      </c>
      <c r="E36" s="104">
        <v>3.9E-2</v>
      </c>
    </row>
    <row r="37" spans="1:7" x14ac:dyDescent="0.25">
      <c r="A37" t="s">
        <v>106</v>
      </c>
      <c r="B37" s="74">
        <v>37680</v>
      </c>
      <c r="C37" s="104">
        <v>0.3306</v>
      </c>
      <c r="D37" s="74">
        <v>525796423</v>
      </c>
      <c r="E37" s="104">
        <v>0.3483</v>
      </c>
    </row>
    <row r="38" spans="1:7" x14ac:dyDescent="0.25">
      <c r="A38" t="s">
        <v>107</v>
      </c>
      <c r="B38" s="74">
        <v>44491</v>
      </c>
      <c r="C38" s="104">
        <v>0.39040000000000002</v>
      </c>
      <c r="D38" s="74">
        <v>593494378</v>
      </c>
      <c r="E38" s="104">
        <v>0.39319999999999999</v>
      </c>
    </row>
    <row r="39" spans="1:7" x14ac:dyDescent="0.25">
      <c r="A39" t="s">
        <v>108</v>
      </c>
      <c r="B39" s="74">
        <v>22199</v>
      </c>
      <c r="C39" s="104">
        <v>0.1948</v>
      </c>
      <c r="D39" s="74">
        <v>263071212</v>
      </c>
      <c r="E39" s="104">
        <v>0.17430000000000001</v>
      </c>
    </row>
    <row r="40" spans="1:7" x14ac:dyDescent="0.25">
      <c r="A40" t="s">
        <v>109</v>
      </c>
      <c r="B40" s="74">
        <v>4787</v>
      </c>
      <c r="C40" s="104">
        <v>4.2000000000000003E-2</v>
      </c>
      <c r="D40" s="74">
        <v>53293459</v>
      </c>
      <c r="E40" s="104">
        <v>3.5299999999999998E-2</v>
      </c>
    </row>
    <row r="41" spans="1:7" x14ac:dyDescent="0.25">
      <c r="A41">
        <v>100</v>
      </c>
      <c r="B41">
        <v>273</v>
      </c>
      <c r="C41" s="104">
        <v>2.3999999999999998E-3</v>
      </c>
      <c r="D41" s="74">
        <v>3036509</v>
      </c>
      <c r="E41" s="104">
        <v>2E-3</v>
      </c>
    </row>
    <row r="42" spans="1:7" x14ac:dyDescent="0.25">
      <c r="A42">
        <v>0</v>
      </c>
      <c r="B42">
        <v>148</v>
      </c>
      <c r="C42" s="104">
        <v>1.2999999999999999E-3</v>
      </c>
      <c r="D42" s="74">
        <v>1202867</v>
      </c>
      <c r="E42" s="104">
        <v>8.0000000000000004E-4</v>
      </c>
    </row>
    <row r="43" spans="1:7" x14ac:dyDescent="0.25">
      <c r="A43" t="s">
        <v>197</v>
      </c>
      <c r="B43" t="s">
        <v>198</v>
      </c>
      <c r="C43" s="111">
        <v>1</v>
      </c>
      <c r="D43">
        <v>11</v>
      </c>
      <c r="E43" s="104">
        <v>1E-4</v>
      </c>
      <c r="F43" s="74">
        <v>96000</v>
      </c>
      <c r="G43" s="104">
        <v>1E-4</v>
      </c>
    </row>
    <row r="60" spans="1:4" ht="1.5" customHeight="1" thickBot="1" x14ac:dyDescent="0.3"/>
    <row r="61" spans="1:4" ht="31.5" customHeight="1" x14ac:dyDescent="0.25">
      <c r="A61" s="315" t="s">
        <v>202</v>
      </c>
      <c r="B61" s="316"/>
      <c r="C61" s="316"/>
      <c r="D61" s="317"/>
    </row>
    <row r="62" spans="1:4" x14ac:dyDescent="0.25">
      <c r="A62" s="116" t="s">
        <v>57</v>
      </c>
      <c r="B62" s="117" t="s">
        <v>39</v>
      </c>
      <c r="C62" s="118" t="s">
        <v>18</v>
      </c>
      <c r="D62" s="119" t="s">
        <v>39</v>
      </c>
    </row>
    <row r="63" spans="1:4" x14ac:dyDescent="0.25">
      <c r="A63" s="93">
        <v>31137</v>
      </c>
      <c r="B63" s="77">
        <f>A63/$F$18</f>
        <v>0.18605154195959114</v>
      </c>
      <c r="C63" s="51">
        <v>395798200.03000003</v>
      </c>
      <c r="D63" s="94">
        <f>C63/C72</f>
        <v>0.19391687100775967</v>
      </c>
    </row>
    <row r="64" spans="1:4" x14ac:dyDescent="0.25">
      <c r="A64" s="93">
        <v>59538</v>
      </c>
      <c r="B64" s="77">
        <f t="shared" ref="B64:B71" si="0">A64/$F$18</f>
        <v>0.35575478386453857</v>
      </c>
      <c r="C64" s="51">
        <v>514655292.12</v>
      </c>
      <c r="D64" s="94">
        <f>C64/C72</f>
        <v>0.25214956482351464</v>
      </c>
    </row>
    <row r="65" spans="1:4" x14ac:dyDescent="0.25">
      <c r="A65" s="93">
        <v>272</v>
      </c>
      <c r="B65" s="78">
        <f t="shared" si="0"/>
        <v>1.6252695960756909E-3</v>
      </c>
      <c r="C65" s="51">
        <v>4588034.25</v>
      </c>
      <c r="D65" s="95">
        <f>C65/C72</f>
        <v>2.2478557147783836E-3</v>
      </c>
    </row>
    <row r="66" spans="1:4" x14ac:dyDescent="0.25">
      <c r="A66" s="93">
        <v>165</v>
      </c>
      <c r="B66" s="78">
        <f t="shared" si="0"/>
        <v>9.8591721820768022E-4</v>
      </c>
      <c r="C66" s="51">
        <v>4769926.3500000006</v>
      </c>
      <c r="D66" s="95">
        <f>C66/C72</f>
        <v>2.3369717008802837E-3</v>
      </c>
    </row>
    <row r="67" spans="1:4" x14ac:dyDescent="0.25">
      <c r="A67" s="93">
        <v>291</v>
      </c>
      <c r="B67" s="78">
        <f t="shared" si="0"/>
        <v>1.7387994575662723E-3</v>
      </c>
      <c r="C67" s="51">
        <v>7859081.6799999997</v>
      </c>
      <c r="D67" s="95">
        <f>C67/C72</f>
        <v>3.8504685677309622E-3</v>
      </c>
    </row>
    <row r="68" spans="1:4" x14ac:dyDescent="0.25">
      <c r="A68" s="93">
        <v>18719</v>
      </c>
      <c r="B68" s="77">
        <f t="shared" si="0"/>
        <v>0.11185081459169433</v>
      </c>
      <c r="C68" s="51">
        <v>422264407.25999999</v>
      </c>
      <c r="D68" s="94">
        <f>C68/C72</f>
        <v>0.20688369120324193</v>
      </c>
    </row>
    <row r="69" spans="1:4" x14ac:dyDescent="0.25">
      <c r="A69" s="93">
        <v>21144</v>
      </c>
      <c r="B69" s="77">
        <f t="shared" si="0"/>
        <v>0.12634081007141326</v>
      </c>
      <c r="C69" s="51">
        <v>451598843.05000001</v>
      </c>
      <c r="D69" s="94">
        <f>C69/C72</f>
        <v>0.22125576768247726</v>
      </c>
    </row>
    <row r="70" spans="1:4" x14ac:dyDescent="0.25">
      <c r="A70" s="93">
        <v>9753</v>
      </c>
      <c r="B70" s="77">
        <f t="shared" si="0"/>
        <v>5.8276670479875788E-2</v>
      </c>
      <c r="C70" s="51">
        <v>58518000</v>
      </c>
      <c r="D70" s="94">
        <f>C70/C72</f>
        <v>2.8670235126819606E-2</v>
      </c>
    </row>
    <row r="71" spans="1:4" x14ac:dyDescent="0.25">
      <c r="A71" s="93">
        <v>17481</v>
      </c>
      <c r="B71" s="77">
        <f t="shared" si="0"/>
        <v>0.10445344782720277</v>
      </c>
      <c r="C71" s="51">
        <v>181019721.69</v>
      </c>
      <c r="D71" s="94">
        <f>C71/C72</f>
        <v>8.8688574172797213E-2</v>
      </c>
    </row>
    <row r="72" spans="1:4" ht="15.75" thickBot="1" x14ac:dyDescent="0.3">
      <c r="A72" s="96">
        <f t="shared" ref="A72:D72" si="1">SUM(A63:A71)</f>
        <v>158500</v>
      </c>
      <c r="B72" s="97">
        <f t="shared" si="1"/>
        <v>0.9470780550661656</v>
      </c>
      <c r="C72" s="98">
        <f t="shared" si="1"/>
        <v>2041071506.4300001</v>
      </c>
      <c r="D72" s="99">
        <f t="shared" si="1"/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AA71"/>
  <sheetViews>
    <sheetView showGridLines="0" topLeftCell="A25" zoomScale="80" zoomScaleNormal="80" workbookViewId="0">
      <selection activeCell="H73" sqref="H73"/>
    </sheetView>
  </sheetViews>
  <sheetFormatPr baseColWidth="10" defaultColWidth="11.42578125" defaultRowHeight="15" x14ac:dyDescent="0.25"/>
  <cols>
    <col min="1" max="1" width="27.7109375" style="1" customWidth="1"/>
    <col min="2" max="2" width="13.42578125" style="1" customWidth="1"/>
    <col min="3" max="3" width="15.7109375" style="1" customWidth="1"/>
    <col min="4" max="4" width="17.7109375" style="1" bestFit="1" customWidth="1"/>
    <col min="5" max="5" width="11.42578125" style="1"/>
    <col min="6" max="6" width="13.42578125" style="1" customWidth="1"/>
    <col min="7" max="7" width="15.7109375" style="1" customWidth="1"/>
    <col min="8" max="8" width="18.42578125" style="1" bestFit="1" customWidth="1"/>
    <col min="9" max="9" width="11.42578125" style="1"/>
    <col min="10" max="11" width="11.42578125" style="1" bestFit="1" customWidth="1"/>
    <col min="12" max="12" width="17.140625" style="1" bestFit="1" customWidth="1"/>
    <col min="13" max="13" width="13" style="1" customWidth="1"/>
    <col min="14" max="14" width="16" style="1" customWidth="1"/>
    <col min="15" max="15" width="12.140625" style="1" customWidth="1"/>
    <col min="16" max="16" width="15.140625" style="1" customWidth="1"/>
    <col min="17" max="17" width="11.42578125" style="1" customWidth="1"/>
    <col min="18" max="19" width="15.7109375" style="1" customWidth="1"/>
    <col min="20" max="20" width="18.42578125" style="1" bestFit="1" customWidth="1"/>
    <col min="21" max="21" width="19.7109375" style="1" customWidth="1"/>
    <col min="22" max="22" width="11.42578125" style="1"/>
    <col min="23" max="23" width="13.7109375" style="1" bestFit="1" customWidth="1"/>
    <col min="24" max="16384" width="11.42578125" style="1"/>
  </cols>
  <sheetData>
    <row r="1" spans="1:27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2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x14ac:dyDescent="0.2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</row>
    <row r="5" spans="1:27" x14ac:dyDescent="0.2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</row>
    <row r="6" spans="1:27" ht="15.75" customHeight="1" thickBot="1" x14ac:dyDescent="0.3">
      <c r="A6" s="323" t="s">
        <v>37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129"/>
      <c r="O6" s="129"/>
      <c r="P6" s="129"/>
      <c r="Q6"/>
      <c r="R6"/>
      <c r="S6"/>
    </row>
    <row r="7" spans="1:27" ht="31.5" customHeight="1" x14ac:dyDescent="0.25">
      <c r="A7" s="160"/>
      <c r="B7" s="318" t="s">
        <v>271</v>
      </c>
      <c r="C7" s="321"/>
      <c r="D7" s="321"/>
      <c r="E7" s="322"/>
      <c r="F7" s="318" t="s">
        <v>270</v>
      </c>
      <c r="G7" s="321"/>
      <c r="H7" s="321"/>
      <c r="I7" s="322"/>
      <c r="J7" s="318" t="s">
        <v>136</v>
      </c>
      <c r="K7" s="321"/>
      <c r="L7" s="321"/>
      <c r="M7" s="322"/>
      <c r="N7" s="161"/>
      <c r="O7" s="161"/>
      <c r="P7" s="161"/>
      <c r="Q7"/>
      <c r="R7"/>
      <c r="S7"/>
    </row>
    <row r="8" spans="1:27" ht="45" x14ac:dyDescent="0.25">
      <c r="A8" s="108" t="s">
        <v>38</v>
      </c>
      <c r="B8" s="162" t="s">
        <v>57</v>
      </c>
      <c r="C8" s="117" t="s">
        <v>39</v>
      </c>
      <c r="D8" s="117" t="s">
        <v>18</v>
      </c>
      <c r="E8" s="119" t="s">
        <v>39</v>
      </c>
      <c r="F8" s="162" t="s">
        <v>57</v>
      </c>
      <c r="G8" s="117" t="s">
        <v>39</v>
      </c>
      <c r="H8" s="117" t="s">
        <v>18</v>
      </c>
      <c r="I8" s="119" t="s">
        <v>39</v>
      </c>
      <c r="J8" s="163" t="s">
        <v>199</v>
      </c>
      <c r="K8" s="120" t="s">
        <v>201</v>
      </c>
      <c r="L8" s="120" t="s">
        <v>200</v>
      </c>
      <c r="M8" s="121" t="s">
        <v>201</v>
      </c>
      <c r="N8"/>
      <c r="O8"/>
      <c r="P8"/>
      <c r="Q8"/>
      <c r="R8"/>
      <c r="S8"/>
    </row>
    <row r="9" spans="1:27" x14ac:dyDescent="0.25">
      <c r="A9" s="100" t="s">
        <v>40</v>
      </c>
      <c r="B9" s="93">
        <v>31103</v>
      </c>
      <c r="C9" s="77">
        <f>B9/$B$18</f>
        <v>0.18142101364317753</v>
      </c>
      <c r="D9" s="165">
        <v>1368632905.6900001</v>
      </c>
      <c r="E9" s="77">
        <f>D9/D18</f>
        <v>0.18588574541587843</v>
      </c>
      <c r="F9" s="164">
        <v>32199</v>
      </c>
      <c r="G9" s="77">
        <f>F9/$F$18</f>
        <v>0.16381590996967785</v>
      </c>
      <c r="H9" s="165">
        <v>1506888435.25</v>
      </c>
      <c r="I9" s="94">
        <f>H9/H18</f>
        <v>0.17153832559809951</v>
      </c>
      <c r="J9" s="164">
        <f>+F9-B9</f>
        <v>1096</v>
      </c>
      <c r="K9" s="83">
        <f>+(F9-B9)/B9</f>
        <v>3.523775841558692E-2</v>
      </c>
      <c r="L9" s="165">
        <f>+H9-D9</f>
        <v>138255529.55999994</v>
      </c>
      <c r="M9" s="109">
        <f>+(H9-D9)/D9</f>
        <v>0.10101724793055303</v>
      </c>
      <c r="N9"/>
      <c r="O9"/>
      <c r="P9"/>
      <c r="Q9"/>
      <c r="R9"/>
      <c r="S9"/>
    </row>
    <row r="10" spans="1:27" x14ac:dyDescent="0.25">
      <c r="A10" s="101" t="s">
        <v>41</v>
      </c>
      <c r="B10" s="93">
        <v>61220</v>
      </c>
      <c r="C10" s="77">
        <f t="shared" ref="C10:C17" si="0">B10/$B$18</f>
        <v>0.35709077758529173</v>
      </c>
      <c r="D10" s="165">
        <v>1883566164.0599999</v>
      </c>
      <c r="E10" s="77">
        <f>D10/D18</f>
        <v>0.25582323718126726</v>
      </c>
      <c r="F10" s="164">
        <v>64416</v>
      </c>
      <c r="G10" s="77">
        <f t="shared" ref="G10:G17" si="1">F10/$F$18</f>
        <v>0.32772339689452368</v>
      </c>
      <c r="H10" s="165">
        <v>1986643385.1399999</v>
      </c>
      <c r="I10" s="94">
        <f>H10/H18</f>
        <v>0.22615176537002088</v>
      </c>
      <c r="J10" s="164">
        <f t="shared" ref="J10:J18" si="2">+F10-B10</f>
        <v>3196</v>
      </c>
      <c r="K10" s="83">
        <f t="shared" ref="K10:K18" si="3">+(F10-B10)/B10</f>
        <v>5.220516171185887E-2</v>
      </c>
      <c r="L10" s="165">
        <f t="shared" ref="L10:L18" si="4">+H10-D10</f>
        <v>103077221.07999992</v>
      </c>
      <c r="M10" s="109">
        <f t="shared" ref="M10:M18" si="5">+(H10-D10)/D10</f>
        <v>5.4724502407613042E-2</v>
      </c>
      <c r="N10"/>
      <c r="O10"/>
      <c r="P10"/>
      <c r="Q10"/>
      <c r="R10"/>
      <c r="S10"/>
    </row>
    <row r="11" spans="1:27" x14ac:dyDescent="0.25">
      <c r="A11" s="101" t="s">
        <v>42</v>
      </c>
      <c r="B11" s="93">
        <v>266</v>
      </c>
      <c r="C11" s="78">
        <f t="shared" si="0"/>
        <v>1.5515541789886899E-3</v>
      </c>
      <c r="D11" s="165">
        <v>13460123.25</v>
      </c>
      <c r="E11" s="78">
        <f>D11/D18</f>
        <v>1.8281345080289689E-3</v>
      </c>
      <c r="F11" s="164">
        <v>255</v>
      </c>
      <c r="G11" s="78">
        <f t="shared" si="1"/>
        <v>1.2973401982132318E-3</v>
      </c>
      <c r="H11" s="165">
        <v>22770450</v>
      </c>
      <c r="I11" s="95">
        <f>H11/H18</f>
        <v>2.5920995707072502E-3</v>
      </c>
      <c r="J11" s="164">
        <f t="shared" si="2"/>
        <v>-11</v>
      </c>
      <c r="K11" s="83">
        <f t="shared" si="3"/>
        <v>-4.1353383458646614E-2</v>
      </c>
      <c r="L11" s="165">
        <f t="shared" si="4"/>
        <v>9310326.75</v>
      </c>
      <c r="M11" s="109">
        <f t="shared" si="5"/>
        <v>0.6916969909618027</v>
      </c>
      <c r="N11"/>
      <c r="O11"/>
      <c r="P11"/>
      <c r="Q11"/>
      <c r="R11"/>
      <c r="S11"/>
    </row>
    <row r="12" spans="1:27" x14ac:dyDescent="0.25">
      <c r="A12" s="101" t="s">
        <v>117</v>
      </c>
      <c r="B12" s="93">
        <v>154</v>
      </c>
      <c r="C12" s="78">
        <f t="shared" si="0"/>
        <v>8.9826820888818889E-4</v>
      </c>
      <c r="D12" s="165">
        <v>13542287.620000001</v>
      </c>
      <c r="E12" s="78">
        <f>D12/D18</f>
        <v>1.8392939541452935E-3</v>
      </c>
      <c r="F12" s="164">
        <v>159</v>
      </c>
      <c r="G12" s="78">
        <f t="shared" si="1"/>
        <v>8.0892977065060334E-4</v>
      </c>
      <c r="H12" s="165">
        <v>23453003.200000003</v>
      </c>
      <c r="I12" s="95">
        <f>H12/H18</f>
        <v>2.6697987754530882E-3</v>
      </c>
      <c r="J12" s="164">
        <f t="shared" si="2"/>
        <v>5</v>
      </c>
      <c r="K12" s="83">
        <f t="shared" si="3"/>
        <v>3.2467532467532464E-2</v>
      </c>
      <c r="L12" s="165">
        <f t="shared" si="4"/>
        <v>9910715.5800000019</v>
      </c>
      <c r="M12" s="109">
        <f t="shared" si="5"/>
        <v>0.73183466915614082</v>
      </c>
      <c r="N12"/>
      <c r="O12"/>
      <c r="P12"/>
      <c r="Q12"/>
      <c r="R12"/>
      <c r="S12"/>
    </row>
    <row r="13" spans="1:27" x14ac:dyDescent="0.25">
      <c r="A13" s="101" t="s">
        <v>43</v>
      </c>
      <c r="B13" s="93">
        <v>257</v>
      </c>
      <c r="C13" s="78">
        <f>B13/$B$18</f>
        <v>1.4990579849627568E-3</v>
      </c>
      <c r="D13" s="165">
        <v>22664903.100000001</v>
      </c>
      <c r="E13" s="78">
        <f>D13/D18</f>
        <v>3.0783144187214446E-3</v>
      </c>
      <c r="F13" s="164">
        <v>250</v>
      </c>
      <c r="G13" s="78">
        <f t="shared" si="1"/>
        <v>1.2719021551110116E-3</v>
      </c>
      <c r="H13" s="165">
        <v>22722177.950000003</v>
      </c>
      <c r="I13" s="95">
        <f>H13/H18</f>
        <v>2.5866044680596455E-3</v>
      </c>
      <c r="J13" s="164">
        <f t="shared" si="2"/>
        <v>-7</v>
      </c>
      <c r="K13" s="83">
        <f t="shared" si="3"/>
        <v>-2.7237354085603113E-2</v>
      </c>
      <c r="L13" s="165">
        <f t="shared" si="4"/>
        <v>57274.85000000149</v>
      </c>
      <c r="M13" s="109">
        <f t="shared" si="5"/>
        <v>2.5270282315921961E-3</v>
      </c>
      <c r="N13"/>
      <c r="O13"/>
      <c r="P13"/>
      <c r="Q13"/>
      <c r="R13"/>
      <c r="S13"/>
    </row>
    <row r="14" spans="1:27" x14ac:dyDescent="0.25">
      <c r="A14" s="101" t="s">
        <v>44</v>
      </c>
      <c r="B14" s="93">
        <v>20523</v>
      </c>
      <c r="C14" s="77">
        <f t="shared" si="0"/>
        <v>0.11970882111046949</v>
      </c>
      <c r="D14" s="165">
        <v>1623729475.97</v>
      </c>
      <c r="E14" s="77">
        <f>D14/D18</f>
        <v>0.22053259331964523</v>
      </c>
      <c r="F14" s="164">
        <v>27655</v>
      </c>
      <c r="G14" s="77">
        <f t="shared" si="1"/>
        <v>0.14069781639838011</v>
      </c>
      <c r="H14" s="165">
        <v>2162742545.0599999</v>
      </c>
      <c r="I14" s="94">
        <f>H14/H18</f>
        <v>0.24619820963574859</v>
      </c>
      <c r="J14" s="164">
        <f t="shared" si="2"/>
        <v>7132</v>
      </c>
      <c r="K14" s="83">
        <f t="shared" si="3"/>
        <v>0.34751254689860156</v>
      </c>
      <c r="L14" s="165">
        <f>+H14-D14</f>
        <v>539013069.08999991</v>
      </c>
      <c r="M14" s="109">
        <f t="shared" si="5"/>
        <v>0.33195989668660714</v>
      </c>
      <c r="N14"/>
      <c r="O14"/>
      <c r="P14"/>
      <c r="Q14"/>
      <c r="R14"/>
      <c r="S14"/>
    </row>
    <row r="15" spans="1:27" x14ac:dyDescent="0.25">
      <c r="A15" s="101" t="s">
        <v>143</v>
      </c>
      <c r="B15" s="93">
        <v>21421</v>
      </c>
      <c r="C15" s="77">
        <f t="shared" si="0"/>
        <v>0.12494677469216815</v>
      </c>
      <c r="D15" s="165">
        <v>1451242238.04</v>
      </c>
      <c r="E15" s="77">
        <f>D15/D18</f>
        <v>0.19710562567620732</v>
      </c>
      <c r="F15" s="164">
        <v>24120</v>
      </c>
      <c r="G15" s="77">
        <f t="shared" si="1"/>
        <v>0.1227131199251104</v>
      </c>
      <c r="H15" s="165">
        <v>1879578487.76</v>
      </c>
      <c r="I15" s="94">
        <f>H15/H18</f>
        <v>0.21396391337164081</v>
      </c>
      <c r="J15" s="164">
        <f t="shared" si="2"/>
        <v>2699</v>
      </c>
      <c r="K15" s="83">
        <f t="shared" si="3"/>
        <v>0.12599785257457635</v>
      </c>
      <c r="L15" s="165">
        <f t="shared" si="4"/>
        <v>428336249.72000003</v>
      </c>
      <c r="M15" s="109">
        <f t="shared" si="5"/>
        <v>0.29515144921532666</v>
      </c>
      <c r="N15"/>
      <c r="O15"/>
      <c r="P15"/>
      <c r="Q15"/>
      <c r="R15"/>
      <c r="S15"/>
    </row>
    <row r="16" spans="1:27" x14ac:dyDescent="0.25">
      <c r="A16" s="101" t="s">
        <v>144</v>
      </c>
      <c r="B16" s="93">
        <v>18228</v>
      </c>
      <c r="C16" s="77">
        <f t="shared" si="0"/>
        <v>0.10632229163385655</v>
      </c>
      <c r="D16" s="165">
        <v>320286000</v>
      </c>
      <c r="E16" s="77">
        <f>D16/D18</f>
        <v>4.3500782137233872E-2</v>
      </c>
      <c r="F16" s="164">
        <v>28481</v>
      </c>
      <c r="G16" s="77">
        <f t="shared" si="1"/>
        <v>0.14490018111886688</v>
      </c>
      <c r="H16" s="165">
        <v>476496000</v>
      </c>
      <c r="I16" s="94">
        <f>H16/H18</f>
        <v>5.4242453576618901E-2</v>
      </c>
      <c r="J16" s="164">
        <f t="shared" si="2"/>
        <v>10253</v>
      </c>
      <c r="K16" s="83">
        <f t="shared" si="3"/>
        <v>0.5624862848365153</v>
      </c>
      <c r="L16" s="165">
        <f t="shared" si="4"/>
        <v>156210000</v>
      </c>
      <c r="M16" s="109">
        <f t="shared" si="5"/>
        <v>0.48772034993724361</v>
      </c>
      <c r="N16"/>
      <c r="O16"/>
      <c r="P16"/>
      <c r="Q16"/>
      <c r="R16"/>
      <c r="S16"/>
    </row>
    <row r="17" spans="1:27" x14ac:dyDescent="0.25">
      <c r="A17" s="101" t="s">
        <v>45</v>
      </c>
      <c r="B17" s="93">
        <v>18269</v>
      </c>
      <c r="C17" s="77">
        <f t="shared" si="0"/>
        <v>0.10656144096219691</v>
      </c>
      <c r="D17" s="165">
        <v>665640070.26999998</v>
      </c>
      <c r="E17" s="77">
        <f>D17/D18</f>
        <v>9.040627338887218E-2</v>
      </c>
      <c r="F17" s="164">
        <v>19021</v>
      </c>
      <c r="G17" s="77">
        <f t="shared" si="1"/>
        <v>9.6771403569466202E-2</v>
      </c>
      <c r="H17" s="165">
        <v>703263893.46000004</v>
      </c>
      <c r="I17" s="94">
        <f>H17/H18</f>
        <v>8.0056829633651308E-2</v>
      </c>
      <c r="J17" s="164">
        <f t="shared" si="2"/>
        <v>752</v>
      </c>
      <c r="K17" s="83">
        <f t="shared" si="3"/>
        <v>4.1162625212107944E-2</v>
      </c>
      <c r="L17" s="165">
        <f t="shared" si="4"/>
        <v>37623823.190000057</v>
      </c>
      <c r="M17" s="109">
        <f t="shared" si="5"/>
        <v>5.6522773899021599E-2</v>
      </c>
      <c r="N17"/>
      <c r="O17"/>
      <c r="P17"/>
      <c r="Q17"/>
      <c r="R17"/>
      <c r="S17"/>
    </row>
    <row r="18" spans="1:27" ht="15.75" thickBot="1" x14ac:dyDescent="0.3">
      <c r="A18" s="102" t="s">
        <v>46</v>
      </c>
      <c r="B18" s="96">
        <f t="shared" ref="B18:I18" si="6">SUM(B9:B17)</f>
        <v>171441</v>
      </c>
      <c r="C18" s="97">
        <f t="shared" si="6"/>
        <v>0.99999999999999989</v>
      </c>
      <c r="D18" s="98">
        <f t="shared" si="6"/>
        <v>7362764168</v>
      </c>
      <c r="E18" s="99">
        <f t="shared" si="6"/>
        <v>0.99999999999999989</v>
      </c>
      <c r="F18" s="96">
        <f t="shared" si="6"/>
        <v>196556</v>
      </c>
      <c r="G18" s="97">
        <f t="shared" si="6"/>
        <v>1</v>
      </c>
      <c r="H18" s="250">
        <f>SUM(H9:H17)</f>
        <v>8784558377.8199997</v>
      </c>
      <c r="I18" s="99">
        <f t="shared" si="6"/>
        <v>1</v>
      </c>
      <c r="J18" s="96">
        <f t="shared" si="2"/>
        <v>25115</v>
      </c>
      <c r="K18" s="97">
        <f t="shared" si="3"/>
        <v>0.14649354588459004</v>
      </c>
      <c r="L18" s="98">
        <f t="shared" si="4"/>
        <v>1421794209.8199997</v>
      </c>
      <c r="M18" s="99">
        <f t="shared" si="5"/>
        <v>0.19310603699618586</v>
      </c>
      <c r="N18" s="166"/>
      <c r="O18"/>
      <c r="P18"/>
      <c r="Q18"/>
      <c r="R18"/>
      <c r="S18"/>
    </row>
    <row r="19" spans="1:27" ht="14.25" customHeight="1" x14ac:dyDescent="0.25">
      <c r="A19" s="324" t="s">
        <v>249</v>
      </c>
      <c r="B19" s="324"/>
      <c r="C19" s="324"/>
      <c r="D19" s="324"/>
      <c r="E19" s="324"/>
      <c r="F19" s="324"/>
      <c r="G19" s="324"/>
      <c r="H19" s="324"/>
      <c r="I19" s="324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/>
      <c r="W19"/>
      <c r="X19"/>
      <c r="Y19"/>
      <c r="Z19"/>
      <c r="AA19"/>
    </row>
    <row r="20" spans="1:27" x14ac:dyDescent="0.25">
      <c r="A20" s="139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5">
      <c r="A21"/>
      <c r="B21" s="24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25">
      <c r="A22"/>
      <c r="B22" s="249"/>
      <c r="C22" s="74"/>
      <c r="D22"/>
      <c r="E22"/>
      <c r="F22" s="74"/>
      <c r="G22"/>
      <c r="H22" s="7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25">
      <c r="A23"/>
      <c r="B23" s="249"/>
      <c r="C23"/>
      <c r="D23"/>
      <c r="E23"/>
      <c r="F23"/>
      <c r="G23" s="74"/>
      <c r="H23" s="24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25">
      <c r="A24"/>
      <c r="B24" s="32"/>
      <c r="C24"/>
      <c r="D24" s="249"/>
      <c r="E24"/>
      <c r="F24" s="176"/>
      <c r="G24" s="74"/>
      <c r="H24" s="16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25">
      <c r="A25"/>
      <c r="B25"/>
      <c r="C25"/>
      <c r="D25"/>
      <c r="E25"/>
      <c r="F25" s="165"/>
      <c r="G25" s="17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5">
      <c r="A26"/>
      <c r="B26" s="32"/>
      <c r="C26"/>
      <c r="D26" s="176"/>
      <c r="E26" s="125"/>
      <c r="F26" s="125"/>
      <c r="G26" s="176"/>
      <c r="H26" s="125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25">
      <c r="A27"/>
      <c r="B27"/>
      <c r="C27"/>
      <c r="D27"/>
      <c r="E27"/>
      <c r="F27"/>
      <c r="G27" s="176"/>
      <c r="H27" s="7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 thickBot="1" x14ac:dyDescent="0.3">
      <c r="A29" s="323" t="s">
        <v>55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/>
      <c r="O29"/>
      <c r="P29"/>
      <c r="Q29"/>
      <c r="R29"/>
    </row>
    <row r="30" spans="1:27" ht="34.5" customHeight="1" x14ac:dyDescent="0.25">
      <c r="A30" s="160"/>
      <c r="B30" s="318" t="s">
        <v>271</v>
      </c>
      <c r="C30" s="321"/>
      <c r="D30" s="321"/>
      <c r="E30" s="322"/>
      <c r="F30" s="318" t="s">
        <v>270</v>
      </c>
      <c r="G30" s="321"/>
      <c r="H30" s="321"/>
      <c r="I30" s="322"/>
      <c r="J30" s="321" t="s">
        <v>136</v>
      </c>
      <c r="K30" s="319"/>
      <c r="L30" s="319"/>
      <c r="M30" s="320"/>
      <c r="N30"/>
      <c r="O30"/>
      <c r="P30"/>
      <c r="Q30"/>
      <c r="R30"/>
      <c r="S30"/>
    </row>
    <row r="31" spans="1:27" ht="45" x14ac:dyDescent="0.25">
      <c r="A31" s="106" t="s">
        <v>56</v>
      </c>
      <c r="B31" s="168" t="s">
        <v>57</v>
      </c>
      <c r="C31" s="54" t="s">
        <v>39</v>
      </c>
      <c r="D31" s="54" t="s">
        <v>18</v>
      </c>
      <c r="E31" s="92" t="s">
        <v>39</v>
      </c>
      <c r="F31" s="54" t="s">
        <v>57</v>
      </c>
      <c r="G31" s="54" t="s">
        <v>39</v>
      </c>
      <c r="H31" s="54" t="s">
        <v>18</v>
      </c>
      <c r="I31" s="92" t="s">
        <v>39</v>
      </c>
      <c r="J31" s="120" t="s">
        <v>199</v>
      </c>
      <c r="K31" s="120" t="s">
        <v>201</v>
      </c>
      <c r="L31" s="120" t="s">
        <v>200</v>
      </c>
      <c r="M31" s="121" t="s">
        <v>201</v>
      </c>
      <c r="N31"/>
      <c r="O31"/>
      <c r="P31"/>
      <c r="Q31"/>
      <c r="R31"/>
      <c r="S31"/>
    </row>
    <row r="32" spans="1:27" x14ac:dyDescent="0.25">
      <c r="A32" s="107" t="s">
        <v>58</v>
      </c>
      <c r="B32" s="201">
        <v>37</v>
      </c>
      <c r="C32" s="83">
        <f>B32/$B$45</f>
        <v>2.4663378216237833E-4</v>
      </c>
      <c r="D32" s="169">
        <v>515546.37</v>
      </c>
      <c r="E32" s="122">
        <f>D32/D45</f>
        <v>8.7210430090291235E-5</v>
      </c>
      <c r="F32" s="165">
        <v>35</v>
      </c>
      <c r="G32" s="83">
        <f>F32/$F$45</f>
        <v>2.0297385696722262E-4</v>
      </c>
      <c r="H32" s="165">
        <v>507379.04</v>
      </c>
      <c r="I32" s="109">
        <f>H32/H45</f>
        <v>7.3480161865553412E-5</v>
      </c>
      <c r="J32" s="165">
        <f>+F32-B32</f>
        <v>-2</v>
      </c>
      <c r="K32" s="83">
        <f>+(F32-B32)/B32</f>
        <v>-5.4054054054054057E-2</v>
      </c>
      <c r="L32" s="165">
        <f>+H32-D32</f>
        <v>-8167.3300000000163</v>
      </c>
      <c r="M32" s="122">
        <f>+(H32-D32)/D32</f>
        <v>-1.5842086134754504E-2</v>
      </c>
      <c r="N32"/>
      <c r="O32"/>
      <c r="P32"/>
      <c r="Q32"/>
      <c r="R32"/>
      <c r="S32"/>
    </row>
    <row r="33" spans="1:27" x14ac:dyDescent="0.25">
      <c r="A33" s="107" t="s">
        <v>59</v>
      </c>
      <c r="B33" s="201">
        <v>1</v>
      </c>
      <c r="C33" s="83">
        <f t="shared" ref="C33:C44" si="7">B33/$B$45</f>
        <v>6.6657778962804959E-6</v>
      </c>
      <c r="D33" s="169">
        <v>10235</v>
      </c>
      <c r="E33" s="122">
        <f>D33/D45</f>
        <v>1.731364633552033E-6</v>
      </c>
      <c r="F33" s="165">
        <v>0</v>
      </c>
      <c r="G33" s="85">
        <f>F33/$F$45</f>
        <v>0</v>
      </c>
      <c r="H33" s="165">
        <v>0</v>
      </c>
      <c r="I33" s="110">
        <f>H33/H45</f>
        <v>0</v>
      </c>
      <c r="J33" s="165">
        <f t="shared" ref="J33:J45" si="8">+F33-B33</f>
        <v>-1</v>
      </c>
      <c r="K33" s="83">
        <f t="shared" ref="K33:K45" si="9">+(F33-B33)/B33</f>
        <v>-1</v>
      </c>
      <c r="L33" s="165">
        <f>+H33-D33</f>
        <v>-10235</v>
      </c>
      <c r="M33" s="122">
        <f t="shared" ref="M33:M45" si="10">+(H33-D33)/D33</f>
        <v>-1</v>
      </c>
      <c r="N33"/>
      <c r="O33"/>
      <c r="P33"/>
      <c r="Q33"/>
      <c r="R33"/>
      <c r="S33"/>
    </row>
    <row r="34" spans="1:27" x14ac:dyDescent="0.25">
      <c r="A34" s="108" t="s">
        <v>93</v>
      </c>
      <c r="B34" s="201">
        <v>18248</v>
      </c>
      <c r="C34" s="83">
        <f t="shared" si="7"/>
        <v>0.12163711505132649</v>
      </c>
      <c r="D34" s="169">
        <v>320667997.75</v>
      </c>
      <c r="E34" s="122">
        <f>D34/D45</f>
        <v>5.4244575516980247E-2</v>
      </c>
      <c r="F34" s="165">
        <f>13+F16</f>
        <v>28494</v>
      </c>
      <c r="G34" s="83">
        <f>F34/$F$45</f>
        <v>0.16524391658354404</v>
      </c>
      <c r="H34" s="165">
        <f>300149.37+H16</f>
        <v>476796149.37</v>
      </c>
      <c r="I34" s="94">
        <f>H34/H45</f>
        <v>6.90510554645304E-2</v>
      </c>
      <c r="J34" s="165">
        <f t="shared" si="8"/>
        <v>10246</v>
      </c>
      <c r="K34" s="83">
        <f t="shared" si="9"/>
        <v>0.56148619026742652</v>
      </c>
      <c r="L34" s="165">
        <f t="shared" ref="L34:L45" si="11">+H34-D34</f>
        <v>156128151.62</v>
      </c>
      <c r="M34" s="122">
        <f t="shared" si="10"/>
        <v>0.48688410666324439</v>
      </c>
      <c r="N34"/>
      <c r="O34"/>
      <c r="P34"/>
      <c r="Q34"/>
      <c r="R34"/>
      <c r="S34"/>
    </row>
    <row r="35" spans="1:27" x14ac:dyDescent="0.25">
      <c r="A35" s="108" t="s">
        <v>92</v>
      </c>
      <c r="B35" s="201">
        <v>114775</v>
      </c>
      <c r="C35" s="83">
        <f t="shared" si="7"/>
        <v>0.76506465804559387</v>
      </c>
      <c r="D35" s="169">
        <v>3566111614.25</v>
      </c>
      <c r="E35" s="122">
        <f>D35/D45</f>
        <v>0.60324763343542742</v>
      </c>
      <c r="F35" s="165">
        <v>121168</v>
      </c>
      <c r="G35" s="83">
        <f t="shared" ref="G35:G44" si="12">F35/$F$45</f>
        <v>0.70268389431441225</v>
      </c>
      <c r="H35" s="165">
        <v>3757304665.5199995</v>
      </c>
      <c r="I35" s="94">
        <f>H35/H45</f>
        <v>0.54414418656436536</v>
      </c>
      <c r="J35" s="165">
        <f t="shared" si="8"/>
        <v>6393</v>
      </c>
      <c r="K35" s="83">
        <f t="shared" si="9"/>
        <v>5.5700283162709648E-2</v>
      </c>
      <c r="L35" s="165">
        <f t="shared" si="11"/>
        <v>191193051.2699995</v>
      </c>
      <c r="M35" s="122">
        <f t="shared" si="10"/>
        <v>5.3613871900700424E-2</v>
      </c>
      <c r="N35"/>
      <c r="O35"/>
      <c r="P35"/>
      <c r="Q35"/>
      <c r="R35"/>
      <c r="S35"/>
    </row>
    <row r="36" spans="1:27" ht="15" customHeight="1" x14ac:dyDescent="0.25">
      <c r="A36" s="108" t="s">
        <v>94</v>
      </c>
      <c r="B36" s="201">
        <v>6704</v>
      </c>
      <c r="C36" s="83">
        <f t="shared" si="7"/>
        <v>4.4687375016664442E-2</v>
      </c>
      <c r="D36" s="169">
        <v>483581746.31</v>
      </c>
      <c r="E36" s="122">
        <f>D36/D45</f>
        <v>8.1803256765262858E-2</v>
      </c>
      <c r="F36" s="165">
        <v>8817</v>
      </c>
      <c r="G36" s="83">
        <f t="shared" si="12"/>
        <v>5.1132014196571485E-2</v>
      </c>
      <c r="H36" s="165">
        <v>610457118.84000003</v>
      </c>
      <c r="I36" s="94">
        <f>H36/H45</f>
        <v>8.8408239931122456E-2</v>
      </c>
      <c r="J36" s="165">
        <f t="shared" si="8"/>
        <v>2113</v>
      </c>
      <c r="K36" s="83">
        <f t="shared" si="9"/>
        <v>0.31518496420047731</v>
      </c>
      <c r="L36" s="165">
        <f t="shared" si="11"/>
        <v>126875372.53000003</v>
      </c>
      <c r="M36" s="122">
        <f t="shared" si="10"/>
        <v>0.26236592571603518</v>
      </c>
      <c r="N36"/>
      <c r="O36"/>
      <c r="P36"/>
      <c r="Q36"/>
      <c r="R36"/>
      <c r="S36"/>
    </row>
    <row r="37" spans="1:27" x14ac:dyDescent="0.25">
      <c r="A37" s="108" t="s">
        <v>95</v>
      </c>
      <c r="B37" s="201">
        <v>3603</v>
      </c>
      <c r="C37" s="83">
        <f t="shared" si="7"/>
        <v>2.4016797760298626E-2</v>
      </c>
      <c r="D37" s="169">
        <v>359234657.25999999</v>
      </c>
      <c r="E37" s="122">
        <f>D37/D45</f>
        <v>6.076855698350269E-2</v>
      </c>
      <c r="F37" s="165">
        <v>5116</v>
      </c>
      <c r="G37" s="83">
        <f t="shared" si="12"/>
        <v>2.9668978635551742E-2</v>
      </c>
      <c r="H37" s="165">
        <v>505233848.44999999</v>
      </c>
      <c r="I37" s="94">
        <f>H37/H45</f>
        <v>7.3169488759453852E-2</v>
      </c>
      <c r="J37" s="165">
        <f t="shared" si="8"/>
        <v>1513</v>
      </c>
      <c r="K37" s="83">
        <f t="shared" si="9"/>
        <v>0.41992783791285038</v>
      </c>
      <c r="L37" s="165">
        <f t="shared" si="11"/>
        <v>145999191.19</v>
      </c>
      <c r="M37" s="122">
        <f t="shared" si="10"/>
        <v>0.40641733262481827</v>
      </c>
      <c r="N37"/>
      <c r="O37"/>
      <c r="P37"/>
      <c r="Q37"/>
      <c r="R37"/>
      <c r="S37"/>
    </row>
    <row r="38" spans="1:27" x14ac:dyDescent="0.25">
      <c r="A38" s="108" t="s">
        <v>96</v>
      </c>
      <c r="B38" s="201">
        <v>2002</v>
      </c>
      <c r="C38" s="83">
        <f t="shared" si="7"/>
        <v>1.3344887348353552E-2</v>
      </c>
      <c r="D38" s="169">
        <v>255220751.20000002</v>
      </c>
      <c r="E38" s="122">
        <f>D38/D45</f>
        <v>4.3173442342575731E-2</v>
      </c>
      <c r="F38" s="165">
        <v>2264</v>
      </c>
      <c r="G38" s="83">
        <f t="shared" si="12"/>
        <v>1.3129508919251201E-2</v>
      </c>
      <c r="H38" s="165">
        <v>287213827.44</v>
      </c>
      <c r="I38" s="94">
        <f>H38/H45</f>
        <v>4.1595172181957553E-2</v>
      </c>
      <c r="J38" s="165">
        <f t="shared" si="8"/>
        <v>262</v>
      </c>
      <c r="K38" s="83">
        <f t="shared" si="9"/>
        <v>0.13086913086913088</v>
      </c>
      <c r="L38" s="165">
        <f t="shared" si="11"/>
        <v>31993076.23999998</v>
      </c>
      <c r="M38" s="122">
        <f t="shared" si="10"/>
        <v>0.12535452579609827</v>
      </c>
      <c r="N38"/>
      <c r="O38"/>
      <c r="P38"/>
      <c r="Q38"/>
      <c r="R38"/>
      <c r="S38"/>
    </row>
    <row r="39" spans="1:27" x14ac:dyDescent="0.25">
      <c r="A39" s="108" t="s">
        <v>97</v>
      </c>
      <c r="B39" s="201">
        <v>2387</v>
      </c>
      <c r="C39" s="83">
        <f t="shared" si="7"/>
        <v>1.5911211838421545E-2</v>
      </c>
      <c r="D39" s="169">
        <v>358526631.28999996</v>
      </c>
      <c r="E39" s="122">
        <f>D39/D45</f>
        <v>6.0648786477973192E-2</v>
      </c>
      <c r="F39" s="165">
        <v>3515</v>
      </c>
      <c r="G39" s="83">
        <f t="shared" si="12"/>
        <v>2.0384374492565357E-2</v>
      </c>
      <c r="H39" s="165">
        <v>524500184.10000002</v>
      </c>
      <c r="I39" s="94">
        <f>H39/H45</f>
        <v>7.595969755900947E-2</v>
      </c>
      <c r="J39" s="165">
        <f t="shared" si="8"/>
        <v>1128</v>
      </c>
      <c r="K39" s="83">
        <f t="shared" si="9"/>
        <v>0.47255969836614997</v>
      </c>
      <c r="L39" s="165">
        <f t="shared" si="11"/>
        <v>165973552.81000006</v>
      </c>
      <c r="M39" s="122">
        <f t="shared" si="10"/>
        <v>0.46293228542833048</v>
      </c>
      <c r="N39"/>
      <c r="O39"/>
      <c r="P39"/>
      <c r="Q39"/>
      <c r="R39"/>
      <c r="S39"/>
    </row>
    <row r="40" spans="1:27" x14ac:dyDescent="0.25">
      <c r="A40" s="108" t="s">
        <v>98</v>
      </c>
      <c r="B40" s="201">
        <v>767</v>
      </c>
      <c r="C40" s="83">
        <f t="shared" si="7"/>
        <v>5.1126516464471408E-3</v>
      </c>
      <c r="D40" s="169">
        <v>144852887.40000001</v>
      </c>
      <c r="E40" s="122">
        <f>D40/D45</f>
        <v>2.4503484739839265E-2</v>
      </c>
      <c r="F40" s="165">
        <v>974</v>
      </c>
      <c r="G40" s="83">
        <f t="shared" si="12"/>
        <v>5.6484724767449949E-3</v>
      </c>
      <c r="H40" s="165">
        <v>185433663.54000002</v>
      </c>
      <c r="I40" s="94">
        <f>H40/H45</f>
        <v>2.6855062070048799E-2</v>
      </c>
      <c r="J40" s="165">
        <f t="shared" si="8"/>
        <v>207</v>
      </c>
      <c r="K40" s="83">
        <f t="shared" si="9"/>
        <v>0.26988265971316816</v>
      </c>
      <c r="L40" s="165">
        <f t="shared" si="11"/>
        <v>40580776.140000015</v>
      </c>
      <c r="M40" s="122">
        <f t="shared" si="10"/>
        <v>0.28015165502320538</v>
      </c>
      <c r="N40"/>
      <c r="O40"/>
      <c r="P40"/>
      <c r="Q40"/>
      <c r="R40"/>
      <c r="S40"/>
    </row>
    <row r="41" spans="1:27" ht="15" customHeight="1" x14ac:dyDescent="0.25">
      <c r="A41" s="108" t="s">
        <v>99</v>
      </c>
      <c r="B41" s="201">
        <v>399</v>
      </c>
      <c r="C41" s="83">
        <f t="shared" si="7"/>
        <v>2.6596453806159177E-3</v>
      </c>
      <c r="D41" s="169">
        <v>86041751.370000005</v>
      </c>
      <c r="E41" s="122">
        <f>D41/D45</f>
        <v>1.4554923823243301E-2</v>
      </c>
      <c r="F41" s="165">
        <v>575</v>
      </c>
      <c r="G41" s="83">
        <f t="shared" si="12"/>
        <v>3.3345705073186574E-3</v>
      </c>
      <c r="H41" s="165">
        <v>117944175.16</v>
      </c>
      <c r="I41" s="94">
        <f>H41/H45</f>
        <v>1.7081030942578915E-2</v>
      </c>
      <c r="J41" s="165">
        <f t="shared" si="8"/>
        <v>176</v>
      </c>
      <c r="K41" s="83">
        <f t="shared" si="9"/>
        <v>0.44110275689223055</v>
      </c>
      <c r="L41" s="165">
        <f t="shared" si="11"/>
        <v>31902423.789999992</v>
      </c>
      <c r="M41" s="122">
        <f t="shared" si="10"/>
        <v>0.37077841027214775</v>
      </c>
      <c r="N41"/>
      <c r="O41"/>
      <c r="P41"/>
      <c r="Q41"/>
      <c r="R41"/>
      <c r="S41"/>
    </row>
    <row r="42" spans="1:27" x14ac:dyDescent="0.25">
      <c r="A42" s="108" t="s">
        <v>100</v>
      </c>
      <c r="B42" s="201">
        <v>405</v>
      </c>
      <c r="C42" s="83">
        <f t="shared" si="7"/>
        <v>2.699640047993601E-3</v>
      </c>
      <c r="D42" s="169">
        <v>98152950.609999999</v>
      </c>
      <c r="E42" s="122">
        <f>D42/D45</f>
        <v>1.6603668526129305E-2</v>
      </c>
      <c r="F42" s="165">
        <v>614</v>
      </c>
      <c r="G42" s="83">
        <f t="shared" si="12"/>
        <v>3.5607413765107055E-3</v>
      </c>
      <c r="H42" s="165">
        <v>142943487.50999999</v>
      </c>
      <c r="I42" s="94">
        <f>H42/H45</f>
        <v>2.0701506707611558E-2</v>
      </c>
      <c r="J42" s="165">
        <f t="shared" si="8"/>
        <v>209</v>
      </c>
      <c r="K42" s="83">
        <f t="shared" si="9"/>
        <v>0.51604938271604939</v>
      </c>
      <c r="L42" s="165">
        <f t="shared" si="11"/>
        <v>44790536.899999991</v>
      </c>
      <c r="M42" s="122">
        <f t="shared" si="10"/>
        <v>0.45633408493210037</v>
      </c>
      <c r="N42"/>
      <c r="O42"/>
      <c r="P42"/>
      <c r="Q42"/>
      <c r="R42"/>
      <c r="S42"/>
    </row>
    <row r="43" spans="1:27" x14ac:dyDescent="0.25">
      <c r="A43" s="108" t="s">
        <v>101</v>
      </c>
      <c r="B43" s="201">
        <v>320</v>
      </c>
      <c r="C43" s="83">
        <f t="shared" si="7"/>
        <v>2.1330489268097585E-3</v>
      </c>
      <c r="D43" s="169">
        <v>91831318.870000005</v>
      </c>
      <c r="E43" s="122">
        <f>D43/D45</f>
        <v>1.5534293868486315E-2</v>
      </c>
      <c r="F43" s="165">
        <v>386</v>
      </c>
      <c r="G43" s="83">
        <f t="shared" si="12"/>
        <v>2.2385116796956551E-3</v>
      </c>
      <c r="H43" s="165">
        <v>105976702.34999999</v>
      </c>
      <c r="I43" s="94">
        <f>H43/H45</f>
        <v>1.5347865459037439E-2</v>
      </c>
      <c r="J43" s="165">
        <f t="shared" si="8"/>
        <v>66</v>
      </c>
      <c r="K43" s="83">
        <f t="shared" si="9"/>
        <v>0.20624999999999999</v>
      </c>
      <c r="L43" s="165">
        <f t="shared" si="11"/>
        <v>14145383.479999989</v>
      </c>
      <c r="M43" s="122">
        <f t="shared" si="10"/>
        <v>0.15403659289729624</v>
      </c>
      <c r="N43"/>
      <c r="O43"/>
      <c r="P43"/>
      <c r="Q43"/>
      <c r="R43"/>
      <c r="S43"/>
    </row>
    <row r="44" spans="1:27" x14ac:dyDescent="0.25">
      <c r="A44" s="108" t="s">
        <v>60</v>
      </c>
      <c r="B44" s="201">
        <v>372</v>
      </c>
      <c r="C44" s="83">
        <f t="shared" si="7"/>
        <v>2.4796693774163446E-3</v>
      </c>
      <c r="D44" s="169">
        <v>146773842.28</v>
      </c>
      <c r="E44" s="122">
        <f>D44/D45</f>
        <v>2.4828435725855993E-2</v>
      </c>
      <c r="F44" s="165">
        <v>478</v>
      </c>
      <c r="G44" s="83">
        <f t="shared" si="12"/>
        <v>2.7720429608666403E-3</v>
      </c>
      <c r="H44" s="165">
        <v>190668688.74000001</v>
      </c>
      <c r="I44" s="95">
        <f>H44/H45</f>
        <v>2.7613214198418647E-2</v>
      </c>
      <c r="J44" s="165">
        <f t="shared" si="8"/>
        <v>106</v>
      </c>
      <c r="K44" s="83">
        <f t="shared" si="9"/>
        <v>0.28494623655913981</v>
      </c>
      <c r="L44" s="165">
        <f t="shared" si="11"/>
        <v>43894846.460000008</v>
      </c>
      <c r="M44" s="122">
        <f t="shared" si="10"/>
        <v>0.29906450480639424</v>
      </c>
      <c r="N44"/>
      <c r="O44"/>
      <c r="P44"/>
      <c r="Q44"/>
      <c r="R44"/>
      <c r="S44"/>
    </row>
    <row r="45" spans="1:27" ht="15.75" thickBot="1" x14ac:dyDescent="0.3">
      <c r="A45" s="102" t="s">
        <v>46</v>
      </c>
      <c r="B45" s="96">
        <f t="shared" ref="B45:I45" si="13">SUM(B32:B44)</f>
        <v>150020</v>
      </c>
      <c r="C45" s="97">
        <f t="shared" si="13"/>
        <v>1</v>
      </c>
      <c r="D45" s="98">
        <f>SUM(D32:D44)</f>
        <v>5911521929.9599991</v>
      </c>
      <c r="E45" s="99">
        <f t="shared" si="13"/>
        <v>1</v>
      </c>
      <c r="F45" s="250">
        <f t="shared" si="13"/>
        <v>172436</v>
      </c>
      <c r="G45" s="97">
        <f t="shared" si="13"/>
        <v>1.0000000000000002</v>
      </c>
      <c r="H45" s="250">
        <f>SUM(H32:H44)</f>
        <v>6904979890.0599995</v>
      </c>
      <c r="I45" s="99">
        <f t="shared" si="13"/>
        <v>1</v>
      </c>
      <c r="J45" s="98">
        <f t="shared" si="8"/>
        <v>22416</v>
      </c>
      <c r="K45" s="97">
        <f t="shared" si="9"/>
        <v>0.14942007732302359</v>
      </c>
      <c r="L45" s="98">
        <f t="shared" si="11"/>
        <v>993457960.10000038</v>
      </c>
      <c r="M45" s="99">
        <f t="shared" si="10"/>
        <v>0.16805451656452244</v>
      </c>
      <c r="N45"/>
      <c r="O45" s="74"/>
      <c r="P45" s="74"/>
      <c r="Q45"/>
      <c r="R45"/>
      <c r="S45"/>
    </row>
    <row r="46" spans="1:27" ht="13.5" customHeight="1" x14ac:dyDescent="0.25">
      <c r="A46" s="170" t="s">
        <v>272</v>
      </c>
      <c r="B46" s="135"/>
      <c r="C46" s="135"/>
      <c r="D46" s="135"/>
      <c r="E46"/>
      <c r="F46" s="135"/>
      <c r="G46" s="135"/>
      <c r="H46" s="135"/>
      <c r="I46"/>
      <c r="J46"/>
      <c r="K46"/>
      <c r="L46"/>
      <c r="M46"/>
      <c r="N46"/>
      <c r="O46"/>
      <c r="P46"/>
      <c r="Q46"/>
      <c r="R46" s="135"/>
      <c r="S46" s="135"/>
      <c r="T46" s="135"/>
      <c r="U46"/>
      <c r="V46"/>
      <c r="W46"/>
      <c r="X46"/>
      <c r="Y46"/>
      <c r="Z46"/>
      <c r="AA46"/>
    </row>
    <row r="47" spans="1:27" ht="13.5" customHeight="1" x14ac:dyDescent="0.25">
      <c r="A47" s="170" t="s">
        <v>247</v>
      </c>
      <c r="B47" s="135"/>
      <c r="C47" s="135"/>
      <c r="D47" s="135"/>
      <c r="E47"/>
      <c r="F47" s="74"/>
      <c r="G47"/>
      <c r="H47" s="74"/>
      <c r="I47"/>
      <c r="J47"/>
      <c r="K47"/>
      <c r="L47"/>
      <c r="M47"/>
      <c r="N47"/>
      <c r="O47"/>
      <c r="P47"/>
      <c r="Q47"/>
      <c r="R47" s="135"/>
      <c r="S47" s="135"/>
      <c r="T47" s="135"/>
      <c r="U47"/>
      <c r="V47"/>
      <c r="W47"/>
      <c r="X47"/>
      <c r="Y47"/>
      <c r="Z47"/>
      <c r="AA47"/>
    </row>
    <row r="48" spans="1:27" ht="14.25" customHeight="1" x14ac:dyDescent="0.25">
      <c r="A48" s="139" t="s">
        <v>248</v>
      </c>
      <c r="B48"/>
      <c r="C48"/>
      <c r="D48"/>
      <c r="E48"/>
      <c r="F48"/>
      <c r="G48"/>
      <c r="H48"/>
      <c r="I48"/>
      <c r="J48"/>
      <c r="K48"/>
      <c r="L48" s="74"/>
      <c r="M48" s="74"/>
      <c r="N48" s="74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/>
      <c r="B49"/>
      <c r="C49"/>
      <c r="D49"/>
      <c r="E49"/>
      <c r="F49" s="74"/>
      <c r="G49"/>
      <c r="H49" s="74"/>
      <c r="I49"/>
      <c r="J49"/>
      <c r="K49"/>
      <c r="L49"/>
      <c r="M49" s="169"/>
      <c r="N49" s="105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6.5" thickBot="1" x14ac:dyDescent="0.3">
      <c r="A51" s="323" t="s">
        <v>61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/>
      <c r="O51"/>
      <c r="P51"/>
      <c r="Q51"/>
      <c r="R51"/>
      <c r="S51"/>
    </row>
    <row r="52" spans="1:27" ht="33" customHeight="1" x14ac:dyDescent="0.25">
      <c r="A52" s="160"/>
      <c r="B52" s="318" t="s">
        <v>271</v>
      </c>
      <c r="C52" s="321"/>
      <c r="D52" s="321"/>
      <c r="E52" s="322"/>
      <c r="F52" s="318" t="s">
        <v>270</v>
      </c>
      <c r="G52" s="321"/>
      <c r="H52" s="321"/>
      <c r="I52" s="322"/>
      <c r="J52" s="318" t="s">
        <v>136</v>
      </c>
      <c r="K52" s="319"/>
      <c r="L52" s="319"/>
      <c r="M52" s="320"/>
      <c r="N52"/>
      <c r="O52"/>
      <c r="P52"/>
      <c r="Q52"/>
      <c r="R52"/>
      <c r="S52"/>
    </row>
    <row r="53" spans="1:27" ht="45" x14ac:dyDescent="0.25">
      <c r="A53" s="112" t="s">
        <v>56</v>
      </c>
      <c r="B53" s="168" t="s">
        <v>22</v>
      </c>
      <c r="C53" s="54" t="s">
        <v>39</v>
      </c>
      <c r="D53" s="54" t="s">
        <v>18</v>
      </c>
      <c r="E53" s="92" t="s">
        <v>39</v>
      </c>
      <c r="F53" s="54" t="s">
        <v>139</v>
      </c>
      <c r="G53" s="54" t="s">
        <v>39</v>
      </c>
      <c r="H53" s="54" t="s">
        <v>18</v>
      </c>
      <c r="I53" s="92" t="s">
        <v>39</v>
      </c>
      <c r="J53" s="163" t="s">
        <v>199</v>
      </c>
      <c r="K53" s="120" t="s">
        <v>201</v>
      </c>
      <c r="L53" s="120" t="s">
        <v>200</v>
      </c>
      <c r="M53" s="121" t="s">
        <v>201</v>
      </c>
      <c r="N53"/>
      <c r="O53"/>
      <c r="P53"/>
      <c r="Q53"/>
      <c r="R53"/>
      <c r="S53"/>
    </row>
    <row r="54" spans="1:27" ht="0.75" hidden="1" customHeight="1" x14ac:dyDescent="0.25">
      <c r="A54" s="113" t="s">
        <v>110</v>
      </c>
      <c r="B54" s="164">
        <v>0</v>
      </c>
      <c r="C54" s="84">
        <f t="shared" ref="C54" si="14">B54/$F$66</f>
        <v>0</v>
      </c>
      <c r="D54" s="169">
        <v>0</v>
      </c>
      <c r="E54" s="114">
        <f>D54/D66</f>
        <v>0</v>
      </c>
      <c r="F54" s="165">
        <v>0</v>
      </c>
      <c r="G54" s="84">
        <f t="shared" ref="G54:G65" si="15">F54/$F$66</f>
        <v>0</v>
      </c>
      <c r="H54" s="169">
        <v>0</v>
      </c>
      <c r="I54" s="114">
        <f>H54/H66</f>
        <v>0</v>
      </c>
      <c r="J54" s="164">
        <f>+F54-B54</f>
        <v>0</v>
      </c>
      <c r="K54" s="84"/>
      <c r="L54" s="169">
        <f>+H54-D54</f>
        <v>0</v>
      </c>
      <c r="M54" s="114"/>
      <c r="N54"/>
      <c r="O54"/>
      <c r="P54"/>
      <c r="Q54"/>
      <c r="R54"/>
      <c r="S54"/>
    </row>
    <row r="55" spans="1:27" ht="18" customHeight="1" x14ac:dyDescent="0.25">
      <c r="A55" s="252" t="s">
        <v>240</v>
      </c>
      <c r="B55" s="164">
        <v>0</v>
      </c>
      <c r="C55" s="83">
        <f>B55/$B$66</f>
        <v>0</v>
      </c>
      <c r="D55" s="169">
        <v>0</v>
      </c>
      <c r="E55" s="253">
        <v>0</v>
      </c>
      <c r="F55" s="165">
        <v>1</v>
      </c>
      <c r="G55" s="83">
        <f t="shared" si="15"/>
        <v>7.6062401594267934E-6</v>
      </c>
      <c r="H55" s="169">
        <v>30000</v>
      </c>
      <c r="I55" s="109">
        <f>H55/H66</f>
        <v>4.6667592520154964E-6</v>
      </c>
      <c r="J55" s="164">
        <f>+F55-B55</f>
        <v>1</v>
      </c>
      <c r="K55" s="254">
        <f>J55/J66</f>
        <v>8.2196284727930303E-5</v>
      </c>
      <c r="L55" s="169">
        <f>+H55-D55</f>
        <v>30000</v>
      </c>
      <c r="M55" s="109">
        <f>L55/L66</f>
        <v>3.5833390781923064E-5</v>
      </c>
      <c r="N55"/>
      <c r="O55"/>
      <c r="P55"/>
      <c r="Q55"/>
      <c r="R55"/>
      <c r="S55"/>
    </row>
    <row r="56" spans="1:27" x14ac:dyDescent="0.25">
      <c r="A56" s="107" t="s">
        <v>102</v>
      </c>
      <c r="B56" s="164">
        <v>8</v>
      </c>
      <c r="C56" s="83">
        <f>B56/$B$66</f>
        <v>6.7055027031557766E-5</v>
      </c>
      <c r="D56" s="169">
        <v>310922.05000000005</v>
      </c>
      <c r="E56" s="122">
        <f>D56/D66</f>
        <v>5.5608823146589058E-5</v>
      </c>
      <c r="F56" s="164">
        <v>7</v>
      </c>
      <c r="G56" s="83">
        <f t="shared" si="15"/>
        <v>5.3243681115987557E-5</v>
      </c>
      <c r="H56" s="165">
        <v>320422.05000000005</v>
      </c>
      <c r="I56" s="109">
        <f>H56/H66</f>
        <v>4.9844418879575739E-5</v>
      </c>
      <c r="J56" s="164">
        <f>+F56-B56</f>
        <v>-1</v>
      </c>
      <c r="K56" s="85">
        <f>+(F56-B56)/B56</f>
        <v>-0.125</v>
      </c>
      <c r="L56" s="169">
        <f>+H56-D56</f>
        <v>9500</v>
      </c>
      <c r="M56" s="123">
        <f>+(H56-D56)/D56</f>
        <v>3.0554282013771614E-2</v>
      </c>
      <c r="N56"/>
      <c r="O56"/>
      <c r="P56"/>
      <c r="Q56"/>
      <c r="R56"/>
      <c r="S56"/>
    </row>
    <row r="57" spans="1:27" x14ac:dyDescent="0.25">
      <c r="A57" s="107" t="s">
        <v>103</v>
      </c>
      <c r="B57" s="164">
        <v>72</v>
      </c>
      <c r="C57" s="83">
        <f t="shared" ref="C57:C64" si="16">B57/$B$66</f>
        <v>6.0349524328402E-4</v>
      </c>
      <c r="D57" s="169">
        <v>3961764.74</v>
      </c>
      <c r="E57" s="122">
        <f>D57/D66</f>
        <v>7.0856690535474201E-4</v>
      </c>
      <c r="F57" s="164">
        <v>62</v>
      </c>
      <c r="G57" s="83">
        <f t="shared" si="15"/>
        <v>4.7158688988446123E-4</v>
      </c>
      <c r="H57" s="165">
        <v>3260948.91</v>
      </c>
      <c r="I57" s="109">
        <f>H57/H66</f>
        <v>5.072687832030783E-4</v>
      </c>
      <c r="J57" s="164">
        <f t="shared" ref="J57:J66" si="17">+F57-B57</f>
        <v>-10</v>
      </c>
      <c r="K57" s="85">
        <f t="shared" ref="K57:K66" si="18">+(F57-B57)/B57</f>
        <v>-0.1388888888888889</v>
      </c>
      <c r="L57" s="169">
        <f t="shared" ref="L57:L66" si="19">+H57-D57</f>
        <v>-700815.83000000007</v>
      </c>
      <c r="M57" s="123">
        <f t="shared" ref="M57:M66" si="20">+(H57-D57)/D57</f>
        <v>-0.17689486276764632</v>
      </c>
      <c r="N57"/>
      <c r="O57"/>
      <c r="P57"/>
      <c r="Q57"/>
      <c r="R57"/>
      <c r="S57"/>
    </row>
    <row r="58" spans="1:27" x14ac:dyDescent="0.25">
      <c r="A58" s="107" t="s">
        <v>104</v>
      </c>
      <c r="B58" s="164">
        <v>544</v>
      </c>
      <c r="C58" s="83">
        <f t="shared" si="16"/>
        <v>4.5597418381459285E-3</v>
      </c>
      <c r="D58" s="169">
        <v>25998302.120000001</v>
      </c>
      <c r="E58" s="122">
        <f>D58/D66</f>
        <v>4.64983099366118E-3</v>
      </c>
      <c r="F58" s="164">
        <v>509</v>
      </c>
      <c r="G58" s="83">
        <f t="shared" si="15"/>
        <v>3.8715762411482379E-3</v>
      </c>
      <c r="H58" s="165">
        <v>26753881.799999997</v>
      </c>
      <c r="I58" s="109">
        <f>H58/H66</f>
        <v>4.1617975139159663E-3</v>
      </c>
      <c r="J58" s="164">
        <f t="shared" si="17"/>
        <v>-35</v>
      </c>
      <c r="K58" s="85">
        <f t="shared" si="18"/>
        <v>-6.4338235294117641E-2</v>
      </c>
      <c r="L58" s="169">
        <f t="shared" si="19"/>
        <v>755579.67999999598</v>
      </c>
      <c r="M58" s="123">
        <f t="shared" si="20"/>
        <v>2.9062654803859011E-2</v>
      </c>
      <c r="N58"/>
      <c r="O58"/>
      <c r="P58"/>
      <c r="Q58"/>
      <c r="R58"/>
      <c r="S58"/>
    </row>
    <row r="59" spans="1:27" x14ac:dyDescent="0.25">
      <c r="A59" s="107" t="s">
        <v>105</v>
      </c>
      <c r="B59" s="164">
        <v>2871</v>
      </c>
      <c r="C59" s="83">
        <f t="shared" si="16"/>
        <v>2.4064372825950295E-2</v>
      </c>
      <c r="D59" s="169">
        <v>145901725.61000001</v>
      </c>
      <c r="E59" s="122">
        <f>D59/D66</f>
        <v>2.6094718133463524E-2</v>
      </c>
      <c r="F59" s="164">
        <v>2694</v>
      </c>
      <c r="G59" s="83">
        <f t="shared" si="15"/>
        <v>2.0491210989495783E-2</v>
      </c>
      <c r="H59" s="165">
        <v>148609329.50999999</v>
      </c>
      <c r="I59" s="109">
        <f>H59/H66</f>
        <v>2.3117465447553734E-2</v>
      </c>
      <c r="J59" s="164">
        <f t="shared" si="17"/>
        <v>-177</v>
      </c>
      <c r="K59" s="85">
        <f t="shared" si="18"/>
        <v>-6.1650992685475442E-2</v>
      </c>
      <c r="L59" s="169">
        <f t="shared" si="19"/>
        <v>2707603.8999999762</v>
      </c>
      <c r="M59" s="123">
        <f t="shared" si="20"/>
        <v>1.8557723623074125E-2</v>
      </c>
      <c r="N59"/>
      <c r="O59"/>
      <c r="P59"/>
      <c r="Q59"/>
      <c r="R59"/>
      <c r="S59"/>
    </row>
    <row r="60" spans="1:27" x14ac:dyDescent="0.25">
      <c r="A60" s="107" t="s">
        <v>106</v>
      </c>
      <c r="B60" s="164">
        <v>36619</v>
      </c>
      <c r="C60" s="83">
        <f t="shared" si="16"/>
        <v>0.30693600435857676</v>
      </c>
      <c r="D60" s="169">
        <v>1817112746.6800003</v>
      </c>
      <c r="E60" s="122">
        <f>D60/D66</f>
        <v>0.32499303721798056</v>
      </c>
      <c r="F60" s="164">
        <v>41174</v>
      </c>
      <c r="G60" s="83">
        <f t="shared" si="15"/>
        <v>0.31317933232423878</v>
      </c>
      <c r="H60" s="165">
        <v>2119135425.79</v>
      </c>
      <c r="I60" s="109">
        <f>H60/H66</f>
        <v>0.32964982848597602</v>
      </c>
      <c r="J60" s="164">
        <f t="shared" si="17"/>
        <v>4555</v>
      </c>
      <c r="K60" s="85">
        <f t="shared" si="18"/>
        <v>0.12438897839919168</v>
      </c>
      <c r="L60" s="169">
        <f t="shared" si="19"/>
        <v>302022679.10999966</v>
      </c>
      <c r="M60" s="123">
        <f t="shared" si="20"/>
        <v>0.16621020333593362</v>
      </c>
      <c r="N60"/>
      <c r="O60"/>
      <c r="P60"/>
      <c r="Q60"/>
      <c r="R60"/>
      <c r="S60"/>
    </row>
    <row r="61" spans="1:27" x14ac:dyDescent="0.25">
      <c r="A61" s="107" t="s">
        <v>107</v>
      </c>
      <c r="B61" s="164">
        <v>48042</v>
      </c>
      <c r="C61" s="83">
        <f t="shared" si="16"/>
        <v>0.40268220108126229</v>
      </c>
      <c r="D61" s="169">
        <v>2286397095.04</v>
      </c>
      <c r="E61" s="122">
        <f>D61/D66</f>
        <v>0.40892516854611732</v>
      </c>
      <c r="F61" s="164">
        <v>53660</v>
      </c>
      <c r="G61" s="83">
        <f t="shared" si="15"/>
        <v>0.40815084695484177</v>
      </c>
      <c r="H61" s="165">
        <v>2678679043.1800003</v>
      </c>
      <c r="I61" s="109">
        <f>H61/H66</f>
        <v>0.41669167359800946</v>
      </c>
      <c r="J61" s="164">
        <f t="shared" si="17"/>
        <v>5618</v>
      </c>
      <c r="K61" s="85">
        <f t="shared" si="18"/>
        <v>0.11693934474001914</v>
      </c>
      <c r="L61" s="169">
        <f t="shared" si="19"/>
        <v>392281948.14000034</v>
      </c>
      <c r="M61" s="123">
        <f t="shared" si="20"/>
        <v>0.17157209873604107</v>
      </c>
      <c r="N61"/>
      <c r="O61"/>
      <c r="P61"/>
      <c r="Q61"/>
      <c r="R61"/>
      <c r="S61"/>
    </row>
    <row r="62" spans="1:27" x14ac:dyDescent="0.25">
      <c r="A62" s="107" t="s">
        <v>108</v>
      </c>
      <c r="B62" s="164">
        <v>25214</v>
      </c>
      <c r="C62" s="83">
        <f t="shared" si="16"/>
        <v>0.2113406814467122</v>
      </c>
      <c r="D62" s="169">
        <v>1069835090.74</v>
      </c>
      <c r="E62" s="122">
        <f>D62/D66</f>
        <v>0.19134143222385067</v>
      </c>
      <c r="F62" s="164">
        <v>27122</v>
      </c>
      <c r="G62" s="83">
        <f t="shared" si="15"/>
        <v>0.20629644560397351</v>
      </c>
      <c r="H62" s="165">
        <v>1189345709.3499999</v>
      </c>
      <c r="I62" s="109">
        <f>H62/H66</f>
        <v>0.18501300309846819</v>
      </c>
      <c r="J62" s="164">
        <f t="shared" si="17"/>
        <v>1908</v>
      </c>
      <c r="K62" s="85">
        <f t="shared" si="18"/>
        <v>7.567224557785357E-2</v>
      </c>
      <c r="L62" s="169">
        <f t="shared" si="19"/>
        <v>119510618.6099999</v>
      </c>
      <c r="M62" s="123">
        <f t="shared" si="20"/>
        <v>0.11170938366522914</v>
      </c>
      <c r="N62"/>
      <c r="O62"/>
      <c r="P62"/>
      <c r="Q62"/>
      <c r="R62"/>
      <c r="S62"/>
    </row>
    <row r="63" spans="1:27" x14ac:dyDescent="0.25">
      <c r="A63" s="107" t="s">
        <v>109</v>
      </c>
      <c r="B63" s="164">
        <v>5551</v>
      </c>
      <c r="C63" s="83">
        <f t="shared" si="16"/>
        <v>4.6527806881522152E-2</v>
      </c>
      <c r="D63" s="169">
        <v>227271265.56999999</v>
      </c>
      <c r="E63" s="122">
        <f>D63/D66</f>
        <v>4.0647768832682028E-2</v>
      </c>
      <c r="F63" s="164">
        <v>5833</v>
      </c>
      <c r="G63" s="83">
        <f t="shared" si="15"/>
        <v>4.4367198849936486E-2</v>
      </c>
      <c r="H63" s="165">
        <v>245786575.77000004</v>
      </c>
      <c r="I63" s="109">
        <f>H63/H66</f>
        <v>3.8234225883195187E-2</v>
      </c>
      <c r="J63" s="164">
        <f t="shared" si="17"/>
        <v>282</v>
      </c>
      <c r="K63" s="85">
        <f t="shared" si="18"/>
        <v>5.0801657359034406E-2</v>
      </c>
      <c r="L63" s="169">
        <f t="shared" si="19"/>
        <v>18515310.200000048</v>
      </c>
      <c r="M63" s="123">
        <f t="shared" si="20"/>
        <v>8.1467888840075539E-2</v>
      </c>
      <c r="N63"/>
      <c r="O63"/>
      <c r="P63"/>
      <c r="Q63"/>
      <c r="R63"/>
      <c r="S63"/>
    </row>
    <row r="64" spans="1:27" x14ac:dyDescent="0.25">
      <c r="A64" s="108">
        <v>100</v>
      </c>
      <c r="B64" s="164">
        <v>344</v>
      </c>
      <c r="C64" s="83">
        <f t="shared" si="16"/>
        <v>2.8833661623569842E-3</v>
      </c>
      <c r="D64" s="169">
        <v>13207017.41</v>
      </c>
      <c r="E64" s="122">
        <f>D64/D66</f>
        <v>2.362092670644017E-3</v>
      </c>
      <c r="F64" s="164">
        <v>344</v>
      </c>
      <c r="G64" s="83">
        <f t="shared" si="15"/>
        <v>2.6165466148428173E-3</v>
      </c>
      <c r="H64" s="165">
        <v>12956436.02</v>
      </c>
      <c r="I64" s="109">
        <f>H64/H66</f>
        <v>2.0154855889827276E-3</v>
      </c>
      <c r="J64" s="164">
        <f t="shared" si="17"/>
        <v>0</v>
      </c>
      <c r="K64" s="85">
        <f t="shared" si="18"/>
        <v>0</v>
      </c>
      <c r="L64" s="169">
        <f t="shared" si="19"/>
        <v>-250581.3900000006</v>
      </c>
      <c r="M64" s="123">
        <f t="shared" si="20"/>
        <v>-1.8973351985609337E-2</v>
      </c>
      <c r="N64"/>
      <c r="O64"/>
      <c r="P64"/>
      <c r="Q64"/>
      <c r="R64"/>
      <c r="S64"/>
    </row>
    <row r="65" spans="1:27" x14ac:dyDescent="0.25">
      <c r="A65" s="108" t="s">
        <v>164</v>
      </c>
      <c r="B65" s="164">
        <v>40</v>
      </c>
      <c r="C65" s="83">
        <f>B65/$B$66</f>
        <v>3.3527513515778888E-4</v>
      </c>
      <c r="D65" s="169">
        <v>1240000</v>
      </c>
      <c r="E65" s="122">
        <f>D65/D66</f>
        <v>2.2177565309945184E-4</v>
      </c>
      <c r="F65" s="164">
        <v>65</v>
      </c>
      <c r="G65" s="83">
        <f t="shared" si="15"/>
        <v>4.9440561036274164E-4</v>
      </c>
      <c r="H65" s="165">
        <v>3566117.6800000006</v>
      </c>
      <c r="I65" s="109">
        <f>H65/H66</f>
        <v>5.5474042256386798E-4</v>
      </c>
      <c r="J65" s="164">
        <f t="shared" si="17"/>
        <v>25</v>
      </c>
      <c r="K65" s="85">
        <f t="shared" si="18"/>
        <v>0.625</v>
      </c>
      <c r="L65" s="169">
        <f t="shared" si="19"/>
        <v>2326117.6800000006</v>
      </c>
      <c r="M65" s="123">
        <f t="shared" si="20"/>
        <v>1.8759013548387102</v>
      </c>
      <c r="N65"/>
      <c r="O65"/>
      <c r="P65"/>
      <c r="Q65"/>
      <c r="R65"/>
      <c r="S65"/>
    </row>
    <row r="66" spans="1:27" ht="15.75" thickBot="1" x14ac:dyDescent="0.3">
      <c r="A66" s="102" t="s">
        <v>46</v>
      </c>
      <c r="B66" s="96">
        <f t="shared" ref="B66:I66" si="21">SUM(B54:B65)</f>
        <v>119305</v>
      </c>
      <c r="C66" s="97">
        <f t="shared" si="21"/>
        <v>1</v>
      </c>
      <c r="D66" s="98">
        <f>SUM(D54:D65)</f>
        <v>5591235929.96</v>
      </c>
      <c r="E66" s="99">
        <f t="shared" si="21"/>
        <v>1.0000000000000002</v>
      </c>
      <c r="F66" s="277">
        <f>SUM(F54:F65)</f>
        <v>131471</v>
      </c>
      <c r="G66" s="97">
        <f t="shared" si="21"/>
        <v>0.99999999999999989</v>
      </c>
      <c r="H66" s="277">
        <f>SUM(H55:H65)</f>
        <v>6428443890.0600014</v>
      </c>
      <c r="I66" s="99">
        <f t="shared" si="21"/>
        <v>0.99999999999999978</v>
      </c>
      <c r="J66" s="98">
        <f t="shared" si="17"/>
        <v>12166</v>
      </c>
      <c r="K66" s="97">
        <f t="shared" si="18"/>
        <v>0.10197393235824148</v>
      </c>
      <c r="L66" s="98">
        <f t="shared" si="19"/>
        <v>837207960.10000134</v>
      </c>
      <c r="M66" s="99">
        <f t="shared" si="20"/>
        <v>0.14973575978325615</v>
      </c>
      <c r="N66"/>
      <c r="O66"/>
      <c r="P66"/>
      <c r="Q66"/>
      <c r="R66"/>
      <c r="S66"/>
    </row>
    <row r="67" spans="1:27" x14ac:dyDescent="0.25">
      <c r="A67" s="171" t="s">
        <v>250</v>
      </c>
      <c r="B67" s="135"/>
      <c r="C67" s="135"/>
      <c r="D67" s="135"/>
      <c r="E67"/>
      <c r="F67" s="135"/>
      <c r="G67" s="135"/>
      <c r="H67" s="135"/>
      <c r="I67"/>
      <c r="J67"/>
      <c r="K67"/>
      <c r="L67"/>
      <c r="M67"/>
      <c r="N67"/>
      <c r="O67"/>
      <c r="P67"/>
      <c r="Q67"/>
      <c r="R67" s="135"/>
      <c r="S67" s="135"/>
      <c r="T67" s="135"/>
      <c r="U67"/>
      <c r="V67"/>
      <c r="W67"/>
      <c r="X67"/>
      <c r="Y67"/>
      <c r="Z67"/>
      <c r="AA67"/>
    </row>
    <row r="68" spans="1:27" x14ac:dyDescent="0.25">
      <c r="A68" s="139" t="s">
        <v>248</v>
      </c>
      <c r="B68"/>
      <c r="C68"/>
      <c r="D68"/>
      <c r="E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25">
      <c r="A69"/>
      <c r="B69" s="74"/>
      <c r="C69"/>
      <c r="D69" s="105"/>
      <c r="E69"/>
      <c r="F69" s="74"/>
      <c r="G69"/>
      <c r="H69" s="105"/>
      <c r="I69"/>
      <c r="J69"/>
      <c r="K69"/>
      <c r="L69"/>
      <c r="M69"/>
      <c r="N69"/>
      <c r="O69"/>
      <c r="P69"/>
      <c r="Q69"/>
      <c r="R69" s="74"/>
      <c r="S69"/>
      <c r="T69" s="105"/>
      <c r="U69"/>
      <c r="V69"/>
      <c r="W69"/>
      <c r="X69"/>
      <c r="Y69"/>
      <c r="Z69"/>
      <c r="AA69"/>
    </row>
    <row r="71" spans="1:27" x14ac:dyDescent="0.25">
      <c r="F71" s="14"/>
      <c r="G71" s="14"/>
    </row>
  </sheetData>
  <mergeCells count="18">
    <mergeCell ref="A29:M29"/>
    <mergeCell ref="A1:M1"/>
    <mergeCell ref="A2:M2"/>
    <mergeCell ref="J30:M30"/>
    <mergeCell ref="A4:AA4"/>
    <mergeCell ref="A3:AA3"/>
    <mergeCell ref="A19:I19"/>
    <mergeCell ref="A5:AA5"/>
    <mergeCell ref="B7:E7"/>
    <mergeCell ref="F7:I7"/>
    <mergeCell ref="J7:M7"/>
    <mergeCell ref="A6:M6"/>
    <mergeCell ref="J52:M52"/>
    <mergeCell ref="B52:E52"/>
    <mergeCell ref="F52:I52"/>
    <mergeCell ref="B30:E30"/>
    <mergeCell ref="F30:I30"/>
    <mergeCell ref="A51:M51"/>
  </mergeCells>
  <pageMargins left="0.7" right="0.7" top="0.75" bottom="0.75" header="0.3" footer="0.3"/>
  <pageSetup paperSize="9" scale="18" orientation="portrait" r:id="rId1"/>
  <rowBreaks count="1" manualBreakCount="1">
    <brk id="47" max="17" man="1"/>
  </rowBreaks>
  <ignoredErrors>
    <ignoredError sqref="K32:K45 K9:K18 K56:K66 L9:L18 L32:L45 L56:L66" 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S50"/>
  <sheetViews>
    <sheetView showGridLines="0" topLeftCell="C1" zoomScaleNormal="100" workbookViewId="0">
      <selection activeCell="R32" sqref="R32"/>
    </sheetView>
  </sheetViews>
  <sheetFormatPr baseColWidth="10" defaultColWidth="11.42578125" defaultRowHeight="15" x14ac:dyDescent="0.25"/>
  <cols>
    <col min="1" max="1" width="11.42578125" style="1"/>
    <col min="2" max="2" width="10.140625" style="1" customWidth="1"/>
    <col min="3" max="3" width="16.28515625" style="1" bestFit="1" customWidth="1"/>
    <col min="4" max="4" width="8.7109375" style="1" customWidth="1"/>
    <col min="5" max="5" width="13.42578125" style="1" bestFit="1" customWidth="1"/>
    <col min="6" max="6" width="11.42578125" style="1"/>
    <col min="7" max="7" width="14.140625" style="1" bestFit="1" customWidth="1"/>
    <col min="8" max="8" width="8.7109375" style="1" customWidth="1"/>
    <col min="9" max="9" width="14.7109375" style="1" customWidth="1"/>
    <col min="10" max="10" width="11.42578125" style="1"/>
    <col min="11" max="11" width="15.28515625" style="1" customWidth="1"/>
    <col min="12" max="12" width="9" style="1" customWidth="1"/>
    <col min="13" max="13" width="13.42578125" style="1" customWidth="1"/>
    <col min="14" max="14" width="11.140625" style="1" customWidth="1"/>
    <col min="15" max="15" width="15" style="1" customWidth="1"/>
    <col min="16" max="16" width="7.7109375" style="1" customWidth="1"/>
    <col min="17" max="18" width="15.7109375" style="1" customWidth="1"/>
    <col min="19" max="19" width="20.42578125" style="1" customWidth="1"/>
    <col min="20" max="16384" width="11.42578125" style="1"/>
  </cols>
  <sheetData>
    <row r="1" spans="1:19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60"/>
    </row>
    <row r="2" spans="1:19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60"/>
    </row>
    <row r="3" spans="1:19" x14ac:dyDescent="0.25">
      <c r="A3" s="287" t="s">
        <v>149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60"/>
    </row>
    <row r="4" spans="1:19" x14ac:dyDescent="0.25">
      <c r="A4" s="287" t="s">
        <v>256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60"/>
    </row>
    <row r="5" spans="1:19" x14ac:dyDescent="0.25">
      <c r="A5" s="287" t="s">
        <v>257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60"/>
    </row>
    <row r="6" spans="1:19" x14ac:dyDescent="0.25">
      <c r="A6" s="89"/>
      <c r="B6" s="327" t="s">
        <v>213</v>
      </c>
      <c r="C6" s="327"/>
      <c r="D6" s="327"/>
      <c r="E6" s="327"/>
      <c r="F6" s="328" t="s">
        <v>132</v>
      </c>
      <c r="G6" s="328"/>
      <c r="H6" s="328"/>
      <c r="I6" s="328"/>
      <c r="J6" s="326" t="s">
        <v>14</v>
      </c>
      <c r="K6" s="326"/>
      <c r="L6" s="326"/>
      <c r="M6" s="326"/>
      <c r="N6" s="330" t="s">
        <v>15</v>
      </c>
      <c r="O6" s="330"/>
      <c r="P6" s="330"/>
      <c r="Q6" s="330"/>
      <c r="R6" s="260"/>
    </row>
    <row r="7" spans="1:19" x14ac:dyDescent="0.25">
      <c r="A7" s="158"/>
      <c r="B7" s="329" t="s">
        <v>24</v>
      </c>
      <c r="C7" s="329"/>
      <c r="D7" s="329" t="s">
        <v>25</v>
      </c>
      <c r="E7" s="329"/>
      <c r="F7" s="329" t="s">
        <v>24</v>
      </c>
      <c r="G7" s="329"/>
      <c r="H7" s="329" t="s">
        <v>25</v>
      </c>
      <c r="I7" s="329"/>
      <c r="J7" s="329" t="s">
        <v>24</v>
      </c>
      <c r="K7" s="329"/>
      <c r="L7" s="329" t="s">
        <v>25</v>
      </c>
      <c r="M7" s="329"/>
      <c r="N7" s="329" t="s">
        <v>111</v>
      </c>
      <c r="O7" s="329"/>
      <c r="P7" s="329" t="s">
        <v>25</v>
      </c>
      <c r="Q7" s="329"/>
      <c r="R7" s="260"/>
    </row>
    <row r="8" spans="1:19" ht="32.25" customHeight="1" x14ac:dyDescent="0.25">
      <c r="A8" s="143" t="s">
        <v>1</v>
      </c>
      <c r="B8" s="130" t="s">
        <v>26</v>
      </c>
      <c r="C8" s="130" t="s">
        <v>18</v>
      </c>
      <c r="D8" s="130" t="s">
        <v>17</v>
      </c>
      <c r="E8" s="144" t="s">
        <v>18</v>
      </c>
      <c r="F8" s="130" t="s">
        <v>27</v>
      </c>
      <c r="G8" s="130" t="s">
        <v>18</v>
      </c>
      <c r="H8" s="130" t="s">
        <v>17</v>
      </c>
      <c r="I8" s="144" t="s">
        <v>18</v>
      </c>
      <c r="J8" s="130" t="s">
        <v>27</v>
      </c>
      <c r="K8" s="130" t="s">
        <v>18</v>
      </c>
      <c r="L8" s="130" t="s">
        <v>17</v>
      </c>
      <c r="M8" s="172" t="s">
        <v>18</v>
      </c>
      <c r="N8" s="130" t="s">
        <v>28</v>
      </c>
      <c r="O8" s="130" t="s">
        <v>18</v>
      </c>
      <c r="P8" s="130" t="s">
        <v>29</v>
      </c>
      <c r="Q8" s="144" t="s">
        <v>18</v>
      </c>
      <c r="R8" s="260"/>
    </row>
    <row r="9" spans="1:19" hidden="1" x14ac:dyDescent="0.25">
      <c r="A9" s="44" t="s">
        <v>119</v>
      </c>
      <c r="B9" s="202"/>
      <c r="C9" s="202"/>
      <c r="D9" s="202"/>
      <c r="E9" s="210"/>
      <c r="F9" s="202"/>
      <c r="G9" s="202"/>
      <c r="H9" s="202"/>
      <c r="I9" s="174"/>
      <c r="J9" s="202"/>
      <c r="K9" s="203"/>
      <c r="L9" s="156"/>
      <c r="M9" s="204"/>
      <c r="N9" s="172">
        <f>+B9+J9+F9</f>
        <v>0</v>
      </c>
      <c r="O9" s="38">
        <f>+C9+K9+G9</f>
        <v>0</v>
      </c>
      <c r="P9" s="205">
        <f>+D9+L9+H9</f>
        <v>0</v>
      </c>
      <c r="Q9" s="172">
        <f>+E9+M9+I9</f>
        <v>0</v>
      </c>
      <c r="R9" s="260"/>
    </row>
    <row r="10" spans="1:19" x14ac:dyDescent="0.25">
      <c r="A10" s="44" t="s">
        <v>259</v>
      </c>
      <c r="B10" s="202">
        <v>143867</v>
      </c>
      <c r="C10" s="246">
        <v>2167122570.1300001</v>
      </c>
      <c r="D10" s="202">
        <v>88</v>
      </c>
      <c r="E10" s="246">
        <v>1396122.71</v>
      </c>
      <c r="F10" s="202">
        <v>28473</v>
      </c>
      <c r="G10" s="246">
        <v>170838000</v>
      </c>
      <c r="H10" s="202">
        <v>8</v>
      </c>
      <c r="I10" s="246">
        <v>48000</v>
      </c>
      <c r="J10" s="202">
        <v>24118</v>
      </c>
      <c r="K10" s="246">
        <v>627887530.03999996</v>
      </c>
      <c r="L10" s="156">
        <v>2</v>
      </c>
      <c r="M10" s="202">
        <v>20132.71</v>
      </c>
      <c r="N10" s="38">
        <f t="shared" ref="N10" si="0">+B10+J10+F10</f>
        <v>196458</v>
      </c>
      <c r="O10" s="38">
        <f t="shared" ref="O10" si="1">+C10+K10+G10</f>
        <v>2965848100.1700001</v>
      </c>
      <c r="P10" s="38">
        <f t="shared" ref="P10" si="2">+D10+L10+H10</f>
        <v>98</v>
      </c>
      <c r="Q10" s="38">
        <f t="shared" ref="Q10" si="3">+E10+M10+I10</f>
        <v>1464255.42</v>
      </c>
      <c r="R10" s="260"/>
      <c r="S10" s="35"/>
    </row>
    <row r="11" spans="1:19" x14ac:dyDescent="0.25">
      <c r="A11" s="44" t="s">
        <v>260</v>
      </c>
      <c r="B11" s="202">
        <v>143009</v>
      </c>
      <c r="C11" s="246">
        <v>2138926652.8</v>
      </c>
      <c r="D11" s="202">
        <v>58</v>
      </c>
      <c r="E11" s="246">
        <v>930000</v>
      </c>
      <c r="F11" s="202">
        <v>26204</v>
      </c>
      <c r="G11" s="246">
        <v>157224000</v>
      </c>
      <c r="H11" s="202">
        <v>8</v>
      </c>
      <c r="I11" s="246">
        <v>48000</v>
      </c>
      <c r="J11" s="202">
        <v>24093</v>
      </c>
      <c r="K11" s="246">
        <v>626533628.94000006</v>
      </c>
      <c r="L11" s="156">
        <v>1</v>
      </c>
      <c r="M11" s="202">
        <v>7893.11</v>
      </c>
      <c r="N11" s="38">
        <f t="shared" ref="N11:P12" si="4">+B11+J11+F11</f>
        <v>193306</v>
      </c>
      <c r="O11" s="38">
        <f t="shared" si="4"/>
        <v>2922684281.7399998</v>
      </c>
      <c r="P11" s="38">
        <f t="shared" si="4"/>
        <v>67</v>
      </c>
      <c r="Q11" s="38">
        <f>+E11+M11+I11</f>
        <v>985893.11</v>
      </c>
      <c r="R11" s="260"/>
    </row>
    <row r="12" spans="1:19" x14ac:dyDescent="0.25">
      <c r="A12" s="44" t="s">
        <v>261</v>
      </c>
      <c r="B12" s="202">
        <v>142152</v>
      </c>
      <c r="C12" s="246">
        <v>2119467604.4200001</v>
      </c>
      <c r="D12" s="202">
        <v>28</v>
      </c>
      <c r="E12" s="246">
        <v>640940</v>
      </c>
      <c r="F12" s="202">
        <v>24710</v>
      </c>
      <c r="G12" s="246">
        <v>148260000</v>
      </c>
      <c r="H12" s="202">
        <v>13</v>
      </c>
      <c r="I12" s="246">
        <v>78000</v>
      </c>
      <c r="J12" s="202">
        <v>24062</v>
      </c>
      <c r="K12" s="246">
        <v>625129302.96000004</v>
      </c>
      <c r="L12" s="202">
        <v>0</v>
      </c>
      <c r="M12" s="202">
        <v>0</v>
      </c>
      <c r="N12" s="38">
        <f t="shared" si="4"/>
        <v>190924</v>
      </c>
      <c r="O12" s="38">
        <f t="shared" si="4"/>
        <v>2892856907.3800001</v>
      </c>
      <c r="P12" s="38">
        <f t="shared" si="4"/>
        <v>41</v>
      </c>
      <c r="Q12" s="38">
        <f>+E12+M12+I12</f>
        <v>718940</v>
      </c>
      <c r="R12" s="260"/>
    </row>
    <row r="13" spans="1:19" x14ac:dyDescent="0.25">
      <c r="A13" s="46" t="s">
        <v>258</v>
      </c>
      <c r="B13" s="55">
        <f>+B10</f>
        <v>143867</v>
      </c>
      <c r="C13" s="55">
        <f>SUM(C9:C12)</f>
        <v>6425516827.3500004</v>
      </c>
      <c r="D13" s="55">
        <f>SUM(D9:D12)</f>
        <v>174</v>
      </c>
      <c r="E13" s="55">
        <f>SUM(E9:E12)</f>
        <v>2967062.71</v>
      </c>
      <c r="F13" s="55">
        <f>+F10</f>
        <v>28473</v>
      </c>
      <c r="G13" s="56">
        <f>SUM(G9:G12)</f>
        <v>476322000</v>
      </c>
      <c r="H13" s="55">
        <f>SUM(H9:H12)</f>
        <v>29</v>
      </c>
      <c r="I13" s="55">
        <f>SUM(I9:I12)</f>
        <v>174000</v>
      </c>
      <c r="J13" s="55">
        <f>+J10</f>
        <v>24118</v>
      </c>
      <c r="K13" s="55">
        <f>SUM(K9:K12)</f>
        <v>1879550461.9400001</v>
      </c>
      <c r="L13" s="55">
        <f>SUM(L9:L12)</f>
        <v>3</v>
      </c>
      <c r="M13" s="55">
        <f>SUM(M9:M12)</f>
        <v>28025.82</v>
      </c>
      <c r="N13" s="55">
        <f>+N10</f>
        <v>196458</v>
      </c>
      <c r="O13" s="55">
        <f>SUM(O9:O12)</f>
        <v>8781389289.2900009</v>
      </c>
      <c r="P13" s="55">
        <f>SUM(P9:P12)</f>
        <v>206</v>
      </c>
      <c r="Q13" s="55">
        <f>SUM(Q9:Q12)</f>
        <v>3169088.53</v>
      </c>
      <c r="R13" s="282"/>
      <c r="S13" s="255">
        <f>O13+Q13</f>
        <v>8784558377.8200016</v>
      </c>
    </row>
    <row r="14" spans="1:19" hidden="1" x14ac:dyDescent="0.25">
      <c r="A14" s="44" t="s">
        <v>34</v>
      </c>
      <c r="B14" s="156"/>
      <c r="C14" s="173"/>
      <c r="D14" s="156"/>
      <c r="E14" s="174"/>
      <c r="F14" s="156"/>
      <c r="G14" s="173"/>
      <c r="H14" s="156">
        <f>SUM(H10:H12)</f>
        <v>29</v>
      </c>
      <c r="I14" s="174"/>
      <c r="J14" s="156"/>
      <c r="K14" s="173"/>
      <c r="L14" s="156"/>
      <c r="M14" s="174"/>
      <c r="N14" s="38">
        <f t="shared" ref="N14:P16" si="5">+B14+J14+F14</f>
        <v>0</v>
      </c>
      <c r="O14" s="57">
        <f t="shared" si="5"/>
        <v>0</v>
      </c>
      <c r="P14" s="38">
        <f t="shared" si="5"/>
        <v>29</v>
      </c>
      <c r="Q14" s="57">
        <f>+E14+M14+I14</f>
        <v>0</v>
      </c>
      <c r="R14" s="260"/>
    </row>
    <row r="15" spans="1:19" hidden="1" x14ac:dyDescent="0.25">
      <c r="A15" s="44" t="s">
        <v>35</v>
      </c>
      <c r="B15" s="156"/>
      <c r="C15" s="173"/>
      <c r="D15" s="156"/>
      <c r="E15" s="174"/>
      <c r="F15" s="156"/>
      <c r="G15" s="173"/>
      <c r="H15" s="156"/>
      <c r="I15" s="174"/>
      <c r="J15" s="156"/>
      <c r="K15" s="173"/>
      <c r="L15" s="156"/>
      <c r="M15" s="174"/>
      <c r="N15" s="38">
        <f t="shared" si="5"/>
        <v>0</v>
      </c>
      <c r="O15" s="57">
        <f t="shared" si="5"/>
        <v>0</v>
      </c>
      <c r="P15" s="38">
        <f t="shared" si="5"/>
        <v>0</v>
      </c>
      <c r="Q15" s="57">
        <f>+E15+M15+I15</f>
        <v>0</v>
      </c>
      <c r="R15" s="260"/>
    </row>
    <row r="16" spans="1:19" hidden="1" x14ac:dyDescent="0.25">
      <c r="A16" s="44" t="s">
        <v>36</v>
      </c>
      <c r="B16" s="156"/>
      <c r="C16" s="173"/>
      <c r="D16" s="156"/>
      <c r="E16" s="174"/>
      <c r="F16" s="156"/>
      <c r="G16" s="173"/>
      <c r="H16" s="156"/>
      <c r="I16" s="174"/>
      <c r="J16" s="156"/>
      <c r="K16" s="173"/>
      <c r="L16" s="156"/>
      <c r="M16" s="174"/>
      <c r="N16" s="38">
        <f t="shared" si="5"/>
        <v>0</v>
      </c>
      <c r="O16" s="57">
        <f t="shared" si="5"/>
        <v>0</v>
      </c>
      <c r="P16" s="38">
        <f t="shared" si="5"/>
        <v>0</v>
      </c>
      <c r="Q16" s="57">
        <f>+E16+M16+I16</f>
        <v>0</v>
      </c>
      <c r="R16" s="260"/>
    </row>
    <row r="17" spans="1:19" hidden="1" x14ac:dyDescent="0.25">
      <c r="A17" s="46" t="s">
        <v>122</v>
      </c>
      <c r="B17" s="55">
        <f>+B16</f>
        <v>0</v>
      </c>
      <c r="C17" s="56">
        <f>SUM(C14:C16)</f>
        <v>0</v>
      </c>
      <c r="D17" s="55">
        <f>+D16</f>
        <v>0</v>
      </c>
      <c r="E17" s="56">
        <f>SUM(E14:E16)</f>
        <v>0</v>
      </c>
      <c r="F17" s="55">
        <f>+F16</f>
        <v>0</v>
      </c>
      <c r="G17" s="56">
        <f>SUM(G14:G16)</f>
        <v>0</v>
      </c>
      <c r="H17" s="55">
        <f>+H16</f>
        <v>0</v>
      </c>
      <c r="I17" s="56">
        <f>SUM(I14:I16)</f>
        <v>0</v>
      </c>
      <c r="J17" s="55">
        <f>+J16</f>
        <v>0</v>
      </c>
      <c r="K17" s="56">
        <f>SUM(K14:K16)</f>
        <v>0</v>
      </c>
      <c r="L17" s="55">
        <f>+L16</f>
        <v>0</v>
      </c>
      <c r="M17" s="56">
        <f>SUM(M14:M16)</f>
        <v>0</v>
      </c>
      <c r="N17" s="55">
        <f>+N16</f>
        <v>0</v>
      </c>
      <c r="O17" s="56">
        <f>SUM(O14:O16)</f>
        <v>0</v>
      </c>
      <c r="P17" s="55">
        <f>+P16</f>
        <v>0</v>
      </c>
      <c r="Q17" s="56">
        <f>SUM(Q14:Q16)</f>
        <v>0</v>
      </c>
      <c r="R17" s="260"/>
      <c r="S17" s="36"/>
    </row>
    <row r="18" spans="1:19" hidden="1" x14ac:dyDescent="0.25">
      <c r="A18" s="44" t="s">
        <v>80</v>
      </c>
      <c r="B18" s="156"/>
      <c r="C18" s="173"/>
      <c r="D18" s="156"/>
      <c r="E18" s="174"/>
      <c r="F18" s="156"/>
      <c r="G18" s="173"/>
      <c r="H18" s="156"/>
      <c r="I18" s="174"/>
      <c r="J18" s="156"/>
      <c r="K18" s="173"/>
      <c r="L18" s="156"/>
      <c r="M18" s="174"/>
      <c r="N18" s="38">
        <f t="shared" ref="N18:P20" si="6">+B18+J18+F18</f>
        <v>0</v>
      </c>
      <c r="O18" s="57">
        <f t="shared" si="6"/>
        <v>0</v>
      </c>
      <c r="P18" s="38">
        <f t="shared" si="6"/>
        <v>0</v>
      </c>
      <c r="Q18" s="57">
        <f>+E18+M18+I18</f>
        <v>0</v>
      </c>
      <c r="R18" s="260"/>
    </row>
    <row r="19" spans="1:19" hidden="1" x14ac:dyDescent="0.25">
      <c r="A19" s="44" t="s">
        <v>81</v>
      </c>
      <c r="B19" s="156"/>
      <c r="C19" s="173"/>
      <c r="D19" s="156"/>
      <c r="E19" s="174"/>
      <c r="F19" s="156"/>
      <c r="G19" s="173"/>
      <c r="H19" s="156"/>
      <c r="I19" s="174"/>
      <c r="J19" s="156"/>
      <c r="K19" s="173"/>
      <c r="L19" s="156"/>
      <c r="M19" s="174"/>
      <c r="N19" s="38">
        <f t="shared" si="6"/>
        <v>0</v>
      </c>
      <c r="O19" s="57">
        <f t="shared" si="6"/>
        <v>0</v>
      </c>
      <c r="P19" s="38">
        <f t="shared" si="6"/>
        <v>0</v>
      </c>
      <c r="Q19" s="57">
        <f>+E19+M19+I19</f>
        <v>0</v>
      </c>
      <c r="R19" s="260"/>
    </row>
    <row r="20" spans="1:19" hidden="1" x14ac:dyDescent="0.25">
      <c r="A20" s="44" t="s">
        <v>82</v>
      </c>
      <c r="B20" s="156"/>
      <c r="C20" s="173"/>
      <c r="D20" s="156"/>
      <c r="E20" s="174"/>
      <c r="F20" s="156"/>
      <c r="G20" s="173"/>
      <c r="H20" s="156"/>
      <c r="I20" s="174"/>
      <c r="J20" s="156"/>
      <c r="K20" s="173"/>
      <c r="L20" s="156"/>
      <c r="M20" s="174"/>
      <c r="N20" s="38">
        <f t="shared" si="6"/>
        <v>0</v>
      </c>
      <c r="O20" s="57">
        <f t="shared" si="6"/>
        <v>0</v>
      </c>
      <c r="P20" s="38">
        <f t="shared" si="6"/>
        <v>0</v>
      </c>
      <c r="Q20" s="57">
        <f>+E20+M20+I20</f>
        <v>0</v>
      </c>
      <c r="R20" s="260"/>
    </row>
    <row r="21" spans="1:19" hidden="1" x14ac:dyDescent="0.25">
      <c r="A21" s="46" t="s">
        <v>86</v>
      </c>
      <c r="B21" s="55">
        <f>+B20</f>
        <v>0</v>
      </c>
      <c r="C21" s="56">
        <f>SUM(C18:C20)</f>
        <v>0</v>
      </c>
      <c r="D21" s="55">
        <f>+D20</f>
        <v>0</v>
      </c>
      <c r="E21" s="56">
        <f>SUM(E18:E20)</f>
        <v>0</v>
      </c>
      <c r="F21" s="55">
        <f>+F20</f>
        <v>0</v>
      </c>
      <c r="G21" s="56">
        <f>SUM(G18:G20)</f>
        <v>0</v>
      </c>
      <c r="H21" s="55">
        <f>+H20</f>
        <v>0</v>
      </c>
      <c r="I21" s="56">
        <f>SUM(I18:I20)</f>
        <v>0</v>
      </c>
      <c r="J21" s="55">
        <f>+J20</f>
        <v>0</v>
      </c>
      <c r="K21" s="56">
        <f>SUM(K18:K20)</f>
        <v>0</v>
      </c>
      <c r="L21" s="55">
        <f>+L20</f>
        <v>0</v>
      </c>
      <c r="M21" s="56">
        <f>SUM(M18:M20)</f>
        <v>0</v>
      </c>
      <c r="N21" s="55">
        <f>+N20</f>
        <v>0</v>
      </c>
      <c r="O21" s="56">
        <f>SUM(O18:O20)</f>
        <v>0</v>
      </c>
      <c r="P21" s="55">
        <f>+P20</f>
        <v>0</v>
      </c>
      <c r="Q21" s="56">
        <f>SUM(Q18:Q20)</f>
        <v>0</v>
      </c>
      <c r="R21" s="260"/>
      <c r="S21" s="36"/>
    </row>
    <row r="22" spans="1:19" hidden="1" x14ac:dyDescent="0.25">
      <c r="A22" s="44" t="s">
        <v>83</v>
      </c>
      <c r="B22" s="156"/>
      <c r="C22" s="173"/>
      <c r="D22" s="156"/>
      <c r="E22" s="174"/>
      <c r="F22" s="156"/>
      <c r="G22" s="173"/>
      <c r="H22" s="156"/>
      <c r="I22" s="174"/>
      <c r="J22" s="156"/>
      <c r="K22" s="173"/>
      <c r="L22" s="156"/>
      <c r="M22" s="174"/>
      <c r="N22" s="38">
        <f t="shared" ref="N22:P25" si="7">+B22+J22+F22</f>
        <v>0</v>
      </c>
      <c r="O22" s="57">
        <f t="shared" si="7"/>
        <v>0</v>
      </c>
      <c r="P22" s="38">
        <f t="shared" si="7"/>
        <v>0</v>
      </c>
      <c r="Q22" s="57">
        <f>+E22+M22+I22</f>
        <v>0</v>
      </c>
      <c r="R22" s="260"/>
    </row>
    <row r="23" spans="1:19" hidden="1" x14ac:dyDescent="0.25">
      <c r="A23" s="44" t="s">
        <v>84</v>
      </c>
      <c r="B23" s="156"/>
      <c r="C23" s="173"/>
      <c r="D23" s="156"/>
      <c r="E23" s="174"/>
      <c r="F23" s="156"/>
      <c r="G23" s="173"/>
      <c r="H23" s="156"/>
      <c r="I23" s="174"/>
      <c r="J23" s="156"/>
      <c r="K23" s="173"/>
      <c r="L23" s="156"/>
      <c r="M23" s="174"/>
      <c r="N23" s="38">
        <f t="shared" si="7"/>
        <v>0</v>
      </c>
      <c r="O23" s="57">
        <f t="shared" si="7"/>
        <v>0</v>
      </c>
      <c r="P23" s="38">
        <f t="shared" si="7"/>
        <v>0</v>
      </c>
      <c r="Q23" s="57">
        <f>+E23+M23+I23</f>
        <v>0</v>
      </c>
      <c r="R23" s="260"/>
    </row>
    <row r="24" spans="1:19" hidden="1" x14ac:dyDescent="0.25">
      <c r="A24" s="44" t="s">
        <v>85</v>
      </c>
      <c r="B24" s="156"/>
      <c r="C24" s="173"/>
      <c r="D24" s="156"/>
      <c r="E24" s="174"/>
      <c r="F24" s="156"/>
      <c r="G24" s="173"/>
      <c r="H24" s="156"/>
      <c r="I24" s="174"/>
      <c r="J24" s="156"/>
      <c r="K24" s="173"/>
      <c r="L24" s="156"/>
      <c r="M24" s="174"/>
      <c r="N24" s="38">
        <f t="shared" si="7"/>
        <v>0</v>
      </c>
      <c r="O24" s="57">
        <f t="shared" si="7"/>
        <v>0</v>
      </c>
      <c r="P24" s="38">
        <f t="shared" si="7"/>
        <v>0</v>
      </c>
      <c r="Q24" s="57">
        <f>+E24+M24+I24</f>
        <v>0</v>
      </c>
      <c r="R24" s="260"/>
    </row>
    <row r="25" spans="1:19" hidden="1" x14ac:dyDescent="0.25">
      <c r="A25" s="44" t="s">
        <v>119</v>
      </c>
      <c r="B25" s="156"/>
      <c r="C25" s="173"/>
      <c r="D25" s="156"/>
      <c r="E25" s="174"/>
      <c r="F25" s="156"/>
      <c r="G25" s="173"/>
      <c r="H25" s="156"/>
      <c r="I25" s="174"/>
      <c r="J25" s="156"/>
      <c r="K25" s="173"/>
      <c r="L25" s="156"/>
      <c r="M25" s="174"/>
      <c r="N25" s="38">
        <f t="shared" si="7"/>
        <v>0</v>
      </c>
      <c r="O25" s="57">
        <f t="shared" si="7"/>
        <v>0</v>
      </c>
      <c r="P25" s="38">
        <f t="shared" si="7"/>
        <v>0</v>
      </c>
      <c r="Q25" s="57">
        <f>+E25+M25+I25</f>
        <v>0</v>
      </c>
      <c r="R25" s="260"/>
    </row>
    <row r="26" spans="1:19" hidden="1" x14ac:dyDescent="0.25">
      <c r="A26" s="46" t="s">
        <v>87</v>
      </c>
      <c r="B26" s="55">
        <f>+B24</f>
        <v>0</v>
      </c>
      <c r="C26" s="55">
        <f>SUM(C22:C25)</f>
        <v>0</v>
      </c>
      <c r="D26" s="55">
        <f>+D24</f>
        <v>0</v>
      </c>
      <c r="E26" s="56">
        <f>SUM(E22:E25)</f>
        <v>0</v>
      </c>
      <c r="F26" s="55">
        <f>+F24</f>
        <v>0</v>
      </c>
      <c r="G26" s="56">
        <f>SUM(G22:G25)</f>
        <v>0</v>
      </c>
      <c r="H26" s="55">
        <f>+H24</f>
        <v>0</v>
      </c>
      <c r="I26" s="56">
        <f>SUM(I22:I25)</f>
        <v>0</v>
      </c>
      <c r="J26" s="55">
        <f>+J24</f>
        <v>0</v>
      </c>
      <c r="K26" s="56">
        <f>SUM(K22:K25)</f>
        <v>0</v>
      </c>
      <c r="L26" s="55">
        <f>+L24</f>
        <v>0</v>
      </c>
      <c r="M26" s="56">
        <f>SUM(M22:M25)</f>
        <v>0</v>
      </c>
      <c r="N26" s="55">
        <f>+N24</f>
        <v>0</v>
      </c>
      <c r="O26" s="56">
        <f>SUM(O22:O25)</f>
        <v>0</v>
      </c>
      <c r="P26" s="55">
        <f>+P24</f>
        <v>0</v>
      </c>
      <c r="Q26" s="56">
        <f>SUM(Q22:Q25)</f>
        <v>0</v>
      </c>
      <c r="R26" s="260"/>
      <c r="S26" s="36"/>
    </row>
    <row r="27" spans="1:19" hidden="1" x14ac:dyDescent="0.25">
      <c r="A27" s="49" t="s">
        <v>9</v>
      </c>
      <c r="B27" s="58">
        <f>+B26</f>
        <v>0</v>
      </c>
      <c r="C27" s="59">
        <f>+C13+C17+C21+C26</f>
        <v>6425516827.3500004</v>
      </c>
      <c r="D27" s="58">
        <f>+D26</f>
        <v>0</v>
      </c>
      <c r="E27" s="59">
        <f>+E13+E17+E21+E26</f>
        <v>2967062.71</v>
      </c>
      <c r="F27" s="58">
        <f>+F26</f>
        <v>0</v>
      </c>
      <c r="G27" s="59">
        <f>+G13+G17+G21+G26</f>
        <v>476322000</v>
      </c>
      <c r="H27" s="58">
        <f>+H26</f>
        <v>0</v>
      </c>
      <c r="I27" s="59">
        <f>+I13+I17+I21+I26</f>
        <v>174000</v>
      </c>
      <c r="J27" s="58">
        <f>+J26</f>
        <v>0</v>
      </c>
      <c r="K27" s="59">
        <f>+K13+K17+K21+K26</f>
        <v>1879550461.9400001</v>
      </c>
      <c r="L27" s="58">
        <f>+L26</f>
        <v>0</v>
      </c>
      <c r="M27" s="59">
        <f>+M13+M17+M21+M26</f>
        <v>28025.82</v>
      </c>
      <c r="N27" s="58">
        <f>+N26</f>
        <v>0</v>
      </c>
      <c r="O27" s="59">
        <f>+O13+O17+O21+O26</f>
        <v>8781389289.2900009</v>
      </c>
      <c r="P27" s="58">
        <f>+P26</f>
        <v>0</v>
      </c>
      <c r="Q27" s="59">
        <f>+Q13+Q17+Q21+Q26</f>
        <v>3169088.53</v>
      </c>
      <c r="R27" s="260"/>
      <c r="S27" s="36"/>
    </row>
    <row r="28" spans="1:19" x14ac:dyDescent="0.25">
      <c r="A28" s="147" t="s">
        <v>39</v>
      </c>
      <c r="B28" s="24"/>
      <c r="C28" s="24"/>
      <c r="D28" s="25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75">
        <f>O13/S13</f>
        <v>0.99963924327283171</v>
      </c>
      <c r="P28" s="175"/>
      <c r="Q28" s="175">
        <f>Q13/S13</f>
        <v>3.6075672716816173E-4</v>
      </c>
      <c r="R28" s="260"/>
      <c r="S28" s="36">
        <f>S13-Nómina!M12</f>
        <v>0</v>
      </c>
    </row>
    <row r="29" spans="1:19" x14ac:dyDescent="0.25">
      <c r="A29" s="228" t="s">
        <v>251</v>
      </c>
      <c r="B29"/>
      <c r="C29" s="176"/>
      <c r="D29"/>
      <c r="E29"/>
      <c r="F29"/>
      <c r="G29" s="176"/>
      <c r="H29"/>
      <c r="I29"/>
      <c r="J29" s="176"/>
      <c r="K29" s="176"/>
      <c r="L29"/>
      <c r="M29"/>
      <c r="N29"/>
      <c r="O29" s="176"/>
      <c r="P29"/>
      <c r="Q29"/>
      <c r="R29" s="282"/>
      <c r="S29" s="35"/>
    </row>
    <row r="30" spans="1:19" x14ac:dyDescent="0.25">
      <c r="B30" s="35"/>
      <c r="C30" s="35"/>
      <c r="O30" s="35"/>
      <c r="R30" s="260"/>
    </row>
    <row r="31" spans="1:19" x14ac:dyDescent="0.25">
      <c r="R31" s="260"/>
    </row>
    <row r="32" spans="1:19" x14ac:dyDescent="0.25">
      <c r="R32" s="260"/>
    </row>
    <row r="34" spans="1:18" x14ac:dyDescent="0.25">
      <c r="O34" s="35"/>
    </row>
    <row r="36" spans="1:18" x14ac:dyDescent="0.25">
      <c r="N36" s="35"/>
    </row>
    <row r="38" spans="1:18" x14ac:dyDescent="0.25">
      <c r="M38" s="35"/>
    </row>
    <row r="43" spans="1:18" x14ac:dyDescent="0.25">
      <c r="N43" s="18"/>
    </row>
    <row r="48" spans="1:18" x14ac:dyDescent="0.25">
      <c r="A48" s="44"/>
      <c r="B48" s="156"/>
      <c r="C48" s="173"/>
      <c r="D48" s="156"/>
      <c r="E48" s="174"/>
      <c r="F48" s="156"/>
      <c r="G48" s="173"/>
      <c r="H48" s="156"/>
      <c r="I48" s="174"/>
      <c r="J48" s="156"/>
      <c r="K48" s="173"/>
      <c r="L48" s="156"/>
      <c r="M48" s="174"/>
      <c r="N48" s="38"/>
      <c r="O48" s="38"/>
      <c r="P48" s="38"/>
      <c r="Q48" s="57"/>
      <c r="R48" s="57"/>
    </row>
    <row r="50" spans="1:18" x14ac:dyDescent="0.25">
      <c r="A50" s="44"/>
      <c r="B50" s="156"/>
      <c r="C50" s="173"/>
      <c r="D50" s="156"/>
      <c r="E50" s="174"/>
      <c r="F50" s="156"/>
      <c r="G50" s="173"/>
      <c r="H50" s="156"/>
      <c r="I50" s="174"/>
      <c r="J50" s="156"/>
      <c r="K50" s="173"/>
      <c r="L50" s="156"/>
      <c r="M50" s="174"/>
      <c r="N50" s="38"/>
      <c r="O50" s="38"/>
      <c r="P50" s="38"/>
      <c r="Q50" s="57"/>
      <c r="R50" s="57"/>
    </row>
  </sheetData>
  <mergeCells count="17">
    <mergeCell ref="H7:I7"/>
    <mergeCell ref="J6:M6"/>
    <mergeCell ref="B6:E6"/>
    <mergeCell ref="F6:I6"/>
    <mergeCell ref="L7:M7"/>
    <mergeCell ref="A1:Q1"/>
    <mergeCell ref="A2:Q2"/>
    <mergeCell ref="A3:Q3"/>
    <mergeCell ref="A5:Q5"/>
    <mergeCell ref="B7:C7"/>
    <mergeCell ref="D7:E7"/>
    <mergeCell ref="J7:K7"/>
    <mergeCell ref="N6:Q6"/>
    <mergeCell ref="N7:O7"/>
    <mergeCell ref="P7:Q7"/>
    <mergeCell ref="A4:Q4"/>
    <mergeCell ref="F7:G7"/>
  </mergeCells>
  <pageMargins left="0.7" right="0.7" top="0.75" bottom="0.75" header="0.3" footer="0.3"/>
  <pageSetup paperSize="9" scale="42" orientation="portrait" r:id="rId1"/>
  <colBreaks count="1" manualBreakCount="1">
    <brk id="18" max="1048575" man="1"/>
  </colBreaks>
  <ignoredErrors>
    <ignoredError sqref="C26 E26 F13" formula="1"/>
    <ignoredError sqref="Q28 O2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T39"/>
  <sheetViews>
    <sheetView showGridLines="0" zoomScaleNormal="100" workbookViewId="0">
      <selection activeCell="K27" sqref="K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9" style="1" bestFit="1" customWidth="1"/>
    <col min="4" max="4" width="15" style="1" customWidth="1"/>
    <col min="5" max="5" width="1.85546875" style="1" hidden="1" customWidth="1"/>
    <col min="6" max="6" width="6.28515625" style="1" hidden="1" customWidth="1"/>
    <col min="7" max="7" width="6.7109375" style="1" hidden="1" customWidth="1"/>
    <col min="8" max="8" width="11.42578125" style="1" customWidth="1"/>
    <col min="9" max="9" width="14" style="1" bestFit="1" customWidth="1"/>
    <col min="10" max="10" width="13.7109375" style="1" customWidth="1"/>
    <col min="11" max="12" width="10.7109375" style="1" customWidth="1"/>
    <col min="13" max="13" width="14.42578125" style="1" customWidth="1"/>
    <col min="14" max="14" width="11.42578125" style="1" customWidth="1"/>
    <col min="15" max="15" width="20.42578125" style="1" customWidth="1"/>
    <col min="16" max="16" width="35.140625" style="1" customWidth="1"/>
    <col min="17" max="17" width="11.7109375" style="1" bestFit="1" customWidth="1"/>
    <col min="18" max="18" width="18.42578125" style="1" customWidth="1"/>
    <col min="19" max="19" width="16" style="1" bestFit="1" customWidth="1"/>
    <col min="20" max="20" width="11.7109375" style="1" bestFit="1" customWidth="1"/>
    <col min="21" max="16384" width="11.42578125" style="1"/>
  </cols>
  <sheetData>
    <row r="1" spans="1:18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8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8" x14ac:dyDescent="0.25">
      <c r="A3" s="287" t="s">
        <v>150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8" x14ac:dyDescent="0.25">
      <c r="A4" s="287" t="s">
        <v>264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8" x14ac:dyDescent="0.25">
      <c r="A5" s="287" t="s">
        <v>257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8" x14ac:dyDescent="0.25">
      <c r="A6" s="89"/>
      <c r="B6" s="327" t="s">
        <v>213</v>
      </c>
      <c r="C6" s="327"/>
      <c r="D6" s="327"/>
      <c r="E6" s="328" t="s">
        <v>132</v>
      </c>
      <c r="F6" s="328"/>
      <c r="G6" s="328"/>
      <c r="H6" s="326" t="s">
        <v>14</v>
      </c>
      <c r="I6" s="326"/>
      <c r="J6" s="326"/>
      <c r="K6" s="330" t="s">
        <v>15</v>
      </c>
      <c r="L6" s="330"/>
      <c r="M6" s="330"/>
      <c r="N6"/>
      <c r="O6"/>
      <c r="P6"/>
      <c r="Q6"/>
      <c r="R6"/>
    </row>
    <row r="7" spans="1:18" ht="39.75" customHeight="1" x14ac:dyDescent="0.25">
      <c r="A7" s="90" t="s">
        <v>1</v>
      </c>
      <c r="B7" s="45" t="s">
        <v>47</v>
      </c>
      <c r="C7" s="45" t="s">
        <v>49</v>
      </c>
      <c r="D7" s="45" t="s">
        <v>18</v>
      </c>
      <c r="E7" s="45" t="s">
        <v>47</v>
      </c>
      <c r="F7" s="45" t="s">
        <v>49</v>
      </c>
      <c r="G7" s="45" t="s">
        <v>18</v>
      </c>
      <c r="H7" s="45" t="s">
        <v>47</v>
      </c>
      <c r="I7" s="45" t="s">
        <v>49</v>
      </c>
      <c r="J7" s="45" t="s">
        <v>18</v>
      </c>
      <c r="K7" s="45" t="s">
        <v>16</v>
      </c>
      <c r="L7" s="45" t="s">
        <v>17</v>
      </c>
      <c r="M7" s="45" t="s">
        <v>18</v>
      </c>
      <c r="N7"/>
      <c r="O7"/>
      <c r="P7"/>
      <c r="Q7"/>
      <c r="R7"/>
    </row>
    <row r="8" spans="1:18" hidden="1" x14ac:dyDescent="0.25">
      <c r="A8" s="212" t="s">
        <v>214</v>
      </c>
      <c r="B8" s="202" t="s">
        <v>196</v>
      </c>
      <c r="C8" s="202" t="s">
        <v>196</v>
      </c>
      <c r="D8" s="125" t="s">
        <v>196</v>
      </c>
      <c r="E8" s="211"/>
      <c r="F8" s="211"/>
      <c r="G8" s="211"/>
      <c r="H8" s="206" t="s">
        <v>196</v>
      </c>
      <c r="I8" s="179" t="s">
        <v>196</v>
      </c>
      <c r="J8" s="60" t="s">
        <v>196</v>
      </c>
      <c r="K8" s="213" t="s">
        <v>196</v>
      </c>
      <c r="L8" s="213" t="s">
        <v>196</v>
      </c>
      <c r="M8" s="214" t="s">
        <v>196</v>
      </c>
      <c r="N8"/>
      <c r="O8"/>
      <c r="P8"/>
      <c r="Q8"/>
      <c r="R8"/>
    </row>
    <row r="9" spans="1:18" x14ac:dyDescent="0.25">
      <c r="A9" s="143" t="s">
        <v>259</v>
      </c>
      <c r="B9" s="155">
        <v>199</v>
      </c>
      <c r="C9" s="155">
        <v>226</v>
      </c>
      <c r="D9" s="177">
        <v>15882581.279999999</v>
      </c>
      <c r="E9" s="125"/>
      <c r="F9" s="125"/>
      <c r="G9" s="177"/>
      <c r="H9" s="125">
        <v>151</v>
      </c>
      <c r="I9" s="125">
        <v>153</v>
      </c>
      <c r="J9" s="177">
        <v>10345937.18</v>
      </c>
      <c r="K9" s="38">
        <f t="shared" ref="K9" si="0">+B9+H9+E9</f>
        <v>350</v>
      </c>
      <c r="L9" s="38">
        <f>+C9+I9+F9</f>
        <v>379</v>
      </c>
      <c r="M9" s="38">
        <f>+D9+J9+G9</f>
        <v>26228518.460000001</v>
      </c>
      <c r="N9"/>
      <c r="O9"/>
      <c r="P9"/>
      <c r="Q9"/>
      <c r="R9"/>
    </row>
    <row r="10" spans="1:18" x14ac:dyDescent="0.25">
      <c r="A10" s="143" t="s">
        <v>260</v>
      </c>
      <c r="B10" s="155">
        <v>212</v>
      </c>
      <c r="C10" s="155">
        <v>231</v>
      </c>
      <c r="D10" s="177">
        <v>13537080.33</v>
      </c>
      <c r="E10" s="125"/>
      <c r="F10" s="125"/>
      <c r="G10" s="177"/>
      <c r="H10" s="125">
        <v>48</v>
      </c>
      <c r="I10" s="125">
        <v>48</v>
      </c>
      <c r="J10" s="177">
        <v>4063136.52</v>
      </c>
      <c r="K10" s="38">
        <f t="shared" ref="K10:L11" si="1">+B10+H10+E10</f>
        <v>260</v>
      </c>
      <c r="L10" s="38">
        <f>+C10+I10+F10</f>
        <v>279</v>
      </c>
      <c r="M10" s="38">
        <f>+D10+J10+G10</f>
        <v>17600216.850000001</v>
      </c>
      <c r="N10"/>
      <c r="O10"/>
      <c r="P10"/>
      <c r="Q10"/>
      <c r="R10"/>
    </row>
    <row r="11" spans="1:18" x14ac:dyDescent="0.25">
      <c r="A11" s="143" t="s">
        <v>261</v>
      </c>
      <c r="B11" s="155">
        <v>287</v>
      </c>
      <c r="C11" s="155">
        <v>325</v>
      </c>
      <c r="D11" s="125">
        <v>25061586.309999999</v>
      </c>
      <c r="E11" s="125"/>
      <c r="F11" s="125"/>
      <c r="G11" s="177"/>
      <c r="H11" s="125">
        <v>345</v>
      </c>
      <c r="I11" s="125">
        <v>348</v>
      </c>
      <c r="J11" s="125">
        <v>29967980.030000001</v>
      </c>
      <c r="K11" s="38">
        <f t="shared" si="1"/>
        <v>632</v>
      </c>
      <c r="L11" s="38">
        <f t="shared" si="1"/>
        <v>673</v>
      </c>
      <c r="M11" s="38">
        <f>+D11+J11+G11</f>
        <v>55029566.340000004</v>
      </c>
      <c r="N11"/>
      <c r="O11"/>
      <c r="P11"/>
      <c r="Q11"/>
      <c r="R11"/>
    </row>
    <row r="12" spans="1:18" x14ac:dyDescent="0.25">
      <c r="A12" s="46" t="s">
        <v>258</v>
      </c>
      <c r="B12" s="40">
        <f t="shared" ref="B12:M12" si="2">SUM(B9:B11)</f>
        <v>698</v>
      </c>
      <c r="C12" s="40">
        <f t="shared" si="2"/>
        <v>782</v>
      </c>
      <c r="D12" s="40">
        <f t="shared" si="2"/>
        <v>54481247.920000002</v>
      </c>
      <c r="E12" s="40">
        <f t="shared" si="2"/>
        <v>0</v>
      </c>
      <c r="F12" s="40">
        <f t="shared" si="2"/>
        <v>0</v>
      </c>
      <c r="G12" s="40">
        <f t="shared" si="2"/>
        <v>0</v>
      </c>
      <c r="H12" s="215">
        <f t="shared" si="2"/>
        <v>544</v>
      </c>
      <c r="I12" s="215">
        <f t="shared" si="2"/>
        <v>549</v>
      </c>
      <c r="J12" s="40">
        <f t="shared" si="2"/>
        <v>44377053.730000004</v>
      </c>
      <c r="K12" s="40">
        <f>SUM(K9:K11)</f>
        <v>1242</v>
      </c>
      <c r="L12" s="40">
        <f>SUM(L9:L11)</f>
        <v>1331</v>
      </c>
      <c r="M12" s="40">
        <f t="shared" si="2"/>
        <v>98858301.650000006</v>
      </c>
      <c r="N12"/>
      <c r="O12"/>
      <c r="P12"/>
      <c r="Q12"/>
      <c r="R12"/>
    </row>
    <row r="13" spans="1:18" hidden="1" x14ac:dyDescent="0.25">
      <c r="A13" s="44" t="s">
        <v>34</v>
      </c>
      <c r="B13" s="125"/>
      <c r="C13" s="125"/>
      <c r="D13" s="177"/>
      <c r="E13" s="125"/>
      <c r="F13" s="125"/>
      <c r="G13" s="177"/>
      <c r="H13" s="125"/>
      <c r="I13" s="125"/>
      <c r="J13" s="177"/>
      <c r="K13" s="37">
        <f t="shared" ref="K13:M15" si="3">+B13+H13+E13</f>
        <v>0</v>
      </c>
      <c r="L13" s="37">
        <f t="shared" si="3"/>
        <v>0</v>
      </c>
      <c r="M13" s="65">
        <f t="shared" si="3"/>
        <v>0</v>
      </c>
      <c r="N13"/>
      <c r="O13"/>
      <c r="P13"/>
      <c r="Q13"/>
      <c r="R13"/>
    </row>
    <row r="14" spans="1:18" hidden="1" x14ac:dyDescent="0.25">
      <c r="A14" s="44" t="s">
        <v>35</v>
      </c>
      <c r="B14" s="125"/>
      <c r="C14" s="125"/>
      <c r="D14" s="177"/>
      <c r="E14" s="125"/>
      <c r="F14" s="125"/>
      <c r="G14" s="177"/>
      <c r="H14" s="125"/>
      <c r="I14" s="125"/>
      <c r="J14" s="177"/>
      <c r="K14" s="37">
        <f t="shared" si="3"/>
        <v>0</v>
      </c>
      <c r="L14" s="37">
        <f t="shared" si="3"/>
        <v>0</v>
      </c>
      <c r="M14" s="65">
        <f t="shared" si="3"/>
        <v>0</v>
      </c>
      <c r="N14"/>
      <c r="O14"/>
      <c r="P14"/>
      <c r="Q14"/>
      <c r="R14"/>
    </row>
    <row r="15" spans="1:18" hidden="1" x14ac:dyDescent="0.25">
      <c r="A15" s="44" t="s">
        <v>36</v>
      </c>
      <c r="B15" s="125"/>
      <c r="C15" s="125"/>
      <c r="D15" s="177"/>
      <c r="E15" s="125"/>
      <c r="F15" s="125"/>
      <c r="G15" s="177"/>
      <c r="H15" s="125"/>
      <c r="I15" s="125"/>
      <c r="J15" s="177"/>
      <c r="K15" s="37">
        <f t="shared" si="3"/>
        <v>0</v>
      </c>
      <c r="L15" s="37">
        <f t="shared" si="3"/>
        <v>0</v>
      </c>
      <c r="M15" s="65">
        <f t="shared" si="3"/>
        <v>0</v>
      </c>
      <c r="N15"/>
      <c r="O15"/>
      <c r="P15"/>
      <c r="Q15"/>
      <c r="R15"/>
    </row>
    <row r="16" spans="1:18" hidden="1" x14ac:dyDescent="0.25">
      <c r="A16" s="27" t="s">
        <v>122</v>
      </c>
      <c r="B16" s="39">
        <f t="shared" ref="B16:M16" si="4">SUM(B13:B15)</f>
        <v>0</v>
      </c>
      <c r="C16" s="39">
        <f t="shared" si="4"/>
        <v>0</v>
      </c>
      <c r="D16" s="39">
        <f t="shared" si="4"/>
        <v>0</v>
      </c>
      <c r="E16" s="39">
        <f t="shared" ref="E16:J16" si="5">SUM(E13:E15)</f>
        <v>0</v>
      </c>
      <c r="F16" s="39">
        <f t="shared" si="5"/>
        <v>0</v>
      </c>
      <c r="G16" s="39">
        <f t="shared" si="5"/>
        <v>0</v>
      </c>
      <c r="H16" s="39">
        <f t="shared" si="5"/>
        <v>0</v>
      </c>
      <c r="I16" s="39">
        <f t="shared" si="5"/>
        <v>0</v>
      </c>
      <c r="J16" s="39">
        <f t="shared" si="5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/>
      <c r="O16"/>
      <c r="P16"/>
      <c r="Q16"/>
      <c r="R16"/>
    </row>
    <row r="17" spans="1:20" hidden="1" x14ac:dyDescent="0.25">
      <c r="A17" s="44" t="s">
        <v>80</v>
      </c>
      <c r="B17" s="125"/>
      <c r="C17" s="125"/>
      <c r="D17" s="177"/>
      <c r="E17" s="125"/>
      <c r="F17" s="125"/>
      <c r="G17" s="177"/>
      <c r="H17" s="125"/>
      <c r="I17" s="125"/>
      <c r="J17" s="177"/>
      <c r="K17" s="37">
        <f t="shared" ref="K17:M19" si="6">+B17+H17+E17</f>
        <v>0</v>
      </c>
      <c r="L17" s="37">
        <f t="shared" si="6"/>
        <v>0</v>
      </c>
      <c r="M17" s="65">
        <f t="shared" si="6"/>
        <v>0</v>
      </c>
      <c r="N17"/>
      <c r="O17"/>
      <c r="P17"/>
      <c r="Q17"/>
      <c r="R17"/>
    </row>
    <row r="18" spans="1:20" hidden="1" x14ac:dyDescent="0.25">
      <c r="A18" s="44" t="s">
        <v>81</v>
      </c>
      <c r="B18" s="125"/>
      <c r="C18" s="125"/>
      <c r="D18" s="177"/>
      <c r="E18" s="125"/>
      <c r="F18" s="125"/>
      <c r="G18" s="177"/>
      <c r="H18" s="125"/>
      <c r="I18" s="125"/>
      <c r="J18" s="177"/>
      <c r="K18" s="37">
        <f t="shared" si="6"/>
        <v>0</v>
      </c>
      <c r="L18" s="37">
        <f t="shared" si="6"/>
        <v>0</v>
      </c>
      <c r="M18" s="65">
        <f t="shared" si="6"/>
        <v>0</v>
      </c>
      <c r="N18"/>
      <c r="O18"/>
      <c r="P18"/>
      <c r="Q18"/>
      <c r="R18"/>
    </row>
    <row r="19" spans="1:20" hidden="1" x14ac:dyDescent="0.25">
      <c r="A19" s="44" t="s">
        <v>82</v>
      </c>
      <c r="B19" s="125"/>
      <c r="C19" s="125"/>
      <c r="D19" s="177"/>
      <c r="E19" s="125"/>
      <c r="F19" s="125"/>
      <c r="G19" s="177"/>
      <c r="H19" s="125"/>
      <c r="I19" s="125"/>
      <c r="J19" s="177"/>
      <c r="K19" s="37">
        <f t="shared" si="6"/>
        <v>0</v>
      </c>
      <c r="L19" s="37">
        <f t="shared" si="6"/>
        <v>0</v>
      </c>
      <c r="M19" s="65">
        <f t="shared" si="6"/>
        <v>0</v>
      </c>
      <c r="N19"/>
      <c r="O19"/>
      <c r="P19"/>
      <c r="Q19"/>
      <c r="R19"/>
    </row>
    <row r="20" spans="1:20" hidden="1" x14ac:dyDescent="0.25">
      <c r="A20" s="27" t="s">
        <v>86</v>
      </c>
      <c r="B20" s="39">
        <f t="shared" ref="B20:D20" si="7">SUM(B17:B19)</f>
        <v>0</v>
      </c>
      <c r="C20" s="39">
        <f t="shared" si="7"/>
        <v>0</v>
      </c>
      <c r="D20" s="39">
        <f t="shared" si="7"/>
        <v>0</v>
      </c>
      <c r="E20" s="39">
        <f t="shared" ref="E20:M20" si="8">SUM(E17:E19)</f>
        <v>0</v>
      </c>
      <c r="F20" s="39">
        <f t="shared" si="8"/>
        <v>0</v>
      </c>
      <c r="G20" s="39">
        <f t="shared" si="8"/>
        <v>0</v>
      </c>
      <c r="H20" s="39">
        <f>SUM(H17:H19)</f>
        <v>0</v>
      </c>
      <c r="I20" s="39">
        <f>SUM(I17:I19)</f>
        <v>0</v>
      </c>
      <c r="J20" s="39">
        <f>SUM(J17:J19)</f>
        <v>0</v>
      </c>
      <c r="K20" s="39">
        <f t="shared" si="8"/>
        <v>0</v>
      </c>
      <c r="L20" s="39">
        <f t="shared" si="8"/>
        <v>0</v>
      </c>
      <c r="M20" s="39">
        <f t="shared" si="8"/>
        <v>0</v>
      </c>
      <c r="N20"/>
      <c r="O20"/>
      <c r="P20"/>
      <c r="Q20"/>
      <c r="R20"/>
    </row>
    <row r="21" spans="1:20" hidden="1" x14ac:dyDescent="0.25">
      <c r="A21" s="44" t="s">
        <v>83</v>
      </c>
      <c r="B21" s="125"/>
      <c r="C21" s="125"/>
      <c r="D21" s="177"/>
      <c r="E21" s="125"/>
      <c r="F21" s="125"/>
      <c r="G21" s="177"/>
      <c r="H21" s="125"/>
      <c r="I21" s="125"/>
      <c r="J21" s="177"/>
      <c r="K21" s="37">
        <f t="shared" ref="K21:M23" si="9">+B21+H21+E21</f>
        <v>0</v>
      </c>
      <c r="L21" s="37">
        <f t="shared" si="9"/>
        <v>0</v>
      </c>
      <c r="M21" s="65">
        <f t="shared" si="9"/>
        <v>0</v>
      </c>
      <c r="N21"/>
      <c r="O21"/>
      <c r="P21"/>
      <c r="Q21"/>
      <c r="R21"/>
    </row>
    <row r="22" spans="1:20" hidden="1" x14ac:dyDescent="0.25">
      <c r="A22" s="44" t="s">
        <v>84</v>
      </c>
      <c r="B22" s="125"/>
      <c r="C22" s="125"/>
      <c r="D22" s="177"/>
      <c r="E22" s="125"/>
      <c r="F22" s="125"/>
      <c r="G22" s="177"/>
      <c r="H22" s="125"/>
      <c r="I22" s="125"/>
      <c r="J22" s="177"/>
      <c r="K22" s="37">
        <f t="shared" si="9"/>
        <v>0</v>
      </c>
      <c r="L22" s="37">
        <f t="shared" si="9"/>
        <v>0</v>
      </c>
      <c r="M22" s="65">
        <f t="shared" si="9"/>
        <v>0</v>
      </c>
      <c r="N22"/>
      <c r="O22"/>
      <c r="P22"/>
      <c r="Q22"/>
      <c r="R22"/>
    </row>
    <row r="23" spans="1:20" hidden="1" x14ac:dyDescent="0.25">
      <c r="A23" s="44" t="s">
        <v>120</v>
      </c>
      <c r="B23" s="125"/>
      <c r="C23" s="125"/>
      <c r="D23" s="177"/>
      <c r="E23" s="125"/>
      <c r="F23" s="125"/>
      <c r="G23" s="177"/>
      <c r="H23" s="125"/>
      <c r="I23" s="125"/>
      <c r="J23" s="177"/>
      <c r="K23" s="37">
        <f t="shared" si="9"/>
        <v>0</v>
      </c>
      <c r="L23" s="37">
        <f t="shared" si="9"/>
        <v>0</v>
      </c>
      <c r="M23" s="65">
        <f t="shared" si="9"/>
        <v>0</v>
      </c>
      <c r="N23"/>
      <c r="O23"/>
      <c r="P23"/>
      <c r="Q23"/>
      <c r="R23"/>
    </row>
    <row r="24" spans="1:20" hidden="1" x14ac:dyDescent="0.25">
      <c r="A24" s="27" t="s">
        <v>87</v>
      </c>
      <c r="B24" s="39">
        <f t="shared" ref="B24:M24" si="10">SUM(B21:B23)</f>
        <v>0</v>
      </c>
      <c r="C24" s="39">
        <f t="shared" si="10"/>
        <v>0</v>
      </c>
      <c r="D24" s="39">
        <f t="shared" si="10"/>
        <v>0</v>
      </c>
      <c r="E24" s="39">
        <f t="shared" ref="E24:J24" si="11">SUM(E21:E23)</f>
        <v>0</v>
      </c>
      <c r="F24" s="39">
        <f t="shared" si="11"/>
        <v>0</v>
      </c>
      <c r="G24" s="39">
        <f t="shared" si="11"/>
        <v>0</v>
      </c>
      <c r="H24" s="39">
        <f t="shared" si="11"/>
        <v>0</v>
      </c>
      <c r="I24" s="39">
        <f t="shared" si="11"/>
        <v>0</v>
      </c>
      <c r="J24" s="39">
        <f t="shared" si="11"/>
        <v>0</v>
      </c>
      <c r="K24" s="39">
        <f t="shared" si="10"/>
        <v>0</v>
      </c>
      <c r="L24" s="39">
        <f t="shared" si="10"/>
        <v>0</v>
      </c>
      <c r="M24" s="39">
        <f t="shared" si="10"/>
        <v>0</v>
      </c>
      <c r="N24"/>
      <c r="O24"/>
      <c r="P24"/>
      <c r="Q24"/>
      <c r="R24"/>
    </row>
    <row r="25" spans="1:20" hidden="1" x14ac:dyDescent="0.25">
      <c r="A25" s="71" t="s">
        <v>9</v>
      </c>
      <c r="B25" s="41">
        <f t="shared" ref="B25:K25" si="12">+B12+B16+B20+B24</f>
        <v>698</v>
      </c>
      <c r="C25" s="41">
        <f t="shared" si="12"/>
        <v>782</v>
      </c>
      <c r="D25" s="41">
        <f t="shared" si="12"/>
        <v>54481247.920000002</v>
      </c>
      <c r="E25" s="41">
        <f t="shared" si="12"/>
        <v>0</v>
      </c>
      <c r="F25" s="41">
        <f t="shared" si="12"/>
        <v>0</v>
      </c>
      <c r="G25" s="41">
        <f t="shared" si="12"/>
        <v>0</v>
      </c>
      <c r="H25" s="41">
        <f t="shared" si="12"/>
        <v>544</v>
      </c>
      <c r="I25" s="41">
        <f t="shared" si="12"/>
        <v>549</v>
      </c>
      <c r="J25" s="41">
        <f t="shared" si="12"/>
        <v>44377053.730000004</v>
      </c>
      <c r="K25" s="41">
        <f t="shared" si="12"/>
        <v>1242</v>
      </c>
      <c r="L25" s="41">
        <f t="shared" ref="L25:M25" si="13">+L12+L16+L20+L24</f>
        <v>1331</v>
      </c>
      <c r="M25" s="41">
        <f t="shared" si="13"/>
        <v>98858301.650000006</v>
      </c>
      <c r="N25"/>
      <c r="O25"/>
      <c r="P25"/>
      <c r="Q25"/>
      <c r="R25"/>
    </row>
    <row r="26" spans="1:20" hidden="1" x14ac:dyDescent="0.25">
      <c r="A26" s="180" t="s">
        <v>121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0" x14ac:dyDescent="0.25">
      <c r="A27" s="228" t="s">
        <v>251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20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20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 s="176"/>
      <c r="O29"/>
      <c r="P29"/>
      <c r="Q29"/>
      <c r="R29"/>
    </row>
    <row r="30" spans="1:20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 s="176"/>
      <c r="O30"/>
      <c r="P30"/>
      <c r="Q30"/>
      <c r="R30"/>
    </row>
    <row r="31" spans="1:20" x14ac:dyDescent="0.25">
      <c r="A31" s="44"/>
      <c r="B31" s="156"/>
      <c r="C31" s="156"/>
      <c r="D31" s="125"/>
      <c r="E31" s="125"/>
      <c r="F31" s="125"/>
      <c r="G31" s="177"/>
      <c r="H31" s="178"/>
      <c r="I31" s="179"/>
      <c r="J31" s="125"/>
      <c r="K31" s="38"/>
      <c r="L31" s="38"/>
      <c r="M31" s="38"/>
    </row>
    <row r="32" spans="1:20" x14ac:dyDescent="0.25">
      <c r="N32" s="36"/>
      <c r="Q32" s="51"/>
      <c r="R32" s="63"/>
      <c r="S32" s="52"/>
      <c r="T32" s="64"/>
    </row>
    <row r="33" spans="1:20" x14ac:dyDescent="0.25">
      <c r="A33" s="44"/>
      <c r="B33" s="156"/>
      <c r="C33" s="156"/>
      <c r="D33" s="125"/>
      <c r="E33" s="125"/>
      <c r="F33" s="125"/>
      <c r="G33" s="177"/>
      <c r="H33" s="178"/>
      <c r="I33" s="179"/>
      <c r="J33" s="125"/>
      <c r="K33" s="38"/>
      <c r="L33" s="38"/>
      <c r="M33" s="38"/>
      <c r="Q33" s="51"/>
      <c r="R33" s="63"/>
      <c r="S33" s="52"/>
      <c r="T33" s="64"/>
    </row>
    <row r="34" spans="1:20" x14ac:dyDescent="0.25">
      <c r="Q34" s="51"/>
      <c r="R34" s="63"/>
      <c r="S34" s="52"/>
      <c r="T34" s="64"/>
    </row>
    <row r="35" spans="1:20" x14ac:dyDescent="0.25">
      <c r="Q35" s="51"/>
      <c r="R35" s="63"/>
      <c r="S35" s="52"/>
      <c r="T35" s="64"/>
    </row>
    <row r="36" spans="1:20" x14ac:dyDescent="0.25">
      <c r="Q36" s="51"/>
      <c r="R36" s="63"/>
      <c r="S36" s="52"/>
      <c r="T36" s="64"/>
    </row>
    <row r="37" spans="1:20" x14ac:dyDescent="0.25">
      <c r="Q37" s="51"/>
      <c r="R37" s="63"/>
      <c r="S37" s="52"/>
      <c r="T37" s="64"/>
    </row>
    <row r="38" spans="1:20" x14ac:dyDescent="0.25">
      <c r="Q38" s="51"/>
      <c r="R38" s="63"/>
      <c r="S38" s="52"/>
      <c r="T38" s="64"/>
    </row>
    <row r="39" spans="1:20" x14ac:dyDescent="0.25">
      <c r="Q39" s="51"/>
      <c r="R39" s="63"/>
      <c r="S39" s="52"/>
      <c r="T39" s="64"/>
    </row>
  </sheetData>
  <mergeCells count="9"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72" orientation="portrait" r:id="rId1"/>
  <rowBreaks count="1" manualBreakCount="1">
    <brk id="45" max="9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87" t="s">
        <v>6</v>
      </c>
      <c r="B1" s="287"/>
      <c r="C1" s="287"/>
      <c r="D1" s="287"/>
      <c r="E1" s="287"/>
      <c r="F1" s="287"/>
      <c r="G1" s="287"/>
      <c r="H1" s="287"/>
      <c r="I1" s="287"/>
    </row>
    <row r="2" spans="1:9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</row>
    <row r="3" spans="1:9" x14ac:dyDescent="0.25">
      <c r="A3" s="287" t="s">
        <v>155</v>
      </c>
      <c r="B3" s="287"/>
      <c r="C3" s="287"/>
      <c r="D3" s="287"/>
      <c r="E3" s="287"/>
      <c r="F3" s="287"/>
      <c r="G3" s="287"/>
      <c r="H3" s="287"/>
      <c r="I3" s="287"/>
    </row>
    <row r="4" spans="1:9" x14ac:dyDescent="0.25">
      <c r="A4" s="287" t="s">
        <v>203</v>
      </c>
      <c r="B4" s="287"/>
      <c r="C4" s="287"/>
      <c r="D4" s="287"/>
      <c r="E4" s="287"/>
      <c r="F4" s="287"/>
      <c r="G4" s="287"/>
      <c r="H4" s="287"/>
      <c r="I4" s="287"/>
    </row>
    <row r="5" spans="1:9" x14ac:dyDescent="0.25">
      <c r="A5" s="287" t="s">
        <v>153</v>
      </c>
      <c r="B5" s="287"/>
      <c r="C5" s="287"/>
      <c r="D5" s="287"/>
      <c r="E5" s="287"/>
      <c r="F5" s="287"/>
      <c r="G5" s="287"/>
      <c r="H5" s="287"/>
      <c r="I5" s="287"/>
    </row>
    <row r="6" spans="1:9" x14ac:dyDescent="0.25">
      <c r="A6" s="89"/>
      <c r="B6" s="327" t="s">
        <v>13</v>
      </c>
      <c r="C6" s="327"/>
      <c r="D6" s="326" t="s">
        <v>14</v>
      </c>
      <c r="E6" s="326"/>
      <c r="F6" s="328" t="s">
        <v>132</v>
      </c>
      <c r="G6" s="328"/>
      <c r="H6" s="330" t="s">
        <v>15</v>
      </c>
      <c r="I6" s="330"/>
    </row>
    <row r="7" spans="1:9" ht="34.5" customHeight="1" x14ac:dyDescent="0.25">
      <c r="A7" s="90" t="s">
        <v>1</v>
      </c>
      <c r="B7" s="45" t="s">
        <v>156</v>
      </c>
      <c r="C7" s="45" t="s">
        <v>18</v>
      </c>
      <c r="D7" s="45" t="s">
        <v>156</v>
      </c>
      <c r="E7" s="45" t="s">
        <v>18</v>
      </c>
      <c r="F7" s="45" t="s">
        <v>156</v>
      </c>
      <c r="G7" s="45" t="s">
        <v>18</v>
      </c>
      <c r="H7" s="45" t="s">
        <v>156</v>
      </c>
      <c r="I7" s="45" t="s">
        <v>18</v>
      </c>
    </row>
    <row r="8" spans="1:9" x14ac:dyDescent="0.25">
      <c r="A8" s="44" t="s">
        <v>34</v>
      </c>
      <c r="B8" s="32">
        <v>0</v>
      </c>
      <c r="C8" s="60">
        <v>0</v>
      </c>
      <c r="D8" s="32">
        <v>0</v>
      </c>
      <c r="E8" s="60">
        <v>0</v>
      </c>
      <c r="F8" s="32">
        <v>0</v>
      </c>
      <c r="G8" s="60">
        <v>0</v>
      </c>
      <c r="H8" s="37">
        <f t="shared" ref="H8:I10" si="0">+B8+D8+F8</f>
        <v>0</v>
      </c>
      <c r="I8" s="65">
        <f t="shared" si="0"/>
        <v>0</v>
      </c>
    </row>
    <row r="9" spans="1:9" x14ac:dyDescent="0.25">
      <c r="A9" s="44" t="s">
        <v>35</v>
      </c>
      <c r="B9" s="32">
        <f>4+28+31</f>
        <v>63</v>
      </c>
      <c r="C9" s="60">
        <f>30992+216880.44+240467.76</f>
        <v>488340.2</v>
      </c>
      <c r="D9" s="32">
        <v>3</v>
      </c>
      <c r="E9" s="60">
        <v>224872.69</v>
      </c>
      <c r="F9" s="32">
        <f>2+12</f>
        <v>14</v>
      </c>
      <c r="G9" s="60">
        <f>12000+72000</f>
        <v>84000</v>
      </c>
      <c r="H9" s="37">
        <f t="shared" si="0"/>
        <v>80</v>
      </c>
      <c r="I9" s="65">
        <f t="shared" si="0"/>
        <v>797212.89</v>
      </c>
    </row>
    <row r="10" spans="1:9" x14ac:dyDescent="0.25">
      <c r="A10" s="44" t="s">
        <v>36</v>
      </c>
      <c r="B10" s="32">
        <v>1413</v>
      </c>
      <c r="C10" s="60">
        <v>11172621.32</v>
      </c>
      <c r="D10" s="32">
        <v>34</v>
      </c>
      <c r="E10" s="60">
        <v>278309.3</v>
      </c>
      <c r="F10" s="32">
        <v>1549</v>
      </c>
      <c r="G10" s="60">
        <v>9294000</v>
      </c>
      <c r="H10" s="37">
        <f t="shared" si="0"/>
        <v>2996</v>
      </c>
      <c r="I10" s="37">
        <f t="shared" si="0"/>
        <v>20744930.620000001</v>
      </c>
    </row>
    <row r="11" spans="1:9" x14ac:dyDescent="0.25">
      <c r="A11" s="27" t="s">
        <v>122</v>
      </c>
      <c r="B11" s="39">
        <f t="shared" ref="B11:I11" si="1">SUM(B8:B10)</f>
        <v>1476</v>
      </c>
      <c r="C11" s="39">
        <f t="shared" si="1"/>
        <v>11660961.52</v>
      </c>
      <c r="D11" s="39">
        <f t="shared" si="1"/>
        <v>37</v>
      </c>
      <c r="E11" s="39">
        <f t="shared" si="1"/>
        <v>503181.99</v>
      </c>
      <c r="F11" s="39">
        <f>SUM(F8:F10)</f>
        <v>1563</v>
      </c>
      <c r="G11" s="39">
        <f t="shared" ref="G11" si="2">SUM(G8:G10)</f>
        <v>9378000</v>
      </c>
      <c r="H11" s="39">
        <f>SUM(H8:H10)</f>
        <v>3076</v>
      </c>
      <c r="I11" s="39">
        <f t="shared" si="1"/>
        <v>21542143.510000002</v>
      </c>
    </row>
    <row r="12" spans="1:9" hidden="1" x14ac:dyDescent="0.25">
      <c r="A12" s="44" t="s">
        <v>34</v>
      </c>
      <c r="B12" s="32"/>
      <c r="C12" s="60"/>
      <c r="D12" s="32"/>
      <c r="E12" s="60"/>
      <c r="F12" s="32"/>
      <c r="G12" s="60"/>
      <c r="H12" s="37">
        <f t="shared" ref="H12:I14" si="3">+B12+D12+F12</f>
        <v>0</v>
      </c>
      <c r="I12" s="65">
        <f t="shared" si="3"/>
        <v>0</v>
      </c>
    </row>
    <row r="13" spans="1:9" hidden="1" x14ac:dyDescent="0.25">
      <c r="A13" s="44" t="s">
        <v>35</v>
      </c>
      <c r="B13" s="32"/>
      <c r="C13" s="60"/>
      <c r="D13" s="32"/>
      <c r="E13" s="60"/>
      <c r="F13" s="32"/>
      <c r="G13" s="60"/>
      <c r="H13" s="37">
        <f t="shared" si="3"/>
        <v>0</v>
      </c>
      <c r="I13" s="65">
        <f t="shared" si="3"/>
        <v>0</v>
      </c>
    </row>
    <row r="14" spans="1:9" hidden="1" x14ac:dyDescent="0.25">
      <c r="A14" s="44" t="s">
        <v>36</v>
      </c>
      <c r="B14" s="32"/>
      <c r="C14" s="60"/>
      <c r="D14" s="32"/>
      <c r="E14" s="60"/>
      <c r="F14" s="32"/>
      <c r="G14" s="60"/>
      <c r="H14" s="37">
        <f t="shared" si="3"/>
        <v>0</v>
      </c>
      <c r="I14" s="65">
        <f t="shared" si="3"/>
        <v>0</v>
      </c>
    </row>
    <row r="15" spans="1:9" hidden="1" x14ac:dyDescent="0.25">
      <c r="A15" s="27" t="s">
        <v>122</v>
      </c>
      <c r="B15" s="39">
        <f t="shared" ref="B15:I15" si="4">SUM(B12:B14)</f>
        <v>0</v>
      </c>
      <c r="C15" s="39">
        <f t="shared" si="4"/>
        <v>0</v>
      </c>
      <c r="D15" s="39">
        <f t="shared" si="4"/>
        <v>0</v>
      </c>
      <c r="E15" s="39">
        <f t="shared" si="4"/>
        <v>0</v>
      </c>
      <c r="F15" s="39">
        <f t="shared" ref="F15:G15" si="5">SUM(F12:F14)</f>
        <v>0</v>
      </c>
      <c r="G15" s="39">
        <f t="shared" si="5"/>
        <v>0</v>
      </c>
      <c r="H15" s="39">
        <f t="shared" si="4"/>
        <v>0</v>
      </c>
      <c r="I15" s="39">
        <f t="shared" si="4"/>
        <v>0</v>
      </c>
    </row>
    <row r="16" spans="1:9" hidden="1" x14ac:dyDescent="0.25">
      <c r="A16" s="44" t="s">
        <v>80</v>
      </c>
      <c r="B16" s="32"/>
      <c r="C16" s="60"/>
      <c r="D16" s="32"/>
      <c r="E16" s="60"/>
      <c r="F16" s="32"/>
      <c r="G16" s="60"/>
      <c r="H16" s="37">
        <f t="shared" ref="H16:I18" si="6">+B16+D16+F16</f>
        <v>0</v>
      </c>
      <c r="I16" s="65">
        <f t="shared" si="6"/>
        <v>0</v>
      </c>
    </row>
    <row r="17" spans="1:16" hidden="1" x14ac:dyDescent="0.25">
      <c r="A17" s="44" t="s">
        <v>81</v>
      </c>
      <c r="B17" s="32"/>
      <c r="C17" s="60"/>
      <c r="D17" s="32"/>
      <c r="E17" s="60"/>
      <c r="F17" s="32"/>
      <c r="G17" s="60"/>
      <c r="H17" s="37">
        <f t="shared" si="6"/>
        <v>0</v>
      </c>
      <c r="I17" s="65">
        <f t="shared" si="6"/>
        <v>0</v>
      </c>
    </row>
    <row r="18" spans="1:16" hidden="1" x14ac:dyDescent="0.25">
      <c r="A18" s="44" t="s">
        <v>82</v>
      </c>
      <c r="B18" s="32"/>
      <c r="C18" s="60"/>
      <c r="D18" s="32"/>
      <c r="E18" s="60"/>
      <c r="F18" s="32"/>
      <c r="G18" s="60"/>
      <c r="H18" s="37">
        <f t="shared" si="6"/>
        <v>0</v>
      </c>
      <c r="I18" s="65">
        <f t="shared" si="6"/>
        <v>0</v>
      </c>
    </row>
    <row r="19" spans="1:16" hidden="1" x14ac:dyDescent="0.25">
      <c r="A19" s="27" t="s">
        <v>86</v>
      </c>
      <c r="B19" s="39">
        <f t="shared" ref="B19:E19" si="7">SUM(B16:B18)</f>
        <v>0</v>
      </c>
      <c r="C19" s="39">
        <f t="shared" si="7"/>
        <v>0</v>
      </c>
      <c r="D19" s="39">
        <f t="shared" si="7"/>
        <v>0</v>
      </c>
      <c r="E19" s="39">
        <f t="shared" si="7"/>
        <v>0</v>
      </c>
      <c r="F19" s="39">
        <f t="shared" ref="F19:G19" si="8">SUM(F16:F18)</f>
        <v>0</v>
      </c>
      <c r="G19" s="39">
        <f t="shared" si="8"/>
        <v>0</v>
      </c>
      <c r="H19" s="39">
        <f>SUM(H16:H18)</f>
        <v>0</v>
      </c>
      <c r="I19" s="39">
        <f>SUM(I16:I18)</f>
        <v>0</v>
      </c>
    </row>
    <row r="20" spans="1:16" hidden="1" x14ac:dyDescent="0.25">
      <c r="A20" s="31" t="s">
        <v>83</v>
      </c>
      <c r="B20" s="32"/>
      <c r="C20" s="60"/>
      <c r="D20" s="32"/>
      <c r="E20" s="60"/>
      <c r="F20" s="32"/>
      <c r="G20" s="60"/>
      <c r="H20" s="37">
        <f t="shared" ref="H20:I22" si="9">+B20+D20+F20</f>
        <v>0</v>
      </c>
      <c r="I20" s="65">
        <f t="shared" si="9"/>
        <v>0</v>
      </c>
    </row>
    <row r="21" spans="1:16" hidden="1" x14ac:dyDescent="0.25">
      <c r="A21" s="31" t="s">
        <v>84</v>
      </c>
      <c r="B21" s="32"/>
      <c r="C21" s="60"/>
      <c r="D21" s="32"/>
      <c r="E21" s="60"/>
      <c r="F21" s="32"/>
      <c r="G21" s="60"/>
      <c r="H21" s="37">
        <f t="shared" si="9"/>
        <v>0</v>
      </c>
      <c r="I21" s="65">
        <f t="shared" si="9"/>
        <v>0</v>
      </c>
    </row>
    <row r="22" spans="1:16" hidden="1" x14ac:dyDescent="0.25">
      <c r="A22" s="31" t="s">
        <v>85</v>
      </c>
      <c r="B22" s="32"/>
      <c r="C22" s="60"/>
      <c r="D22" s="32"/>
      <c r="E22" s="60"/>
      <c r="F22" s="32"/>
      <c r="G22" s="60"/>
      <c r="H22" s="37">
        <f t="shared" si="9"/>
        <v>0</v>
      </c>
      <c r="I22" s="65">
        <f t="shared" si="9"/>
        <v>0</v>
      </c>
    </row>
    <row r="23" spans="1:16" hidden="1" x14ac:dyDescent="0.25">
      <c r="A23" s="12" t="s">
        <v>87</v>
      </c>
      <c r="B23" s="39">
        <f t="shared" ref="B23:I23" si="10">SUM(B20:B22)</f>
        <v>0</v>
      </c>
      <c r="C23" s="39">
        <f t="shared" si="10"/>
        <v>0</v>
      </c>
      <c r="D23" s="39">
        <f t="shared" si="10"/>
        <v>0</v>
      </c>
      <c r="E23" s="39">
        <f t="shared" si="10"/>
        <v>0</v>
      </c>
      <c r="F23" s="39">
        <f t="shared" ref="F23:G23" si="11">SUM(F20:F22)</f>
        <v>0</v>
      </c>
      <c r="G23" s="39">
        <f t="shared" si="11"/>
        <v>0</v>
      </c>
      <c r="H23" s="39">
        <f t="shared" si="10"/>
        <v>0</v>
      </c>
      <c r="I23" s="39">
        <f t="shared" si="10"/>
        <v>0</v>
      </c>
    </row>
    <row r="24" spans="1:16" hidden="1" x14ac:dyDescent="0.25">
      <c r="A24" s="61" t="s">
        <v>9</v>
      </c>
      <c r="B24" s="41">
        <f>+B11+B15+B19+B23</f>
        <v>1476</v>
      </c>
      <c r="C24" s="41">
        <f>+C11+C15+C19+C23</f>
        <v>11660961.52</v>
      </c>
      <c r="D24" s="41">
        <f t="shared" ref="D24:I24" si="12">+D11+D15+D19+D23</f>
        <v>37</v>
      </c>
      <c r="E24" s="41">
        <f t="shared" si="12"/>
        <v>503181.99</v>
      </c>
      <c r="F24" s="41">
        <f t="shared" si="12"/>
        <v>1563</v>
      </c>
      <c r="G24" s="41">
        <f t="shared" si="12"/>
        <v>9378000</v>
      </c>
      <c r="H24" s="41">
        <f>+H11+H15+H19+H23</f>
        <v>3076</v>
      </c>
      <c r="I24" s="41">
        <f t="shared" si="12"/>
        <v>21542143.510000002</v>
      </c>
    </row>
    <row r="25" spans="1:16" hidden="1" x14ac:dyDescent="0.25">
      <c r="A25" s="62" t="s">
        <v>157</v>
      </c>
    </row>
    <row r="26" spans="1:16" x14ac:dyDescent="0.25">
      <c r="A26" s="15" t="s">
        <v>161</v>
      </c>
      <c r="E26" s="36"/>
      <c r="G26" s="36"/>
    </row>
    <row r="32" spans="1:16" x14ac:dyDescent="0.25">
      <c r="M32" s="51">
        <v>32154</v>
      </c>
      <c r="N32" s="63" t="e">
        <f t="shared" ref="N32:N39" si="13">M32/$B$29*100</f>
        <v>#DIV/0!</v>
      </c>
      <c r="O32" s="52">
        <v>386810064.19999999</v>
      </c>
      <c r="P32" s="64" t="e">
        <f>O32/O40*100</f>
        <v>#DIV/0!</v>
      </c>
    </row>
    <row r="33" spans="13:16" x14ac:dyDescent="0.25">
      <c r="M33" s="51">
        <v>56199</v>
      </c>
      <c r="N33" s="63" t="e">
        <f t="shared" si="13"/>
        <v>#DIV/0!</v>
      </c>
      <c r="O33" s="52">
        <v>471111842.94</v>
      </c>
      <c r="P33" s="64" t="e">
        <f>O33/O40*100</f>
        <v>#DIV/0!</v>
      </c>
    </row>
    <row r="34" spans="13:16" x14ac:dyDescent="0.25">
      <c r="M34" s="51">
        <v>297</v>
      </c>
      <c r="N34" s="63" t="e">
        <f t="shared" si="13"/>
        <v>#DIV/0!</v>
      </c>
      <c r="O34" s="52">
        <v>5010228</v>
      </c>
      <c r="P34" s="64" t="e">
        <f>O34/O40*100</f>
        <v>#DIV/0!</v>
      </c>
    </row>
    <row r="35" spans="13:16" x14ac:dyDescent="0.25">
      <c r="M35" s="51">
        <v>163</v>
      </c>
      <c r="N35" s="63" t="e">
        <f t="shared" si="13"/>
        <v>#DIV/0!</v>
      </c>
      <c r="O35" s="52">
        <v>4392328.91</v>
      </c>
      <c r="P35" s="64" t="e">
        <f>O35/O40*100</f>
        <v>#DIV/0!</v>
      </c>
    </row>
    <row r="36" spans="13:16" x14ac:dyDescent="0.25">
      <c r="M36" s="51">
        <v>366</v>
      </c>
      <c r="N36" s="63" t="e">
        <f t="shared" si="13"/>
        <v>#DIV/0!</v>
      </c>
      <c r="O36" s="52">
        <v>9034522.6500000004</v>
      </c>
      <c r="P36" s="64" t="e">
        <f>O36/O40*100</f>
        <v>#DIV/0!</v>
      </c>
    </row>
    <row r="37" spans="13:16" x14ac:dyDescent="0.25">
      <c r="M37" s="51">
        <v>17249</v>
      </c>
      <c r="N37" s="63" t="e">
        <f t="shared" si="13"/>
        <v>#DIV/0!</v>
      </c>
      <c r="O37" s="52">
        <v>405400068.69</v>
      </c>
      <c r="P37" s="64" t="e">
        <f>O37/O40*100</f>
        <v>#DIV/0!</v>
      </c>
    </row>
    <row r="38" spans="13:16" x14ac:dyDescent="0.25">
      <c r="M38" s="51">
        <v>18745</v>
      </c>
      <c r="N38" s="63" t="e">
        <f t="shared" si="13"/>
        <v>#DIV/0!</v>
      </c>
      <c r="O38" s="52">
        <v>369724631.60000002</v>
      </c>
      <c r="P38" s="64" t="e">
        <f>O38/O40*100</f>
        <v>#DIV/0!</v>
      </c>
    </row>
    <row r="39" spans="13:16" x14ac:dyDescent="0.25">
      <c r="M39" s="51">
        <v>15130</v>
      </c>
      <c r="N39" s="63" t="e">
        <f t="shared" si="13"/>
        <v>#DIV/0!</v>
      </c>
      <c r="O39" s="52">
        <v>151015428.50999999</v>
      </c>
      <c r="P39" s="64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87" t="s">
        <v>6</v>
      </c>
      <c r="B1" s="287"/>
      <c r="C1" s="287"/>
      <c r="D1" s="287"/>
      <c r="E1" s="287"/>
      <c r="F1" s="287"/>
      <c r="G1" s="287"/>
      <c r="H1" s="287"/>
      <c r="I1" s="287"/>
    </row>
    <row r="2" spans="1:9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</row>
    <row r="3" spans="1:9" x14ac:dyDescent="0.25">
      <c r="A3" s="287" t="s">
        <v>158</v>
      </c>
      <c r="B3" s="287"/>
      <c r="C3" s="287"/>
      <c r="D3" s="287"/>
      <c r="E3" s="287"/>
      <c r="F3" s="287"/>
      <c r="G3" s="287"/>
      <c r="H3" s="287"/>
      <c r="I3" s="287"/>
    </row>
    <row r="4" spans="1:9" x14ac:dyDescent="0.25">
      <c r="A4" s="287" t="s">
        <v>154</v>
      </c>
      <c r="B4" s="287"/>
      <c r="C4" s="287"/>
      <c r="D4" s="287"/>
      <c r="E4" s="287"/>
      <c r="F4" s="287"/>
      <c r="G4" s="287"/>
      <c r="H4" s="287"/>
      <c r="I4" s="287"/>
    </row>
    <row r="5" spans="1:9" x14ac:dyDescent="0.25">
      <c r="A5" s="287" t="s">
        <v>153</v>
      </c>
      <c r="B5" s="287"/>
      <c r="C5" s="287"/>
      <c r="D5" s="287"/>
      <c r="E5" s="287"/>
      <c r="F5" s="287"/>
      <c r="G5" s="287"/>
      <c r="H5" s="287"/>
      <c r="I5" s="287"/>
    </row>
    <row r="6" spans="1:9" x14ac:dyDescent="0.25">
      <c r="A6" s="89"/>
      <c r="B6" s="327" t="s">
        <v>13</v>
      </c>
      <c r="C6" s="327"/>
      <c r="D6" s="326" t="s">
        <v>14</v>
      </c>
      <c r="E6" s="326"/>
      <c r="F6" s="328" t="s">
        <v>132</v>
      </c>
      <c r="G6" s="328"/>
      <c r="H6" s="330" t="s">
        <v>15</v>
      </c>
      <c r="I6" s="330"/>
    </row>
    <row r="7" spans="1:9" ht="34.5" customHeight="1" x14ac:dyDescent="0.25">
      <c r="A7" s="90" t="s">
        <v>1</v>
      </c>
      <c r="B7" s="45" t="s">
        <v>159</v>
      </c>
      <c r="C7" s="45" t="s">
        <v>18</v>
      </c>
      <c r="D7" s="45" t="s">
        <v>159</v>
      </c>
      <c r="E7" s="45" t="s">
        <v>18</v>
      </c>
      <c r="F7" s="45" t="s">
        <v>159</v>
      </c>
      <c r="G7" s="45" t="s">
        <v>18</v>
      </c>
      <c r="H7" s="45" t="s">
        <v>159</v>
      </c>
      <c r="I7" s="45" t="s">
        <v>18</v>
      </c>
    </row>
    <row r="8" spans="1:9" x14ac:dyDescent="0.25">
      <c r="A8" s="44" t="s">
        <v>34</v>
      </c>
      <c r="B8" s="32">
        <v>0</v>
      </c>
      <c r="C8" s="60">
        <v>0</v>
      </c>
      <c r="D8" s="32">
        <v>0</v>
      </c>
      <c r="E8" s="60">
        <v>0</v>
      </c>
      <c r="F8" s="32">
        <v>0</v>
      </c>
      <c r="G8" s="60">
        <v>0</v>
      </c>
      <c r="H8" s="37">
        <f t="shared" ref="H8:I10" si="0">+B8+D8+F8</f>
        <v>0</v>
      </c>
      <c r="I8" s="65">
        <f t="shared" si="0"/>
        <v>0</v>
      </c>
    </row>
    <row r="9" spans="1:9" x14ac:dyDescent="0.25">
      <c r="A9" s="44" t="s">
        <v>35</v>
      </c>
      <c r="B9" s="32">
        <v>36</v>
      </c>
      <c r="C9" s="60">
        <v>386001.61</v>
      </c>
      <c r="D9" s="32">
        <v>2</v>
      </c>
      <c r="E9" s="60">
        <v>16030.61</v>
      </c>
      <c r="F9" s="32">
        <v>2</v>
      </c>
      <c r="G9" s="60">
        <v>12000</v>
      </c>
      <c r="H9" s="37">
        <f t="shared" si="0"/>
        <v>40</v>
      </c>
      <c r="I9" s="65">
        <f t="shared" si="0"/>
        <v>414032.22</v>
      </c>
    </row>
    <row r="10" spans="1:9" x14ac:dyDescent="0.25">
      <c r="A10" s="44" t="s">
        <v>36</v>
      </c>
      <c r="B10" s="32">
        <v>131</v>
      </c>
      <c r="C10" s="60">
        <v>1444844.33</v>
      </c>
      <c r="D10" s="32">
        <v>5</v>
      </c>
      <c r="E10" s="60">
        <v>110598.45</v>
      </c>
      <c r="F10" s="32">
        <v>6</v>
      </c>
      <c r="G10" s="60">
        <v>36000</v>
      </c>
      <c r="H10" s="37">
        <f t="shared" si="0"/>
        <v>142</v>
      </c>
      <c r="I10" s="37">
        <f t="shared" si="0"/>
        <v>1591442.78</v>
      </c>
    </row>
    <row r="11" spans="1:9" x14ac:dyDescent="0.25">
      <c r="A11" s="27" t="s">
        <v>122</v>
      </c>
      <c r="B11" s="39">
        <f t="shared" ref="B11:I11" si="1">SUM(B8:B10)</f>
        <v>167</v>
      </c>
      <c r="C11" s="39">
        <f t="shared" si="1"/>
        <v>1830845.94</v>
      </c>
      <c r="D11" s="39">
        <f t="shared" si="1"/>
        <v>7</v>
      </c>
      <c r="E11" s="39">
        <f t="shared" si="1"/>
        <v>126629.06</v>
      </c>
      <c r="F11" s="39">
        <f>SUM(F8:F10)</f>
        <v>8</v>
      </c>
      <c r="G11" s="39">
        <f t="shared" ref="G11" si="2">SUM(G8:G10)</f>
        <v>48000</v>
      </c>
      <c r="H11" s="39">
        <f t="shared" si="1"/>
        <v>182</v>
      </c>
      <c r="I11" s="39">
        <f t="shared" si="1"/>
        <v>2005475</v>
      </c>
    </row>
    <row r="12" spans="1:9" hidden="1" x14ac:dyDescent="0.25">
      <c r="A12" s="44" t="s">
        <v>34</v>
      </c>
      <c r="B12" s="32">
        <v>52</v>
      </c>
      <c r="C12" s="60">
        <v>621254.41</v>
      </c>
      <c r="D12" s="32">
        <v>2</v>
      </c>
      <c r="E12" s="60">
        <v>15128.119999999999</v>
      </c>
      <c r="F12" s="32"/>
      <c r="G12" s="60"/>
      <c r="H12" s="37">
        <f t="shared" ref="H12:I14" si="3">+B12+D12+F12</f>
        <v>54</v>
      </c>
      <c r="I12" s="65">
        <f t="shared" si="3"/>
        <v>636382.53</v>
      </c>
    </row>
    <row r="13" spans="1:9" hidden="1" x14ac:dyDescent="0.25">
      <c r="A13" s="44" t="s">
        <v>35</v>
      </c>
      <c r="B13" s="32"/>
      <c r="C13" s="60"/>
      <c r="D13" s="32"/>
      <c r="E13" s="60"/>
      <c r="F13" s="32"/>
      <c r="G13" s="60"/>
      <c r="H13" s="37">
        <f t="shared" si="3"/>
        <v>0</v>
      </c>
      <c r="I13" s="65">
        <f t="shared" si="3"/>
        <v>0</v>
      </c>
    </row>
    <row r="14" spans="1:9" hidden="1" x14ac:dyDescent="0.25">
      <c r="A14" s="44" t="s">
        <v>36</v>
      </c>
      <c r="B14" s="32"/>
      <c r="C14" s="60"/>
      <c r="D14" s="32"/>
      <c r="E14" s="60"/>
      <c r="F14" s="32"/>
      <c r="G14" s="60"/>
      <c r="H14" s="37">
        <f t="shared" si="3"/>
        <v>0</v>
      </c>
      <c r="I14" s="65">
        <f t="shared" si="3"/>
        <v>0</v>
      </c>
    </row>
    <row r="15" spans="1:9" hidden="1" x14ac:dyDescent="0.25">
      <c r="A15" s="27" t="s">
        <v>122</v>
      </c>
      <c r="B15" s="39">
        <f t="shared" ref="B15:I15" si="4">SUM(B12:B14)</f>
        <v>52</v>
      </c>
      <c r="C15" s="39">
        <f t="shared" si="4"/>
        <v>621254.41</v>
      </c>
      <c r="D15" s="39">
        <f t="shared" si="4"/>
        <v>2</v>
      </c>
      <c r="E15" s="39">
        <f t="shared" si="4"/>
        <v>15128.119999999999</v>
      </c>
      <c r="F15" s="39">
        <f t="shared" ref="F15:G15" si="5">SUM(F12:F14)</f>
        <v>0</v>
      </c>
      <c r="G15" s="39">
        <f t="shared" si="5"/>
        <v>0</v>
      </c>
      <c r="H15" s="39">
        <f t="shared" si="4"/>
        <v>54</v>
      </c>
      <c r="I15" s="39">
        <f t="shared" si="4"/>
        <v>636382.53</v>
      </c>
    </row>
    <row r="16" spans="1:9" hidden="1" x14ac:dyDescent="0.25">
      <c r="A16" s="44" t="s">
        <v>80</v>
      </c>
      <c r="B16" s="32"/>
      <c r="C16" s="60"/>
      <c r="D16" s="32"/>
      <c r="E16" s="60"/>
      <c r="F16" s="32"/>
      <c r="G16" s="60"/>
      <c r="H16" s="37">
        <f t="shared" ref="H16:I18" si="6">+B16+D16+F16</f>
        <v>0</v>
      </c>
      <c r="I16" s="65">
        <f t="shared" si="6"/>
        <v>0</v>
      </c>
    </row>
    <row r="17" spans="1:16" hidden="1" x14ac:dyDescent="0.25">
      <c r="A17" s="44" t="s">
        <v>81</v>
      </c>
      <c r="B17" s="32"/>
      <c r="C17" s="60"/>
      <c r="D17" s="32"/>
      <c r="E17" s="60"/>
      <c r="F17" s="32"/>
      <c r="G17" s="60"/>
      <c r="H17" s="37">
        <f t="shared" si="6"/>
        <v>0</v>
      </c>
      <c r="I17" s="65">
        <f t="shared" si="6"/>
        <v>0</v>
      </c>
    </row>
    <row r="18" spans="1:16" hidden="1" x14ac:dyDescent="0.25">
      <c r="A18" s="44" t="s">
        <v>82</v>
      </c>
      <c r="B18" s="32"/>
      <c r="C18" s="60"/>
      <c r="D18" s="32"/>
      <c r="E18" s="60"/>
      <c r="F18" s="32"/>
      <c r="G18" s="60"/>
      <c r="H18" s="37">
        <f t="shared" si="6"/>
        <v>0</v>
      </c>
      <c r="I18" s="65">
        <f t="shared" si="6"/>
        <v>0</v>
      </c>
    </row>
    <row r="19" spans="1:16" hidden="1" x14ac:dyDescent="0.25">
      <c r="A19" s="27" t="s">
        <v>86</v>
      </c>
      <c r="B19" s="39">
        <f t="shared" ref="B19:E19" si="7">SUM(B16:B18)</f>
        <v>0</v>
      </c>
      <c r="C19" s="39">
        <f t="shared" si="7"/>
        <v>0</v>
      </c>
      <c r="D19" s="39">
        <f t="shared" si="7"/>
        <v>0</v>
      </c>
      <c r="E19" s="39">
        <f t="shared" si="7"/>
        <v>0</v>
      </c>
      <c r="F19" s="39">
        <f t="shared" ref="F19:G19" si="8">SUM(F16:F18)</f>
        <v>0</v>
      </c>
      <c r="G19" s="39">
        <f t="shared" si="8"/>
        <v>0</v>
      </c>
      <c r="H19" s="39">
        <f>SUM(H16:H18)</f>
        <v>0</v>
      </c>
      <c r="I19" s="39">
        <f>SUM(I16:I18)</f>
        <v>0</v>
      </c>
    </row>
    <row r="20" spans="1:16" hidden="1" x14ac:dyDescent="0.25">
      <c r="A20" s="31" t="s">
        <v>83</v>
      </c>
      <c r="B20" s="32"/>
      <c r="C20" s="60"/>
      <c r="D20" s="32"/>
      <c r="E20" s="60"/>
      <c r="F20" s="32"/>
      <c r="G20" s="60"/>
      <c r="H20" s="37">
        <f t="shared" ref="H20:I22" si="9">+B20+D20+F20</f>
        <v>0</v>
      </c>
      <c r="I20" s="65">
        <f t="shared" si="9"/>
        <v>0</v>
      </c>
    </row>
    <row r="21" spans="1:16" hidden="1" x14ac:dyDescent="0.25">
      <c r="A21" s="31" t="s">
        <v>84</v>
      </c>
      <c r="B21" s="32"/>
      <c r="C21" s="60"/>
      <c r="D21" s="32"/>
      <c r="E21" s="60"/>
      <c r="F21" s="32"/>
      <c r="G21" s="60"/>
      <c r="H21" s="37">
        <f t="shared" si="9"/>
        <v>0</v>
      </c>
      <c r="I21" s="65">
        <f t="shared" si="9"/>
        <v>0</v>
      </c>
    </row>
    <row r="22" spans="1:16" hidden="1" x14ac:dyDescent="0.25">
      <c r="A22" s="31" t="s">
        <v>85</v>
      </c>
      <c r="B22" s="32"/>
      <c r="C22" s="60"/>
      <c r="D22" s="32"/>
      <c r="E22" s="60"/>
      <c r="F22" s="32"/>
      <c r="G22" s="60"/>
      <c r="H22" s="37">
        <f t="shared" si="9"/>
        <v>0</v>
      </c>
      <c r="I22" s="65">
        <f t="shared" si="9"/>
        <v>0</v>
      </c>
    </row>
    <row r="23" spans="1:16" hidden="1" x14ac:dyDescent="0.25">
      <c r="A23" s="12" t="s">
        <v>87</v>
      </c>
      <c r="B23" s="39">
        <f t="shared" ref="B23:I23" si="10">SUM(B20:B22)</f>
        <v>0</v>
      </c>
      <c r="C23" s="39">
        <f t="shared" si="10"/>
        <v>0</v>
      </c>
      <c r="D23" s="39">
        <f t="shared" si="10"/>
        <v>0</v>
      </c>
      <c r="E23" s="39">
        <f t="shared" si="10"/>
        <v>0</v>
      </c>
      <c r="F23" s="39">
        <f t="shared" ref="F23:G23" si="11">SUM(F20:F22)</f>
        <v>0</v>
      </c>
      <c r="G23" s="39">
        <f t="shared" si="11"/>
        <v>0</v>
      </c>
      <c r="H23" s="39">
        <f t="shared" si="10"/>
        <v>0</v>
      </c>
      <c r="I23" s="39">
        <f t="shared" si="10"/>
        <v>0</v>
      </c>
    </row>
    <row r="24" spans="1:16" hidden="1" x14ac:dyDescent="0.25">
      <c r="A24" s="61" t="s">
        <v>9</v>
      </c>
      <c r="B24" s="41">
        <f>+B11+B15+B19+B23</f>
        <v>219</v>
      </c>
      <c r="C24" s="41">
        <f>+C11+C15+C19+C23</f>
        <v>2452100.35</v>
      </c>
      <c r="D24" s="41">
        <f t="shared" ref="D24:I24" si="12">+D11+D15+D19+D23</f>
        <v>9</v>
      </c>
      <c r="E24" s="41">
        <f t="shared" si="12"/>
        <v>141757.18</v>
      </c>
      <c r="F24" s="41">
        <f t="shared" si="12"/>
        <v>8</v>
      </c>
      <c r="G24" s="41">
        <f t="shared" si="12"/>
        <v>48000</v>
      </c>
      <c r="H24" s="41">
        <f>+H11+H15+H19+H23</f>
        <v>236</v>
      </c>
      <c r="I24" s="41">
        <f t="shared" si="12"/>
        <v>2641857.5300000003</v>
      </c>
    </row>
    <row r="25" spans="1:16" x14ac:dyDescent="0.25">
      <c r="A25" s="15" t="s">
        <v>161</v>
      </c>
    </row>
    <row r="26" spans="1:16" x14ac:dyDescent="0.25">
      <c r="E26" s="36"/>
      <c r="G26" s="36"/>
    </row>
    <row r="32" spans="1:16" x14ac:dyDescent="0.25">
      <c r="M32" s="51">
        <v>32154</v>
      </c>
      <c r="N32" s="63" t="e">
        <f t="shared" ref="N32:N39" si="13">M32/$B$29*100</f>
        <v>#DIV/0!</v>
      </c>
      <c r="O32" s="52">
        <v>386810064.19999999</v>
      </c>
      <c r="P32" s="64" t="e">
        <f>O32/O40*100</f>
        <v>#DIV/0!</v>
      </c>
    </row>
    <row r="33" spans="13:16" x14ac:dyDescent="0.25">
      <c r="M33" s="51">
        <v>56199</v>
      </c>
      <c r="N33" s="63" t="e">
        <f t="shared" si="13"/>
        <v>#DIV/0!</v>
      </c>
      <c r="O33" s="52">
        <v>471111842.94</v>
      </c>
      <c r="P33" s="64" t="e">
        <f>O33/O40*100</f>
        <v>#DIV/0!</v>
      </c>
    </row>
    <row r="34" spans="13:16" x14ac:dyDescent="0.25">
      <c r="M34" s="51">
        <v>297</v>
      </c>
      <c r="N34" s="63" t="e">
        <f t="shared" si="13"/>
        <v>#DIV/0!</v>
      </c>
      <c r="O34" s="52">
        <v>5010228</v>
      </c>
      <c r="P34" s="64" t="e">
        <f>O34/O40*100</f>
        <v>#DIV/0!</v>
      </c>
    </row>
    <row r="35" spans="13:16" x14ac:dyDescent="0.25">
      <c r="M35" s="51">
        <v>163</v>
      </c>
      <c r="N35" s="63" t="e">
        <f t="shared" si="13"/>
        <v>#DIV/0!</v>
      </c>
      <c r="O35" s="52">
        <v>4392328.91</v>
      </c>
      <c r="P35" s="64" t="e">
        <f>O35/O40*100</f>
        <v>#DIV/0!</v>
      </c>
    </row>
    <row r="36" spans="13:16" x14ac:dyDescent="0.25">
      <c r="M36" s="51">
        <v>366</v>
      </c>
      <c r="N36" s="63" t="e">
        <f t="shared" si="13"/>
        <v>#DIV/0!</v>
      </c>
      <c r="O36" s="52">
        <v>9034522.6500000004</v>
      </c>
      <c r="P36" s="64" t="e">
        <f>O36/O40*100</f>
        <v>#DIV/0!</v>
      </c>
    </row>
    <row r="37" spans="13:16" x14ac:dyDescent="0.25">
      <c r="M37" s="51">
        <v>17249</v>
      </c>
      <c r="N37" s="63" t="e">
        <f t="shared" si="13"/>
        <v>#DIV/0!</v>
      </c>
      <c r="O37" s="52">
        <v>405400068.69</v>
      </c>
      <c r="P37" s="64" t="e">
        <f>O37/O40*100</f>
        <v>#DIV/0!</v>
      </c>
    </row>
    <row r="38" spans="13:16" x14ac:dyDescent="0.25">
      <c r="M38" s="51">
        <v>18745</v>
      </c>
      <c r="N38" s="63" t="e">
        <f t="shared" si="13"/>
        <v>#DIV/0!</v>
      </c>
      <c r="O38" s="52">
        <v>369724631.60000002</v>
      </c>
      <c r="P38" s="64" t="e">
        <f>O38/O40*100</f>
        <v>#DIV/0!</v>
      </c>
    </row>
    <row r="39" spans="13:16" x14ac:dyDescent="0.25">
      <c r="M39" s="51">
        <v>15130</v>
      </c>
      <c r="N39" s="63" t="e">
        <f t="shared" si="13"/>
        <v>#DIV/0!</v>
      </c>
      <c r="O39" s="52">
        <v>151015428.50999999</v>
      </c>
      <c r="P39" s="64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J61"/>
  <sheetViews>
    <sheetView showGridLines="0" zoomScale="115" zoomScaleNormal="115" workbookViewId="0">
      <selection activeCell="I34" sqref="I34"/>
    </sheetView>
  </sheetViews>
  <sheetFormatPr baseColWidth="10" defaultColWidth="9.140625" defaultRowHeight="15" x14ac:dyDescent="0.25"/>
  <cols>
    <col min="1" max="7" width="13.140625" style="1" customWidth="1"/>
    <col min="8" max="16384" width="9.140625" style="1"/>
  </cols>
  <sheetData>
    <row r="1" spans="1:10" x14ac:dyDescent="0.25">
      <c r="A1" s="287" t="s">
        <v>0</v>
      </c>
      <c r="B1" s="287"/>
      <c r="C1" s="287"/>
      <c r="D1" s="287"/>
      <c r="E1" s="287"/>
      <c r="F1" s="287"/>
      <c r="G1" s="287"/>
      <c r="H1" s="22"/>
      <c r="I1" s="22"/>
      <c r="J1" s="22"/>
    </row>
    <row r="2" spans="1:10" x14ac:dyDescent="0.25">
      <c r="A2" s="287" t="s">
        <v>113</v>
      </c>
      <c r="B2" s="287"/>
      <c r="C2" s="287"/>
      <c r="D2" s="287"/>
      <c r="E2" s="287"/>
      <c r="F2" s="287"/>
      <c r="G2" s="287"/>
      <c r="H2" s="22"/>
      <c r="I2" s="22"/>
      <c r="J2" s="22"/>
    </row>
    <row r="3" spans="1:10" x14ac:dyDescent="0.25">
      <c r="A3" s="287" t="s">
        <v>151</v>
      </c>
      <c r="B3" s="287"/>
      <c r="C3" s="287"/>
      <c r="D3" s="287"/>
      <c r="E3" s="287"/>
      <c r="F3" s="287"/>
      <c r="G3" s="287"/>
      <c r="H3" s="22"/>
      <c r="I3" s="22"/>
      <c r="J3" s="22"/>
    </row>
    <row r="4" spans="1:10" x14ac:dyDescent="0.25">
      <c r="A4" s="287" t="s">
        <v>256</v>
      </c>
      <c r="B4" s="287"/>
      <c r="C4" s="287"/>
      <c r="D4" s="287"/>
      <c r="E4" s="287"/>
      <c r="F4" s="287"/>
      <c r="G4" s="287"/>
      <c r="H4" s="22"/>
      <c r="I4" s="22"/>
      <c r="J4" s="22"/>
    </row>
    <row r="5" spans="1:10" x14ac:dyDescent="0.25">
      <c r="A5" s="287" t="s">
        <v>257</v>
      </c>
      <c r="B5" s="287"/>
      <c r="C5" s="287"/>
      <c r="D5" s="287"/>
      <c r="E5" s="287"/>
      <c r="F5" s="287"/>
      <c r="G5" s="287"/>
      <c r="H5" s="22"/>
      <c r="I5" s="22"/>
      <c r="J5" s="22"/>
    </row>
    <row r="6" spans="1:10" ht="51" x14ac:dyDescent="0.25">
      <c r="A6" s="90" t="s">
        <v>1</v>
      </c>
      <c r="B6" s="45" t="s">
        <v>50</v>
      </c>
      <c r="C6" s="45" t="s">
        <v>51</v>
      </c>
      <c r="D6" s="45" t="s">
        <v>52</v>
      </c>
      <c r="E6" s="45" t="s">
        <v>53</v>
      </c>
      <c r="F6" s="45" t="s">
        <v>54</v>
      </c>
      <c r="G6" s="181" t="s">
        <v>30</v>
      </c>
      <c r="H6"/>
    </row>
    <row r="7" spans="1:10" x14ac:dyDescent="0.25">
      <c r="A7" s="70" t="s">
        <v>259</v>
      </c>
      <c r="B7" s="182">
        <v>83</v>
      </c>
      <c r="C7" s="230">
        <v>5510195.6499999985</v>
      </c>
      <c r="D7" s="230">
        <v>3527223.9</v>
      </c>
      <c r="E7" s="230">
        <v>0</v>
      </c>
      <c r="F7" s="207">
        <f>E7+D7</f>
        <v>3527223.9</v>
      </c>
      <c r="G7" s="67">
        <f t="shared" ref="G7" si="0">F7/C7</f>
        <v>0.64012679840143261</v>
      </c>
      <c r="H7"/>
    </row>
    <row r="8" spans="1:10" x14ac:dyDescent="0.25">
      <c r="A8" s="70" t="s">
        <v>260</v>
      </c>
      <c r="B8" s="182">
        <v>192</v>
      </c>
      <c r="C8" s="230">
        <v>12205214.080000004</v>
      </c>
      <c r="D8" s="230">
        <v>0</v>
      </c>
      <c r="E8" s="230">
        <v>0</v>
      </c>
      <c r="F8" s="207">
        <f>E8+D8</f>
        <v>0</v>
      </c>
      <c r="G8" s="67">
        <f>F8/C8</f>
        <v>0</v>
      </c>
      <c r="H8"/>
    </row>
    <row r="9" spans="1:10" x14ac:dyDescent="0.25">
      <c r="A9" s="70" t="s">
        <v>261</v>
      </c>
      <c r="B9" s="182">
        <v>24</v>
      </c>
      <c r="C9" s="230">
        <v>1715347.62</v>
      </c>
      <c r="D9" s="230">
        <v>0</v>
      </c>
      <c r="E9" s="226">
        <v>0</v>
      </c>
      <c r="F9" s="207">
        <f>E9+D9</f>
        <v>0</v>
      </c>
      <c r="G9" s="67">
        <f>F9/C9</f>
        <v>0</v>
      </c>
      <c r="H9"/>
    </row>
    <row r="10" spans="1:10" x14ac:dyDescent="0.25">
      <c r="A10" s="27" t="s">
        <v>258</v>
      </c>
      <c r="B10" s="8">
        <f>SUM(B7:B9)</f>
        <v>299</v>
      </c>
      <c r="C10" s="231">
        <f>SUM(C7:C9)</f>
        <v>19430757.350000005</v>
      </c>
      <c r="D10" s="69">
        <f>SUM(D7:D9)</f>
        <v>3527223.9</v>
      </c>
      <c r="E10" s="69">
        <f>SUM(E7:E9)</f>
        <v>0</v>
      </c>
      <c r="F10" s="208">
        <f>SUM(F7:F9)</f>
        <v>3527223.9</v>
      </c>
      <c r="G10" s="16">
        <f t="shared" ref="G10:G23" si="1">F10/C10</f>
        <v>0.18152786515035138</v>
      </c>
      <c r="H10"/>
    </row>
    <row r="11" spans="1:10" hidden="1" x14ac:dyDescent="0.25">
      <c r="A11" s="70" t="s">
        <v>34</v>
      </c>
      <c r="B11" s="182"/>
      <c r="C11" s="184"/>
      <c r="D11" s="184"/>
      <c r="E11" s="184"/>
      <c r="F11" s="66">
        <f>E11+D11</f>
        <v>0</v>
      </c>
      <c r="G11" s="67" t="e">
        <f t="shared" si="1"/>
        <v>#DIV/0!</v>
      </c>
      <c r="H11"/>
    </row>
    <row r="12" spans="1:10" hidden="1" x14ac:dyDescent="0.25">
      <c r="A12" s="70" t="s">
        <v>35</v>
      </c>
      <c r="B12" s="182"/>
      <c r="C12" s="184"/>
      <c r="D12" s="184"/>
      <c r="E12" s="184"/>
      <c r="F12" s="66">
        <f>E12+D12</f>
        <v>0</v>
      </c>
      <c r="G12" s="67" t="e">
        <f t="shared" si="1"/>
        <v>#DIV/0!</v>
      </c>
      <c r="H12"/>
    </row>
    <row r="13" spans="1:10" hidden="1" x14ac:dyDescent="0.25">
      <c r="A13" s="70" t="s">
        <v>36</v>
      </c>
      <c r="B13" s="182"/>
      <c r="C13" s="184"/>
      <c r="D13" s="155"/>
      <c r="E13" s="155"/>
      <c r="F13" s="68">
        <f>E13+D13</f>
        <v>0</v>
      </c>
      <c r="G13" s="67" t="e">
        <f t="shared" si="1"/>
        <v>#DIV/0!</v>
      </c>
      <c r="H13"/>
    </row>
    <row r="14" spans="1:10" hidden="1" x14ac:dyDescent="0.25">
      <c r="A14" s="27" t="s">
        <v>122</v>
      </c>
      <c r="B14" s="8">
        <f>SUM(B11:B13)</f>
        <v>0</v>
      </c>
      <c r="C14" s="69">
        <f>SUM(C11:C13)</f>
        <v>0</v>
      </c>
      <c r="D14" s="69">
        <f>SUM(D11:D13)</f>
        <v>0</v>
      </c>
      <c r="E14" s="69">
        <f>SUM(E11:E13)</f>
        <v>0</v>
      </c>
      <c r="F14" s="69">
        <f>SUM(F11:F13)</f>
        <v>0</v>
      </c>
      <c r="G14" s="16" t="e">
        <f t="shared" si="1"/>
        <v>#DIV/0!</v>
      </c>
      <c r="H14"/>
    </row>
    <row r="15" spans="1:10" hidden="1" x14ac:dyDescent="0.25">
      <c r="A15" s="70" t="s">
        <v>80</v>
      </c>
      <c r="B15" s="182"/>
      <c r="C15" s="184"/>
      <c r="D15" s="184"/>
      <c r="E15" s="184"/>
      <c r="F15" s="66">
        <f>E15+D15</f>
        <v>0</v>
      </c>
      <c r="G15" s="67" t="e">
        <f t="shared" si="1"/>
        <v>#DIV/0!</v>
      </c>
      <c r="H15"/>
    </row>
    <row r="16" spans="1:10" hidden="1" x14ac:dyDescent="0.25">
      <c r="A16" s="70" t="s">
        <v>81</v>
      </c>
      <c r="B16" s="182"/>
      <c r="C16" s="184"/>
      <c r="D16" s="184"/>
      <c r="E16" s="184"/>
      <c r="F16" s="66">
        <f>E16+D16</f>
        <v>0</v>
      </c>
      <c r="G16" s="67" t="e">
        <f t="shared" si="1"/>
        <v>#DIV/0!</v>
      </c>
      <c r="H16"/>
    </row>
    <row r="17" spans="1:8" hidden="1" x14ac:dyDescent="0.25">
      <c r="A17" s="70" t="s">
        <v>82</v>
      </c>
      <c r="B17" s="182"/>
      <c r="C17" s="184"/>
      <c r="D17" s="155"/>
      <c r="E17" s="155"/>
      <c r="F17" s="68">
        <f>E17+D17</f>
        <v>0</v>
      </c>
      <c r="G17" s="67" t="e">
        <f t="shared" si="1"/>
        <v>#DIV/0!</v>
      </c>
      <c r="H17"/>
    </row>
    <row r="18" spans="1:8" hidden="1" x14ac:dyDescent="0.25">
      <c r="A18" s="27" t="s">
        <v>86</v>
      </c>
      <c r="B18" s="8">
        <f>SUM(B15:B17)</f>
        <v>0</v>
      </c>
      <c r="C18" s="69">
        <f>SUM(C15:C17)</f>
        <v>0</v>
      </c>
      <c r="D18" s="69">
        <f>SUM(D15:D17)</f>
        <v>0</v>
      </c>
      <c r="E18" s="69">
        <f>SUM(E15:E17)</f>
        <v>0</v>
      </c>
      <c r="F18" s="69">
        <f>SUM(F15:F17)</f>
        <v>0</v>
      </c>
      <c r="G18" s="16" t="e">
        <f t="shared" si="1"/>
        <v>#DIV/0!</v>
      </c>
      <c r="H18"/>
    </row>
    <row r="19" spans="1:8" hidden="1" x14ac:dyDescent="0.25">
      <c r="A19" s="70" t="s">
        <v>83</v>
      </c>
      <c r="B19" s="182"/>
      <c r="C19" s="184"/>
      <c r="D19" s="184"/>
      <c r="E19" s="184"/>
      <c r="F19" s="66">
        <f>E19+D19</f>
        <v>0</v>
      </c>
      <c r="G19" s="67" t="e">
        <f t="shared" si="1"/>
        <v>#DIV/0!</v>
      </c>
      <c r="H19"/>
    </row>
    <row r="20" spans="1:8" hidden="1" x14ac:dyDescent="0.25">
      <c r="A20" s="70" t="s">
        <v>84</v>
      </c>
      <c r="B20" s="182"/>
      <c r="C20" s="184"/>
      <c r="D20" s="184"/>
      <c r="E20" s="184"/>
      <c r="F20" s="66">
        <f>E20+D20</f>
        <v>0</v>
      </c>
      <c r="G20" s="67" t="e">
        <f t="shared" si="1"/>
        <v>#DIV/0!</v>
      </c>
      <c r="H20"/>
    </row>
    <row r="21" spans="1:8" hidden="1" x14ac:dyDescent="0.25">
      <c r="A21" s="70" t="s">
        <v>85</v>
      </c>
      <c r="B21" s="182"/>
      <c r="C21" s="184"/>
      <c r="D21" s="155"/>
      <c r="E21" s="155"/>
      <c r="F21" s="68">
        <f>E21+D21</f>
        <v>0</v>
      </c>
      <c r="G21" s="67" t="e">
        <f t="shared" si="1"/>
        <v>#DIV/0!</v>
      </c>
      <c r="H21"/>
    </row>
    <row r="22" spans="1:8" hidden="1" x14ac:dyDescent="0.25">
      <c r="A22" s="27" t="s">
        <v>87</v>
      </c>
      <c r="B22" s="8">
        <f>SUM(B19:B21)</f>
        <v>0</v>
      </c>
      <c r="C22" s="69">
        <f>SUM(C19:C21)</f>
        <v>0</v>
      </c>
      <c r="D22" s="69">
        <f>SUM(D19:D21)</f>
        <v>0</v>
      </c>
      <c r="E22" s="69">
        <f>SUM(E19:E21)</f>
        <v>0</v>
      </c>
      <c r="F22" s="69">
        <f>SUM(F19:F21)</f>
        <v>0</v>
      </c>
      <c r="G22" s="16" t="e">
        <f t="shared" si="1"/>
        <v>#DIV/0!</v>
      </c>
      <c r="H22"/>
    </row>
    <row r="23" spans="1:8" hidden="1" x14ac:dyDescent="0.25">
      <c r="A23" s="71" t="s">
        <v>9</v>
      </c>
      <c r="B23" s="10">
        <f>+B10+B14+B18+B22</f>
        <v>299</v>
      </c>
      <c r="C23" s="10">
        <f>+C10+C14+C18+C22</f>
        <v>19430757.350000005</v>
      </c>
      <c r="D23" s="10">
        <f>+D10+D14+D18+D22</f>
        <v>3527223.9</v>
      </c>
      <c r="E23" s="10">
        <f>+E10+E14+E18+E22</f>
        <v>0</v>
      </c>
      <c r="F23" s="10">
        <f>+F10+F14+F18+F22</f>
        <v>3527223.9</v>
      </c>
      <c r="G23" s="10">
        <f t="shared" si="1"/>
        <v>0.18152786515035138</v>
      </c>
      <c r="H23"/>
    </row>
    <row r="24" spans="1:8" hidden="1" x14ac:dyDescent="0.25">
      <c r="A24"/>
      <c r="B24"/>
      <c r="C24"/>
      <c r="D24"/>
      <c r="E24"/>
      <c r="F24"/>
      <c r="G24"/>
      <c r="H24"/>
    </row>
    <row r="25" spans="1:8" hidden="1" x14ac:dyDescent="0.25">
      <c r="A25"/>
      <c r="B25"/>
      <c r="C25"/>
      <c r="D25"/>
      <c r="E25"/>
      <c r="F25"/>
      <c r="G25"/>
      <c r="H25"/>
    </row>
    <row r="26" spans="1:8" hidden="1" x14ac:dyDescent="0.25">
      <c r="A26"/>
      <c r="B26"/>
      <c r="C26"/>
      <c r="D26"/>
      <c r="E26"/>
      <c r="F26"/>
      <c r="G26"/>
      <c r="H26"/>
    </row>
    <row r="27" spans="1:8" hidden="1" x14ac:dyDescent="0.25">
      <c r="A27"/>
      <c r="B27"/>
      <c r="C27"/>
      <c r="D27"/>
      <c r="E27"/>
      <c r="F27"/>
      <c r="G27"/>
      <c r="H27"/>
    </row>
    <row r="28" spans="1:8" hidden="1" x14ac:dyDescent="0.25">
      <c r="A28"/>
      <c r="B28"/>
      <c r="C28"/>
      <c r="D28"/>
      <c r="E28"/>
      <c r="F28"/>
      <c r="G28"/>
      <c r="H28"/>
    </row>
    <row r="29" spans="1:8" hidden="1" x14ac:dyDescent="0.25">
      <c r="A29"/>
      <c r="B29"/>
      <c r="C29"/>
      <c r="D29"/>
      <c r="E29"/>
      <c r="F29"/>
      <c r="G29"/>
      <c r="H29"/>
    </row>
    <row r="30" spans="1:8" hidden="1" x14ac:dyDescent="0.25">
      <c r="A30"/>
      <c r="B30"/>
      <c r="C30"/>
      <c r="D30"/>
      <c r="E30"/>
      <c r="F30"/>
      <c r="G30"/>
      <c r="H30"/>
    </row>
    <row r="31" spans="1:8" hidden="1" x14ac:dyDescent="0.25">
      <c r="A31"/>
      <c r="B31"/>
      <c r="C31"/>
      <c r="D31"/>
      <c r="E31"/>
      <c r="F31"/>
      <c r="G31"/>
      <c r="H31"/>
    </row>
    <row r="32" spans="1:8" hidden="1" x14ac:dyDescent="0.25">
      <c r="A32"/>
      <c r="B32"/>
      <c r="C32"/>
      <c r="D32"/>
      <c r="E32"/>
      <c r="F32"/>
      <c r="G32"/>
      <c r="H32"/>
    </row>
    <row r="33" spans="1:8" hidden="1" x14ac:dyDescent="0.25">
      <c r="A33"/>
      <c r="B33"/>
      <c r="C33"/>
      <c r="D33"/>
      <c r="E33"/>
      <c r="F33"/>
      <c r="G33"/>
      <c r="H33"/>
    </row>
    <row r="34" spans="1:8" x14ac:dyDescent="0.25">
      <c r="A34" s="228" t="s">
        <v>251</v>
      </c>
      <c r="B34"/>
      <c r="C34"/>
      <c r="D34"/>
      <c r="E34"/>
      <c r="F34"/>
      <c r="G34"/>
      <c r="H34"/>
    </row>
    <row r="35" spans="1:8" x14ac:dyDescent="0.25">
      <c r="A35" s="138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9" spans="1:8" x14ac:dyDescent="0.25">
      <c r="A59" s="70"/>
      <c r="B59" s="185"/>
      <c r="C59" s="183"/>
      <c r="D59" s="155"/>
      <c r="E59" s="155"/>
      <c r="F59" s="68"/>
      <c r="G59" s="67"/>
    </row>
    <row r="61" spans="1:8" x14ac:dyDescent="0.25">
      <c r="A61" s="70"/>
      <c r="B61" s="182"/>
      <c r="C61" s="183"/>
      <c r="D61" s="184"/>
      <c r="E61" s="184"/>
      <c r="F61" s="68"/>
      <c r="G61" s="67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0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Z54"/>
  <sheetViews>
    <sheetView showGridLines="0" topLeftCell="A19" zoomScale="85" zoomScaleNormal="85" workbookViewId="0">
      <selection activeCell="N48" sqref="N48"/>
    </sheetView>
  </sheetViews>
  <sheetFormatPr baseColWidth="10" defaultColWidth="11.42578125" defaultRowHeight="15" x14ac:dyDescent="0.25"/>
  <cols>
    <col min="1" max="1" width="11.42578125" style="1"/>
    <col min="2" max="2" width="45.5703125" style="1" bestFit="1" customWidth="1"/>
    <col min="3" max="3" width="9.42578125" style="1" hidden="1" customWidth="1"/>
    <col min="4" max="4" width="10.85546875" style="1" hidden="1" customWidth="1"/>
    <col min="5" max="5" width="11.42578125" style="1" hidden="1" customWidth="1"/>
    <col min="6" max="6" width="9.42578125" style="1" hidden="1" customWidth="1"/>
    <col min="7" max="7" width="10.85546875" style="1" hidden="1" customWidth="1"/>
    <col min="8" max="8" width="11.42578125" style="1" hidden="1" customWidth="1"/>
    <col min="9" max="9" width="9.42578125" style="1" hidden="1" customWidth="1"/>
    <col min="10" max="10" width="10.85546875" style="1" hidden="1" customWidth="1"/>
    <col min="11" max="11" width="11.42578125" style="1" hidden="1" customWidth="1"/>
    <col min="12" max="13" width="11.42578125" style="1"/>
    <col min="14" max="14" width="11.42578125" style="1" customWidth="1"/>
    <col min="15" max="16384" width="11.42578125" style="1"/>
  </cols>
  <sheetData>
    <row r="1" spans="1:26" x14ac:dyDescent="0.25">
      <c r="A1" s="22"/>
      <c r="B1" s="287" t="s">
        <v>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26" x14ac:dyDescent="0.25">
      <c r="A2" s="22"/>
      <c r="B2" s="287" t="s">
        <v>116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6" x14ac:dyDescent="0.25">
      <c r="A3" s="22"/>
      <c r="B3" s="287" t="s">
        <v>115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26" x14ac:dyDescent="0.25">
      <c r="A4" s="22"/>
      <c r="B4" s="287" t="s">
        <v>256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26" x14ac:dyDescent="0.25">
      <c r="A5" s="22"/>
      <c r="B5" s="287" t="s">
        <v>257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8" spans="1:26" ht="15.75" x14ac:dyDescent="0.25">
      <c r="B8" s="332" t="s">
        <v>88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Z8" s="18"/>
    </row>
    <row r="9" spans="1:26" x14ac:dyDescent="0.25">
      <c r="B9" s="186"/>
      <c r="C9" s="314" t="s">
        <v>80</v>
      </c>
      <c r="D9" s="314"/>
      <c r="E9" s="314"/>
      <c r="F9" s="314" t="s">
        <v>81</v>
      </c>
      <c r="G9" s="314"/>
      <c r="H9" s="314"/>
      <c r="I9" s="314" t="s">
        <v>82</v>
      </c>
      <c r="J9" s="314"/>
      <c r="K9" s="314"/>
      <c r="L9" s="314" t="s">
        <v>258</v>
      </c>
      <c r="M9" s="314"/>
      <c r="N9" s="314"/>
      <c r="O9"/>
      <c r="P9"/>
      <c r="Q9"/>
      <c r="R9"/>
      <c r="S9"/>
      <c r="T9"/>
      <c r="U9"/>
      <c r="V9"/>
    </row>
    <row r="10" spans="1:26" x14ac:dyDescent="0.25">
      <c r="B10" s="54" t="s">
        <v>62</v>
      </c>
      <c r="C10" s="54" t="s">
        <v>63</v>
      </c>
      <c r="D10" s="54" t="s">
        <v>64</v>
      </c>
      <c r="E10" s="54" t="s">
        <v>65</v>
      </c>
      <c r="F10" s="54" t="s">
        <v>63</v>
      </c>
      <c r="G10" s="54" t="s">
        <v>64</v>
      </c>
      <c r="H10" s="54" t="s">
        <v>65</v>
      </c>
      <c r="I10" s="54" t="s">
        <v>63</v>
      </c>
      <c r="J10" s="54" t="s">
        <v>64</v>
      </c>
      <c r="K10" s="54" t="s">
        <v>65</v>
      </c>
      <c r="L10" s="54" t="s">
        <v>63</v>
      </c>
      <c r="M10" s="54" t="s">
        <v>64</v>
      </c>
      <c r="N10" s="54" t="s">
        <v>65</v>
      </c>
      <c r="O10"/>
      <c r="P10"/>
      <c r="Q10"/>
      <c r="R10"/>
      <c r="S10"/>
      <c r="T10"/>
      <c r="U10"/>
      <c r="V10"/>
    </row>
    <row r="11" spans="1:26" x14ac:dyDescent="0.25">
      <c r="B11" s="278" t="s">
        <v>67</v>
      </c>
      <c r="C11" s="279">
        <v>14</v>
      </c>
      <c r="D11" s="279">
        <v>12</v>
      </c>
      <c r="E11" s="280">
        <f>IFERROR(D11/C11,"-")</f>
        <v>0.8571428571428571</v>
      </c>
      <c r="F11" s="279">
        <v>13</v>
      </c>
      <c r="G11" s="279">
        <v>9</v>
      </c>
      <c r="H11" s="280">
        <f>IFERROR(G11/F11,"-")</f>
        <v>0.69230769230769229</v>
      </c>
      <c r="I11" s="279">
        <v>10</v>
      </c>
      <c r="J11" s="279">
        <v>10</v>
      </c>
      <c r="K11" s="280">
        <f>IFERROR(J11/I11,"-")</f>
        <v>1</v>
      </c>
      <c r="L11" s="279"/>
      <c r="M11" s="279"/>
      <c r="N11" s="280" t="str">
        <f>IFERROR(M11/L11,"-")</f>
        <v>-</v>
      </c>
      <c r="O11"/>
      <c r="P11"/>
      <c r="Q11"/>
      <c r="R11"/>
      <c r="S11"/>
      <c r="T11"/>
      <c r="U11"/>
      <c r="V11"/>
    </row>
    <row r="12" spans="1:26" x14ac:dyDescent="0.25">
      <c r="B12" s="278" t="s">
        <v>163</v>
      </c>
      <c r="C12" s="279">
        <v>2563</v>
      </c>
      <c r="D12" s="279">
        <v>2563</v>
      </c>
      <c r="E12" s="280">
        <f t="shared" ref="E12:E23" si="0">IFERROR(D12/C12,"-")</f>
        <v>1</v>
      </c>
      <c r="F12" s="279">
        <v>2869</v>
      </c>
      <c r="G12" s="279">
        <v>2869</v>
      </c>
      <c r="H12" s="280">
        <f t="shared" ref="H12:H20" si="1">IFERROR(G12/F12,"-")</f>
        <v>1</v>
      </c>
      <c r="I12" s="279">
        <v>3387</v>
      </c>
      <c r="J12" s="279">
        <v>3387</v>
      </c>
      <c r="K12" s="280">
        <f t="shared" ref="K12:K20" si="2">IFERROR(J12/I12,"-")</f>
        <v>1</v>
      </c>
      <c r="L12" s="279"/>
      <c r="M12" s="279"/>
      <c r="N12" s="280" t="str">
        <f t="shared" ref="N12:N21" si="3">IFERROR(M12/L12,"-")</f>
        <v>-</v>
      </c>
      <c r="O12"/>
      <c r="P12"/>
      <c r="Q12"/>
      <c r="R12"/>
      <c r="S12"/>
      <c r="T12"/>
      <c r="U12"/>
      <c r="V12"/>
    </row>
    <row r="13" spans="1:26" x14ac:dyDescent="0.25">
      <c r="B13" s="278" t="s">
        <v>233</v>
      </c>
      <c r="C13" s="279">
        <v>190</v>
      </c>
      <c r="D13" s="279">
        <v>171</v>
      </c>
      <c r="E13" s="280">
        <f t="shared" si="0"/>
        <v>0.9</v>
      </c>
      <c r="F13" s="279">
        <v>274</v>
      </c>
      <c r="G13" s="279">
        <v>226</v>
      </c>
      <c r="H13" s="280">
        <f t="shared" si="1"/>
        <v>0.82481751824817517</v>
      </c>
      <c r="I13" s="279">
        <v>266</v>
      </c>
      <c r="J13" s="279">
        <v>228</v>
      </c>
      <c r="K13" s="280">
        <f t="shared" si="2"/>
        <v>0.8571428571428571</v>
      </c>
      <c r="L13" s="279"/>
      <c r="M13" s="279"/>
      <c r="N13" s="280" t="str">
        <f t="shared" si="3"/>
        <v>-</v>
      </c>
      <c r="O13"/>
      <c r="P13"/>
      <c r="Q13"/>
      <c r="R13"/>
      <c r="S13"/>
      <c r="T13"/>
      <c r="U13"/>
      <c r="V13"/>
    </row>
    <row r="14" spans="1:26" x14ac:dyDescent="0.25">
      <c r="B14" s="278" t="s">
        <v>79</v>
      </c>
      <c r="C14" s="279">
        <v>3116</v>
      </c>
      <c r="D14" s="279">
        <v>3068</v>
      </c>
      <c r="E14" s="280">
        <f t="shared" si="0"/>
        <v>0.98459563543003847</v>
      </c>
      <c r="F14" s="279">
        <v>2752</v>
      </c>
      <c r="G14" s="279">
        <v>2721</v>
      </c>
      <c r="H14" s="280">
        <f t="shared" si="1"/>
        <v>0.98873546511627908</v>
      </c>
      <c r="I14" s="279">
        <v>2635</v>
      </c>
      <c r="J14" s="279">
        <v>2603</v>
      </c>
      <c r="K14" s="280">
        <f t="shared" si="2"/>
        <v>0.98785578747628089</v>
      </c>
      <c r="L14" s="279"/>
      <c r="M14" s="279"/>
      <c r="N14" s="280" t="str">
        <f t="shared" si="3"/>
        <v>-</v>
      </c>
      <c r="O14"/>
      <c r="P14"/>
      <c r="Q14"/>
      <c r="R14"/>
      <c r="S14"/>
      <c r="T14"/>
      <c r="U14"/>
      <c r="V14"/>
    </row>
    <row r="15" spans="1:26" x14ac:dyDescent="0.25">
      <c r="B15" s="278" t="s">
        <v>137</v>
      </c>
      <c r="C15" s="279">
        <v>26</v>
      </c>
      <c r="D15" s="279">
        <v>19</v>
      </c>
      <c r="E15" s="280">
        <f t="shared" si="0"/>
        <v>0.73076923076923073</v>
      </c>
      <c r="F15" s="279">
        <v>14</v>
      </c>
      <c r="G15" s="279">
        <v>7</v>
      </c>
      <c r="H15" s="280">
        <f t="shared" si="1"/>
        <v>0.5</v>
      </c>
      <c r="I15" s="279">
        <v>22</v>
      </c>
      <c r="J15" s="279">
        <v>19</v>
      </c>
      <c r="K15" s="280">
        <f t="shared" si="2"/>
        <v>0.86363636363636365</v>
      </c>
      <c r="L15" s="279"/>
      <c r="M15" s="279"/>
      <c r="N15" s="280" t="str">
        <f t="shared" si="3"/>
        <v>-</v>
      </c>
      <c r="O15"/>
      <c r="P15"/>
      <c r="Q15"/>
      <c r="R15"/>
      <c r="S15"/>
      <c r="T15"/>
      <c r="U15"/>
      <c r="V15"/>
    </row>
    <row r="16" spans="1:26" x14ac:dyDescent="0.25">
      <c r="B16" s="278" t="s">
        <v>75</v>
      </c>
      <c r="C16" s="279">
        <v>16</v>
      </c>
      <c r="D16" s="279">
        <v>13</v>
      </c>
      <c r="E16" s="280">
        <f t="shared" si="0"/>
        <v>0.8125</v>
      </c>
      <c r="F16" s="279">
        <v>16</v>
      </c>
      <c r="G16" s="279">
        <v>3</v>
      </c>
      <c r="H16" s="280">
        <f t="shared" si="1"/>
        <v>0.1875</v>
      </c>
      <c r="I16" s="279">
        <v>24</v>
      </c>
      <c r="J16" s="279">
        <v>12</v>
      </c>
      <c r="K16" s="280">
        <f t="shared" si="2"/>
        <v>0.5</v>
      </c>
      <c r="L16" s="279"/>
      <c r="M16" s="279"/>
      <c r="N16" s="280" t="str">
        <f t="shared" si="3"/>
        <v>-</v>
      </c>
      <c r="O16"/>
      <c r="P16"/>
      <c r="Q16"/>
      <c r="R16"/>
      <c r="S16"/>
      <c r="T16"/>
      <c r="U16"/>
      <c r="V16"/>
    </row>
    <row r="17" spans="2:22" x14ac:dyDescent="0.25">
      <c r="B17" s="278" t="s">
        <v>234</v>
      </c>
      <c r="C17" s="279">
        <v>110</v>
      </c>
      <c r="D17" s="279">
        <v>80</v>
      </c>
      <c r="E17" s="280">
        <f t="shared" si="0"/>
        <v>0.72727272727272729</v>
      </c>
      <c r="F17" s="279">
        <v>186</v>
      </c>
      <c r="G17" s="279">
        <v>99</v>
      </c>
      <c r="H17" s="280">
        <f t="shared" si="1"/>
        <v>0.532258064516129</v>
      </c>
      <c r="I17" s="279">
        <v>170</v>
      </c>
      <c r="J17" s="279">
        <v>143</v>
      </c>
      <c r="K17" s="280">
        <f t="shared" si="2"/>
        <v>0.8411764705882353</v>
      </c>
      <c r="L17" s="279"/>
      <c r="M17" s="279"/>
      <c r="N17" s="280" t="str">
        <f t="shared" si="3"/>
        <v>-</v>
      </c>
      <c r="O17"/>
      <c r="P17"/>
      <c r="Q17"/>
      <c r="R17"/>
      <c r="S17"/>
      <c r="T17"/>
      <c r="U17"/>
      <c r="V17"/>
    </row>
    <row r="18" spans="2:22" x14ac:dyDescent="0.25">
      <c r="B18" s="278" t="s">
        <v>235</v>
      </c>
      <c r="C18" s="279">
        <v>0</v>
      </c>
      <c r="D18" s="279">
        <v>0</v>
      </c>
      <c r="E18" s="280" t="str">
        <f t="shared" si="0"/>
        <v>-</v>
      </c>
      <c r="F18" s="279">
        <v>2</v>
      </c>
      <c r="G18" s="279">
        <v>2</v>
      </c>
      <c r="H18" s="280">
        <f t="shared" si="1"/>
        <v>1</v>
      </c>
      <c r="I18" s="279">
        <v>2</v>
      </c>
      <c r="J18" s="279">
        <v>1</v>
      </c>
      <c r="K18" s="280">
        <f t="shared" si="2"/>
        <v>0.5</v>
      </c>
      <c r="L18" s="279"/>
      <c r="M18" s="279"/>
      <c r="N18" s="280" t="str">
        <f t="shared" si="3"/>
        <v>-</v>
      </c>
      <c r="O18"/>
      <c r="P18"/>
      <c r="Q18"/>
      <c r="R18"/>
      <c r="S18"/>
      <c r="T18"/>
      <c r="U18"/>
      <c r="V18"/>
    </row>
    <row r="19" spans="2:22" x14ac:dyDescent="0.25">
      <c r="B19" s="278" t="s">
        <v>236</v>
      </c>
      <c r="C19" s="279">
        <v>0</v>
      </c>
      <c r="D19" s="279">
        <v>0</v>
      </c>
      <c r="E19" s="280" t="str">
        <f t="shared" si="0"/>
        <v>-</v>
      </c>
      <c r="F19" s="279">
        <v>0</v>
      </c>
      <c r="G19" s="279">
        <v>0</v>
      </c>
      <c r="H19" s="280" t="str">
        <f t="shared" si="1"/>
        <v>-</v>
      </c>
      <c r="I19" s="279">
        <v>0</v>
      </c>
      <c r="J19" s="279">
        <v>0</v>
      </c>
      <c r="K19" s="280" t="str">
        <f t="shared" si="2"/>
        <v>-</v>
      </c>
      <c r="L19" s="279"/>
      <c r="M19" s="279"/>
      <c r="N19" s="280" t="str">
        <f t="shared" si="3"/>
        <v>-</v>
      </c>
      <c r="O19"/>
      <c r="P19"/>
      <c r="Q19"/>
      <c r="R19"/>
      <c r="S19"/>
      <c r="T19"/>
      <c r="U19"/>
      <c r="V19"/>
    </row>
    <row r="20" spans="2:22" x14ac:dyDescent="0.25">
      <c r="B20" s="278" t="s">
        <v>237</v>
      </c>
      <c r="C20" s="279">
        <v>5</v>
      </c>
      <c r="D20" s="279">
        <v>5</v>
      </c>
      <c r="E20" s="280">
        <f t="shared" si="0"/>
        <v>1</v>
      </c>
      <c r="F20" s="279">
        <v>13</v>
      </c>
      <c r="G20" s="279">
        <v>3</v>
      </c>
      <c r="H20" s="280">
        <f t="shared" si="1"/>
        <v>0.23076923076923078</v>
      </c>
      <c r="I20" s="279">
        <v>6</v>
      </c>
      <c r="J20" s="279">
        <v>4</v>
      </c>
      <c r="K20" s="280">
        <f t="shared" si="2"/>
        <v>0.66666666666666663</v>
      </c>
      <c r="L20" s="279"/>
      <c r="M20" s="279"/>
      <c r="N20" s="280" t="str">
        <f>IFERROR(M20/L20,"-")</f>
        <v>-</v>
      </c>
      <c r="O20"/>
      <c r="P20"/>
      <c r="Q20"/>
      <c r="R20"/>
      <c r="S20"/>
      <c r="T20"/>
      <c r="U20"/>
      <c r="V20"/>
    </row>
    <row r="21" spans="2:22" x14ac:dyDescent="0.25">
      <c r="B21" s="278" t="s">
        <v>238</v>
      </c>
      <c r="C21" s="279">
        <v>114</v>
      </c>
      <c r="D21" s="279">
        <v>97</v>
      </c>
      <c r="E21" s="280">
        <f t="shared" si="0"/>
        <v>0.85087719298245612</v>
      </c>
      <c r="F21" s="279">
        <v>86</v>
      </c>
      <c r="G21" s="279">
        <v>58</v>
      </c>
      <c r="H21" s="280">
        <f t="shared" ref="H21:H23" si="4">IFERROR(G21/F21,"-")</f>
        <v>0.67441860465116277</v>
      </c>
      <c r="I21" s="279">
        <v>147</v>
      </c>
      <c r="J21" s="279">
        <v>129</v>
      </c>
      <c r="K21" s="280">
        <f t="shared" ref="K21:K23" si="5">IFERROR(J21/I21,"-")</f>
        <v>0.87755102040816324</v>
      </c>
      <c r="L21" s="279"/>
      <c r="M21" s="279"/>
      <c r="N21" s="280" t="str">
        <f t="shared" si="3"/>
        <v>-</v>
      </c>
      <c r="O21"/>
      <c r="P21"/>
      <c r="Q21"/>
      <c r="R21"/>
      <c r="S21"/>
      <c r="T21"/>
      <c r="U21"/>
      <c r="V21"/>
    </row>
    <row r="22" spans="2:22" x14ac:dyDescent="0.25">
      <c r="B22" s="278" t="s">
        <v>239</v>
      </c>
      <c r="C22" s="279">
        <v>54</v>
      </c>
      <c r="D22" s="279">
        <v>52</v>
      </c>
      <c r="E22" s="280">
        <f t="shared" si="0"/>
        <v>0.96296296296296291</v>
      </c>
      <c r="F22" s="279">
        <v>80</v>
      </c>
      <c r="G22" s="279">
        <v>53</v>
      </c>
      <c r="H22" s="280">
        <f t="shared" si="4"/>
        <v>0.66249999999999998</v>
      </c>
      <c r="I22" s="279">
        <v>98</v>
      </c>
      <c r="J22" s="279">
        <v>96</v>
      </c>
      <c r="K22" s="280">
        <f t="shared" si="5"/>
        <v>0.97959183673469385</v>
      </c>
      <c r="L22" s="279"/>
      <c r="M22" s="279"/>
      <c r="N22" s="280" t="str">
        <f t="shared" ref="N22" si="6">IFERROR(M22/L22,"-")</f>
        <v>-</v>
      </c>
      <c r="O22"/>
      <c r="P22"/>
      <c r="Q22"/>
      <c r="R22"/>
      <c r="S22"/>
      <c r="T22"/>
      <c r="U22"/>
      <c r="V22"/>
    </row>
    <row r="23" spans="2:22" x14ac:dyDescent="0.25">
      <c r="B23" s="46" t="s">
        <v>77</v>
      </c>
      <c r="C23" s="8">
        <f>SUM(C11:C22)</f>
        <v>6208</v>
      </c>
      <c r="D23" s="8">
        <f>SUM(D11:D22)</f>
        <v>6080</v>
      </c>
      <c r="E23" s="8">
        <f t="shared" si="0"/>
        <v>0.97938144329896903</v>
      </c>
      <c r="F23" s="8">
        <f>SUM(F11:F22)</f>
        <v>6305</v>
      </c>
      <c r="G23" s="8">
        <f>SUM(G11:G22)</f>
        <v>6050</v>
      </c>
      <c r="H23" s="8">
        <f t="shared" si="4"/>
        <v>0.95955590800951629</v>
      </c>
      <c r="I23" s="8">
        <f>SUM(I11:I22)</f>
        <v>6767</v>
      </c>
      <c r="J23" s="8">
        <f>SUM(J11:J22)</f>
        <v>6632</v>
      </c>
      <c r="K23" s="8">
        <f t="shared" si="5"/>
        <v>0.98005024383035322</v>
      </c>
      <c r="L23" s="8">
        <f>SUM(L11:L22)</f>
        <v>0</v>
      </c>
      <c r="M23" s="8">
        <f>SUM(M11:M22)</f>
        <v>0</v>
      </c>
      <c r="N23" s="91" t="e">
        <f>+M23/L23</f>
        <v>#DIV/0!</v>
      </c>
      <c r="O23"/>
      <c r="P23"/>
      <c r="Q23"/>
      <c r="R23"/>
      <c r="S23"/>
      <c r="T23"/>
      <c r="U23"/>
      <c r="V23"/>
    </row>
    <row r="24" spans="2:22" x14ac:dyDescent="0.25">
      <c r="B24" s="14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2:22" x14ac:dyDescent="0.25">
      <c r="B25" s="142" t="s">
        <v>254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2:22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2:22" ht="15.75" x14ac:dyDescent="0.25">
      <c r="B29" s="331" t="s">
        <v>89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/>
      <c r="P29"/>
      <c r="Q29"/>
      <c r="R29"/>
      <c r="S29"/>
      <c r="T29"/>
      <c r="U29"/>
      <c r="V29"/>
    </row>
    <row r="30" spans="2:22" x14ac:dyDescent="0.25">
      <c r="B30" s="186"/>
      <c r="C30" s="314" t="s">
        <v>80</v>
      </c>
      <c r="D30" s="314"/>
      <c r="E30" s="314"/>
      <c r="F30" s="314" t="s">
        <v>81</v>
      </c>
      <c r="G30" s="314"/>
      <c r="H30" s="314"/>
      <c r="I30" s="314" t="s">
        <v>82</v>
      </c>
      <c r="J30" s="314"/>
      <c r="K30" s="314"/>
      <c r="L30" s="314" t="s">
        <v>258</v>
      </c>
      <c r="M30" s="314"/>
      <c r="N30" s="314"/>
      <c r="O30"/>
      <c r="P30"/>
      <c r="Q30"/>
      <c r="R30"/>
      <c r="S30"/>
      <c r="T30"/>
      <c r="U30"/>
      <c r="V30"/>
    </row>
    <row r="31" spans="2:22" x14ac:dyDescent="0.25">
      <c r="B31" s="53"/>
      <c r="C31" s="54" t="s">
        <v>63</v>
      </c>
      <c r="D31" s="54" t="s">
        <v>64</v>
      </c>
      <c r="E31" s="54" t="s">
        <v>39</v>
      </c>
      <c r="F31" s="54" t="s">
        <v>63</v>
      </c>
      <c r="G31" s="54" t="s">
        <v>64</v>
      </c>
      <c r="H31" s="54" t="s">
        <v>65</v>
      </c>
      <c r="I31" s="54" t="s">
        <v>63</v>
      </c>
      <c r="J31" s="54" t="s">
        <v>64</v>
      </c>
      <c r="K31" s="54" t="s">
        <v>65</v>
      </c>
      <c r="L31" s="54" t="s">
        <v>63</v>
      </c>
      <c r="M31" s="54" t="s">
        <v>64</v>
      </c>
      <c r="N31" s="54" t="s">
        <v>65</v>
      </c>
      <c r="O31"/>
      <c r="P31"/>
      <c r="Q31"/>
      <c r="R31"/>
      <c r="S31"/>
      <c r="T31"/>
      <c r="U31"/>
      <c r="V31"/>
    </row>
    <row r="32" spans="2:22" x14ac:dyDescent="0.25">
      <c r="B32" s="278" t="s">
        <v>66</v>
      </c>
      <c r="C32" s="279">
        <v>16</v>
      </c>
      <c r="D32" s="279">
        <v>7</v>
      </c>
      <c r="E32" s="280">
        <f>IFERROR(D32/C32,"-")</f>
        <v>0.4375</v>
      </c>
      <c r="F32" s="279">
        <v>11</v>
      </c>
      <c r="G32" s="279">
        <v>8</v>
      </c>
      <c r="H32" s="280">
        <f t="shared" ref="H32:H43" si="7">IFERROR(G32/F32,"-")</f>
        <v>0.72727272727272729</v>
      </c>
      <c r="I32" s="279">
        <v>14</v>
      </c>
      <c r="J32" s="279">
        <v>4</v>
      </c>
      <c r="K32" s="280">
        <f t="shared" ref="K32:K43" si="8">IFERROR(J32/I32,"-")</f>
        <v>0.2857142857142857</v>
      </c>
      <c r="L32" s="279"/>
      <c r="M32" s="279"/>
      <c r="N32" s="281" t="str">
        <f>IFERROR(M32/L32,"-")</f>
        <v>-</v>
      </c>
      <c r="O32"/>
      <c r="P32"/>
      <c r="Q32"/>
      <c r="R32"/>
      <c r="S32"/>
      <c r="T32"/>
      <c r="U32"/>
      <c r="V32"/>
    </row>
    <row r="33" spans="2:22" x14ac:dyDescent="0.25">
      <c r="B33" s="278" t="s">
        <v>68</v>
      </c>
      <c r="C33" s="279">
        <v>15</v>
      </c>
      <c r="D33" s="279">
        <v>3</v>
      </c>
      <c r="E33" s="280">
        <f t="shared" ref="E33:E42" si="9">IFERROR(D33/C33,"-")</f>
        <v>0.2</v>
      </c>
      <c r="F33" s="279">
        <v>6</v>
      </c>
      <c r="G33" s="279">
        <v>0</v>
      </c>
      <c r="H33" s="280">
        <f t="shared" si="7"/>
        <v>0</v>
      </c>
      <c r="I33" s="279">
        <v>23</v>
      </c>
      <c r="J33" s="279">
        <v>2</v>
      </c>
      <c r="K33" s="280">
        <f t="shared" si="8"/>
        <v>8.6956521739130432E-2</v>
      </c>
      <c r="L33" s="279"/>
      <c r="M33" s="279"/>
      <c r="N33" s="281" t="str">
        <f t="shared" ref="N33:N42" si="10">IFERROR(M33/L33,"-")</f>
        <v>-</v>
      </c>
      <c r="O33"/>
      <c r="P33"/>
      <c r="Q33"/>
      <c r="R33"/>
      <c r="S33"/>
      <c r="T33"/>
      <c r="U33"/>
      <c r="V33"/>
    </row>
    <row r="34" spans="2:22" x14ac:dyDescent="0.25">
      <c r="B34" s="278" t="s">
        <v>69</v>
      </c>
      <c r="C34" s="279">
        <v>106</v>
      </c>
      <c r="D34" s="279">
        <v>38</v>
      </c>
      <c r="E34" s="280">
        <f t="shared" si="9"/>
        <v>0.35849056603773582</v>
      </c>
      <c r="F34" s="279">
        <v>130</v>
      </c>
      <c r="G34" s="279">
        <v>30</v>
      </c>
      <c r="H34" s="280">
        <f t="shared" si="7"/>
        <v>0.23076923076923078</v>
      </c>
      <c r="I34" s="279">
        <v>228</v>
      </c>
      <c r="J34" s="279">
        <v>34</v>
      </c>
      <c r="K34" s="280">
        <f t="shared" si="8"/>
        <v>0.14912280701754385</v>
      </c>
      <c r="L34" s="279"/>
      <c r="M34" s="279"/>
      <c r="N34" s="281" t="str">
        <f t="shared" si="10"/>
        <v>-</v>
      </c>
      <c r="O34"/>
      <c r="P34"/>
      <c r="Q34"/>
      <c r="R34"/>
      <c r="S34"/>
      <c r="T34"/>
      <c r="U34"/>
      <c r="V34"/>
    </row>
    <row r="35" spans="2:22" x14ac:dyDescent="0.25">
      <c r="B35" s="278" t="s">
        <v>78</v>
      </c>
      <c r="C35" s="279">
        <v>8</v>
      </c>
      <c r="D35" s="279">
        <v>3</v>
      </c>
      <c r="E35" s="280">
        <f t="shared" si="9"/>
        <v>0.375</v>
      </c>
      <c r="F35" s="279">
        <v>2</v>
      </c>
      <c r="G35" s="279">
        <v>0</v>
      </c>
      <c r="H35" s="280">
        <f t="shared" si="7"/>
        <v>0</v>
      </c>
      <c r="I35" s="279">
        <v>1</v>
      </c>
      <c r="J35" s="279">
        <v>0</v>
      </c>
      <c r="K35" s="280">
        <f t="shared" si="8"/>
        <v>0</v>
      </c>
      <c r="L35" s="279"/>
      <c r="M35" s="279"/>
      <c r="N35" s="281" t="str">
        <f t="shared" si="10"/>
        <v>-</v>
      </c>
      <c r="O35"/>
      <c r="P35"/>
      <c r="Q35"/>
      <c r="R35"/>
      <c r="S35"/>
      <c r="T35"/>
      <c r="U35"/>
      <c r="V35"/>
    </row>
    <row r="36" spans="2:22" x14ac:dyDescent="0.25">
      <c r="B36" s="278" t="s">
        <v>162</v>
      </c>
      <c r="C36" s="279">
        <v>0</v>
      </c>
      <c r="D36" s="279">
        <v>0</v>
      </c>
      <c r="E36" s="280" t="str">
        <f t="shared" si="9"/>
        <v>-</v>
      </c>
      <c r="F36" s="279">
        <v>0</v>
      </c>
      <c r="G36" s="279">
        <v>0</v>
      </c>
      <c r="H36" s="280" t="str">
        <f t="shared" si="7"/>
        <v>-</v>
      </c>
      <c r="I36" s="279">
        <v>0</v>
      </c>
      <c r="J36" s="279">
        <v>0</v>
      </c>
      <c r="K36" s="280" t="str">
        <f t="shared" si="8"/>
        <v>-</v>
      </c>
      <c r="L36" s="279"/>
      <c r="M36" s="279"/>
      <c r="N36" s="281" t="str">
        <f t="shared" si="10"/>
        <v>-</v>
      </c>
      <c r="O36"/>
      <c r="P36"/>
      <c r="Q36"/>
      <c r="R36"/>
      <c r="S36"/>
      <c r="T36"/>
      <c r="U36"/>
      <c r="V36"/>
    </row>
    <row r="37" spans="2:22" x14ac:dyDescent="0.25">
      <c r="B37" s="278" t="s">
        <v>70</v>
      </c>
      <c r="C37" s="279">
        <v>113</v>
      </c>
      <c r="D37" s="279">
        <v>58</v>
      </c>
      <c r="E37" s="280">
        <f t="shared" si="9"/>
        <v>0.51327433628318586</v>
      </c>
      <c r="F37" s="279">
        <v>76</v>
      </c>
      <c r="G37" s="279">
        <v>40</v>
      </c>
      <c r="H37" s="280">
        <f t="shared" si="7"/>
        <v>0.52631578947368418</v>
      </c>
      <c r="I37" s="279">
        <v>157</v>
      </c>
      <c r="J37" s="279">
        <v>38</v>
      </c>
      <c r="K37" s="280">
        <f t="shared" si="8"/>
        <v>0.24203821656050956</v>
      </c>
      <c r="L37" s="279"/>
      <c r="M37" s="279"/>
      <c r="N37" s="281" t="str">
        <f t="shared" si="10"/>
        <v>-</v>
      </c>
      <c r="O37"/>
      <c r="P37"/>
      <c r="Q37"/>
      <c r="R37"/>
      <c r="S37"/>
      <c r="T37"/>
      <c r="U37"/>
      <c r="V37"/>
    </row>
    <row r="38" spans="2:22" x14ac:dyDescent="0.25">
      <c r="B38" s="278" t="s">
        <v>71</v>
      </c>
      <c r="C38" s="279">
        <v>67</v>
      </c>
      <c r="D38" s="279">
        <v>26</v>
      </c>
      <c r="E38" s="280">
        <f t="shared" si="9"/>
        <v>0.38805970149253732</v>
      </c>
      <c r="F38" s="279">
        <v>55</v>
      </c>
      <c r="G38" s="279">
        <v>2</v>
      </c>
      <c r="H38" s="280">
        <f t="shared" si="7"/>
        <v>3.6363636363636362E-2</v>
      </c>
      <c r="I38" s="279">
        <v>123</v>
      </c>
      <c r="J38" s="279">
        <v>9</v>
      </c>
      <c r="K38" s="280">
        <f t="shared" si="8"/>
        <v>7.3170731707317069E-2</v>
      </c>
      <c r="L38" s="279"/>
      <c r="M38" s="279"/>
      <c r="N38" s="281" t="str">
        <f t="shared" si="10"/>
        <v>-</v>
      </c>
      <c r="O38"/>
      <c r="P38"/>
      <c r="Q38"/>
      <c r="R38"/>
      <c r="S38"/>
      <c r="T38"/>
      <c r="U38"/>
      <c r="V38"/>
    </row>
    <row r="39" spans="2:22" x14ac:dyDescent="0.25">
      <c r="B39" s="278" t="s">
        <v>72</v>
      </c>
      <c r="C39" s="279">
        <v>3</v>
      </c>
      <c r="D39" s="279">
        <v>2</v>
      </c>
      <c r="E39" s="280">
        <f t="shared" si="9"/>
        <v>0.66666666666666663</v>
      </c>
      <c r="F39" s="279">
        <v>5</v>
      </c>
      <c r="G39" s="279">
        <v>1</v>
      </c>
      <c r="H39" s="280">
        <f t="shared" si="7"/>
        <v>0.2</v>
      </c>
      <c r="I39" s="279">
        <v>4</v>
      </c>
      <c r="J39" s="279">
        <v>1</v>
      </c>
      <c r="K39" s="280">
        <f t="shared" si="8"/>
        <v>0.25</v>
      </c>
      <c r="L39" s="279"/>
      <c r="M39" s="279"/>
      <c r="N39" s="281" t="str">
        <f t="shared" si="10"/>
        <v>-</v>
      </c>
      <c r="O39"/>
      <c r="P39"/>
      <c r="Q39"/>
      <c r="R39"/>
      <c r="S39"/>
      <c r="T39"/>
      <c r="U39"/>
      <c r="V39"/>
    </row>
    <row r="40" spans="2:22" x14ac:dyDescent="0.25">
      <c r="B40" s="278" t="s">
        <v>73</v>
      </c>
      <c r="C40" s="279">
        <v>65</v>
      </c>
      <c r="D40" s="279">
        <v>12</v>
      </c>
      <c r="E40" s="280">
        <f t="shared" si="9"/>
        <v>0.18461538461538463</v>
      </c>
      <c r="F40" s="279">
        <v>51</v>
      </c>
      <c r="G40" s="279">
        <v>10</v>
      </c>
      <c r="H40" s="280">
        <f t="shared" si="7"/>
        <v>0.19607843137254902</v>
      </c>
      <c r="I40" s="279">
        <v>55</v>
      </c>
      <c r="J40" s="279">
        <v>5</v>
      </c>
      <c r="K40" s="280">
        <f t="shared" si="8"/>
        <v>9.0909090909090912E-2</v>
      </c>
      <c r="L40" s="279"/>
      <c r="M40" s="279"/>
      <c r="N40" s="281" t="str">
        <f t="shared" si="10"/>
        <v>-</v>
      </c>
      <c r="O40"/>
      <c r="P40"/>
      <c r="Q40"/>
      <c r="R40"/>
      <c r="S40"/>
      <c r="T40"/>
      <c r="U40"/>
      <c r="V40"/>
    </row>
    <row r="41" spans="2:22" x14ac:dyDescent="0.25">
      <c r="B41" s="278" t="s">
        <v>74</v>
      </c>
      <c r="C41" s="279">
        <v>1709</v>
      </c>
      <c r="D41" s="279">
        <v>518</v>
      </c>
      <c r="E41" s="280">
        <f t="shared" si="9"/>
        <v>0.30310122878876539</v>
      </c>
      <c r="F41" s="279">
        <v>3485</v>
      </c>
      <c r="G41" s="279">
        <v>964</v>
      </c>
      <c r="H41" s="280">
        <f t="shared" si="7"/>
        <v>0.27661406025824964</v>
      </c>
      <c r="I41" s="279">
        <v>3858</v>
      </c>
      <c r="J41" s="279">
        <v>229</v>
      </c>
      <c r="K41" s="280">
        <f t="shared" si="8"/>
        <v>5.9357179885951267E-2</v>
      </c>
      <c r="L41" s="279"/>
      <c r="M41" s="279"/>
      <c r="N41" s="281" t="str">
        <f t="shared" si="10"/>
        <v>-</v>
      </c>
      <c r="O41"/>
      <c r="P41"/>
      <c r="Q41"/>
      <c r="R41"/>
      <c r="S41"/>
      <c r="T41"/>
      <c r="U41"/>
      <c r="V41"/>
    </row>
    <row r="42" spans="2:22" x14ac:dyDescent="0.25">
      <c r="B42" s="278" t="s">
        <v>76</v>
      </c>
      <c r="C42" s="279">
        <v>35</v>
      </c>
      <c r="D42" s="279">
        <v>21</v>
      </c>
      <c r="E42" s="280">
        <f t="shared" si="9"/>
        <v>0.6</v>
      </c>
      <c r="F42" s="279">
        <v>28</v>
      </c>
      <c r="G42" s="279">
        <v>21</v>
      </c>
      <c r="H42" s="280">
        <f t="shared" si="7"/>
        <v>0.75</v>
      </c>
      <c r="I42" s="279">
        <v>63</v>
      </c>
      <c r="J42" s="279">
        <v>14</v>
      </c>
      <c r="K42" s="280">
        <f t="shared" si="8"/>
        <v>0.22222222222222221</v>
      </c>
      <c r="L42" s="279"/>
      <c r="M42" s="279"/>
      <c r="N42" s="281" t="str">
        <f t="shared" si="10"/>
        <v>-</v>
      </c>
      <c r="O42"/>
      <c r="P42"/>
      <c r="Q42"/>
      <c r="R42"/>
      <c r="S42"/>
      <c r="T42"/>
      <c r="U42"/>
      <c r="V42"/>
    </row>
    <row r="43" spans="2:22" x14ac:dyDescent="0.25">
      <c r="B43" s="46" t="s">
        <v>77</v>
      </c>
      <c r="C43" s="8">
        <f>SUM(C32:C42)</f>
        <v>2137</v>
      </c>
      <c r="D43" s="8">
        <f>SUM(D32:D42)</f>
        <v>688</v>
      </c>
      <c r="E43" s="8">
        <f>IFERROR(D43/C43,"-")</f>
        <v>0.32194665418811419</v>
      </c>
      <c r="F43" s="8">
        <f>SUM(F32:F42)</f>
        <v>3849</v>
      </c>
      <c r="G43" s="8">
        <f>SUM(G32:G42)</f>
        <v>1076</v>
      </c>
      <c r="H43" s="8">
        <f t="shared" si="7"/>
        <v>0.27955313068329435</v>
      </c>
      <c r="I43" s="8">
        <f>SUM(I32:I42)</f>
        <v>4526</v>
      </c>
      <c r="J43" s="8">
        <f>SUM(J32:J42)</f>
        <v>336</v>
      </c>
      <c r="K43" s="8">
        <f t="shared" si="8"/>
        <v>7.4237737516570923E-2</v>
      </c>
      <c r="L43" s="8">
        <f>SUM(L32:L42)</f>
        <v>0</v>
      </c>
      <c r="M43" s="8">
        <f>SUM(M32:M42)</f>
        <v>0</v>
      </c>
      <c r="N43" s="16" t="e">
        <f>+M43/L43</f>
        <v>#DIV/0!</v>
      </c>
      <c r="O43"/>
      <c r="P43"/>
      <c r="Q43"/>
      <c r="R43"/>
      <c r="S43"/>
      <c r="T43"/>
      <c r="U43"/>
      <c r="V43"/>
    </row>
    <row r="44" spans="2:22" x14ac:dyDescent="0.25">
      <c r="B44" s="142" t="s">
        <v>255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x14ac:dyDescent="0.25">
      <c r="B45" s="142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5:22" x14ac:dyDescent="0.25">
      <c r="O49"/>
      <c r="P49"/>
      <c r="Q49"/>
      <c r="R49"/>
      <c r="S49"/>
      <c r="T49"/>
      <c r="U49"/>
      <c r="V49"/>
    </row>
    <row r="50" spans="15:22" x14ac:dyDescent="0.25">
      <c r="O50"/>
      <c r="P50"/>
      <c r="Q50"/>
      <c r="R50"/>
      <c r="S50"/>
      <c r="T50"/>
      <c r="U50"/>
      <c r="V50"/>
    </row>
    <row r="51" spans="15:22" x14ac:dyDescent="0.25">
      <c r="O51"/>
      <c r="P51"/>
      <c r="Q51"/>
      <c r="R51"/>
      <c r="S51"/>
      <c r="T51"/>
      <c r="U51"/>
      <c r="V51"/>
    </row>
    <row r="52" spans="15:22" x14ac:dyDescent="0.25">
      <c r="O52"/>
      <c r="P52"/>
      <c r="Q52"/>
      <c r="R52"/>
      <c r="S52"/>
      <c r="T52"/>
      <c r="U52"/>
      <c r="V52"/>
    </row>
    <row r="53" spans="15:22" x14ac:dyDescent="0.25">
      <c r="O53"/>
      <c r="P53"/>
      <c r="Q53"/>
      <c r="R53"/>
      <c r="S53"/>
      <c r="T53"/>
      <c r="U53"/>
      <c r="V53"/>
    </row>
    <row r="54" spans="15:22" x14ac:dyDescent="0.25">
      <c r="O54"/>
      <c r="P54"/>
      <c r="Q54"/>
      <c r="R54"/>
      <c r="S54"/>
      <c r="T54"/>
      <c r="U54"/>
      <c r="V54"/>
    </row>
  </sheetData>
  <mergeCells count="15">
    <mergeCell ref="B5:N5"/>
    <mergeCell ref="B1:N1"/>
    <mergeCell ref="B2:N2"/>
    <mergeCell ref="B3:N3"/>
    <mergeCell ref="C9:E9"/>
    <mergeCell ref="B4:N4"/>
    <mergeCell ref="B8:N8"/>
    <mergeCell ref="C30:E30"/>
    <mergeCell ref="F9:H9"/>
    <mergeCell ref="F30:H30"/>
    <mergeCell ref="I9:K9"/>
    <mergeCell ref="I30:K30"/>
    <mergeCell ref="B29:N29"/>
    <mergeCell ref="L9:N9"/>
    <mergeCell ref="L30:N30"/>
  </mergeCells>
  <pageMargins left="0.7" right="0.7" top="0.75" bottom="0.75" header="0.3" footer="0.3"/>
  <pageSetup paperSize="9" scale="41" orientation="portrait" r:id="rId1"/>
  <colBreaks count="1" manualBreakCount="1">
    <brk id="23" max="1048575" man="1"/>
  </colBreaks>
  <ignoredErrors>
    <ignoredError sqref="N43 N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82"/>
  <sheetViews>
    <sheetView showGridLines="0" zoomScaleNormal="100" zoomScaleSheetLayoutView="100" workbookViewId="0">
      <selection activeCell="E25" sqref="E25"/>
    </sheetView>
  </sheetViews>
  <sheetFormatPr baseColWidth="10" defaultColWidth="11.42578125" defaultRowHeight="15" x14ac:dyDescent="0.25"/>
  <cols>
    <col min="1" max="1" width="12.140625" style="1" customWidth="1"/>
    <col min="2" max="2" width="11.42578125" style="1"/>
    <col min="3" max="3" width="13.140625" style="1" bestFit="1" customWidth="1"/>
    <col min="4" max="4" width="12.140625" style="1" customWidth="1"/>
    <col min="5" max="5" width="13.42578125" style="1" customWidth="1"/>
    <col min="6" max="6" width="14.140625" style="1" customWidth="1"/>
    <col min="7" max="7" width="13.140625" style="1" customWidth="1"/>
    <col min="8" max="16384" width="11.42578125" style="1"/>
  </cols>
  <sheetData>
    <row r="1" spans="1:16" x14ac:dyDescent="0.25">
      <c r="A1" s="288" t="s">
        <v>0</v>
      </c>
      <c r="B1" s="288"/>
      <c r="C1" s="288"/>
      <c r="D1" s="288"/>
      <c r="E1" s="288"/>
      <c r="F1" s="288"/>
      <c r="G1" s="233"/>
    </row>
    <row r="2" spans="1:16" x14ac:dyDescent="0.25">
      <c r="A2" s="288" t="s">
        <v>114</v>
      </c>
      <c r="B2" s="288"/>
      <c r="C2" s="288"/>
      <c r="D2" s="288"/>
      <c r="E2" s="288"/>
      <c r="F2" s="288"/>
      <c r="G2" s="233"/>
    </row>
    <row r="3" spans="1:16" x14ac:dyDescent="0.25">
      <c r="A3" s="288" t="s">
        <v>204</v>
      </c>
      <c r="B3" s="288"/>
      <c r="C3" s="288"/>
      <c r="D3" s="288"/>
      <c r="E3" s="288"/>
      <c r="F3" s="288"/>
      <c r="G3" s="233"/>
    </row>
    <row r="4" spans="1:16" x14ac:dyDescent="0.25">
      <c r="A4" s="288" t="s">
        <v>256</v>
      </c>
      <c r="B4" s="288"/>
      <c r="C4" s="288"/>
      <c r="D4" s="288"/>
      <c r="E4" s="288"/>
      <c r="F4" s="288"/>
      <c r="G4" s="233"/>
    </row>
    <row r="5" spans="1:16" x14ac:dyDescent="0.25">
      <c r="A5" s="288" t="s">
        <v>257</v>
      </c>
      <c r="B5" s="288"/>
      <c r="C5" s="288"/>
      <c r="D5" s="288"/>
      <c r="E5" s="288"/>
      <c r="F5" s="288"/>
      <c r="G5" s="233"/>
      <c r="P5" s="18"/>
    </row>
    <row r="6" spans="1:16" ht="40.5" customHeight="1" x14ac:dyDescent="0.25">
      <c r="A6" s="43" t="s">
        <v>1</v>
      </c>
      <c r="B6" s="45" t="s">
        <v>227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225</v>
      </c>
      <c r="H6"/>
      <c r="I6"/>
      <c r="J6"/>
      <c r="K6"/>
      <c r="L6"/>
      <c r="M6"/>
      <c r="N6"/>
      <c r="O6"/>
    </row>
    <row r="7" spans="1:16" x14ac:dyDescent="0.25">
      <c r="A7" s="238" t="s">
        <v>259</v>
      </c>
      <c r="B7" s="140">
        <v>93148</v>
      </c>
      <c r="C7" s="140">
        <v>29747</v>
      </c>
      <c r="D7" s="235">
        <f t="shared" ref="D7:D23" si="0">+C7/B7</f>
        <v>0.31935199896938204</v>
      </c>
      <c r="E7" s="283">
        <v>63401</v>
      </c>
      <c r="F7" s="235">
        <f t="shared" ref="F7:F23" si="1">+E7/B7</f>
        <v>0.68064800103061796</v>
      </c>
      <c r="G7" s="140">
        <v>54308</v>
      </c>
      <c r="H7"/>
      <c r="I7"/>
      <c r="J7"/>
      <c r="K7" s="74"/>
      <c r="L7" s="74"/>
      <c r="M7"/>
      <c r="N7"/>
      <c r="O7"/>
    </row>
    <row r="8" spans="1:16" x14ac:dyDescent="0.25">
      <c r="A8" s="238" t="s">
        <v>260</v>
      </c>
      <c r="B8" s="140">
        <v>92991</v>
      </c>
      <c r="C8" s="140">
        <v>28719</v>
      </c>
      <c r="D8" s="235">
        <f t="shared" si="0"/>
        <v>0.30883633900054847</v>
      </c>
      <c r="E8" s="283">
        <v>64272</v>
      </c>
      <c r="F8" s="235">
        <f t="shared" si="1"/>
        <v>0.69116366099945159</v>
      </c>
      <c r="G8" s="140">
        <v>54187</v>
      </c>
      <c r="H8"/>
      <c r="I8"/>
      <c r="J8"/>
      <c r="K8"/>
      <c r="L8" s="74"/>
      <c r="M8"/>
      <c r="N8"/>
      <c r="O8"/>
    </row>
    <row r="9" spans="1:16" x14ac:dyDescent="0.25">
      <c r="A9" s="236" t="s">
        <v>261</v>
      </c>
      <c r="B9" s="140">
        <v>92991</v>
      </c>
      <c r="C9" s="140">
        <v>28682</v>
      </c>
      <c r="D9" s="235">
        <f t="shared" si="0"/>
        <v>0.30843845103289563</v>
      </c>
      <c r="E9" s="283">
        <v>64309</v>
      </c>
      <c r="F9" s="235">
        <f t="shared" si="1"/>
        <v>0.69156154896710431</v>
      </c>
      <c r="G9" s="140">
        <v>54052</v>
      </c>
      <c r="H9"/>
      <c r="I9"/>
      <c r="J9"/>
      <c r="K9"/>
      <c r="L9"/>
      <c r="M9"/>
      <c r="N9"/>
      <c r="O9"/>
    </row>
    <row r="10" spans="1:16" ht="24" customHeight="1" x14ac:dyDescent="0.25">
      <c r="A10" s="242" t="s">
        <v>262</v>
      </c>
      <c r="B10" s="256">
        <f>+AVERAGE(B7:B9)</f>
        <v>93043.333333333328</v>
      </c>
      <c r="C10" s="256">
        <f>+AVERAGE(C7:C9)</f>
        <v>29049.333333333332</v>
      </c>
      <c r="D10" s="257">
        <f t="shared" si="0"/>
        <v>0.31221294737219218</v>
      </c>
      <c r="E10" s="256">
        <f>+AVERAGE(E7:E9)</f>
        <v>63994</v>
      </c>
      <c r="F10" s="257">
        <f t="shared" si="1"/>
        <v>0.68778705262780782</v>
      </c>
      <c r="G10" s="8">
        <f>AVERAGE(G7:G9)</f>
        <v>54182.333333333336</v>
      </c>
      <c r="H10"/>
      <c r="I10"/>
      <c r="J10"/>
      <c r="K10"/>
      <c r="L10" s="237"/>
      <c r="M10"/>
      <c r="N10"/>
      <c r="O10"/>
    </row>
    <row r="11" spans="1:16" hidden="1" x14ac:dyDescent="0.25">
      <c r="A11" s="236" t="s">
        <v>34</v>
      </c>
      <c r="B11" s="140"/>
      <c r="C11" s="140"/>
      <c r="D11" s="235" t="e">
        <f t="shared" si="0"/>
        <v>#DIV/0!</v>
      </c>
      <c r="E11" s="140"/>
      <c r="F11" s="235" t="e">
        <f t="shared" si="1"/>
        <v>#DIV/0!</v>
      </c>
      <c r="G11" s="235"/>
      <c r="H11"/>
      <c r="I11"/>
      <c r="J11"/>
      <c r="K11" s="74"/>
      <c r="L11" s="74"/>
      <c r="M11"/>
      <c r="N11"/>
      <c r="O11"/>
    </row>
    <row r="12" spans="1:16" hidden="1" x14ac:dyDescent="0.25">
      <c r="A12" s="238" t="s">
        <v>35</v>
      </c>
      <c r="B12" s="140"/>
      <c r="C12" s="140"/>
      <c r="D12" s="235" t="e">
        <f t="shared" si="0"/>
        <v>#DIV/0!</v>
      </c>
      <c r="E12" s="140"/>
      <c r="F12" s="235" t="e">
        <f t="shared" si="1"/>
        <v>#DIV/0!</v>
      </c>
      <c r="G12" s="235"/>
      <c r="H12"/>
      <c r="I12"/>
      <c r="J12"/>
      <c r="K12"/>
      <c r="L12" s="74"/>
      <c r="M12"/>
      <c r="N12"/>
      <c r="O12"/>
    </row>
    <row r="13" spans="1:16" hidden="1" x14ac:dyDescent="0.25">
      <c r="A13" s="238" t="s">
        <v>36</v>
      </c>
      <c r="B13" s="140"/>
      <c r="C13" s="140"/>
      <c r="D13" s="235" t="e">
        <f t="shared" si="0"/>
        <v>#DIV/0!</v>
      </c>
      <c r="E13" s="140"/>
      <c r="F13" s="235" t="e">
        <f t="shared" si="1"/>
        <v>#DIV/0!</v>
      </c>
      <c r="G13" s="235"/>
      <c r="H13"/>
      <c r="I13"/>
      <c r="J13"/>
      <c r="K13"/>
      <c r="L13"/>
      <c r="M13"/>
      <c r="N13"/>
      <c r="O13"/>
    </row>
    <row r="14" spans="1:16" ht="24" hidden="1" customHeight="1" x14ac:dyDescent="0.25">
      <c r="A14" s="141" t="s">
        <v>124</v>
      </c>
      <c r="B14" s="8" t="e">
        <f>+AVERAGE(B11:B13)</f>
        <v>#DIV/0!</v>
      </c>
      <c r="C14" s="8" t="e">
        <f>+AVERAGE(C11:C13)</f>
        <v>#DIV/0!</v>
      </c>
      <c r="D14" s="16" t="e">
        <f t="shared" si="0"/>
        <v>#DIV/0!</v>
      </c>
      <c r="E14" s="8" t="e">
        <f>+AVERAGE(E11:E13)</f>
        <v>#DIV/0!</v>
      </c>
      <c r="F14" s="16" t="e">
        <f t="shared" si="1"/>
        <v>#DIV/0!</v>
      </c>
      <c r="G14" s="16"/>
      <c r="H14"/>
      <c r="I14"/>
      <c r="J14"/>
      <c r="K14"/>
      <c r="L14" s="237"/>
      <c r="M14"/>
      <c r="N14"/>
      <c r="O14"/>
    </row>
    <row r="15" spans="1:16" hidden="1" x14ac:dyDescent="0.25">
      <c r="A15" s="236" t="s">
        <v>80</v>
      </c>
      <c r="B15" s="140"/>
      <c r="C15" s="140"/>
      <c r="D15" s="235" t="e">
        <f t="shared" si="0"/>
        <v>#DIV/0!</v>
      </c>
      <c r="E15" s="140"/>
      <c r="F15" s="235" t="e">
        <f t="shared" si="1"/>
        <v>#DIV/0!</v>
      </c>
      <c r="G15" s="235"/>
      <c r="H15"/>
      <c r="I15"/>
      <c r="J15"/>
      <c r="K15" s="74"/>
      <c r="L15" s="74"/>
      <c r="M15"/>
      <c r="N15"/>
      <c r="O15"/>
    </row>
    <row r="16" spans="1:16" hidden="1" x14ac:dyDescent="0.25">
      <c r="A16" s="238" t="s">
        <v>81</v>
      </c>
      <c r="B16" s="140"/>
      <c r="C16" s="140"/>
      <c r="D16" s="235" t="e">
        <f t="shared" si="0"/>
        <v>#DIV/0!</v>
      </c>
      <c r="E16" s="140"/>
      <c r="F16" s="235" t="e">
        <f t="shared" si="1"/>
        <v>#DIV/0!</v>
      </c>
      <c r="G16" s="235"/>
      <c r="H16"/>
      <c r="I16"/>
      <c r="J16"/>
      <c r="K16"/>
      <c r="L16" s="74"/>
      <c r="M16"/>
      <c r="N16"/>
      <c r="O16"/>
    </row>
    <row r="17" spans="1:15" hidden="1" x14ac:dyDescent="0.25">
      <c r="A17" s="238" t="s">
        <v>82</v>
      </c>
      <c r="B17" s="140"/>
      <c r="C17" s="140"/>
      <c r="D17" s="235" t="e">
        <f t="shared" si="0"/>
        <v>#DIV/0!</v>
      </c>
      <c r="E17" s="140"/>
      <c r="F17" s="235" t="e">
        <f t="shared" si="1"/>
        <v>#DIV/0!</v>
      </c>
      <c r="G17" s="235"/>
      <c r="H17"/>
      <c r="I17"/>
      <c r="J17"/>
      <c r="K17"/>
      <c r="L17"/>
      <c r="M17"/>
      <c r="N17"/>
      <c r="O17"/>
    </row>
    <row r="18" spans="1:15" ht="24" hidden="1" customHeight="1" x14ac:dyDescent="0.25">
      <c r="A18" s="141" t="s">
        <v>125</v>
      </c>
      <c r="B18" s="8" t="e">
        <f>+AVERAGE(B15:B17)</f>
        <v>#DIV/0!</v>
      </c>
      <c r="C18" s="8" t="e">
        <f>+AVERAGE(C15:C17)</f>
        <v>#DIV/0!</v>
      </c>
      <c r="D18" s="16" t="e">
        <f t="shared" si="0"/>
        <v>#DIV/0!</v>
      </c>
      <c r="E18" s="8" t="e">
        <f>+AVERAGE(E15:E17)</f>
        <v>#DIV/0!</v>
      </c>
      <c r="F18" s="16" t="e">
        <f t="shared" si="1"/>
        <v>#DIV/0!</v>
      </c>
      <c r="G18" s="16"/>
      <c r="H18"/>
      <c r="I18"/>
      <c r="J18"/>
      <c r="K18"/>
      <c r="L18" s="237"/>
      <c r="M18"/>
      <c r="N18"/>
      <c r="O18"/>
    </row>
    <row r="19" spans="1:15" hidden="1" x14ac:dyDescent="0.25">
      <c r="A19" s="236" t="s">
        <v>83</v>
      </c>
      <c r="B19" s="140"/>
      <c r="C19" s="140"/>
      <c r="D19" s="235" t="e">
        <f t="shared" si="0"/>
        <v>#DIV/0!</v>
      </c>
      <c r="E19" s="140"/>
      <c r="F19" s="235" t="e">
        <f t="shared" si="1"/>
        <v>#DIV/0!</v>
      </c>
      <c r="G19" s="235"/>
      <c r="H19"/>
      <c r="I19"/>
      <c r="J19"/>
      <c r="K19" s="74"/>
      <c r="L19" s="74"/>
      <c r="M19"/>
      <c r="N19"/>
      <c r="O19"/>
    </row>
    <row r="20" spans="1:15" hidden="1" x14ac:dyDescent="0.25">
      <c r="A20" s="238" t="s">
        <v>84</v>
      </c>
      <c r="B20" s="140"/>
      <c r="C20" s="140"/>
      <c r="D20" s="235" t="e">
        <f t="shared" si="0"/>
        <v>#DIV/0!</v>
      </c>
      <c r="E20" s="140"/>
      <c r="F20" s="235" t="e">
        <f t="shared" si="1"/>
        <v>#DIV/0!</v>
      </c>
      <c r="G20" s="235"/>
      <c r="H20"/>
      <c r="I20"/>
      <c r="J20"/>
      <c r="K20"/>
      <c r="L20" s="74"/>
      <c r="M20"/>
      <c r="N20"/>
      <c r="O20"/>
    </row>
    <row r="21" spans="1:15" hidden="1" x14ac:dyDescent="0.25">
      <c r="A21" s="238" t="s">
        <v>85</v>
      </c>
      <c r="B21" s="140"/>
      <c r="C21" s="140"/>
      <c r="D21" s="235" t="e">
        <f t="shared" si="0"/>
        <v>#DIV/0!</v>
      </c>
      <c r="E21" s="140"/>
      <c r="F21" s="235" t="e">
        <f t="shared" si="1"/>
        <v>#DIV/0!</v>
      </c>
      <c r="G21" s="235"/>
      <c r="H21"/>
      <c r="I21"/>
      <c r="J21"/>
      <c r="K21"/>
      <c r="L21"/>
      <c r="M21"/>
      <c r="N21"/>
      <c r="O21"/>
    </row>
    <row r="22" spans="1:15" ht="24" hidden="1" customHeight="1" x14ac:dyDescent="0.25">
      <c r="A22" s="141" t="s">
        <v>126</v>
      </c>
      <c r="B22" s="8" t="e">
        <f>+AVERAGE(B19:B21)</f>
        <v>#DIV/0!</v>
      </c>
      <c r="C22" s="8" t="e">
        <f>+AVERAGE(C19:C21)</f>
        <v>#DIV/0!</v>
      </c>
      <c r="D22" s="16" t="e">
        <f t="shared" si="0"/>
        <v>#DIV/0!</v>
      </c>
      <c r="E22" s="8" t="e">
        <f>+AVERAGE(E19:E21)</f>
        <v>#DIV/0!</v>
      </c>
      <c r="F22" s="16" t="e">
        <f t="shared" si="1"/>
        <v>#DIV/0!</v>
      </c>
      <c r="G22" s="16"/>
      <c r="H22"/>
      <c r="I22"/>
      <c r="J22"/>
      <c r="K22"/>
      <c r="L22" s="237"/>
      <c r="M22"/>
      <c r="N22"/>
      <c r="O22"/>
    </row>
    <row r="23" spans="1:15" hidden="1" x14ac:dyDescent="0.25">
      <c r="A23" s="28" t="s">
        <v>9</v>
      </c>
      <c r="B23" s="10" t="e">
        <f>+AVERAGE(B10,B14,B18,B22)</f>
        <v>#DIV/0!</v>
      </c>
      <c r="C23" s="10" t="e">
        <f>+AVERAGE(C10,C14,C18,C22)</f>
        <v>#DIV/0!</v>
      </c>
      <c r="D23" s="17" t="e">
        <f t="shared" si="0"/>
        <v>#DIV/0!</v>
      </c>
      <c r="E23" s="10" t="e">
        <f>+AVERAGE(E10,E14,E18,E22,)</f>
        <v>#DIV/0!</v>
      </c>
      <c r="F23" s="17" t="e">
        <f t="shared" si="1"/>
        <v>#DIV/0!</v>
      </c>
      <c r="G23" s="17"/>
      <c r="H23"/>
      <c r="I23"/>
      <c r="J23"/>
      <c r="K23"/>
      <c r="L23" s="237"/>
      <c r="M23"/>
      <c r="N23"/>
      <c r="O23"/>
    </row>
    <row r="24" spans="1:15" ht="11.25" customHeight="1" x14ac:dyDescent="0.25">
      <c r="A24" s="251" t="s">
        <v>276</v>
      </c>
      <c r="B24" s="225"/>
      <c r="C24"/>
      <c r="D24" s="237"/>
      <c r="E24"/>
      <c r="F24" s="237"/>
      <c r="G24" s="237"/>
      <c r="H24"/>
      <c r="I24"/>
      <c r="J24"/>
      <c r="K24"/>
      <c r="L24" s="237"/>
      <c r="M24"/>
      <c r="N24"/>
      <c r="O24"/>
    </row>
    <row r="25" spans="1:15" x14ac:dyDescent="0.25">
      <c r="A25" s="251" t="s">
        <v>273</v>
      </c>
      <c r="B25" s="140"/>
      <c r="C25" s="140"/>
      <c r="D25" s="235"/>
      <c r="E25" s="140"/>
      <c r="F25" s="235"/>
      <c r="G25" s="235"/>
      <c r="H25"/>
      <c r="I25"/>
      <c r="J25"/>
      <c r="K25"/>
      <c r="L25" s="237"/>
      <c r="M25"/>
      <c r="N25"/>
      <c r="O25"/>
    </row>
    <row r="26" spans="1:15" x14ac:dyDescent="0.25">
      <c r="A26" s="236"/>
      <c r="B26" s="140"/>
      <c r="C26" s="140"/>
      <c r="D26" s="235"/>
      <c r="E26" s="140"/>
      <c r="F26" s="235"/>
      <c r="G26" s="235"/>
      <c r="H26"/>
      <c r="I26"/>
      <c r="J26"/>
      <c r="K26"/>
      <c r="L26"/>
      <c r="M26"/>
      <c r="N26"/>
      <c r="O26"/>
    </row>
    <row r="27" spans="1: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 t="s">
        <v>231</v>
      </c>
      <c r="O42"/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57" spans="2:3" x14ac:dyDescent="0.25">
      <c r="B57"/>
      <c r="C57" s="241"/>
    </row>
    <row r="58" spans="2:3" x14ac:dyDescent="0.25">
      <c r="B58"/>
      <c r="C58" s="18"/>
    </row>
    <row r="73" spans="5:9" x14ac:dyDescent="0.25">
      <c r="E73"/>
      <c r="F73"/>
      <c r="G73"/>
      <c r="H73"/>
      <c r="I73"/>
    </row>
    <row r="74" spans="5:9" x14ac:dyDescent="0.25">
      <c r="E74"/>
      <c r="F74"/>
      <c r="G74"/>
      <c r="H74"/>
      <c r="I74"/>
    </row>
    <row r="75" spans="5:9" x14ac:dyDescent="0.25">
      <c r="E75"/>
      <c r="F75"/>
      <c r="G75"/>
      <c r="H75"/>
      <c r="I75"/>
    </row>
    <row r="76" spans="5:9" x14ac:dyDescent="0.25">
      <c r="E76"/>
      <c r="F76"/>
      <c r="G76"/>
      <c r="H76"/>
      <c r="I76"/>
    </row>
    <row r="77" spans="5:9" x14ac:dyDescent="0.25">
      <c r="E77"/>
      <c r="F77"/>
      <c r="G77"/>
      <c r="H77"/>
      <c r="I77"/>
    </row>
    <row r="78" spans="5:9" x14ac:dyDescent="0.25">
      <c r="E78"/>
      <c r="F78"/>
      <c r="G78"/>
      <c r="H78"/>
      <c r="I78"/>
    </row>
    <row r="79" spans="5:9" x14ac:dyDescent="0.25">
      <c r="E79"/>
      <c r="F79"/>
      <c r="G79"/>
      <c r="H79"/>
      <c r="I79"/>
    </row>
    <row r="80" spans="5:9" x14ac:dyDescent="0.25">
      <c r="E80"/>
      <c r="F80"/>
      <c r="G80"/>
      <c r="H80"/>
      <c r="I80"/>
    </row>
    <row r="81" spans="5:9" x14ac:dyDescent="0.25">
      <c r="E81"/>
      <c r="F81"/>
      <c r="G81"/>
      <c r="H81"/>
      <c r="I81"/>
    </row>
    <row r="82" spans="5:9" x14ac:dyDescent="0.25">
      <c r="E82"/>
      <c r="F82"/>
      <c r="G82"/>
      <c r="H82"/>
      <c r="I82"/>
    </row>
  </sheetData>
  <mergeCells count="5">
    <mergeCell ref="A2:F2"/>
    <mergeCell ref="A3:F3"/>
    <mergeCell ref="A5:F5"/>
    <mergeCell ref="A1:F1"/>
    <mergeCell ref="A4:F4"/>
  </mergeCells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O45"/>
  <sheetViews>
    <sheetView showGridLines="0" zoomScale="115" zoomScaleNormal="115" workbookViewId="0">
      <selection activeCell="A27" sqref="A27"/>
    </sheetView>
  </sheetViews>
  <sheetFormatPr baseColWidth="10" defaultColWidth="11.42578125" defaultRowHeight="15" x14ac:dyDescent="0.25"/>
  <cols>
    <col min="1" max="1" width="12.42578125" style="1" customWidth="1"/>
    <col min="2" max="2" width="14.42578125" style="1" customWidth="1"/>
    <col min="3" max="11" width="11.42578125" style="1"/>
    <col min="12" max="12" width="0" style="1" hidden="1" customWidth="1"/>
    <col min="13" max="13" width="12.7109375" style="1" hidden="1" customWidth="1"/>
    <col min="14" max="15" width="0" style="1" hidden="1" customWidth="1"/>
    <col min="16" max="16384" width="11.42578125" style="1"/>
  </cols>
  <sheetData>
    <row r="1" spans="1:15" x14ac:dyDescent="0.25">
      <c r="A1" s="288" t="s">
        <v>0</v>
      </c>
      <c r="B1" s="288"/>
      <c r="C1" s="288"/>
      <c r="D1" s="288"/>
      <c r="E1" s="288"/>
      <c r="F1" s="288"/>
    </row>
    <row r="2" spans="1:15" x14ac:dyDescent="0.25">
      <c r="A2" s="288" t="s">
        <v>114</v>
      </c>
      <c r="B2" s="288"/>
      <c r="C2" s="288"/>
      <c r="D2" s="288"/>
      <c r="E2" s="288"/>
      <c r="F2" s="288"/>
    </row>
    <row r="3" spans="1:15" x14ac:dyDescent="0.25">
      <c r="A3" s="288" t="s">
        <v>7</v>
      </c>
      <c r="B3" s="288"/>
      <c r="C3" s="288"/>
      <c r="D3" s="288"/>
      <c r="E3" s="288"/>
      <c r="F3" s="288"/>
    </row>
    <row r="4" spans="1:15" x14ac:dyDescent="0.25">
      <c r="A4" s="288" t="s">
        <v>256</v>
      </c>
      <c r="B4" s="288"/>
      <c r="C4" s="288"/>
      <c r="D4" s="288"/>
      <c r="E4" s="288"/>
      <c r="F4" s="288"/>
    </row>
    <row r="5" spans="1:15" x14ac:dyDescent="0.25">
      <c r="A5" s="288" t="s">
        <v>257</v>
      </c>
      <c r="B5" s="288"/>
      <c r="C5" s="288"/>
      <c r="D5" s="288"/>
      <c r="E5" s="288"/>
      <c r="F5" s="288"/>
    </row>
    <row r="6" spans="1:15" ht="30.75" customHeight="1" x14ac:dyDescent="0.25">
      <c r="A6" s="289" t="s">
        <v>152</v>
      </c>
      <c r="B6" s="289"/>
      <c r="C6" s="289"/>
      <c r="D6" s="289"/>
      <c r="E6" s="289"/>
      <c r="F6" s="289"/>
      <c r="G6"/>
      <c r="H6"/>
      <c r="I6"/>
      <c r="J6"/>
      <c r="K6"/>
    </row>
    <row r="7" spans="1:15" ht="15" customHeight="1" x14ac:dyDescent="0.25">
      <c r="A7" s="143"/>
      <c r="B7" s="144" t="s">
        <v>48</v>
      </c>
      <c r="C7" s="144" t="s">
        <v>8</v>
      </c>
      <c r="D7" s="144" t="s">
        <v>9</v>
      </c>
      <c r="E7" s="144" t="s">
        <v>91</v>
      </c>
      <c r="F7" s="144" t="s">
        <v>90</v>
      </c>
      <c r="G7"/>
      <c r="H7"/>
      <c r="I7"/>
      <c r="J7"/>
      <c r="K7"/>
      <c r="L7" s="1" t="s">
        <v>205</v>
      </c>
    </row>
    <row r="8" spans="1:15" x14ac:dyDescent="0.25">
      <c r="A8" s="238" t="s">
        <v>259</v>
      </c>
      <c r="B8" s="217">
        <v>24095</v>
      </c>
      <c r="C8" s="217">
        <v>5652</v>
      </c>
      <c r="D8" s="19">
        <f>+B8+C8</f>
        <v>29747</v>
      </c>
      <c r="E8" s="20">
        <f>B8/D8</f>
        <v>0.80999764682152819</v>
      </c>
      <c r="F8" s="20">
        <f>+C8/D8</f>
        <v>0.19000235317847178</v>
      </c>
      <c r="G8"/>
      <c r="H8"/>
      <c r="I8"/>
      <c r="J8"/>
      <c r="K8"/>
      <c r="L8" s="14">
        <v>29288</v>
      </c>
    </row>
    <row r="9" spans="1:15" x14ac:dyDescent="0.25">
      <c r="A9" s="238" t="s">
        <v>260</v>
      </c>
      <c r="B9" s="217">
        <v>23262</v>
      </c>
      <c r="C9" s="217">
        <v>5457</v>
      </c>
      <c r="D9" s="19">
        <f t="shared" ref="D9:D22" si="0">+B9+C9</f>
        <v>28719</v>
      </c>
      <c r="E9" s="20">
        <f>B9/D9</f>
        <v>0.80998642013997701</v>
      </c>
      <c r="F9" s="20">
        <f>+C9/D9</f>
        <v>0.19001357986002299</v>
      </c>
      <c r="G9"/>
      <c r="H9"/>
      <c r="I9"/>
      <c r="J9"/>
      <c r="K9"/>
      <c r="L9" s="14">
        <v>29900</v>
      </c>
      <c r="O9" s="14">
        <f>+D9-D8</f>
        <v>-1028</v>
      </c>
    </row>
    <row r="10" spans="1:15" x14ac:dyDescent="0.25">
      <c r="A10" s="238" t="s">
        <v>261</v>
      </c>
      <c r="B10" s="217">
        <v>23232</v>
      </c>
      <c r="C10" s="217">
        <v>5450</v>
      </c>
      <c r="D10" s="19">
        <f>+B10+C10</f>
        <v>28682</v>
      </c>
      <c r="E10" s="20">
        <f>B10/D10</f>
        <v>0.80998535666968829</v>
      </c>
      <c r="F10" s="20">
        <f>+C10/D10</f>
        <v>0.19001464333031171</v>
      </c>
      <c r="G10"/>
      <c r="H10"/>
      <c r="I10"/>
      <c r="J10"/>
      <c r="K10"/>
      <c r="L10" s="14">
        <v>30160</v>
      </c>
      <c r="O10" s="14">
        <f>+D10-D9</f>
        <v>-37</v>
      </c>
    </row>
    <row r="11" spans="1:15" ht="25.5" x14ac:dyDescent="0.25">
      <c r="A11" s="141" t="s">
        <v>263</v>
      </c>
      <c r="B11" s="80">
        <f>AVERAGE(B8:B10)</f>
        <v>23529.666666666668</v>
      </c>
      <c r="C11" s="80">
        <f>AVERAGE(C8:C10)</f>
        <v>5519.666666666667</v>
      </c>
      <c r="D11" s="80">
        <f>AVERAGE(D8:D10)</f>
        <v>29049.333333333332</v>
      </c>
      <c r="E11" s="16">
        <f>+AVERAGE(E8:E10)</f>
        <v>0.80998980787706454</v>
      </c>
      <c r="F11" s="16">
        <f>+AVERAGE(F8:F10)</f>
        <v>0.19001019212293549</v>
      </c>
      <c r="G11"/>
      <c r="H11"/>
      <c r="I11"/>
      <c r="J11"/>
      <c r="K11"/>
      <c r="L11" s="14">
        <v>29782.666666666668</v>
      </c>
      <c r="M11" s="75">
        <f>+(D11-L11)/D11*100</f>
        <v>-2.524441180520502</v>
      </c>
      <c r="O11" s="14">
        <f>+D11-L11</f>
        <v>-733.33333333333576</v>
      </c>
    </row>
    <row r="12" spans="1:15" hidden="1" x14ac:dyDescent="0.25">
      <c r="A12" s="53" t="s">
        <v>34</v>
      </c>
      <c r="B12" s="140"/>
      <c r="C12" s="140"/>
      <c r="D12" s="19">
        <f>+B12+C12</f>
        <v>0</v>
      </c>
      <c r="E12" s="20" t="e">
        <f>+B12/D12</f>
        <v>#DIV/0!</v>
      </c>
      <c r="F12" s="20" t="e">
        <f>+C12/D12</f>
        <v>#DIV/0!</v>
      </c>
      <c r="G12"/>
      <c r="H12"/>
      <c r="I12"/>
      <c r="J12"/>
      <c r="K12"/>
    </row>
    <row r="13" spans="1:15" hidden="1" x14ac:dyDescent="0.25">
      <c r="A13" s="53" t="s">
        <v>35</v>
      </c>
      <c r="B13" s="140"/>
      <c r="C13" s="140"/>
      <c r="D13" s="19">
        <f t="shared" si="0"/>
        <v>0</v>
      </c>
      <c r="E13" s="20" t="e">
        <f>+B13/D13</f>
        <v>#DIV/0!</v>
      </c>
      <c r="F13" s="20" t="e">
        <f>+C13/D13</f>
        <v>#DIV/0!</v>
      </c>
      <c r="G13"/>
      <c r="H13"/>
      <c r="I13"/>
      <c r="J13"/>
      <c r="K13"/>
    </row>
    <row r="14" spans="1:15" hidden="1" x14ac:dyDescent="0.25">
      <c r="A14" s="53" t="s">
        <v>36</v>
      </c>
      <c r="B14" s="140"/>
      <c r="C14" s="140"/>
      <c r="D14" s="19">
        <f t="shared" si="0"/>
        <v>0</v>
      </c>
      <c r="E14" s="20" t="e">
        <f>+B14/D14</f>
        <v>#DIV/0!</v>
      </c>
      <c r="F14" s="20" t="e">
        <f>+C14/D14</f>
        <v>#DIV/0!</v>
      </c>
      <c r="G14"/>
      <c r="H14"/>
      <c r="I14"/>
      <c r="J14"/>
      <c r="K14"/>
    </row>
    <row r="15" spans="1:15" ht="25.5" hidden="1" x14ac:dyDescent="0.25">
      <c r="A15" s="141" t="s">
        <v>124</v>
      </c>
      <c r="B15" s="8" t="e">
        <f>AVERAGE(B12:B14)</f>
        <v>#DIV/0!</v>
      </c>
      <c r="C15" s="8" t="e">
        <f>AVERAGE(C12:C14)</f>
        <v>#DIV/0!</v>
      </c>
      <c r="D15" s="8">
        <f>AVERAGE(D12:D14)</f>
        <v>0</v>
      </c>
      <c r="E15" s="16" t="e">
        <f>+AVERAGE(E12:E14)</f>
        <v>#DIV/0!</v>
      </c>
      <c r="F15" s="16" t="e">
        <f>+AVERAGE(F12:F14)</f>
        <v>#DIV/0!</v>
      </c>
      <c r="G15"/>
      <c r="H15"/>
      <c r="I15"/>
      <c r="J15"/>
      <c r="K15"/>
    </row>
    <row r="16" spans="1:15" hidden="1" x14ac:dyDescent="0.25">
      <c r="A16" s="53" t="s">
        <v>80</v>
      </c>
      <c r="B16" s="140"/>
      <c r="C16" s="140"/>
      <c r="D16" s="19">
        <f t="shared" si="0"/>
        <v>0</v>
      </c>
      <c r="E16" s="20" t="e">
        <f>+B16/D16</f>
        <v>#DIV/0!</v>
      </c>
      <c r="F16" s="20" t="e">
        <f>+C16/D16</f>
        <v>#DIV/0!</v>
      </c>
      <c r="G16"/>
      <c r="H16"/>
      <c r="I16"/>
      <c r="J16"/>
      <c r="K16"/>
    </row>
    <row r="17" spans="1:12" hidden="1" x14ac:dyDescent="0.25">
      <c r="A17" s="53" t="s">
        <v>81</v>
      </c>
      <c r="B17" s="140"/>
      <c r="C17" s="140"/>
      <c r="D17" s="19">
        <f t="shared" si="0"/>
        <v>0</v>
      </c>
      <c r="E17" s="20" t="e">
        <f>+B17/D17</f>
        <v>#DIV/0!</v>
      </c>
      <c r="F17" s="20" t="e">
        <f>+C17/D17</f>
        <v>#DIV/0!</v>
      </c>
      <c r="G17"/>
      <c r="H17"/>
      <c r="I17"/>
      <c r="J17"/>
      <c r="K17"/>
    </row>
    <row r="18" spans="1:12" hidden="1" x14ac:dyDescent="0.25">
      <c r="A18" s="53" t="s">
        <v>82</v>
      </c>
      <c r="B18" s="140"/>
      <c r="C18" s="140"/>
      <c r="D18" s="19">
        <f t="shared" si="0"/>
        <v>0</v>
      </c>
      <c r="E18" s="20" t="e">
        <f>+B18/D18</f>
        <v>#DIV/0!</v>
      </c>
      <c r="F18" s="20" t="e">
        <f>+C18/D18</f>
        <v>#DIV/0!</v>
      </c>
      <c r="G18"/>
      <c r="H18"/>
      <c r="I18"/>
      <c r="J18"/>
      <c r="K18"/>
    </row>
    <row r="19" spans="1:12" ht="25.5" hidden="1" x14ac:dyDescent="0.25">
      <c r="A19" s="141" t="s">
        <v>125</v>
      </c>
      <c r="B19" s="8" t="e">
        <f>AVERAGE(B16:B18)</f>
        <v>#DIV/0!</v>
      </c>
      <c r="C19" s="8" t="e">
        <f>AVERAGE(C16:C18)</f>
        <v>#DIV/0!</v>
      </c>
      <c r="D19" s="8">
        <f>AVERAGE(D16:D18)</f>
        <v>0</v>
      </c>
      <c r="E19" s="16" t="e">
        <f>+AVERAGE(E16:E18)</f>
        <v>#DIV/0!</v>
      </c>
      <c r="F19" s="16" t="e">
        <f>+AVERAGE(F16:F18)</f>
        <v>#DIV/0!</v>
      </c>
      <c r="G19"/>
      <c r="H19"/>
      <c r="I19"/>
      <c r="J19"/>
      <c r="K19"/>
    </row>
    <row r="20" spans="1:12" hidden="1" x14ac:dyDescent="0.25">
      <c r="A20" s="53" t="s">
        <v>83</v>
      </c>
      <c r="B20" s="140"/>
      <c r="C20" s="140"/>
      <c r="D20" s="19">
        <f t="shared" si="0"/>
        <v>0</v>
      </c>
      <c r="E20" s="20" t="e">
        <f>+B20/D20</f>
        <v>#DIV/0!</v>
      </c>
      <c r="F20" s="20" t="e">
        <f>+C20/D20</f>
        <v>#DIV/0!</v>
      </c>
      <c r="G20"/>
      <c r="H20"/>
      <c r="I20"/>
      <c r="J20"/>
      <c r="K20"/>
    </row>
    <row r="21" spans="1:12" hidden="1" x14ac:dyDescent="0.25">
      <c r="A21" s="53" t="s">
        <v>84</v>
      </c>
      <c r="B21" s="140"/>
      <c r="C21" s="140"/>
      <c r="D21" s="19">
        <f t="shared" si="0"/>
        <v>0</v>
      </c>
      <c r="E21" s="20" t="e">
        <f>+B21/D21</f>
        <v>#DIV/0!</v>
      </c>
      <c r="F21" s="20" t="e">
        <f>+C21/D21</f>
        <v>#DIV/0!</v>
      </c>
      <c r="G21"/>
      <c r="H21"/>
      <c r="I21"/>
      <c r="J21"/>
      <c r="K21"/>
    </row>
    <row r="22" spans="1:12" hidden="1" x14ac:dyDescent="0.25">
      <c r="A22" s="53" t="s">
        <v>85</v>
      </c>
      <c r="B22" s="140"/>
      <c r="C22" s="140"/>
      <c r="D22" s="19">
        <f t="shared" si="0"/>
        <v>0</v>
      </c>
      <c r="E22" s="20" t="e">
        <f>+B22/D22</f>
        <v>#DIV/0!</v>
      </c>
      <c r="F22" s="20" t="e">
        <f>+C22/D22</f>
        <v>#DIV/0!</v>
      </c>
      <c r="G22"/>
      <c r="H22"/>
      <c r="I22"/>
      <c r="J22"/>
      <c r="K22"/>
    </row>
    <row r="23" spans="1:12" ht="25.5" hidden="1" x14ac:dyDescent="0.25">
      <c r="A23" s="141" t="s">
        <v>126</v>
      </c>
      <c r="B23" s="8" t="e">
        <f t="shared" ref="B23:D24" si="1">AVERAGE(B20:B22)</f>
        <v>#DIV/0!</v>
      </c>
      <c r="C23" s="8" t="e">
        <f t="shared" si="1"/>
        <v>#DIV/0!</v>
      </c>
      <c r="D23" s="8">
        <f t="shared" si="1"/>
        <v>0</v>
      </c>
      <c r="E23" s="16" t="e">
        <f>+AVERAGE(E20:E22)</f>
        <v>#DIV/0!</v>
      </c>
      <c r="F23" s="16" t="e">
        <f>+AVERAGE(F20:F22)</f>
        <v>#DIV/0!</v>
      </c>
      <c r="G23"/>
      <c r="H23"/>
      <c r="I23"/>
      <c r="J23"/>
      <c r="K23"/>
    </row>
    <row r="24" spans="1:12" hidden="1" x14ac:dyDescent="0.25">
      <c r="A24" s="28" t="s">
        <v>9</v>
      </c>
      <c r="B24" s="10" t="e">
        <f t="shared" si="1"/>
        <v>#DIV/0!</v>
      </c>
      <c r="C24" s="10" t="e">
        <f t="shared" si="1"/>
        <v>#DIV/0!</v>
      </c>
      <c r="D24" s="17">
        <f t="shared" si="1"/>
        <v>0</v>
      </c>
      <c r="E24" s="10" t="e">
        <f>+AVERAGE(E21:E23)</f>
        <v>#DIV/0!</v>
      </c>
      <c r="F24" s="17" t="e">
        <f>+AVERAGE(F21:F23)</f>
        <v>#DIV/0!</v>
      </c>
      <c r="G24"/>
      <c r="H24"/>
      <c r="I24" s="74"/>
      <c r="J24" s="74"/>
      <c r="K24" s="74"/>
    </row>
    <row r="25" spans="1:12" x14ac:dyDescent="0.25">
      <c r="A25" s="251" t="s">
        <v>243</v>
      </c>
      <c r="B25"/>
      <c r="C25"/>
      <c r="D25"/>
      <c r="E25"/>
      <c r="F25"/>
      <c r="G25"/>
      <c r="H25"/>
      <c r="I25"/>
      <c r="J25"/>
      <c r="K25"/>
      <c r="L25" s="18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44" spans="1:11" x14ac:dyDescent="0.25">
      <c r="A44" s="53"/>
      <c r="B44" s="140"/>
      <c r="C44" s="140"/>
      <c r="D44" s="19"/>
      <c r="E44" s="20"/>
      <c r="F44" s="20"/>
    </row>
    <row r="45" spans="1:11" x14ac:dyDescent="0.25">
      <c r="A45" s="53"/>
      <c r="B45" s="140"/>
      <c r="C45" s="140"/>
      <c r="D45" s="19"/>
      <c r="E45" s="20"/>
      <c r="F45" s="20"/>
    </row>
  </sheetData>
  <mergeCells count="6">
    <mergeCell ref="A6:F6"/>
    <mergeCell ref="A1:F1"/>
    <mergeCell ref="A2:F2"/>
    <mergeCell ref="A3:F3"/>
    <mergeCell ref="A5:F5"/>
    <mergeCell ref="A4:F4"/>
  </mergeCells>
  <pageMargins left="0.7" right="0.7" top="0.75" bottom="0.75" header="0.3" footer="0.3"/>
  <pageSetup paperSize="9" scale="67" orientation="portrait" r:id="rId1"/>
  <ignoredErrors>
    <ignoredError sqref="F11 D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41"/>
  <sheetViews>
    <sheetView showGridLines="0" zoomScale="115" zoomScaleNormal="115" workbookViewId="0">
      <selection activeCell="D41" sqref="D41"/>
    </sheetView>
  </sheetViews>
  <sheetFormatPr baseColWidth="10" defaultColWidth="11.42578125" defaultRowHeight="15" x14ac:dyDescent="0.25"/>
  <cols>
    <col min="1" max="1" width="11.7109375" style="1" customWidth="1"/>
    <col min="2" max="2" width="16.5703125" style="1" customWidth="1"/>
    <col min="3" max="3" width="19.7109375" style="1" customWidth="1"/>
    <col min="4" max="4" width="20" style="1" customWidth="1"/>
    <col min="5" max="16384" width="11.42578125" style="1"/>
  </cols>
  <sheetData>
    <row r="1" spans="1:11" x14ac:dyDescent="0.25">
      <c r="A1" s="288" t="s">
        <v>0</v>
      </c>
      <c r="B1" s="288"/>
      <c r="C1" s="288"/>
      <c r="D1" s="288"/>
      <c r="E1" s="21"/>
      <c r="F1" s="21"/>
    </row>
    <row r="2" spans="1:11" x14ac:dyDescent="0.25">
      <c r="A2" s="288" t="s">
        <v>114</v>
      </c>
      <c r="B2" s="288"/>
      <c r="C2" s="288"/>
      <c r="D2" s="288"/>
      <c r="E2" s="22"/>
      <c r="F2" s="22"/>
    </row>
    <row r="3" spans="1:11" x14ac:dyDescent="0.25">
      <c r="A3" s="288" t="s">
        <v>12</v>
      </c>
      <c r="B3" s="288"/>
      <c r="C3" s="288"/>
      <c r="D3" s="288"/>
      <c r="E3" s="22"/>
      <c r="F3" s="22"/>
    </row>
    <row r="4" spans="1:11" x14ac:dyDescent="0.25">
      <c r="A4" s="288" t="s">
        <v>256</v>
      </c>
      <c r="B4" s="288"/>
      <c r="C4" s="288"/>
      <c r="D4" s="288"/>
      <c r="E4" s="21"/>
      <c r="F4" s="21"/>
    </row>
    <row r="5" spans="1:11" x14ac:dyDescent="0.25">
      <c r="A5" s="288" t="s">
        <v>257</v>
      </c>
      <c r="B5" s="288"/>
      <c r="C5" s="288"/>
      <c r="D5" s="288"/>
      <c r="E5" s="22"/>
      <c r="F5" s="22"/>
    </row>
    <row r="6" spans="1:11" x14ac:dyDescent="0.25">
      <c r="A6" s="289" t="s">
        <v>160</v>
      </c>
      <c r="B6" s="289"/>
      <c r="C6" s="289"/>
      <c r="D6" s="289"/>
      <c r="E6"/>
      <c r="F6"/>
      <c r="G6"/>
      <c r="H6"/>
      <c r="I6"/>
      <c r="J6"/>
      <c r="K6"/>
    </row>
    <row r="7" spans="1:11" x14ac:dyDescent="0.25">
      <c r="A7" s="143"/>
      <c r="B7" s="130" t="s">
        <v>129</v>
      </c>
      <c r="C7" s="144" t="s">
        <v>130</v>
      </c>
      <c r="D7" s="144" t="s">
        <v>131</v>
      </c>
      <c r="E7"/>
      <c r="F7"/>
      <c r="G7"/>
      <c r="H7"/>
      <c r="I7"/>
      <c r="J7"/>
      <c r="K7"/>
    </row>
    <row r="8" spans="1:11" x14ac:dyDescent="0.25">
      <c r="A8" s="70" t="s">
        <v>259</v>
      </c>
      <c r="B8" s="243">
        <v>95864876.870000005</v>
      </c>
      <c r="C8" s="243">
        <v>13072483.210000001</v>
      </c>
      <c r="D8" s="47">
        <f>+B8+C8</f>
        <v>108937360.08000001</v>
      </c>
      <c r="E8"/>
      <c r="F8" s="146"/>
      <c r="G8" s="146"/>
      <c r="H8"/>
      <c r="I8"/>
      <c r="J8"/>
      <c r="K8"/>
    </row>
    <row r="9" spans="1:11" x14ac:dyDescent="0.25">
      <c r="A9" s="70" t="s">
        <v>260</v>
      </c>
      <c r="B9" s="243">
        <v>89437997.010000005</v>
      </c>
      <c r="C9" s="243">
        <v>12196090.5</v>
      </c>
      <c r="D9" s="47">
        <f>+B9+C9</f>
        <v>101634087.51000001</v>
      </c>
      <c r="E9"/>
      <c r="F9"/>
      <c r="G9"/>
      <c r="H9"/>
      <c r="I9"/>
      <c r="J9"/>
      <c r="K9"/>
    </row>
    <row r="10" spans="1:11" x14ac:dyDescent="0.25">
      <c r="A10" s="70" t="s">
        <v>261</v>
      </c>
      <c r="B10" s="243">
        <v>90726862.260000005</v>
      </c>
      <c r="C10" s="243">
        <v>12371844.85</v>
      </c>
      <c r="D10" s="47">
        <f>+B10+C10</f>
        <v>103098707.11</v>
      </c>
      <c r="E10"/>
      <c r="F10"/>
      <c r="G10"/>
      <c r="H10"/>
      <c r="I10"/>
      <c r="J10"/>
      <c r="K10"/>
    </row>
    <row r="11" spans="1:11" x14ac:dyDescent="0.25">
      <c r="A11" s="27" t="s">
        <v>258</v>
      </c>
      <c r="B11" s="80">
        <f>SUM(B8:B10)</f>
        <v>276029736.13999999</v>
      </c>
      <c r="C11" s="80">
        <f>SUM(C8:C10)</f>
        <v>37640418.560000002</v>
      </c>
      <c r="D11" s="80">
        <f>SUM(D8:D10)</f>
        <v>313670154.70000005</v>
      </c>
      <c r="E11"/>
      <c r="F11"/>
      <c r="G11"/>
      <c r="H11"/>
      <c r="I11"/>
      <c r="J11"/>
      <c r="K11"/>
    </row>
    <row r="12" spans="1:11" hidden="1" x14ac:dyDescent="0.25">
      <c r="A12" s="261" t="s">
        <v>34</v>
      </c>
      <c r="B12" s="145"/>
      <c r="C12" s="145"/>
      <c r="D12" s="26">
        <f>+B12+C12</f>
        <v>0</v>
      </c>
      <c r="E12"/>
      <c r="F12" s="146"/>
      <c r="G12" s="146"/>
      <c r="H12"/>
      <c r="I12"/>
      <c r="J12"/>
      <c r="K12"/>
    </row>
    <row r="13" spans="1:11" hidden="1" x14ac:dyDescent="0.25">
      <c r="A13" s="261" t="s">
        <v>35</v>
      </c>
      <c r="B13" s="145"/>
      <c r="C13" s="145"/>
      <c r="D13" s="26">
        <f>+B13+C13</f>
        <v>0</v>
      </c>
      <c r="E13"/>
      <c r="F13"/>
      <c r="G13"/>
      <c r="H13"/>
      <c r="I13"/>
      <c r="J13"/>
      <c r="K13"/>
    </row>
    <row r="14" spans="1:11" hidden="1" x14ac:dyDescent="0.25">
      <c r="A14" s="261" t="s">
        <v>36</v>
      </c>
      <c r="B14" s="145"/>
      <c r="C14" s="145"/>
      <c r="D14" s="26">
        <f>+B14+C14</f>
        <v>0</v>
      </c>
      <c r="E14"/>
      <c r="F14"/>
      <c r="G14"/>
      <c r="H14"/>
      <c r="I14"/>
      <c r="J14"/>
      <c r="K14"/>
    </row>
    <row r="15" spans="1:11" hidden="1" x14ac:dyDescent="0.25">
      <c r="A15" s="27" t="s">
        <v>122</v>
      </c>
      <c r="B15" s="8">
        <f>SUM(B12:B14)</f>
        <v>0</v>
      </c>
      <c r="C15" s="8">
        <f>SUM(C12:C14)</f>
        <v>0</v>
      </c>
      <c r="D15" s="8">
        <f>SUM(D12:D14)</f>
        <v>0</v>
      </c>
      <c r="E15"/>
      <c r="F15"/>
      <c r="G15"/>
      <c r="H15"/>
      <c r="I15"/>
      <c r="J15"/>
      <c r="K15"/>
    </row>
    <row r="16" spans="1:11" hidden="1" x14ac:dyDescent="0.25">
      <c r="A16" s="261" t="s">
        <v>80</v>
      </c>
      <c r="B16" s="145"/>
      <c r="C16" s="145"/>
      <c r="D16" s="26">
        <f>+B16+C16</f>
        <v>0</v>
      </c>
      <c r="E16"/>
      <c r="F16" s="146"/>
      <c r="G16" s="146"/>
      <c r="H16"/>
      <c r="I16"/>
      <c r="J16"/>
      <c r="K16"/>
    </row>
    <row r="17" spans="1:11" hidden="1" x14ac:dyDescent="0.25">
      <c r="A17" s="261" t="s">
        <v>81</v>
      </c>
      <c r="B17" s="145"/>
      <c r="C17" s="145"/>
      <c r="D17" s="26">
        <f>+B17+C17</f>
        <v>0</v>
      </c>
      <c r="E17"/>
      <c r="F17"/>
      <c r="G17"/>
      <c r="H17"/>
      <c r="I17"/>
      <c r="J17"/>
      <c r="K17"/>
    </row>
    <row r="18" spans="1:11" hidden="1" x14ac:dyDescent="0.25">
      <c r="A18" s="261" t="s">
        <v>82</v>
      </c>
      <c r="B18" s="145"/>
      <c r="C18" s="145"/>
      <c r="D18" s="26">
        <f>+B18+C18</f>
        <v>0</v>
      </c>
      <c r="E18"/>
      <c r="F18"/>
      <c r="G18"/>
      <c r="H18"/>
      <c r="I18"/>
      <c r="J18"/>
      <c r="K18"/>
    </row>
    <row r="19" spans="1:11" hidden="1" x14ac:dyDescent="0.25">
      <c r="A19" s="27" t="s">
        <v>86</v>
      </c>
      <c r="B19" s="8">
        <f>SUM(B16:B18)</f>
        <v>0</v>
      </c>
      <c r="C19" s="8">
        <f>SUM(C16:C18)</f>
        <v>0</v>
      </c>
      <c r="D19" s="8">
        <f>SUM(D16:D18)</f>
        <v>0</v>
      </c>
      <c r="E19"/>
      <c r="F19"/>
      <c r="G19"/>
      <c r="H19"/>
      <c r="I19"/>
      <c r="J19"/>
      <c r="K19"/>
    </row>
    <row r="20" spans="1:11" hidden="1" x14ac:dyDescent="0.25">
      <c r="A20" s="261" t="s">
        <v>83</v>
      </c>
      <c r="B20" s="145"/>
      <c r="C20" s="145"/>
      <c r="D20" s="26">
        <f>+B20+C20</f>
        <v>0</v>
      </c>
      <c r="E20"/>
      <c r="F20" s="146"/>
      <c r="G20" s="146"/>
      <c r="H20"/>
      <c r="I20"/>
      <c r="J20"/>
      <c r="K20"/>
    </row>
    <row r="21" spans="1:11" hidden="1" x14ac:dyDescent="0.25">
      <c r="A21" s="261" t="s">
        <v>84</v>
      </c>
      <c r="B21" s="145"/>
      <c r="C21" s="145"/>
      <c r="D21" s="26">
        <f>+B21+C21</f>
        <v>0</v>
      </c>
      <c r="E21"/>
      <c r="F21"/>
      <c r="G21"/>
      <c r="H21"/>
      <c r="I21"/>
      <c r="J21"/>
      <c r="K21"/>
    </row>
    <row r="22" spans="1:11" hidden="1" x14ac:dyDescent="0.25">
      <c r="A22" s="261" t="s">
        <v>85</v>
      </c>
      <c r="B22" s="145"/>
      <c r="C22" s="145"/>
      <c r="D22" s="26">
        <f>+B22+C22</f>
        <v>0</v>
      </c>
      <c r="E22"/>
      <c r="F22"/>
      <c r="G22"/>
      <c r="H22"/>
      <c r="I22"/>
      <c r="J22"/>
      <c r="K22"/>
    </row>
    <row r="23" spans="1:11" hidden="1" x14ac:dyDescent="0.25">
      <c r="A23" s="27" t="s">
        <v>87</v>
      </c>
      <c r="B23" s="8">
        <f>SUM(B20:B22)</f>
        <v>0</v>
      </c>
      <c r="C23" s="8">
        <f>SUM(C20:C22)</f>
        <v>0</v>
      </c>
      <c r="D23" s="8">
        <f>SUM(D20:D22)</f>
        <v>0</v>
      </c>
      <c r="E23"/>
      <c r="F23"/>
      <c r="G23"/>
      <c r="H23"/>
      <c r="I23"/>
      <c r="J23"/>
      <c r="K23"/>
    </row>
    <row r="24" spans="1:11" hidden="1" x14ac:dyDescent="0.25">
      <c r="A24" s="28" t="s">
        <v>9</v>
      </c>
      <c r="B24" s="23">
        <f>+B11+B15+B19+B23</f>
        <v>276029736.13999999</v>
      </c>
      <c r="C24" s="23">
        <f>+C11+C15+C19+C23</f>
        <v>37640418.560000002</v>
      </c>
      <c r="D24" s="23">
        <f>+D11+D15+D19+D23</f>
        <v>313670154.70000005</v>
      </c>
      <c r="E24"/>
      <c r="F24"/>
      <c r="G24"/>
      <c r="H24"/>
      <c r="I24"/>
      <c r="J24"/>
      <c r="K24"/>
    </row>
    <row r="25" spans="1:11" x14ac:dyDescent="0.25">
      <c r="A25" s="262" t="s">
        <v>39</v>
      </c>
      <c r="B25" s="263">
        <f>B11/D11</f>
        <v>0.88000000001275203</v>
      </c>
      <c r="C25" s="263">
        <f>C11/D11</f>
        <v>0.11999999998724774</v>
      </c>
      <c r="D25" s="264"/>
      <c r="E25"/>
      <c r="F25"/>
      <c r="G25"/>
      <c r="H25"/>
      <c r="I25"/>
      <c r="J25"/>
      <c r="K25"/>
    </row>
    <row r="26" spans="1:11" x14ac:dyDescent="0.25">
      <c r="A26" s="251" t="s">
        <v>243</v>
      </c>
      <c r="B26" s="225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 s="148"/>
      <c r="H33" s="148"/>
      <c r="I33" s="148"/>
      <c r="J33" s="148"/>
      <c r="K33" s="139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 s="53"/>
      <c r="B40" s="145"/>
      <c r="C40" s="145"/>
      <c r="D40" s="26"/>
    </row>
    <row r="41" spans="1:11" x14ac:dyDescent="0.25">
      <c r="A41" s="53"/>
      <c r="B41" s="145"/>
      <c r="C41" s="145"/>
      <c r="D41" s="26"/>
    </row>
  </sheetData>
  <mergeCells count="6">
    <mergeCell ref="A6:D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64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J43"/>
  <sheetViews>
    <sheetView showGridLines="0" topLeftCell="A2" zoomScale="130" zoomScaleNormal="130" zoomScaleSheetLayoutView="115" workbookViewId="0">
      <selection activeCell="I40" sqref="I40"/>
    </sheetView>
  </sheetViews>
  <sheetFormatPr baseColWidth="10" defaultColWidth="11.42578125" defaultRowHeight="15" x14ac:dyDescent="0.25"/>
  <cols>
    <col min="1" max="1" width="21.42578125" style="1" customWidth="1"/>
    <col min="2" max="2" width="15.7109375" style="1" customWidth="1"/>
    <col min="3" max="3" width="21.140625" style="1" customWidth="1"/>
    <col min="4" max="4" width="16.7109375" style="1" customWidth="1"/>
    <col min="5" max="16384" width="11.42578125" style="1"/>
  </cols>
  <sheetData>
    <row r="1" spans="1:7" x14ac:dyDescent="0.25">
      <c r="A1" s="288" t="s">
        <v>0</v>
      </c>
      <c r="B1" s="288"/>
      <c r="C1" s="288"/>
      <c r="D1" s="288"/>
    </row>
    <row r="2" spans="1:7" x14ac:dyDescent="0.25">
      <c r="A2" s="288" t="s">
        <v>114</v>
      </c>
      <c r="B2" s="288"/>
      <c r="C2" s="288"/>
      <c r="D2" s="288"/>
    </row>
    <row r="3" spans="1:7" x14ac:dyDescent="0.25">
      <c r="A3" s="288" t="s">
        <v>10</v>
      </c>
      <c r="B3" s="288"/>
      <c r="C3" s="288"/>
      <c r="D3" s="288"/>
    </row>
    <row r="4" spans="1:7" x14ac:dyDescent="0.25">
      <c r="A4" s="288" t="s">
        <v>256</v>
      </c>
      <c r="B4" s="288"/>
      <c r="C4" s="288"/>
      <c r="D4" s="288"/>
    </row>
    <row r="5" spans="1:7" x14ac:dyDescent="0.25">
      <c r="A5" s="288" t="s">
        <v>257</v>
      </c>
      <c r="B5" s="288"/>
      <c r="C5" s="288"/>
      <c r="D5" s="288"/>
    </row>
    <row r="6" spans="1:7" x14ac:dyDescent="0.25">
      <c r="A6" s="289" t="s">
        <v>10</v>
      </c>
      <c r="B6" s="289"/>
      <c r="C6" s="289"/>
      <c r="D6" s="289"/>
      <c r="E6"/>
      <c r="F6"/>
      <c r="G6"/>
    </row>
    <row r="7" spans="1:7" x14ac:dyDescent="0.25">
      <c r="A7" s="143"/>
      <c r="B7" s="144" t="s">
        <v>11</v>
      </c>
      <c r="C7" s="144" t="s">
        <v>133</v>
      </c>
      <c r="D7" s="144" t="s">
        <v>134</v>
      </c>
      <c r="E7"/>
      <c r="F7"/>
      <c r="G7"/>
    </row>
    <row r="8" spans="1:7" x14ac:dyDescent="0.25">
      <c r="A8" s="238" t="s">
        <v>259</v>
      </c>
      <c r="B8" s="192">
        <v>31776</v>
      </c>
      <c r="C8" s="140">
        <f>+B8-B9</f>
        <v>1053</v>
      </c>
      <c r="D8" s="191">
        <f>C8/B9</f>
        <v>3.4273996680011715E-2</v>
      </c>
      <c r="E8"/>
      <c r="F8"/>
      <c r="G8"/>
    </row>
    <row r="9" spans="1:7" x14ac:dyDescent="0.25">
      <c r="A9" s="238" t="s">
        <v>260</v>
      </c>
      <c r="B9" s="192">
        <v>30723</v>
      </c>
      <c r="C9" s="140">
        <f>+B9-B10</f>
        <v>128</v>
      </c>
      <c r="D9" s="20">
        <f>C9/B10</f>
        <v>4.1836901454486031E-3</v>
      </c>
      <c r="E9"/>
      <c r="F9"/>
      <c r="G9"/>
    </row>
    <row r="10" spans="1:7" x14ac:dyDescent="0.25">
      <c r="A10" s="238" t="s">
        <v>261</v>
      </c>
      <c r="B10" s="192">
        <v>30595</v>
      </c>
      <c r="C10" s="140">
        <f>+B10-32829</f>
        <v>-2234</v>
      </c>
      <c r="D10" s="20">
        <f>C10/31800</f>
        <v>-7.0251572327044029E-2</v>
      </c>
      <c r="E10"/>
      <c r="F10"/>
      <c r="G10"/>
    </row>
    <row r="11" spans="1:7" x14ac:dyDescent="0.25">
      <c r="A11" s="27" t="s">
        <v>258</v>
      </c>
      <c r="B11" s="80">
        <f>SUM(B8:B10)</f>
        <v>93094</v>
      </c>
      <c r="C11" s="80">
        <f>+B11-95277</f>
        <v>-2183</v>
      </c>
      <c r="D11" s="273">
        <f>C11/95277</f>
        <v>-2.2912140390650419E-2</v>
      </c>
      <c r="E11"/>
      <c r="F11" s="74"/>
      <c r="G11" s="146"/>
    </row>
    <row r="12" spans="1:7" hidden="1" x14ac:dyDescent="0.25">
      <c r="A12" s="53" t="s">
        <v>34</v>
      </c>
      <c r="B12" s="134"/>
      <c r="C12" s="150">
        <f>+B12-B10</f>
        <v>-30595</v>
      </c>
      <c r="D12"/>
      <c r="E12"/>
      <c r="F12"/>
      <c r="G12"/>
    </row>
    <row r="13" spans="1:7" hidden="1" x14ac:dyDescent="0.25">
      <c r="A13" s="53" t="s">
        <v>35</v>
      </c>
      <c r="B13" s="134"/>
      <c r="C13" s="150">
        <f>+B13-B12</f>
        <v>0</v>
      </c>
      <c r="D13"/>
      <c r="E13"/>
      <c r="F13"/>
      <c r="G13"/>
    </row>
    <row r="14" spans="1:7" hidden="1" x14ac:dyDescent="0.25">
      <c r="A14" s="53" t="s">
        <v>36</v>
      </c>
      <c r="B14" s="134"/>
      <c r="C14" s="150">
        <f>+B14-B13</f>
        <v>0</v>
      </c>
      <c r="D14"/>
      <c r="E14"/>
      <c r="F14"/>
      <c r="G14"/>
    </row>
    <row r="15" spans="1:7" hidden="1" x14ac:dyDescent="0.25">
      <c r="A15" s="27" t="s">
        <v>122</v>
      </c>
      <c r="B15" s="8">
        <f>SUM(B12:B14)</f>
        <v>0</v>
      </c>
      <c r="C15" s="73">
        <f>+B15-B11</f>
        <v>-93094</v>
      </c>
      <c r="D15" s="16">
        <f>+(B15-B11)/B11</f>
        <v>-1</v>
      </c>
      <c r="E15"/>
      <c r="F15" s="74"/>
      <c r="G15"/>
    </row>
    <row r="16" spans="1:7" hidden="1" x14ac:dyDescent="0.25">
      <c r="A16" s="53" t="s">
        <v>80</v>
      </c>
      <c r="B16" s="134"/>
      <c r="C16" s="150">
        <f>+B16-B14</f>
        <v>0</v>
      </c>
      <c r="D16"/>
      <c r="E16"/>
      <c r="F16"/>
      <c r="G16"/>
    </row>
    <row r="17" spans="1:10" hidden="1" x14ac:dyDescent="0.25">
      <c r="A17" s="53" t="s">
        <v>81</v>
      </c>
      <c r="B17" s="134"/>
      <c r="C17" s="150">
        <f>+B17-B16</f>
        <v>0</v>
      </c>
      <c r="D17"/>
      <c r="E17"/>
      <c r="F17"/>
      <c r="G17"/>
    </row>
    <row r="18" spans="1:10" hidden="1" x14ac:dyDescent="0.25">
      <c r="A18" s="53" t="s">
        <v>82</v>
      </c>
      <c r="B18" s="134"/>
      <c r="C18" s="150">
        <f>+B18-B17</f>
        <v>0</v>
      </c>
      <c r="D18"/>
      <c r="E18"/>
      <c r="F18"/>
      <c r="G18"/>
    </row>
    <row r="19" spans="1:10" hidden="1" x14ac:dyDescent="0.25">
      <c r="A19" s="27" t="s">
        <v>86</v>
      </c>
      <c r="B19" s="8">
        <f>SUM(B16:B18)</f>
        <v>0</v>
      </c>
      <c r="C19" s="73">
        <f>+B19-B15</f>
        <v>0</v>
      </c>
      <c r="D19" s="73" t="e">
        <f>+(B19-B15)/B15</f>
        <v>#DIV/0!</v>
      </c>
      <c r="E19"/>
      <c r="F19" s="74"/>
      <c r="G19"/>
    </row>
    <row r="20" spans="1:10" hidden="1" x14ac:dyDescent="0.25">
      <c r="A20" s="53" t="s">
        <v>83</v>
      </c>
      <c r="B20" s="134"/>
      <c r="C20" s="150">
        <f>+B20-B18</f>
        <v>0</v>
      </c>
      <c r="D20"/>
      <c r="E20"/>
      <c r="F20"/>
      <c r="G20"/>
    </row>
    <row r="21" spans="1:10" hidden="1" x14ac:dyDescent="0.25">
      <c r="A21" s="53" t="s">
        <v>84</v>
      </c>
      <c r="B21" s="134"/>
      <c r="C21" s="150">
        <f>+B21-B20</f>
        <v>0</v>
      </c>
      <c r="D21"/>
      <c r="E21"/>
      <c r="F21"/>
      <c r="G21"/>
    </row>
    <row r="22" spans="1:10" hidden="1" x14ac:dyDescent="0.25">
      <c r="A22" s="53" t="s">
        <v>85</v>
      </c>
      <c r="B22" s="134"/>
      <c r="C22" s="150">
        <f>+B22-B21</f>
        <v>0</v>
      </c>
      <c r="D22"/>
      <c r="E22"/>
      <c r="F22"/>
      <c r="G22"/>
    </row>
    <row r="23" spans="1:10" hidden="1" x14ac:dyDescent="0.25">
      <c r="A23" s="27" t="s">
        <v>87</v>
      </c>
      <c r="B23" s="8">
        <f>SUM(B20:B22)</f>
        <v>0</v>
      </c>
      <c r="C23" s="73">
        <f>+B23-B19</f>
        <v>0</v>
      </c>
      <c r="D23" s="73" t="e">
        <f>+(B23-B19)/B19</f>
        <v>#DIV/0!</v>
      </c>
      <c r="E23"/>
      <c r="F23" s="74"/>
      <c r="G23"/>
    </row>
    <row r="24" spans="1:10" hidden="1" x14ac:dyDescent="0.25">
      <c r="A24" s="28" t="s">
        <v>9</v>
      </c>
      <c r="B24" s="29">
        <f>+B11+B15+B19+B23</f>
        <v>93094</v>
      </c>
      <c r="C24" s="29"/>
      <c r="D24" s="29"/>
      <c r="E24"/>
      <c r="F24"/>
      <c r="G24"/>
    </row>
    <row r="25" spans="1:10" ht="23.25" customHeight="1" x14ac:dyDescent="0.25">
      <c r="A25" s="291" t="s">
        <v>275</v>
      </c>
      <c r="B25" s="291"/>
      <c r="C25" s="291"/>
      <c r="D25" s="291"/>
      <c r="E25"/>
      <c r="F25"/>
      <c r="G25"/>
    </row>
    <row r="26" spans="1:10" ht="13.5" customHeight="1" x14ac:dyDescent="0.25">
      <c r="A26" s="290" t="s">
        <v>274</v>
      </c>
      <c r="B26" s="290"/>
      <c r="C26" s="290"/>
      <c r="D26" s="290"/>
      <c r="E26" s="139"/>
      <c r="F26" s="139"/>
      <c r="G26"/>
    </row>
    <row r="27" spans="1:10" ht="12.75" customHeight="1" x14ac:dyDescent="0.25">
      <c r="A27" s="228"/>
      <c r="B27"/>
      <c r="C27"/>
      <c r="D27"/>
      <c r="E27"/>
      <c r="F27"/>
      <c r="G27"/>
    </row>
    <row r="28" spans="1:10" x14ac:dyDescent="0.25">
      <c r="A28"/>
      <c r="B28"/>
      <c r="C28"/>
      <c r="D28"/>
      <c r="E28"/>
      <c r="F28"/>
      <c r="G28"/>
    </row>
    <row r="29" spans="1:10" x14ac:dyDescent="0.25">
      <c r="A29"/>
      <c r="B29"/>
      <c r="C29"/>
      <c r="D29"/>
      <c r="E29"/>
      <c r="F29"/>
      <c r="G29"/>
    </row>
    <row r="30" spans="1:10" x14ac:dyDescent="0.25">
      <c r="A30"/>
      <c r="B30"/>
      <c r="C30"/>
      <c r="D30"/>
      <c r="E30"/>
      <c r="F30"/>
      <c r="G30"/>
      <c r="J30" s="33"/>
    </row>
    <row r="31" spans="1:10" x14ac:dyDescent="0.25">
      <c r="A31"/>
      <c r="B31"/>
      <c r="C31"/>
      <c r="D31"/>
      <c r="E31"/>
      <c r="F31"/>
      <c r="G31"/>
    </row>
    <row r="32" spans="1:10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2" spans="1:7" x14ac:dyDescent="0.25">
      <c r="A42" s="53"/>
      <c r="B42" s="134"/>
      <c r="C42" s="140"/>
      <c r="D42" s="149"/>
    </row>
    <row r="43" spans="1:7" x14ac:dyDescent="0.25">
      <c r="A43" s="53"/>
      <c r="B43" s="134"/>
      <c r="C43" s="140"/>
      <c r="D43" s="20"/>
    </row>
  </sheetData>
  <mergeCells count="8">
    <mergeCell ref="A26:D26"/>
    <mergeCell ref="A25:D25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44"/>
  <sheetViews>
    <sheetView showGridLines="0" zoomScale="120" zoomScaleNormal="120" zoomScaleSheetLayoutView="130" workbookViewId="0">
      <selection activeCell="A26" sqref="A26"/>
    </sheetView>
  </sheetViews>
  <sheetFormatPr baseColWidth="10" defaultColWidth="11.42578125" defaultRowHeight="15" x14ac:dyDescent="0.25"/>
  <cols>
    <col min="1" max="1" width="15" style="1" customWidth="1"/>
    <col min="2" max="2" width="22" style="1" customWidth="1"/>
    <col min="3" max="3" width="20.42578125" style="1" customWidth="1"/>
    <col min="4" max="4" width="22.42578125" style="1" customWidth="1"/>
    <col min="5" max="16384" width="11.42578125" style="1"/>
  </cols>
  <sheetData>
    <row r="1" spans="1:7" x14ac:dyDescent="0.25">
      <c r="A1" s="292" t="s">
        <v>0</v>
      </c>
      <c r="B1" s="292"/>
      <c r="C1" s="292"/>
      <c r="D1" s="234"/>
      <c r="E1" s="22"/>
      <c r="F1" s="22"/>
      <c r="G1" s="22"/>
    </row>
    <row r="2" spans="1:7" x14ac:dyDescent="0.25">
      <c r="A2" s="288" t="s">
        <v>114</v>
      </c>
      <c r="B2" s="288"/>
      <c r="C2" s="288"/>
      <c r="D2" s="233"/>
      <c r="E2" s="22"/>
      <c r="F2" s="22"/>
      <c r="G2" s="22"/>
    </row>
    <row r="3" spans="1:7" x14ac:dyDescent="0.25">
      <c r="A3" s="288" t="s">
        <v>167</v>
      </c>
      <c r="B3" s="288"/>
      <c r="C3" s="288"/>
      <c r="D3" s="233"/>
      <c r="E3" s="22"/>
      <c r="F3" s="22"/>
      <c r="G3" s="22"/>
    </row>
    <row r="4" spans="1:7" x14ac:dyDescent="0.25">
      <c r="A4" s="292" t="s">
        <v>256</v>
      </c>
      <c r="B4" s="292"/>
      <c r="C4" s="292"/>
      <c r="D4" s="234"/>
      <c r="E4" s="21"/>
      <c r="F4" s="22"/>
      <c r="G4" s="22"/>
    </row>
    <row r="5" spans="1:7" x14ac:dyDescent="0.25">
      <c r="A5" s="288" t="s">
        <v>257</v>
      </c>
      <c r="B5" s="288"/>
      <c r="C5" s="288"/>
      <c r="D5" s="233"/>
      <c r="E5" s="22"/>
      <c r="F5" s="22"/>
      <c r="G5" s="22"/>
    </row>
    <row r="6" spans="1:7" ht="15" customHeight="1" x14ac:dyDescent="0.25">
      <c r="A6" s="289" t="s">
        <v>167</v>
      </c>
      <c r="B6" s="289"/>
      <c r="C6" s="289"/>
      <c r="D6" s="289"/>
      <c r="E6"/>
      <c r="F6"/>
    </row>
    <row r="7" spans="1:7" ht="25.5" customHeight="1" x14ac:dyDescent="0.25">
      <c r="A7" s="143" t="s">
        <v>1</v>
      </c>
      <c r="B7" s="130" t="s">
        <v>168</v>
      </c>
      <c r="C7" s="130" t="s">
        <v>169</v>
      </c>
      <c r="D7" s="130" t="s">
        <v>253</v>
      </c>
      <c r="E7"/>
      <c r="F7"/>
    </row>
    <row r="8" spans="1:7" x14ac:dyDescent="0.25">
      <c r="A8" s="238" t="s">
        <v>259</v>
      </c>
      <c r="B8" s="151">
        <v>162</v>
      </c>
      <c r="C8" s="151">
        <v>5</v>
      </c>
      <c r="D8" s="268">
        <v>124127103.37</v>
      </c>
      <c r="E8"/>
      <c r="F8"/>
    </row>
    <row r="9" spans="1:7" x14ac:dyDescent="0.25">
      <c r="A9" s="238" t="s">
        <v>260</v>
      </c>
      <c r="B9" s="151">
        <v>1</v>
      </c>
      <c r="C9" s="151">
        <v>1</v>
      </c>
      <c r="D9" s="268">
        <v>4407042.8099999996</v>
      </c>
      <c r="E9"/>
      <c r="F9"/>
      <c r="G9" s="53"/>
    </row>
    <row r="10" spans="1:7" x14ac:dyDescent="0.25">
      <c r="A10" s="238" t="s">
        <v>261</v>
      </c>
      <c r="B10" s="151">
        <v>210</v>
      </c>
      <c r="C10" s="151">
        <v>1</v>
      </c>
      <c r="D10" s="268">
        <v>174414722.21000001</v>
      </c>
      <c r="E10"/>
      <c r="F10"/>
      <c r="G10" s="53"/>
    </row>
    <row r="11" spans="1:7" x14ac:dyDescent="0.25">
      <c r="A11" s="27" t="s">
        <v>258</v>
      </c>
      <c r="B11" s="8">
        <f>SUM(B8:B10)</f>
        <v>373</v>
      </c>
      <c r="C11" s="80">
        <f>SUM(C8:C10)</f>
        <v>7</v>
      </c>
      <c r="D11" s="269">
        <f>SUM(D8:D10)</f>
        <v>302948868.38999999</v>
      </c>
      <c r="E11"/>
      <c r="F11"/>
      <c r="G11" s="53"/>
    </row>
    <row r="12" spans="1:7" hidden="1" x14ac:dyDescent="0.25">
      <c r="A12" s="53" t="s">
        <v>34</v>
      </c>
      <c r="B12" s="151"/>
      <c r="C12" s="151"/>
      <c r="D12" s="151"/>
      <c r="E12"/>
      <c r="F12"/>
    </row>
    <row r="13" spans="1:7" hidden="1" x14ac:dyDescent="0.25">
      <c r="A13" s="53" t="s">
        <v>35</v>
      </c>
      <c r="B13" s="151"/>
      <c r="C13" s="151"/>
      <c r="D13" s="151"/>
      <c r="E13"/>
      <c r="F13"/>
    </row>
    <row r="14" spans="1:7" hidden="1" x14ac:dyDescent="0.25">
      <c r="A14" s="53" t="s">
        <v>36</v>
      </c>
      <c r="B14" s="151"/>
      <c r="C14" s="151"/>
      <c r="D14" s="151"/>
      <c r="E14"/>
      <c r="F14"/>
    </row>
    <row r="15" spans="1:7" hidden="1" x14ac:dyDescent="0.25">
      <c r="A15" s="27" t="s">
        <v>127</v>
      </c>
      <c r="B15" s="8">
        <f>SUM(B12:B14)</f>
        <v>0</v>
      </c>
      <c r="C15" s="8">
        <f>SUM(C12:C14)</f>
        <v>0</v>
      </c>
      <c r="D15" s="8"/>
      <c r="E15"/>
      <c r="F15"/>
    </row>
    <row r="16" spans="1:7" hidden="1" x14ac:dyDescent="0.25">
      <c r="A16" s="53" t="s">
        <v>80</v>
      </c>
      <c r="B16" s="151"/>
      <c r="C16" s="151"/>
      <c r="D16" s="151"/>
      <c r="E16"/>
      <c r="F16"/>
    </row>
    <row r="17" spans="1:6" hidden="1" x14ac:dyDescent="0.25">
      <c r="A17" s="53" t="s">
        <v>81</v>
      </c>
      <c r="B17" s="151"/>
      <c r="C17" s="151"/>
      <c r="D17" s="151"/>
      <c r="E17"/>
      <c r="F17"/>
    </row>
    <row r="18" spans="1:6" hidden="1" x14ac:dyDescent="0.25">
      <c r="A18" s="53" t="s">
        <v>82</v>
      </c>
      <c r="B18" s="151"/>
      <c r="C18" s="151"/>
      <c r="D18" s="151"/>
      <c r="E18"/>
      <c r="F18"/>
    </row>
    <row r="19" spans="1:6" hidden="1" x14ac:dyDescent="0.25">
      <c r="A19" s="27" t="s">
        <v>128</v>
      </c>
      <c r="B19" s="8">
        <f>SUM(B16:B18)</f>
        <v>0</v>
      </c>
      <c r="C19" s="8">
        <f>SUM(C16:C18)</f>
        <v>0</v>
      </c>
      <c r="D19" s="8"/>
      <c r="E19"/>
      <c r="F19"/>
    </row>
    <row r="20" spans="1:6" hidden="1" x14ac:dyDescent="0.25">
      <c r="A20" s="53" t="s">
        <v>83</v>
      </c>
      <c r="B20" s="151"/>
      <c r="C20" s="151"/>
      <c r="D20" s="151"/>
      <c r="E20"/>
      <c r="F20"/>
    </row>
    <row r="21" spans="1:6" hidden="1" x14ac:dyDescent="0.25">
      <c r="A21" s="53" t="s">
        <v>84</v>
      </c>
      <c r="B21" s="151"/>
      <c r="C21" s="151"/>
      <c r="D21" s="151"/>
      <c r="E21"/>
      <c r="F21"/>
    </row>
    <row r="22" spans="1:6" hidden="1" x14ac:dyDescent="0.25">
      <c r="A22" s="53" t="s">
        <v>85</v>
      </c>
      <c r="B22" s="151"/>
      <c r="C22" s="151"/>
      <c r="D22" s="151"/>
      <c r="E22"/>
      <c r="F22"/>
    </row>
    <row r="23" spans="1:6" hidden="1" x14ac:dyDescent="0.25">
      <c r="A23" s="27" t="s">
        <v>118</v>
      </c>
      <c r="B23" s="8">
        <f>SUM(B20:B22)</f>
        <v>0</v>
      </c>
      <c r="C23" s="8">
        <f>SUM(C20:C22)</f>
        <v>0</v>
      </c>
      <c r="D23" s="8"/>
      <c r="E23"/>
      <c r="F23"/>
    </row>
    <row r="24" spans="1:6" hidden="1" x14ac:dyDescent="0.25">
      <c r="A24" s="28" t="s">
        <v>9</v>
      </c>
      <c r="B24" s="30"/>
      <c r="C24" s="30"/>
      <c r="D24" s="30"/>
      <c r="E24"/>
      <c r="F24"/>
    </row>
    <row r="25" spans="1:6" x14ac:dyDescent="0.25">
      <c r="A25" s="251"/>
      <c r="B25" s="251"/>
      <c r="C25" s="251"/>
      <c r="D25" s="251"/>
      <c r="E25"/>
      <c r="F25"/>
    </row>
    <row r="26" spans="1:6" ht="12" customHeight="1" x14ac:dyDescent="0.25">
      <c r="A26" s="251" t="s">
        <v>244</v>
      </c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 s="53"/>
      <c r="F33" s="130"/>
    </row>
    <row r="34" spans="1:6" x14ac:dyDescent="0.25">
      <c r="A34"/>
      <c r="B34"/>
      <c r="C34"/>
      <c r="D34"/>
      <c r="E34" s="53"/>
      <c r="F34" s="145"/>
    </row>
    <row r="35" spans="1:6" x14ac:dyDescent="0.25">
      <c r="A35"/>
      <c r="B35"/>
      <c r="C35"/>
      <c r="D35"/>
      <c r="E35" s="53"/>
      <c r="F35" s="145"/>
    </row>
    <row r="36" spans="1:6" x14ac:dyDescent="0.25">
      <c r="A36"/>
      <c r="B36"/>
      <c r="C36"/>
      <c r="D36"/>
      <c r="E36"/>
      <c r="F36" s="145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3" spans="1:6" x14ac:dyDescent="0.25">
      <c r="A43" s="53"/>
      <c r="B43" s="151"/>
      <c r="C43" s="151"/>
      <c r="D43" s="151"/>
    </row>
    <row r="44" spans="1:6" x14ac:dyDescent="0.25">
      <c r="A44" s="53"/>
      <c r="B44" s="151"/>
      <c r="C44" s="151"/>
      <c r="D44" s="151"/>
    </row>
  </sheetData>
  <mergeCells count="6">
    <mergeCell ref="A6:D6"/>
    <mergeCell ref="A1:C1"/>
    <mergeCell ref="A3:C3"/>
    <mergeCell ref="A5:C5"/>
    <mergeCell ref="A2:C2"/>
    <mergeCell ref="A4:C4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M57"/>
  <sheetViews>
    <sheetView showGridLines="0" topLeftCell="A2" zoomScale="90" zoomScaleNormal="90" workbookViewId="0">
      <selection activeCell="H33" sqref="H33"/>
    </sheetView>
  </sheetViews>
  <sheetFormatPr baseColWidth="10" defaultColWidth="11.42578125" defaultRowHeight="15" x14ac:dyDescent="0.25"/>
  <cols>
    <col min="1" max="1" width="12" style="1" customWidth="1"/>
    <col min="2" max="4" width="18.140625" style="1" customWidth="1"/>
    <col min="5" max="5" width="15.28515625" style="1" customWidth="1"/>
    <col min="6" max="6" width="11.42578125" style="1"/>
    <col min="7" max="7" width="15.140625" style="1" bestFit="1" customWidth="1"/>
    <col min="8" max="8" width="15.5703125" style="1" customWidth="1"/>
    <col min="9" max="9" width="18.140625" style="1" customWidth="1"/>
    <col min="10" max="12" width="11.42578125" style="1"/>
    <col min="13" max="13" width="16.85546875" style="1" bestFit="1" customWidth="1"/>
    <col min="14" max="16384" width="11.42578125" style="1"/>
  </cols>
  <sheetData>
    <row r="1" spans="1:13" x14ac:dyDescent="0.25">
      <c r="A1" s="287" t="s">
        <v>0</v>
      </c>
      <c r="B1" s="287"/>
      <c r="C1" s="287"/>
      <c r="D1" s="287"/>
      <c r="E1" s="287"/>
      <c r="F1" s="287"/>
      <c r="G1" s="287"/>
      <c r="H1" s="287"/>
    </row>
    <row r="2" spans="1:13" x14ac:dyDescent="0.25">
      <c r="A2" s="287" t="s">
        <v>113</v>
      </c>
      <c r="B2" s="287"/>
      <c r="C2" s="287"/>
      <c r="D2" s="287"/>
      <c r="E2" s="287"/>
      <c r="F2" s="287"/>
      <c r="G2" s="287"/>
      <c r="H2" s="287"/>
    </row>
    <row r="3" spans="1:13" x14ac:dyDescent="0.25">
      <c r="A3" s="287" t="s">
        <v>146</v>
      </c>
      <c r="B3" s="287"/>
      <c r="C3" s="287"/>
      <c r="D3" s="287"/>
      <c r="E3" s="287"/>
      <c r="F3" s="287"/>
      <c r="G3" s="287"/>
      <c r="H3" s="287"/>
    </row>
    <row r="4" spans="1:13" x14ac:dyDescent="0.25">
      <c r="A4" s="287" t="s">
        <v>241</v>
      </c>
      <c r="B4" s="287"/>
      <c r="C4" s="287"/>
      <c r="D4" s="287"/>
      <c r="E4" s="287"/>
      <c r="F4" s="287"/>
      <c r="G4" s="287"/>
      <c r="H4" s="287"/>
    </row>
    <row r="5" spans="1:13" x14ac:dyDescent="0.25">
      <c r="A5" s="287" t="s">
        <v>215</v>
      </c>
      <c r="B5" s="287"/>
      <c r="C5" s="287"/>
      <c r="D5" s="287"/>
      <c r="E5" s="287"/>
      <c r="F5" s="287"/>
      <c r="G5" s="287"/>
      <c r="H5" s="287"/>
    </row>
    <row r="6" spans="1:13" x14ac:dyDescent="0.25">
      <c r="A6" s="152"/>
      <c r="B6" s="294" t="s">
        <v>209</v>
      </c>
      <c r="C6" s="294"/>
      <c r="D6" s="294"/>
      <c r="E6" s="294" t="s">
        <v>211</v>
      </c>
      <c r="F6" s="294"/>
      <c r="G6" s="294"/>
      <c r="H6" s="294"/>
    </row>
    <row r="7" spans="1:13" ht="15" customHeight="1" x14ac:dyDescent="0.25">
      <c r="A7" s="293" t="s">
        <v>1</v>
      </c>
      <c r="B7" s="289" t="s">
        <v>210</v>
      </c>
      <c r="C7" s="289" t="s">
        <v>207</v>
      </c>
      <c r="D7" s="289" t="s">
        <v>208</v>
      </c>
      <c r="E7" s="289" t="s">
        <v>212</v>
      </c>
      <c r="F7" s="289"/>
      <c r="G7" s="289" t="s">
        <v>31</v>
      </c>
      <c r="H7" s="289"/>
      <c r="I7" s="14"/>
    </row>
    <row r="8" spans="1:13" x14ac:dyDescent="0.25">
      <c r="A8" s="293"/>
      <c r="B8" s="289"/>
      <c r="C8" s="289"/>
      <c r="D8" s="289"/>
      <c r="E8" s="289"/>
      <c r="F8" s="289"/>
      <c r="G8" s="289"/>
      <c r="H8" s="289"/>
      <c r="I8" s="14"/>
    </row>
    <row r="9" spans="1:13" x14ac:dyDescent="0.25">
      <c r="A9" s="153"/>
      <c r="B9" s="130" t="s">
        <v>18</v>
      </c>
      <c r="C9" s="130" t="s">
        <v>18</v>
      </c>
      <c r="D9" s="130" t="s">
        <v>18</v>
      </c>
      <c r="E9" s="130" t="s">
        <v>32</v>
      </c>
      <c r="F9" s="130" t="s">
        <v>33</v>
      </c>
      <c r="G9" s="130" t="s">
        <v>32</v>
      </c>
      <c r="H9" s="130" t="s">
        <v>33</v>
      </c>
    </row>
    <row r="10" spans="1:13" hidden="1" x14ac:dyDescent="0.25">
      <c r="A10" s="193" t="s">
        <v>119</v>
      </c>
      <c r="B10" s="192"/>
      <c r="C10" s="192"/>
      <c r="D10" s="190"/>
      <c r="E10" s="135"/>
      <c r="F10" s="271" t="e">
        <f>(E10/D10)</f>
        <v>#DIV/0!</v>
      </c>
      <c r="G10" s="72">
        <f>+D10-E10</f>
        <v>0</v>
      </c>
      <c r="H10" s="189" t="e">
        <f>(G10/D10)</f>
        <v>#DIV/0!</v>
      </c>
    </row>
    <row r="11" spans="1:13" x14ac:dyDescent="0.25">
      <c r="A11" s="88" t="s">
        <v>259</v>
      </c>
      <c r="B11" s="134">
        <v>2990518195.5700002</v>
      </c>
      <c r="C11" s="134">
        <v>3889644.92</v>
      </c>
      <c r="D11" s="134">
        <v>3043479848.3199997</v>
      </c>
      <c r="E11" s="216">
        <v>2993540874.0500002</v>
      </c>
      <c r="F11" s="2">
        <f t="shared" ref="F11" si="0">(E11/D11)</f>
        <v>0.98359148844124411</v>
      </c>
      <c r="G11" s="72">
        <f>+D11-E11</f>
        <v>49938974.269999504</v>
      </c>
      <c r="H11" s="266">
        <f t="shared" ref="H11" si="1">(G11/D11)</f>
        <v>1.6408511558755945E-2</v>
      </c>
      <c r="I11" s="14"/>
    </row>
    <row r="12" spans="1:13" x14ac:dyDescent="0.25">
      <c r="A12" s="88" t="s">
        <v>260</v>
      </c>
      <c r="B12" s="134">
        <v>2952232164</v>
      </c>
      <c r="C12" s="259">
        <v>374463.47000000003</v>
      </c>
      <c r="D12" s="134">
        <v>2991604052.5299993</v>
      </c>
      <c r="E12" s="135">
        <v>2942532044.6999998</v>
      </c>
      <c r="F12" s="2">
        <f t="shared" ref="F12" si="2">(E12/D12)</f>
        <v>0.98359675713485573</v>
      </c>
      <c r="G12" s="72">
        <f>+D12-E12</f>
        <v>49072007.829999447</v>
      </c>
      <c r="H12" s="266">
        <f t="shared" ref="H12" si="3">(G12/D12)</f>
        <v>1.6403242865144288E-2</v>
      </c>
      <c r="K12" s="14"/>
      <c r="M12" s="124"/>
    </row>
    <row r="13" spans="1:13" x14ac:dyDescent="0.25">
      <c r="A13" s="88" t="s">
        <v>261</v>
      </c>
      <c r="B13" s="134">
        <v>2987602838.7799997</v>
      </c>
      <c r="C13" s="259">
        <v>0</v>
      </c>
      <c r="D13" s="134">
        <v>2987602838.7799997</v>
      </c>
      <c r="E13" s="187">
        <v>2948605413.7200003</v>
      </c>
      <c r="F13" s="2">
        <f>(E13/D13)</f>
        <v>0.98694691792570255</v>
      </c>
      <c r="G13" s="126">
        <f>+D13-E13</f>
        <v>38997425.059999466</v>
      </c>
      <c r="H13" s="266">
        <f>(G13/D13)</f>
        <v>1.3053082074297475E-2</v>
      </c>
    </row>
    <row r="14" spans="1:13" x14ac:dyDescent="0.25">
      <c r="A14" s="27" t="s">
        <v>258</v>
      </c>
      <c r="B14" s="80">
        <f>SUM(B10:B13)</f>
        <v>8930353198.3499985</v>
      </c>
      <c r="C14" s="8">
        <f>SUM(C10:C13)</f>
        <v>4264108.3899999997</v>
      </c>
      <c r="D14" s="8">
        <f>SUM(D10:D13)</f>
        <v>9022686739.6299973</v>
      </c>
      <c r="E14" s="8">
        <f>SUM(E10:E13)</f>
        <v>8884678332.4700012</v>
      </c>
      <c r="F14" s="270">
        <f>+E14/D14</f>
        <v>0.98470428918319564</v>
      </c>
      <c r="G14" s="258">
        <f>(B14+C14)-E14</f>
        <v>49938974.269996643</v>
      </c>
      <c r="H14" s="5">
        <f>+G14/D14</f>
        <v>5.5348230201378509E-3</v>
      </c>
      <c r="I14" s="18"/>
    </row>
    <row r="15" spans="1:13" hidden="1" x14ac:dyDescent="0.25">
      <c r="A15" s="88" t="s">
        <v>34</v>
      </c>
      <c r="B15" s="134">
        <v>1913412632.9166667</v>
      </c>
      <c r="C15" s="134"/>
      <c r="D15" s="134"/>
      <c r="E15" s="135"/>
      <c r="F15" s="2">
        <f t="shared" ref="F15:F28" si="4">(E15/B15)</f>
        <v>0</v>
      </c>
      <c r="G15" s="72">
        <f>+B15-E15</f>
        <v>1913412632.9166667</v>
      </c>
      <c r="H15" s="4">
        <f t="shared" ref="H15:H27" si="5">(G15/B15)</f>
        <v>1</v>
      </c>
    </row>
    <row r="16" spans="1:13" hidden="1" x14ac:dyDescent="0.25">
      <c r="A16" s="88" t="s">
        <v>35</v>
      </c>
      <c r="B16" s="134">
        <v>1913412632.9166667</v>
      </c>
      <c r="C16" s="134"/>
      <c r="D16" s="134"/>
      <c r="E16" s="135"/>
      <c r="F16" s="2">
        <f t="shared" si="4"/>
        <v>0</v>
      </c>
      <c r="G16" s="72">
        <f>+B16-E16</f>
        <v>1913412632.9166667</v>
      </c>
      <c r="H16" s="4">
        <f t="shared" si="5"/>
        <v>1</v>
      </c>
    </row>
    <row r="17" spans="1:12" hidden="1" x14ac:dyDescent="0.25">
      <c r="A17" s="88" t="s">
        <v>36</v>
      </c>
      <c r="B17" s="134">
        <v>1913412632.9166667</v>
      </c>
      <c r="C17" s="134"/>
      <c r="D17" s="134"/>
      <c r="E17" s="135"/>
      <c r="F17" s="2">
        <f t="shared" si="4"/>
        <v>0</v>
      </c>
      <c r="G17" s="72">
        <f>+B17-E17</f>
        <v>1913412632.9166667</v>
      </c>
      <c r="H17" s="4">
        <f t="shared" si="5"/>
        <v>1</v>
      </c>
    </row>
    <row r="18" spans="1:12" hidden="1" x14ac:dyDescent="0.25">
      <c r="A18" s="27" t="s">
        <v>122</v>
      </c>
      <c r="B18" s="8">
        <f>SUM(B15:B17)</f>
        <v>5740237898.75</v>
      </c>
      <c r="C18" s="8"/>
      <c r="D18" s="8"/>
      <c r="E18" s="8">
        <f>SUM(E15:E17)</f>
        <v>0</v>
      </c>
      <c r="F18" s="3">
        <f t="shared" si="4"/>
        <v>0</v>
      </c>
      <c r="G18" s="13">
        <f>SUM(G10:G13)</f>
        <v>138008407.15999842</v>
      </c>
      <c r="H18" s="5">
        <f t="shared" si="5"/>
        <v>2.4042280057774482E-2</v>
      </c>
    </row>
    <row r="19" spans="1:12" hidden="1" x14ac:dyDescent="0.25">
      <c r="A19" s="88" t="s">
        <v>123</v>
      </c>
      <c r="B19" s="134">
        <v>1913412632.9166667</v>
      </c>
      <c r="C19" s="134"/>
      <c r="D19" s="134"/>
      <c r="E19" s="135"/>
      <c r="F19" s="2">
        <f t="shared" si="4"/>
        <v>0</v>
      </c>
      <c r="G19" s="72">
        <f>+B19-E19</f>
        <v>1913412632.9166667</v>
      </c>
      <c r="H19" s="4">
        <f t="shared" si="5"/>
        <v>1</v>
      </c>
    </row>
    <row r="20" spans="1:12" hidden="1" x14ac:dyDescent="0.25">
      <c r="A20" s="88" t="s">
        <v>81</v>
      </c>
      <c r="B20" s="134">
        <v>1913412632.9166667</v>
      </c>
      <c r="C20" s="134"/>
      <c r="D20" s="134"/>
      <c r="E20" s="135"/>
      <c r="F20" s="2">
        <f t="shared" si="4"/>
        <v>0</v>
      </c>
      <c r="G20" s="72">
        <f>+B20-E20</f>
        <v>1913412632.9166667</v>
      </c>
      <c r="H20" s="4">
        <f t="shared" si="5"/>
        <v>1</v>
      </c>
    </row>
    <row r="21" spans="1:12" hidden="1" x14ac:dyDescent="0.25">
      <c r="A21" s="88" t="s">
        <v>82</v>
      </c>
      <c r="B21" s="134">
        <v>1913412632.9166667</v>
      </c>
      <c r="C21" s="134"/>
      <c r="D21" s="134"/>
      <c r="E21" s="135"/>
      <c r="F21" s="2">
        <f t="shared" si="4"/>
        <v>0</v>
      </c>
      <c r="G21" s="72">
        <f>+B21-E21</f>
        <v>1913412632.9166667</v>
      </c>
      <c r="H21" s="4">
        <f t="shared" si="5"/>
        <v>1</v>
      </c>
    </row>
    <row r="22" spans="1:12" hidden="1" x14ac:dyDescent="0.25">
      <c r="A22" s="27" t="s">
        <v>86</v>
      </c>
      <c r="B22" s="8">
        <f>SUM(B19:B21)</f>
        <v>5740237898.75</v>
      </c>
      <c r="C22" s="8"/>
      <c r="D22" s="8"/>
      <c r="E22" s="8">
        <f>SUM(E19:E21)</f>
        <v>0</v>
      </c>
      <c r="F22" s="3">
        <f t="shared" si="4"/>
        <v>0</v>
      </c>
      <c r="G22" s="13">
        <f>SUM(G19:G21)</f>
        <v>5740237898.75</v>
      </c>
      <c r="H22" s="5">
        <f t="shared" si="5"/>
        <v>1</v>
      </c>
    </row>
    <row r="23" spans="1:12" hidden="1" x14ac:dyDescent="0.25">
      <c r="A23" s="88" t="s">
        <v>83</v>
      </c>
      <c r="B23" s="134">
        <v>1913412632.9166667</v>
      </c>
      <c r="C23" s="134"/>
      <c r="D23" s="134"/>
      <c r="E23" s="135"/>
      <c r="F23" s="2">
        <f t="shared" si="4"/>
        <v>0</v>
      </c>
      <c r="G23" s="72">
        <f>+B23-E23</f>
        <v>1913412632.9166667</v>
      </c>
      <c r="H23" s="4">
        <f t="shared" si="5"/>
        <v>1</v>
      </c>
    </row>
    <row r="24" spans="1:12" hidden="1" x14ac:dyDescent="0.25">
      <c r="A24" s="88" t="s">
        <v>84</v>
      </c>
      <c r="B24" s="134">
        <v>1913412632.9166667</v>
      </c>
      <c r="C24" s="134"/>
      <c r="D24" s="134"/>
      <c r="E24" s="135"/>
      <c r="F24" s="2">
        <f t="shared" si="4"/>
        <v>0</v>
      </c>
      <c r="G24" s="72">
        <f>+B24-E24</f>
        <v>1913412632.9166667</v>
      </c>
      <c r="H24" s="4">
        <f t="shared" si="5"/>
        <v>1</v>
      </c>
    </row>
    <row r="25" spans="1:12" hidden="1" x14ac:dyDescent="0.25">
      <c r="A25" s="88" t="s">
        <v>85</v>
      </c>
      <c r="B25" s="134">
        <v>1843710155</v>
      </c>
      <c r="C25" s="134"/>
      <c r="D25" s="134"/>
      <c r="E25" s="135"/>
      <c r="F25" s="2">
        <f t="shared" si="4"/>
        <v>0</v>
      </c>
      <c r="G25" s="72">
        <f>+B25-E25</f>
        <v>1843710155</v>
      </c>
      <c r="H25" s="4">
        <f t="shared" si="5"/>
        <v>1</v>
      </c>
    </row>
    <row r="26" spans="1:12" hidden="1" x14ac:dyDescent="0.25">
      <c r="A26" s="88" t="s">
        <v>119</v>
      </c>
      <c r="B26" s="134">
        <v>1913412632.9166667</v>
      </c>
      <c r="C26" s="134"/>
      <c r="D26" s="134"/>
      <c r="E26" s="135"/>
      <c r="F26" s="2">
        <f t="shared" si="4"/>
        <v>0</v>
      </c>
      <c r="G26" s="72">
        <f>+B26-E26</f>
        <v>1913412632.9166667</v>
      </c>
      <c r="H26" s="4">
        <f t="shared" si="5"/>
        <v>1</v>
      </c>
    </row>
    <row r="27" spans="1:12" hidden="1" x14ac:dyDescent="0.25">
      <c r="A27" s="27" t="s">
        <v>87</v>
      </c>
      <c r="B27" s="8">
        <f>SUM(B23:B26)</f>
        <v>7583948053.750001</v>
      </c>
      <c r="C27" s="8"/>
      <c r="D27" s="8"/>
      <c r="E27" s="8">
        <f>SUM(E23:E26)</f>
        <v>0</v>
      </c>
      <c r="F27" s="3">
        <f t="shared" si="4"/>
        <v>0</v>
      </c>
      <c r="G27" s="13">
        <f>SUM(G23:G26)</f>
        <v>7583948053.750001</v>
      </c>
      <c r="H27" s="5">
        <f t="shared" si="5"/>
        <v>1</v>
      </c>
    </row>
    <row r="28" spans="1:12" hidden="1" x14ac:dyDescent="0.25">
      <c r="A28" s="137" t="s">
        <v>9</v>
      </c>
      <c r="B28" s="10">
        <f>+B14+B18+B22+B27</f>
        <v>27994777049.599998</v>
      </c>
      <c r="C28" s="10"/>
      <c r="D28" s="10"/>
      <c r="E28" s="10">
        <f>+E14+E18+E22+E27</f>
        <v>8884678332.4700012</v>
      </c>
      <c r="F28" s="17">
        <f t="shared" si="4"/>
        <v>0.3173691405624875</v>
      </c>
      <c r="G28" s="11">
        <f>+G14+G18+G22+G27</f>
        <v>13512133333.929996</v>
      </c>
      <c r="H28" s="17">
        <v>1</v>
      </c>
    </row>
    <row r="29" spans="1:12" ht="15.75" customHeight="1" x14ac:dyDescent="0.25">
      <c r="A29" s="296" t="s">
        <v>277</v>
      </c>
      <c r="B29" s="296"/>
      <c r="C29" s="296"/>
      <c r="D29" s="296"/>
      <c r="E29" s="296"/>
      <c r="F29" s="296"/>
      <c r="G29" s="296"/>
      <c r="H29" s="296"/>
    </row>
    <row r="30" spans="1:12" ht="13.5" customHeight="1" x14ac:dyDescent="0.25">
      <c r="A30" s="297" t="s">
        <v>266</v>
      </c>
      <c r="B30" s="297"/>
      <c r="C30" s="297"/>
      <c r="D30" s="297"/>
      <c r="E30" s="297"/>
      <c r="F30" s="297"/>
      <c r="G30" s="297"/>
      <c r="H30" s="297"/>
      <c r="I30" s="14"/>
      <c r="J30" s="124"/>
    </row>
    <row r="31" spans="1:12" ht="13.5" customHeight="1" x14ac:dyDescent="0.25">
      <c r="A31" s="295" t="s">
        <v>267</v>
      </c>
      <c r="B31" s="295"/>
      <c r="C31" s="295"/>
      <c r="D31" s="295"/>
      <c r="E31" s="295"/>
      <c r="F31" s="295"/>
      <c r="G31" s="295"/>
      <c r="H31" s="295"/>
      <c r="I31" s="14"/>
      <c r="J31" s="124"/>
    </row>
    <row r="32" spans="1:12" ht="12.75" customHeight="1" x14ac:dyDescent="0.25">
      <c r="A32" s="295"/>
      <c r="B32" s="295"/>
      <c r="C32" s="295"/>
      <c r="D32" s="295"/>
      <c r="E32" s="295"/>
      <c r="F32" s="295"/>
      <c r="G32" s="295"/>
      <c r="H32" s="295"/>
      <c r="J32" s="33"/>
      <c r="L32" s="14"/>
    </row>
    <row r="33" spans="1:9" x14ac:dyDescent="0.25">
      <c r="A33" s="227"/>
      <c r="B33" s="225"/>
      <c r="C33"/>
      <c r="D33"/>
      <c r="E33"/>
      <c r="F33"/>
      <c r="G33"/>
      <c r="H33"/>
      <c r="I33" s="14"/>
    </row>
    <row r="34" spans="1:9" x14ac:dyDescent="0.25">
      <c r="A34"/>
      <c r="B34"/>
      <c r="C34"/>
      <c r="D34"/>
      <c r="E34"/>
      <c r="F34"/>
      <c r="G34"/>
      <c r="H34"/>
    </row>
    <row r="35" spans="1:9" x14ac:dyDescent="0.25">
      <c r="A35"/>
      <c r="B35"/>
      <c r="C35"/>
      <c r="D35"/>
      <c r="E35"/>
      <c r="F35"/>
      <c r="G35"/>
      <c r="H35"/>
    </row>
    <row r="36" spans="1:9" x14ac:dyDescent="0.25">
      <c r="A36"/>
      <c r="B36"/>
      <c r="C36"/>
      <c r="D36"/>
      <c r="E36"/>
      <c r="F36"/>
      <c r="G36"/>
      <c r="H36"/>
    </row>
    <row r="37" spans="1:9" x14ac:dyDescent="0.25">
      <c r="A37"/>
      <c r="B37"/>
      <c r="C37"/>
      <c r="D37"/>
      <c r="E37"/>
      <c r="F37"/>
      <c r="G37"/>
      <c r="H37"/>
    </row>
    <row r="38" spans="1:9" x14ac:dyDescent="0.25">
      <c r="A38"/>
      <c r="B38"/>
      <c r="C38"/>
      <c r="D38"/>
      <c r="E38"/>
      <c r="F38"/>
      <c r="G38"/>
      <c r="H38"/>
    </row>
    <row r="39" spans="1:9" x14ac:dyDescent="0.25">
      <c r="A39"/>
      <c r="B39"/>
      <c r="C39"/>
      <c r="D39"/>
      <c r="E39"/>
      <c r="F39"/>
      <c r="G39"/>
      <c r="H39"/>
    </row>
    <row r="40" spans="1:9" x14ac:dyDescent="0.25">
      <c r="A40"/>
      <c r="B40"/>
      <c r="C40"/>
      <c r="D40"/>
      <c r="E40"/>
      <c r="F40"/>
      <c r="G40"/>
      <c r="H40"/>
    </row>
    <row r="41" spans="1:9" x14ac:dyDescent="0.25">
      <c r="A41"/>
      <c r="B41"/>
      <c r="C41"/>
      <c r="D41"/>
      <c r="E41"/>
      <c r="F41"/>
      <c r="G41"/>
      <c r="H41"/>
    </row>
    <row r="42" spans="1:9" x14ac:dyDescent="0.25">
      <c r="A42"/>
      <c r="B42"/>
      <c r="C42"/>
      <c r="D42"/>
      <c r="E42"/>
      <c r="F42"/>
      <c r="G42"/>
      <c r="H42"/>
    </row>
    <row r="43" spans="1:9" x14ac:dyDescent="0.25">
      <c r="A43"/>
      <c r="B43"/>
      <c r="C43"/>
      <c r="D43"/>
      <c r="E43"/>
      <c r="F43"/>
      <c r="G43"/>
      <c r="H43"/>
    </row>
    <row r="44" spans="1:9" x14ac:dyDescent="0.25">
      <c r="A44"/>
      <c r="B44"/>
      <c r="C44"/>
      <c r="D44"/>
      <c r="E44"/>
      <c r="F44"/>
      <c r="G44"/>
      <c r="H44"/>
    </row>
    <row r="45" spans="1:9" x14ac:dyDescent="0.25">
      <c r="A45"/>
      <c r="B45"/>
      <c r="C45"/>
      <c r="D45"/>
      <c r="E45"/>
      <c r="F45"/>
      <c r="G45"/>
      <c r="H45"/>
    </row>
    <row r="46" spans="1:9" x14ac:dyDescent="0.25">
      <c r="A46"/>
      <c r="B46"/>
      <c r="C46"/>
      <c r="D46"/>
      <c r="E46"/>
      <c r="F46"/>
      <c r="G46"/>
      <c r="H46"/>
    </row>
    <row r="47" spans="1:9" x14ac:dyDescent="0.25">
      <c r="A47"/>
      <c r="B47"/>
      <c r="C47"/>
      <c r="D47"/>
      <c r="E47"/>
      <c r="F47"/>
      <c r="G47"/>
      <c r="H47"/>
    </row>
    <row r="48" spans="1:9" x14ac:dyDescent="0.25">
      <c r="A48"/>
      <c r="B48"/>
      <c r="C48"/>
      <c r="D48"/>
      <c r="E48"/>
      <c r="F48"/>
      <c r="G48"/>
      <c r="H48"/>
    </row>
    <row r="49" spans="1:9" x14ac:dyDescent="0.25">
      <c r="A49"/>
      <c r="B49"/>
      <c r="C49"/>
      <c r="D49"/>
      <c r="E49"/>
      <c r="F49"/>
      <c r="G49"/>
      <c r="H49"/>
    </row>
    <row r="50" spans="1:9" x14ac:dyDescent="0.25">
      <c r="A50"/>
      <c r="B50"/>
      <c r="C50"/>
      <c r="D50"/>
      <c r="E50"/>
      <c r="F50"/>
      <c r="G50"/>
      <c r="H50"/>
    </row>
    <row r="51" spans="1:9" x14ac:dyDescent="0.25">
      <c r="A51"/>
      <c r="B51"/>
      <c r="C51"/>
      <c r="D51"/>
      <c r="E51"/>
      <c r="F51"/>
      <c r="G51"/>
      <c r="H51"/>
    </row>
    <row r="52" spans="1:9" x14ac:dyDescent="0.25">
      <c r="A52"/>
      <c r="B52"/>
      <c r="C52"/>
      <c r="D52"/>
      <c r="E52"/>
      <c r="F52"/>
      <c r="G52"/>
      <c r="H52"/>
    </row>
    <row r="53" spans="1:9" x14ac:dyDescent="0.25">
      <c r="A53"/>
      <c r="B53"/>
      <c r="C53"/>
      <c r="D53"/>
      <c r="E53"/>
      <c r="F53"/>
      <c r="G53"/>
      <c r="H53"/>
    </row>
    <row r="54" spans="1:9" x14ac:dyDescent="0.25">
      <c r="A54"/>
      <c r="B54"/>
      <c r="C54"/>
      <c r="D54"/>
      <c r="E54"/>
      <c r="F54"/>
      <c r="G54"/>
      <c r="H54"/>
    </row>
    <row r="55" spans="1:9" x14ac:dyDescent="0.25">
      <c r="B55" s="88"/>
      <c r="C55" s="134"/>
      <c r="D55" s="154"/>
      <c r="E55" s="134"/>
      <c r="F55" s="135"/>
      <c r="G55" s="2"/>
      <c r="H55" s="72"/>
      <c r="I55" s="4"/>
    </row>
    <row r="57" spans="1:9" x14ac:dyDescent="0.25">
      <c r="B57" s="88"/>
      <c r="C57" s="154"/>
      <c r="D57" s="134"/>
      <c r="E57" s="134"/>
      <c r="F57" s="135"/>
      <c r="G57" s="2"/>
      <c r="H57" s="126"/>
      <c r="I57" s="4"/>
    </row>
  </sheetData>
  <mergeCells count="17">
    <mergeCell ref="A31:H31"/>
    <mergeCell ref="A32:H32"/>
    <mergeCell ref="A29:H29"/>
    <mergeCell ref="A30:H30"/>
    <mergeCell ref="A1:H1"/>
    <mergeCell ref="A2:H2"/>
    <mergeCell ref="A3:H3"/>
    <mergeCell ref="A5:H5"/>
    <mergeCell ref="E7:F8"/>
    <mergeCell ref="G7:H8"/>
    <mergeCell ref="B7:B8"/>
    <mergeCell ref="A7:A8"/>
    <mergeCell ref="A4:H4"/>
    <mergeCell ref="C7:C8"/>
    <mergeCell ref="D7:D8"/>
    <mergeCell ref="B6:D6"/>
    <mergeCell ref="E6:H6"/>
  </mergeCells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W67"/>
  <sheetViews>
    <sheetView showGridLines="0" tabSelected="1" zoomScaleNormal="100" zoomScaleSheetLayoutView="130" workbookViewId="0">
      <selection activeCell="M29" sqref="M29"/>
    </sheetView>
  </sheetViews>
  <sheetFormatPr baseColWidth="10" defaultColWidth="11.42578125" defaultRowHeight="15" x14ac:dyDescent="0.25"/>
  <cols>
    <col min="1" max="1" width="12.28515625" style="1" customWidth="1"/>
    <col min="2" max="2" width="11" style="1" customWidth="1"/>
    <col min="3" max="3" width="11.42578125" style="1" customWidth="1"/>
    <col min="4" max="4" width="15.140625" style="1" bestFit="1" customWidth="1"/>
    <col min="5" max="5" width="11" style="1" customWidth="1"/>
    <col min="6" max="6" width="10.28515625" style="1" customWidth="1"/>
    <col min="7" max="7" width="13" style="1" customWidth="1"/>
    <col min="8" max="8" width="11.28515625" style="1" customWidth="1"/>
    <col min="9" max="9" width="11.7109375" style="1" customWidth="1"/>
    <col min="10" max="10" width="14.140625" style="1" customWidth="1"/>
    <col min="11" max="11" width="10.7109375" style="1" customWidth="1"/>
    <col min="12" max="12" width="10.28515625" style="1" customWidth="1"/>
    <col min="13" max="13" width="15" style="1" bestFit="1" customWidth="1"/>
    <col min="14" max="14" width="11" style="1" customWidth="1"/>
    <col min="15" max="15" width="15.42578125" style="1" hidden="1" customWidth="1"/>
    <col min="16" max="16" width="16.42578125" style="1" hidden="1" customWidth="1"/>
    <col min="17" max="17" width="14.7109375" style="1" hidden="1" customWidth="1"/>
    <col min="18" max="18" width="17.7109375" style="1" hidden="1" customWidth="1"/>
    <col min="19" max="19" width="16.7109375" style="1" hidden="1" customWidth="1"/>
    <col min="20" max="20" width="12.28515625" style="1" hidden="1" customWidth="1"/>
    <col min="21" max="21" width="17.7109375" style="1" hidden="1" customWidth="1"/>
    <col min="22" max="22" width="0" style="1" hidden="1" customWidth="1"/>
    <col min="23" max="16384" width="11.42578125" style="1"/>
  </cols>
  <sheetData>
    <row r="1" spans="1:23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2"/>
    </row>
    <row r="2" spans="1:23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23" x14ac:dyDescent="0.25">
      <c r="A3" s="287" t="s">
        <v>147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23" x14ac:dyDescent="0.25">
      <c r="A4" s="287" t="s">
        <v>256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23" x14ac:dyDescent="0.25">
      <c r="A5" s="287" t="s">
        <v>257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23" x14ac:dyDescent="0.25">
      <c r="A6"/>
      <c r="B6" s="299" t="s">
        <v>213</v>
      </c>
      <c r="C6" s="299"/>
      <c r="D6" s="299"/>
      <c r="E6" s="302" t="s">
        <v>132</v>
      </c>
      <c r="F6" s="302"/>
      <c r="G6" s="302"/>
      <c r="H6" s="300" t="s">
        <v>14</v>
      </c>
      <c r="I6" s="300"/>
      <c r="J6" s="300"/>
      <c r="K6" s="301" t="s">
        <v>15</v>
      </c>
      <c r="L6" s="301"/>
      <c r="M6" s="301"/>
    </row>
    <row r="7" spans="1:23" ht="25.5" x14ac:dyDescent="0.25">
      <c r="A7" s="43" t="s">
        <v>1</v>
      </c>
      <c r="B7" s="45" t="s">
        <v>16</v>
      </c>
      <c r="C7" s="45" t="s">
        <v>17</v>
      </c>
      <c r="D7" s="45" t="s">
        <v>18</v>
      </c>
      <c r="E7" s="45" t="s">
        <v>16</v>
      </c>
      <c r="F7" s="45" t="s">
        <v>17</v>
      </c>
      <c r="G7" s="45" t="s">
        <v>18</v>
      </c>
      <c r="H7" s="45" t="s">
        <v>16</v>
      </c>
      <c r="I7" s="45" t="s">
        <v>17</v>
      </c>
      <c r="J7" s="45" t="s">
        <v>18</v>
      </c>
      <c r="K7" s="45" t="s">
        <v>16</v>
      </c>
      <c r="L7" s="45" t="s">
        <v>17</v>
      </c>
      <c r="M7" s="45" t="s">
        <v>18</v>
      </c>
      <c r="W7" s="35"/>
    </row>
    <row r="8" spans="1:23" s="197" customFormat="1" ht="15.75" hidden="1" customHeight="1" x14ac:dyDescent="0.25">
      <c r="A8" s="198" t="s">
        <v>119</v>
      </c>
      <c r="B8" s="199"/>
      <c r="C8" s="196"/>
      <c r="D8" s="196"/>
      <c r="E8" s="195"/>
      <c r="F8" s="195"/>
      <c r="G8" s="195"/>
      <c r="H8" s="194"/>
      <c r="I8" s="195"/>
      <c r="J8" s="195"/>
      <c r="K8" s="200">
        <f>+H8+E8+B8</f>
        <v>0</v>
      </c>
      <c r="L8" s="200">
        <f>+C8+F8+I8</f>
        <v>0</v>
      </c>
      <c r="M8" s="200">
        <f>+D8+G8+J8</f>
        <v>0</v>
      </c>
    </row>
    <row r="9" spans="1:23" x14ac:dyDescent="0.25">
      <c r="A9" s="44" t="s">
        <v>259</v>
      </c>
      <c r="B9" s="244">
        <v>131472</v>
      </c>
      <c r="C9" s="32">
        <v>143955</v>
      </c>
      <c r="D9" s="195">
        <v>2168518692.8400002</v>
      </c>
      <c r="E9" s="195">
        <v>28481</v>
      </c>
      <c r="F9" s="195">
        <v>28481</v>
      </c>
      <c r="G9" s="195">
        <v>170886000</v>
      </c>
      <c r="H9" s="195">
        <v>24038</v>
      </c>
      <c r="I9" s="195">
        <v>24120</v>
      </c>
      <c r="J9" s="195">
        <v>627907662.75</v>
      </c>
      <c r="K9" s="37">
        <f>+B9+H9+E9</f>
        <v>183991</v>
      </c>
      <c r="L9" s="38">
        <f t="shared" ref="L9" si="0">+C9+I9+F9</f>
        <v>196556</v>
      </c>
      <c r="M9" s="37">
        <f t="shared" ref="M9" si="1">+D9+J9+G9</f>
        <v>2967312355.5900002</v>
      </c>
      <c r="U9" s="115">
        <f>+U31/1000000</f>
        <v>2714.4292391900003</v>
      </c>
    </row>
    <row r="10" spans="1:23" x14ac:dyDescent="0.25">
      <c r="A10" s="44" t="s">
        <v>260</v>
      </c>
      <c r="B10" s="244">
        <v>130586</v>
      </c>
      <c r="C10" s="202">
        <v>143067</v>
      </c>
      <c r="D10" s="32">
        <v>2139856652.8</v>
      </c>
      <c r="E10" s="32">
        <v>26212</v>
      </c>
      <c r="F10" s="32">
        <v>26212</v>
      </c>
      <c r="G10" s="32">
        <v>157272000</v>
      </c>
      <c r="H10" s="32">
        <v>24014</v>
      </c>
      <c r="I10" s="32">
        <v>24094</v>
      </c>
      <c r="J10" s="32">
        <v>626541522.04999995</v>
      </c>
      <c r="K10" s="37">
        <f t="shared" ref="K10:M10" si="2">+B10+H10+E10</f>
        <v>180812</v>
      </c>
      <c r="L10" s="38">
        <f t="shared" si="2"/>
        <v>193373</v>
      </c>
      <c r="M10" s="37">
        <f t="shared" si="2"/>
        <v>2923670174.8499999</v>
      </c>
      <c r="Q10" s="35">
        <f>+L11-L10</f>
        <v>-2408</v>
      </c>
    </row>
    <row r="11" spans="1:23" x14ac:dyDescent="0.25">
      <c r="A11" s="44" t="s">
        <v>261</v>
      </c>
      <c r="B11" s="244">
        <v>129713</v>
      </c>
      <c r="C11" s="32">
        <v>142180</v>
      </c>
      <c r="D11" s="32">
        <v>2120108544.4200001</v>
      </c>
      <c r="E11" s="32">
        <v>24723</v>
      </c>
      <c r="F11" s="32">
        <v>24723</v>
      </c>
      <c r="G11" s="32">
        <v>148338000</v>
      </c>
      <c r="H11" s="32">
        <v>23983</v>
      </c>
      <c r="I11" s="32">
        <v>24062</v>
      </c>
      <c r="J11" s="32">
        <v>625129302.96000004</v>
      </c>
      <c r="K11" s="37">
        <f>+B11+H11+E11</f>
        <v>178419</v>
      </c>
      <c r="L11" s="38">
        <f t="shared" ref="L11" si="3">+C11+I11+F11</f>
        <v>190965</v>
      </c>
      <c r="M11" s="128">
        <f t="shared" ref="M11" si="4">+D11+J11+G11</f>
        <v>2893575847.3800001</v>
      </c>
      <c r="S11" s="33"/>
      <c r="V11" s="1">
        <f>+U31/1000000</f>
        <v>2714.4292391900003</v>
      </c>
    </row>
    <row r="12" spans="1:23" x14ac:dyDescent="0.25">
      <c r="A12" s="27" t="s">
        <v>258</v>
      </c>
      <c r="B12" s="39">
        <f>+B9</f>
        <v>131472</v>
      </c>
      <c r="C12" s="39">
        <f>+C9</f>
        <v>143955</v>
      </c>
      <c r="D12" s="39">
        <f>SUM(D8:D11)</f>
        <v>6428483890.0600004</v>
      </c>
      <c r="E12" s="39">
        <f>+E9</f>
        <v>28481</v>
      </c>
      <c r="F12" s="39">
        <f>+F9</f>
        <v>28481</v>
      </c>
      <c r="G12" s="39">
        <f>SUM(G8:G11)</f>
        <v>476496000</v>
      </c>
      <c r="H12" s="39">
        <f>+H9</f>
        <v>24038</v>
      </c>
      <c r="I12" s="39">
        <f>+I9</f>
        <v>24120</v>
      </c>
      <c r="J12" s="127">
        <f>SUM(J8:J11)</f>
        <v>1879578487.76</v>
      </c>
      <c r="K12" s="39">
        <f>+K9</f>
        <v>183991</v>
      </c>
      <c r="L12" s="39">
        <f>+L9</f>
        <v>196556</v>
      </c>
      <c r="M12" s="127">
        <f>SUM(M8:M11)</f>
        <v>8784558377.8199997</v>
      </c>
      <c r="S12" s="298" t="s">
        <v>205</v>
      </c>
      <c r="T12" s="298"/>
      <c r="U12" s="298"/>
    </row>
    <row r="13" spans="1:23" hidden="1" x14ac:dyDescent="0.25">
      <c r="A13" s="44" t="s">
        <v>34</v>
      </c>
      <c r="B13" s="155"/>
      <c r="C13" s="125"/>
      <c r="D13" s="125">
        <f>SUM(D8:D11)</f>
        <v>6428483890.0600004</v>
      </c>
      <c r="E13" s="125"/>
      <c r="F13" s="125"/>
      <c r="G13" s="125">
        <f>SUM(G8:G11)</f>
        <v>476496000</v>
      </c>
      <c r="H13" s="125"/>
      <c r="I13" s="125"/>
      <c r="J13" s="125">
        <f>SUM(J8:J11)</f>
        <v>1879578487.76</v>
      </c>
      <c r="K13" s="37">
        <f t="shared" ref="K13:M15" si="5">+B13+H13+E13</f>
        <v>0</v>
      </c>
      <c r="L13" s="38">
        <f t="shared" si="5"/>
        <v>0</v>
      </c>
      <c r="M13" s="37">
        <f t="shared" si="5"/>
        <v>8784558377.8199997</v>
      </c>
    </row>
    <row r="14" spans="1:23" hidden="1" x14ac:dyDescent="0.25">
      <c r="A14" s="44" t="s">
        <v>35</v>
      </c>
      <c r="B14" s="155"/>
      <c r="C14" s="156"/>
      <c r="D14" s="125"/>
      <c r="E14" s="125"/>
      <c r="F14" s="125"/>
      <c r="G14" s="125"/>
      <c r="H14" s="125"/>
      <c r="I14" s="125"/>
      <c r="J14" s="125"/>
      <c r="K14" s="37">
        <f t="shared" si="5"/>
        <v>0</v>
      </c>
      <c r="L14" s="38">
        <f t="shared" si="5"/>
        <v>0</v>
      </c>
      <c r="M14" s="37">
        <f t="shared" si="5"/>
        <v>0</v>
      </c>
    </row>
    <row r="15" spans="1:23" hidden="1" x14ac:dyDescent="0.25">
      <c r="A15" s="44" t="s">
        <v>36</v>
      </c>
      <c r="B15" s="155"/>
      <c r="C15" s="125"/>
      <c r="D15" s="125"/>
      <c r="E15" s="125"/>
      <c r="F15" s="125"/>
      <c r="G15" s="125"/>
      <c r="H15" s="125"/>
      <c r="I15" s="125"/>
      <c r="J15" s="125"/>
      <c r="K15" s="37">
        <f t="shared" si="5"/>
        <v>0</v>
      </c>
      <c r="L15" s="38">
        <f t="shared" si="5"/>
        <v>0</v>
      </c>
      <c r="M15" s="37">
        <f t="shared" si="5"/>
        <v>0</v>
      </c>
      <c r="Q15" s="35">
        <f>+M11-M10</f>
        <v>-30094327.46999979</v>
      </c>
      <c r="S15" s="33"/>
    </row>
    <row r="16" spans="1:23" hidden="1" x14ac:dyDescent="0.25">
      <c r="A16" s="27" t="s">
        <v>122</v>
      </c>
      <c r="B16" s="39">
        <f>+B15</f>
        <v>0</v>
      </c>
      <c r="C16" s="39">
        <f>+C15</f>
        <v>0</v>
      </c>
      <c r="D16" s="39">
        <f>+SUM(D13:D15)</f>
        <v>6428483890.0600004</v>
      </c>
      <c r="E16" s="39">
        <f>+E15</f>
        <v>0</v>
      </c>
      <c r="F16" s="39">
        <f>+F15</f>
        <v>0</v>
      </c>
      <c r="G16" s="39">
        <f>+SUM(G13:G15)</f>
        <v>476496000</v>
      </c>
      <c r="H16" s="39">
        <f>+H15</f>
        <v>0</v>
      </c>
      <c r="I16" s="39">
        <f>+I15</f>
        <v>0</v>
      </c>
      <c r="J16" s="39">
        <f>+SUM(J13:J15)</f>
        <v>1879578487.76</v>
      </c>
      <c r="K16" s="39">
        <f>+K15</f>
        <v>0</v>
      </c>
      <c r="L16" s="40">
        <f>+L15</f>
        <v>0</v>
      </c>
      <c r="M16" s="39">
        <f>+SUM(M13:M15)</f>
        <v>8784558377.8199997</v>
      </c>
    </row>
    <row r="17" spans="1:21" hidden="1" x14ac:dyDescent="0.25">
      <c r="A17" s="44" t="s">
        <v>80</v>
      </c>
      <c r="B17" s="155"/>
      <c r="C17" s="125"/>
      <c r="D17" s="125"/>
      <c r="E17" s="125"/>
      <c r="F17" s="125"/>
      <c r="G17" s="125"/>
      <c r="H17" s="125"/>
      <c r="I17" s="125"/>
      <c r="J17" s="125"/>
      <c r="K17" s="37">
        <f t="shared" ref="K17:M19" si="6">+B17+H17+E17</f>
        <v>0</v>
      </c>
      <c r="L17" s="38">
        <f t="shared" si="6"/>
        <v>0</v>
      </c>
      <c r="M17" s="37">
        <f t="shared" si="6"/>
        <v>0</v>
      </c>
    </row>
    <row r="18" spans="1:21" hidden="1" x14ac:dyDescent="0.25">
      <c r="A18" s="44" t="s">
        <v>81</v>
      </c>
      <c r="B18" s="155"/>
      <c r="C18" s="156"/>
      <c r="D18" s="125"/>
      <c r="E18" s="125"/>
      <c r="F18" s="125"/>
      <c r="G18" s="125"/>
      <c r="H18" s="125"/>
      <c r="I18" s="125"/>
      <c r="J18" s="125"/>
      <c r="K18" s="37">
        <f t="shared" si="6"/>
        <v>0</v>
      </c>
      <c r="L18" s="38">
        <f t="shared" si="6"/>
        <v>0</v>
      </c>
      <c r="M18" s="37">
        <f t="shared" si="6"/>
        <v>0</v>
      </c>
    </row>
    <row r="19" spans="1:21" hidden="1" x14ac:dyDescent="0.25">
      <c r="A19" s="44" t="s">
        <v>82</v>
      </c>
      <c r="B19" s="155"/>
      <c r="C19" s="125"/>
      <c r="D19" s="125"/>
      <c r="E19" s="125"/>
      <c r="F19" s="125"/>
      <c r="G19" s="125"/>
      <c r="H19" s="125"/>
      <c r="I19" s="125"/>
      <c r="J19" s="125"/>
      <c r="K19" s="37">
        <f t="shared" si="6"/>
        <v>0</v>
      </c>
      <c r="L19" s="38">
        <f t="shared" si="6"/>
        <v>0</v>
      </c>
      <c r="M19" s="37">
        <f t="shared" si="6"/>
        <v>0</v>
      </c>
      <c r="S19" s="33"/>
    </row>
    <row r="20" spans="1:21" hidden="1" x14ac:dyDescent="0.25">
      <c r="A20" s="27" t="s">
        <v>86</v>
      </c>
      <c r="B20" s="39">
        <f>+B19</f>
        <v>0</v>
      </c>
      <c r="C20" s="39">
        <f>+C19</f>
        <v>0</v>
      </c>
      <c r="D20" s="39">
        <f>+SUM(D17:D19)</f>
        <v>0</v>
      </c>
      <c r="E20" s="39">
        <f>+E19</f>
        <v>0</v>
      </c>
      <c r="F20" s="39">
        <f>+F19</f>
        <v>0</v>
      </c>
      <c r="G20" s="39">
        <f>+SUM(G17:G19)</f>
        <v>0</v>
      </c>
      <c r="H20" s="39">
        <f>+H19</f>
        <v>0</v>
      </c>
      <c r="I20" s="39">
        <f>+I19</f>
        <v>0</v>
      </c>
      <c r="J20" s="39">
        <f>+SUM(J17:J19)</f>
        <v>0</v>
      </c>
      <c r="K20" s="39">
        <f>+K19</f>
        <v>0</v>
      </c>
      <c r="L20" s="40">
        <f>+L19</f>
        <v>0</v>
      </c>
      <c r="M20" s="39">
        <f>+SUM(M17:M19)</f>
        <v>0</v>
      </c>
    </row>
    <row r="21" spans="1:21" hidden="1" x14ac:dyDescent="0.25">
      <c r="A21" s="44" t="s">
        <v>83</v>
      </c>
      <c r="B21" s="155"/>
      <c r="C21" s="125"/>
      <c r="D21" s="125"/>
      <c r="E21" s="125"/>
      <c r="F21" s="125"/>
      <c r="G21" s="125"/>
      <c r="H21" s="125"/>
      <c r="I21" s="125"/>
      <c r="J21" s="125"/>
      <c r="K21" s="37">
        <f t="shared" ref="K21:M24" si="7">+B21+H21+E21</f>
        <v>0</v>
      </c>
      <c r="L21" s="38">
        <f t="shared" si="7"/>
        <v>0</v>
      </c>
      <c r="M21" s="37">
        <f t="shared" si="7"/>
        <v>0</v>
      </c>
    </row>
    <row r="22" spans="1:21" hidden="1" x14ac:dyDescent="0.25">
      <c r="A22" s="44" t="s">
        <v>84</v>
      </c>
      <c r="B22" s="155"/>
      <c r="C22" s="156"/>
      <c r="D22" s="125"/>
      <c r="E22" s="125"/>
      <c r="F22" s="125"/>
      <c r="G22" s="125"/>
      <c r="H22" s="125"/>
      <c r="I22" s="125"/>
      <c r="J22" s="125"/>
      <c r="K22" s="37">
        <f t="shared" si="7"/>
        <v>0</v>
      </c>
      <c r="L22" s="38">
        <f t="shared" si="7"/>
        <v>0</v>
      </c>
      <c r="M22" s="37">
        <f t="shared" si="7"/>
        <v>0</v>
      </c>
    </row>
    <row r="23" spans="1:21" hidden="1" x14ac:dyDescent="0.25">
      <c r="A23" s="44" t="s">
        <v>85</v>
      </c>
      <c r="B23" s="155"/>
      <c r="C23" s="125"/>
      <c r="D23" s="125"/>
      <c r="E23" s="125"/>
      <c r="F23" s="125"/>
      <c r="G23" s="125"/>
      <c r="H23" s="125"/>
      <c r="I23" s="125"/>
      <c r="J23" s="125"/>
      <c r="K23" s="37">
        <f t="shared" si="7"/>
        <v>0</v>
      </c>
      <c r="L23" s="38">
        <f t="shared" si="7"/>
        <v>0</v>
      </c>
      <c r="M23" s="37">
        <f t="shared" si="7"/>
        <v>0</v>
      </c>
      <c r="S23" s="33"/>
    </row>
    <row r="24" spans="1:21" hidden="1" x14ac:dyDescent="0.25">
      <c r="A24" s="44" t="s">
        <v>119</v>
      </c>
      <c r="B24" s="155"/>
      <c r="C24" s="125"/>
      <c r="D24" s="125"/>
      <c r="E24" s="125"/>
      <c r="F24" s="125"/>
      <c r="G24" s="125"/>
      <c r="H24" s="125"/>
      <c r="I24" s="125"/>
      <c r="J24" s="125"/>
      <c r="K24" s="37">
        <f t="shared" si="7"/>
        <v>0</v>
      </c>
      <c r="L24" s="38">
        <f t="shared" si="7"/>
        <v>0</v>
      </c>
      <c r="M24" s="37">
        <f t="shared" si="7"/>
        <v>0</v>
      </c>
    </row>
    <row r="25" spans="1:21" hidden="1" x14ac:dyDescent="0.25">
      <c r="A25" s="27" t="s">
        <v>87</v>
      </c>
      <c r="B25" s="39">
        <f>+B24</f>
        <v>0</v>
      </c>
      <c r="C25" s="39">
        <f>+C24</f>
        <v>0</v>
      </c>
      <c r="D25" s="39">
        <f>+SUM(D21:D24)</f>
        <v>0</v>
      </c>
      <c r="E25" s="39">
        <f>+E24</f>
        <v>0</v>
      </c>
      <c r="F25" s="39">
        <f>+F24</f>
        <v>0</v>
      </c>
      <c r="G25" s="39">
        <f>+SUM(G21:G24)</f>
        <v>0</v>
      </c>
      <c r="H25" s="39">
        <f>+H24</f>
        <v>0</v>
      </c>
      <c r="I25" s="39">
        <f>+I24</f>
        <v>0</v>
      </c>
      <c r="J25" s="39">
        <f>+SUM(J21:J24)</f>
        <v>0</v>
      </c>
      <c r="K25" s="39">
        <f>+K24</f>
        <v>0</v>
      </c>
      <c r="L25" s="40">
        <f>+L24</f>
        <v>0</v>
      </c>
      <c r="M25" s="39">
        <f>+SUM(M21:M24)</f>
        <v>0</v>
      </c>
    </row>
    <row r="26" spans="1:21" hidden="1" x14ac:dyDescent="0.25">
      <c r="A26" s="28" t="s">
        <v>9</v>
      </c>
      <c r="B26" s="41">
        <f>+B25</f>
        <v>0</v>
      </c>
      <c r="C26" s="41">
        <f>+C25</f>
        <v>0</v>
      </c>
      <c r="D26" s="41">
        <f>+D12+D16+D20+D25</f>
        <v>12856967780.120001</v>
      </c>
      <c r="E26" s="41">
        <f>+E25</f>
        <v>0</v>
      </c>
      <c r="F26" s="41">
        <f>+F25</f>
        <v>0</v>
      </c>
      <c r="G26" s="41">
        <f>+G12+G16+G20+G25</f>
        <v>952992000</v>
      </c>
      <c r="H26" s="41">
        <f>+H25</f>
        <v>0</v>
      </c>
      <c r="I26" s="41">
        <f>+I25</f>
        <v>0</v>
      </c>
      <c r="J26" s="41">
        <f>+J12+J16+J20+J25</f>
        <v>3759156975.52</v>
      </c>
      <c r="K26" s="41">
        <f>+K25</f>
        <v>0</v>
      </c>
      <c r="L26" s="42">
        <f>+L25</f>
        <v>0</v>
      </c>
      <c r="M26" s="41">
        <f>+M12+M16+M20+M25</f>
        <v>17569116755.639999</v>
      </c>
    </row>
    <row r="27" spans="1:21" hidden="1" x14ac:dyDescent="0.25">
      <c r="A27" t="s">
        <v>87</v>
      </c>
      <c r="B27" s="151"/>
      <c r="C27" s="151"/>
      <c r="D27" s="157">
        <f>+D12/M12</f>
        <v>0.73179363305174039</v>
      </c>
      <c r="E27" s="54"/>
      <c r="F27" s="54"/>
      <c r="G27" s="157">
        <f>+G12/M12</f>
        <v>5.4242453576618901E-2</v>
      </c>
      <c r="H27" s="54"/>
      <c r="I27" s="54"/>
      <c r="J27" s="157">
        <f>+J12/M12</f>
        <v>0.21396391337164081</v>
      </c>
      <c r="K27" s="151"/>
      <c r="L27" s="151"/>
      <c r="M27" s="151"/>
      <c r="R27" s="35"/>
    </row>
    <row r="28" spans="1:21" x14ac:dyDescent="0.25">
      <c r="A28" s="139"/>
      <c r="B28"/>
      <c r="C28"/>
      <c r="D28" s="209">
        <f>+D12/M12</f>
        <v>0.73179363305174039</v>
      </c>
      <c r="E28"/>
      <c r="F28"/>
      <c r="G28" s="209">
        <f>+G12/$M$12</f>
        <v>5.4242453576618901E-2</v>
      </c>
      <c r="H28"/>
      <c r="I28"/>
      <c r="J28" s="209">
        <f>+J12/$M$12</f>
        <v>0.21396391337164081</v>
      </c>
      <c r="K28" s="104"/>
      <c r="L28"/>
      <c r="M28" s="176"/>
      <c r="Q28" s="1" t="s">
        <v>138</v>
      </c>
      <c r="S28" s="82"/>
    </row>
    <row r="29" spans="1:21" x14ac:dyDescent="0.25">
      <c r="A29" s="139" t="s">
        <v>245</v>
      </c>
      <c r="B29" s="225"/>
      <c r="C29"/>
      <c r="D29"/>
      <c r="E29"/>
      <c r="F29"/>
      <c r="G29"/>
      <c r="H29"/>
      <c r="I29"/>
      <c r="J29" s="146"/>
      <c r="K29"/>
      <c r="L29"/>
      <c r="M29"/>
      <c r="P29" s="1" t="s">
        <v>136</v>
      </c>
      <c r="Q29" s="34" t="s">
        <v>135</v>
      </c>
      <c r="R29" s="76" t="s">
        <v>18</v>
      </c>
      <c r="S29" s="34" t="s">
        <v>141</v>
      </c>
      <c r="T29" s="76" t="s">
        <v>135</v>
      </c>
      <c r="U29" s="1" t="s">
        <v>18</v>
      </c>
    </row>
    <row r="30" spans="1:2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Q30" s="74"/>
      <c r="R30" s="36"/>
      <c r="S30" s="75">
        <v>145883</v>
      </c>
      <c r="T30" s="14">
        <v>158341</v>
      </c>
      <c r="U30" s="14">
        <v>6070129138.6299992</v>
      </c>
    </row>
    <row r="31" spans="1:2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Q31" s="81"/>
      <c r="R31" s="81"/>
      <c r="S31" s="35">
        <f>+K12-S30</f>
        <v>38108</v>
      </c>
      <c r="T31" s="35">
        <f>+L12-T30</f>
        <v>38215</v>
      </c>
      <c r="U31" s="35">
        <f>+M12-U30</f>
        <v>2714429239.1900005</v>
      </c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R32" s="36"/>
    </row>
    <row r="33" spans="1:2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2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S34" s="86">
        <f>+(K12-S30)/S30</f>
        <v>0.26122303489782911</v>
      </c>
      <c r="T34" s="86">
        <f>+(L12-T30)/T30</f>
        <v>0.24134620849937793</v>
      </c>
      <c r="U34" s="86">
        <f>+(M12-U30)/U30</f>
        <v>0.44717816988694825</v>
      </c>
    </row>
    <row r="35" spans="1:2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21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2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S37" s="1" t="s">
        <v>206</v>
      </c>
    </row>
    <row r="38" spans="1:2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S38" s="124" t="s">
        <v>141</v>
      </c>
      <c r="T38" s="124" t="s">
        <v>135</v>
      </c>
      <c r="U38" s="124" t="s">
        <v>18</v>
      </c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S39" s="124">
        <v>139458</v>
      </c>
      <c r="T39" s="124">
        <v>151810</v>
      </c>
      <c r="U39" s="124">
        <v>5844095640.5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S40" s="124">
        <f>K12-S39</f>
        <v>44533</v>
      </c>
      <c r="T40" s="124">
        <f t="shared" ref="T40:U40" si="8">L12-T39</f>
        <v>44746</v>
      </c>
      <c r="U40" s="124">
        <f t="shared" si="8"/>
        <v>2940462737.3199997</v>
      </c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S41" s="124"/>
      <c r="T41" s="124"/>
      <c r="U41" s="124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S42" s="124"/>
      <c r="T42" s="124"/>
      <c r="U42" s="124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S43" s="86">
        <f>+(K12-S39)/S39</f>
        <v>0.31932911701013927</v>
      </c>
      <c r="T43" s="86">
        <f t="shared" ref="T43:U43" si="9">+(L12-T39)/T39</f>
        <v>0.29475001646795335</v>
      </c>
      <c r="U43" s="86">
        <f t="shared" si="9"/>
        <v>0.50315102938124134</v>
      </c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5" spans="2:14" x14ac:dyDescent="0.25">
      <c r="B65" s="44"/>
      <c r="C65" s="155"/>
      <c r="D65" s="125"/>
      <c r="E65" s="125"/>
      <c r="F65" s="125"/>
      <c r="G65" s="125"/>
      <c r="H65" s="125"/>
      <c r="I65" s="125"/>
      <c r="J65" s="125"/>
      <c r="K65" s="125"/>
      <c r="L65" s="37"/>
      <c r="M65" s="38"/>
      <c r="N65" s="37"/>
    </row>
    <row r="67" spans="2:14" x14ac:dyDescent="0.25">
      <c r="B67" s="44"/>
      <c r="C67" s="155"/>
      <c r="D67" s="125"/>
      <c r="E67" s="125"/>
      <c r="F67" s="125"/>
      <c r="G67" s="125"/>
      <c r="H67" s="125"/>
      <c r="I67" s="125"/>
      <c r="J67" s="125"/>
      <c r="K67" s="125"/>
      <c r="L67" s="37"/>
      <c r="M67" s="38"/>
      <c r="N67" s="128"/>
    </row>
  </sheetData>
  <mergeCells count="10">
    <mergeCell ref="S12:U12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3" orientation="portrait" r:id="rId1"/>
  <colBreaks count="1" manualBreakCount="1">
    <brk id="14" max="1048575" man="1"/>
  </colBreaks>
  <ignoredErrors>
    <ignoredError sqref="K12 L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R40"/>
  <sheetViews>
    <sheetView showGridLines="0" zoomScale="115" zoomScaleNormal="115" workbookViewId="0">
      <selection activeCell="Q28" sqref="Q28"/>
    </sheetView>
  </sheetViews>
  <sheetFormatPr baseColWidth="10" defaultColWidth="11.42578125" defaultRowHeight="15" x14ac:dyDescent="0.25"/>
  <cols>
    <col min="1" max="1" width="12.28515625" style="1" customWidth="1"/>
    <col min="2" max="2" width="10.7109375" style="1" customWidth="1"/>
    <col min="3" max="3" width="10.42578125" style="1" customWidth="1"/>
    <col min="4" max="4" width="10.5703125" style="1" customWidth="1"/>
    <col min="5" max="5" width="9.7109375" style="1" customWidth="1"/>
    <col min="6" max="6" width="9.28515625" style="1" customWidth="1"/>
    <col min="7" max="11" width="10.5703125" style="1" customWidth="1"/>
    <col min="12" max="12" width="17.7109375" style="1" customWidth="1"/>
    <col min="13" max="13" width="14.85546875" style="1" customWidth="1"/>
    <col min="14" max="14" width="10.85546875" style="1" customWidth="1"/>
    <col min="15" max="15" width="16.7109375" style="1" customWidth="1"/>
    <col min="16" max="16" width="13.5703125" style="1" customWidth="1"/>
    <col min="17" max="17" width="11.42578125" style="1" customWidth="1"/>
    <col min="18" max="18" width="17" style="1" customWidth="1"/>
    <col min="19" max="16384" width="11.42578125" style="1"/>
  </cols>
  <sheetData>
    <row r="1" spans="1:18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8" x14ac:dyDescent="0.25">
      <c r="A2" s="287" t="s">
        <v>113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x14ac:dyDescent="0.25">
      <c r="A3" s="287" t="s">
        <v>216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8" x14ac:dyDescent="0.25">
      <c r="A4" s="287" t="s">
        <v>256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18" x14ac:dyDescent="0.25">
      <c r="A5" s="287" t="s">
        <v>257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</row>
    <row r="6" spans="1:18" ht="30" customHeight="1" x14ac:dyDescent="0.25">
      <c r="A6" s="22"/>
      <c r="B6" s="303" t="s">
        <v>217</v>
      </c>
      <c r="C6" s="303"/>
      <c r="D6" s="303"/>
      <c r="E6" s="303"/>
      <c r="F6" s="303"/>
      <c r="G6" s="307" t="s">
        <v>232</v>
      </c>
      <c r="H6" s="307"/>
      <c r="I6" s="307"/>
      <c r="J6" s="307"/>
      <c r="K6" s="307"/>
      <c r="L6" s="304" t="s">
        <v>218</v>
      </c>
      <c r="M6" s="304"/>
      <c r="N6" s="306" t="s">
        <v>219</v>
      </c>
      <c r="O6" s="306"/>
      <c r="P6" s="305" t="s">
        <v>15</v>
      </c>
      <c r="Q6" s="305"/>
      <c r="R6" s="22"/>
    </row>
    <row r="7" spans="1:18" ht="24" customHeight="1" x14ac:dyDescent="0.25">
      <c r="A7" s="45" t="s">
        <v>1</v>
      </c>
      <c r="B7" s="45" t="s">
        <v>220</v>
      </c>
      <c r="C7" s="45" t="s">
        <v>221</v>
      </c>
      <c r="D7" s="45" t="s">
        <v>222</v>
      </c>
      <c r="E7" s="45" t="s">
        <v>223</v>
      </c>
      <c r="F7" s="45" t="s">
        <v>224</v>
      </c>
      <c r="G7" s="45" t="s">
        <v>220</v>
      </c>
      <c r="H7" s="45" t="s">
        <v>221</v>
      </c>
      <c r="I7" s="45" t="s">
        <v>222</v>
      </c>
      <c r="J7" s="45" t="s">
        <v>223</v>
      </c>
      <c r="K7" s="45" t="s">
        <v>224</v>
      </c>
      <c r="L7" s="45" t="s">
        <v>220</v>
      </c>
      <c r="M7" s="45" t="s">
        <v>221</v>
      </c>
      <c r="N7" s="45" t="s">
        <v>220</v>
      </c>
      <c r="O7" s="45" t="s">
        <v>252</v>
      </c>
      <c r="P7" s="45" t="s">
        <v>220</v>
      </c>
      <c r="Q7" s="45" t="s">
        <v>221</v>
      </c>
    </row>
    <row r="8" spans="1:18" hidden="1" x14ac:dyDescent="0.25">
      <c r="A8" s="44" t="s">
        <v>119</v>
      </c>
      <c r="B8" s="245"/>
      <c r="C8" s="245"/>
      <c r="D8" s="245" t="s">
        <v>196</v>
      </c>
      <c r="E8" s="245" t="s">
        <v>196</v>
      </c>
      <c r="F8" s="245"/>
      <c r="G8" s="245"/>
      <c r="H8" s="245"/>
      <c r="I8" s="245" t="s">
        <v>196</v>
      </c>
      <c r="J8" s="245" t="s">
        <v>196</v>
      </c>
      <c r="K8" s="245"/>
      <c r="L8" s="245"/>
      <c r="M8" s="245"/>
      <c r="N8" s="245"/>
      <c r="O8" s="245"/>
      <c r="P8" s="245">
        <f>B8+G8+L8+N8</f>
        <v>0</v>
      </c>
      <c r="Q8" s="245">
        <f>C8+H8+M8+O8</f>
        <v>0</v>
      </c>
    </row>
    <row r="9" spans="1:18" ht="13.5" customHeight="1" x14ac:dyDescent="0.25">
      <c r="A9" s="44" t="s">
        <v>259</v>
      </c>
      <c r="B9" s="245">
        <v>197</v>
      </c>
      <c r="C9" s="245">
        <v>2179212.89</v>
      </c>
      <c r="D9" s="245">
        <v>217267.52</v>
      </c>
      <c r="E9" s="245">
        <v>65376.38</v>
      </c>
      <c r="F9" s="245">
        <v>1896568.99</v>
      </c>
      <c r="G9" s="245">
        <v>2</v>
      </c>
      <c r="H9" s="245">
        <v>25000</v>
      </c>
      <c r="I9" s="245">
        <v>2492.5</v>
      </c>
      <c r="J9" s="245">
        <v>750</v>
      </c>
      <c r="K9" s="245">
        <v>21757.5</v>
      </c>
      <c r="L9" s="245">
        <v>513</v>
      </c>
      <c r="M9" s="245">
        <v>8546125.8599999994</v>
      </c>
      <c r="N9" s="245">
        <v>666</v>
      </c>
      <c r="O9" s="245">
        <v>7640214.7599999998</v>
      </c>
      <c r="P9" s="223">
        <f t="shared" ref="P9:Q11" si="0">+L9+N9+B9+G9</f>
        <v>1378</v>
      </c>
      <c r="Q9" s="223">
        <f t="shared" si="0"/>
        <v>18390553.509999998</v>
      </c>
    </row>
    <row r="10" spans="1:18" x14ac:dyDescent="0.25">
      <c r="A10" s="44" t="s">
        <v>260</v>
      </c>
      <c r="B10" s="245">
        <v>193</v>
      </c>
      <c r="C10" s="245">
        <v>2121784.19</v>
      </c>
      <c r="D10" s="245">
        <v>211541.89</v>
      </c>
      <c r="E10" s="245">
        <v>63653.52</v>
      </c>
      <c r="F10" s="245">
        <v>1846588.79</v>
      </c>
      <c r="G10" s="245">
        <v>1</v>
      </c>
      <c r="H10" s="245">
        <v>10000</v>
      </c>
      <c r="I10" s="245">
        <v>997</v>
      </c>
      <c r="J10" s="245">
        <v>300</v>
      </c>
      <c r="K10" s="245">
        <v>8703</v>
      </c>
      <c r="L10" s="245">
        <v>508</v>
      </c>
      <c r="M10" s="245">
        <v>8389327.0199999996</v>
      </c>
      <c r="N10" s="245">
        <v>654</v>
      </c>
      <c r="O10" s="245">
        <v>7508917.3399999999</v>
      </c>
      <c r="P10" s="223">
        <f t="shared" si="0"/>
        <v>1356</v>
      </c>
      <c r="Q10" s="223">
        <f t="shared" si="0"/>
        <v>18030028.550000001</v>
      </c>
    </row>
    <row r="11" spans="1:18" x14ac:dyDescent="0.25">
      <c r="A11" s="44" t="s">
        <v>261</v>
      </c>
      <c r="B11" s="245">
        <v>196</v>
      </c>
      <c r="C11" s="245">
        <v>2150339.13</v>
      </c>
      <c r="D11" s="245">
        <v>214388.81</v>
      </c>
      <c r="E11" s="245">
        <v>64510.17</v>
      </c>
      <c r="F11" s="245">
        <v>1871440.16</v>
      </c>
      <c r="G11" s="245">
        <v>1</v>
      </c>
      <c r="H11" s="245">
        <v>10000</v>
      </c>
      <c r="I11" s="245">
        <v>997</v>
      </c>
      <c r="J11" s="245">
        <v>300</v>
      </c>
      <c r="K11" s="245">
        <v>8703</v>
      </c>
      <c r="L11" s="245">
        <v>501</v>
      </c>
      <c r="M11" s="245">
        <v>8211484.8200000003</v>
      </c>
      <c r="N11" s="245">
        <v>649</v>
      </c>
      <c r="O11" s="245">
        <v>7441713.2999999998</v>
      </c>
      <c r="P11" s="223">
        <f t="shared" si="0"/>
        <v>1347</v>
      </c>
      <c r="Q11" s="223">
        <f t="shared" si="0"/>
        <v>17813537.25</v>
      </c>
    </row>
    <row r="12" spans="1:18" x14ac:dyDescent="0.25">
      <c r="A12" s="27" t="s">
        <v>258</v>
      </c>
      <c r="B12" s="222">
        <f>+B9</f>
        <v>197</v>
      </c>
      <c r="C12" s="239">
        <f>+SUM(C8:C11)</f>
        <v>6451336.21</v>
      </c>
      <c r="D12" s="222">
        <f>+SUM(D9:D11)</f>
        <v>643198.22</v>
      </c>
      <c r="E12" s="222">
        <f>+SUM(E9:E11)</f>
        <v>193540.07</v>
      </c>
      <c r="F12" s="222">
        <f>+SUM(F8:F11)</f>
        <v>5614597.9400000004</v>
      </c>
      <c r="G12" s="222">
        <f>+G9</f>
        <v>2</v>
      </c>
      <c r="H12" s="222">
        <f>SUM(H8:H11)</f>
        <v>45000</v>
      </c>
      <c r="I12" s="222">
        <f>SUM(I9:I11)</f>
        <v>4486.5</v>
      </c>
      <c r="J12" s="222">
        <f>SUM(J9:J11)</f>
        <v>1350</v>
      </c>
      <c r="K12" s="222">
        <f>SUM(K8:K11)</f>
        <v>39163.5</v>
      </c>
      <c r="L12" s="222">
        <f>+L9</f>
        <v>513</v>
      </c>
      <c r="M12" s="222">
        <f>+SUM(M8:M11)</f>
        <v>25146937.699999999</v>
      </c>
      <c r="N12" s="222">
        <f>+N9</f>
        <v>666</v>
      </c>
      <c r="O12" s="222">
        <f>+SUM(O8:O11)</f>
        <v>22590845.399999999</v>
      </c>
      <c r="P12" s="222">
        <f>+P9</f>
        <v>1378</v>
      </c>
      <c r="Q12" s="222">
        <f>SUM(Q8:Q11)</f>
        <v>54234119.310000002</v>
      </c>
    </row>
    <row r="13" spans="1:18" x14ac:dyDescent="0.25">
      <c r="A13" s="229" t="s">
        <v>226</v>
      </c>
      <c r="C13" s="248">
        <f>+C12/Q12</f>
        <v>0.11895346125424157</v>
      </c>
      <c r="H13" s="247">
        <f>+H12/Q12</f>
        <v>8.2973597750858358E-4</v>
      </c>
      <c r="M13" s="248">
        <f>+M12/Q12</f>
        <v>0.46367375408571004</v>
      </c>
      <c r="O13" s="248">
        <f>+O12/Q12</f>
        <v>0.41654304868253972</v>
      </c>
    </row>
    <row r="14" spans="1:18" x14ac:dyDescent="0.25">
      <c r="P14" s="36"/>
    </row>
    <row r="15" spans="1:18" x14ac:dyDescent="0.25">
      <c r="C15" s="35"/>
      <c r="D15"/>
      <c r="E15"/>
      <c r="F15"/>
      <c r="G15"/>
      <c r="H15"/>
      <c r="I15"/>
      <c r="J15"/>
      <c r="K15"/>
      <c r="L15"/>
      <c r="M15"/>
      <c r="N15"/>
      <c r="O15"/>
      <c r="Q15" s="35"/>
    </row>
    <row r="17" spans="1:14" x14ac:dyDescent="0.25">
      <c r="B17" s="14"/>
    </row>
    <row r="27" spans="1:14" x14ac:dyDescent="0.25">
      <c r="E27" s="224"/>
    </row>
    <row r="30" spans="1:14" ht="4.5" customHeight="1" x14ac:dyDescent="0.25"/>
    <row r="31" spans="1:14" ht="41.25" customHeight="1" x14ac:dyDescent="0.25">
      <c r="A31"/>
      <c r="B31" s="303" t="s">
        <v>228</v>
      </c>
      <c r="C31" s="303"/>
      <c r="D31" s="304" t="s">
        <v>229</v>
      </c>
      <c r="E31" s="304"/>
      <c r="F31" s="307" t="s">
        <v>232</v>
      </c>
      <c r="G31" s="307"/>
      <c r="H31" s="307"/>
      <c r="I31" s="307"/>
      <c r="J31" s="306" t="s">
        <v>230</v>
      </c>
      <c r="K31" s="306"/>
      <c r="L31" s="306"/>
      <c r="M31" s="305" t="s">
        <v>15</v>
      </c>
      <c r="N31" s="305"/>
    </row>
    <row r="32" spans="1:14" ht="38.25" customHeight="1" x14ac:dyDescent="0.25">
      <c r="A32" s="240" t="s">
        <v>1</v>
      </c>
      <c r="B32" s="240" t="s">
        <v>220</v>
      </c>
      <c r="C32" s="240" t="s">
        <v>221</v>
      </c>
      <c r="D32" s="240" t="s">
        <v>220</v>
      </c>
      <c r="E32" s="240" t="s">
        <v>221</v>
      </c>
      <c r="F32" s="308" t="s">
        <v>220</v>
      </c>
      <c r="G32" s="308"/>
      <c r="H32" s="289" t="s">
        <v>221</v>
      </c>
      <c r="I32" s="289"/>
      <c r="J32" s="313" t="s">
        <v>265</v>
      </c>
      <c r="K32" s="313"/>
      <c r="L32" s="240" t="s">
        <v>18</v>
      </c>
      <c r="M32" s="240" t="s">
        <v>220</v>
      </c>
      <c r="N32" s="240" t="s">
        <v>221</v>
      </c>
    </row>
    <row r="33" spans="1:14" hidden="1" x14ac:dyDescent="0.25">
      <c r="A33" s="44" t="s">
        <v>119</v>
      </c>
      <c r="B33" s="221">
        <v>0</v>
      </c>
      <c r="C33" s="32" t="s">
        <v>196</v>
      </c>
      <c r="D33" s="221">
        <v>0</v>
      </c>
      <c r="E33" s="32" t="s">
        <v>196</v>
      </c>
      <c r="F33" s="309">
        <v>0</v>
      </c>
      <c r="G33" s="309"/>
      <c r="H33" s="309" t="s">
        <v>196</v>
      </c>
      <c r="I33" s="309"/>
      <c r="J33" s="309">
        <v>0</v>
      </c>
      <c r="K33" s="309"/>
      <c r="L33" s="245" t="s">
        <v>196</v>
      </c>
      <c r="M33" s="267">
        <v>0</v>
      </c>
      <c r="N33" s="221" t="s">
        <v>196</v>
      </c>
    </row>
    <row r="34" spans="1:14" x14ac:dyDescent="0.25">
      <c r="A34" s="44" t="s">
        <v>259</v>
      </c>
      <c r="B34" s="221">
        <v>5</v>
      </c>
      <c r="C34" s="244">
        <v>1158542.3999999999</v>
      </c>
      <c r="D34" s="221">
        <v>11</v>
      </c>
      <c r="E34" s="32">
        <v>3397817.2</v>
      </c>
      <c r="F34" s="309">
        <v>1</v>
      </c>
      <c r="G34" s="309"/>
      <c r="H34" s="309">
        <v>264542</v>
      </c>
      <c r="I34" s="309"/>
      <c r="J34" s="309">
        <v>12</v>
      </c>
      <c r="K34" s="309"/>
      <c r="L34" s="245">
        <v>1605447</v>
      </c>
      <c r="M34" s="223">
        <f>+D34+J34+B34+F34</f>
        <v>29</v>
      </c>
      <c r="N34" s="223">
        <f>+E34+L34+C34+H34</f>
        <v>6426348.5999999996</v>
      </c>
    </row>
    <row r="35" spans="1:14" x14ac:dyDescent="0.25">
      <c r="A35" s="44" t="s">
        <v>260</v>
      </c>
      <c r="B35" s="276">
        <v>0</v>
      </c>
      <c r="C35" s="276">
        <v>0</v>
      </c>
      <c r="D35" s="221">
        <v>11</v>
      </c>
      <c r="E35" s="32">
        <v>5613866.4000000004</v>
      </c>
      <c r="F35" s="311">
        <v>0</v>
      </c>
      <c r="G35" s="311"/>
      <c r="H35" s="312">
        <v>0</v>
      </c>
      <c r="I35" s="312"/>
      <c r="J35" s="309">
        <v>6</v>
      </c>
      <c r="K35" s="309"/>
      <c r="L35" s="245">
        <v>1860940.2</v>
      </c>
      <c r="M35" s="223">
        <f t="shared" ref="M35:M36" si="1">+D35+J35+B35+F35</f>
        <v>17</v>
      </c>
      <c r="N35" s="223">
        <f t="shared" ref="N35:N36" si="2">+E35+L35+C35+H35</f>
        <v>7474806.6000000006</v>
      </c>
    </row>
    <row r="36" spans="1:14" x14ac:dyDescent="0.25">
      <c r="A36" s="44" t="s">
        <v>261</v>
      </c>
      <c r="B36" s="245">
        <v>6</v>
      </c>
      <c r="C36" s="244">
        <v>765128</v>
      </c>
      <c r="D36" s="245">
        <v>8</v>
      </c>
      <c r="E36" s="245">
        <v>1854945.8</v>
      </c>
      <c r="F36" s="311">
        <v>0</v>
      </c>
      <c r="G36" s="311"/>
      <c r="H36" s="311">
        <v>0</v>
      </c>
      <c r="I36" s="311"/>
      <c r="J36" s="309">
        <v>6</v>
      </c>
      <c r="K36" s="309"/>
      <c r="L36" s="245">
        <v>2264481</v>
      </c>
      <c r="M36" s="223">
        <f t="shared" si="1"/>
        <v>20</v>
      </c>
      <c r="N36" s="223">
        <f t="shared" si="2"/>
        <v>4884554.8</v>
      </c>
    </row>
    <row r="37" spans="1:14" x14ac:dyDescent="0.25">
      <c r="A37" s="27" t="s">
        <v>258</v>
      </c>
      <c r="B37" s="222">
        <f>SUM(B34:B36)</f>
        <v>11</v>
      </c>
      <c r="C37" s="222">
        <f>+SUM(C34:C36)</f>
        <v>1923670.4</v>
      </c>
      <c r="D37" s="222">
        <f>SUM(D34:D36)</f>
        <v>30</v>
      </c>
      <c r="E37" s="222">
        <f>+SUM(E34:E36)</f>
        <v>10866629.400000002</v>
      </c>
      <c r="F37" s="310">
        <f>SUM(F34:F36)</f>
        <v>1</v>
      </c>
      <c r="G37" s="310"/>
      <c r="H37" s="310">
        <f>SUM(H34:H36)</f>
        <v>264542</v>
      </c>
      <c r="I37" s="310"/>
      <c r="J37" s="310">
        <f>SUM(J34:J36)</f>
        <v>24</v>
      </c>
      <c r="K37" s="310"/>
      <c r="L37" s="222">
        <f>+SUM(L34:L36)</f>
        <v>5730868.2000000002</v>
      </c>
      <c r="M37" s="222">
        <f>SUM(M34:M36)</f>
        <v>66</v>
      </c>
      <c r="N37" s="222">
        <f>SUM(N34:N36)</f>
        <v>18785710</v>
      </c>
    </row>
    <row r="38" spans="1:14" x14ac:dyDescent="0.25">
      <c r="A38" s="229" t="s">
        <v>246</v>
      </c>
    </row>
    <row r="40" spans="1:14" ht="15" customHeight="1" x14ac:dyDescent="0.25"/>
  </sheetData>
  <mergeCells count="33">
    <mergeCell ref="J34:K34"/>
    <mergeCell ref="J32:K32"/>
    <mergeCell ref="J35:K35"/>
    <mergeCell ref="J36:K36"/>
    <mergeCell ref="J37:K37"/>
    <mergeCell ref="J33:K33"/>
    <mergeCell ref="F32:G32"/>
    <mergeCell ref="H32:I32"/>
    <mergeCell ref="F34:G34"/>
    <mergeCell ref="F37:G37"/>
    <mergeCell ref="H37:I37"/>
    <mergeCell ref="F35:G35"/>
    <mergeCell ref="F36:G36"/>
    <mergeCell ref="H34:I34"/>
    <mergeCell ref="H35:I35"/>
    <mergeCell ref="H36:I36"/>
    <mergeCell ref="F33:G33"/>
    <mergeCell ref="H33:I33"/>
    <mergeCell ref="B31:C31"/>
    <mergeCell ref="D31:E31"/>
    <mergeCell ref="M31:N31"/>
    <mergeCell ref="A1:R1"/>
    <mergeCell ref="A2:R2"/>
    <mergeCell ref="A3:R3"/>
    <mergeCell ref="A4:R4"/>
    <mergeCell ref="A5:R5"/>
    <mergeCell ref="B6:F6"/>
    <mergeCell ref="L6:M6"/>
    <mergeCell ref="N6:O6"/>
    <mergeCell ref="P6:Q6"/>
    <mergeCell ref="G6:K6"/>
    <mergeCell ref="J31:L31"/>
    <mergeCell ref="F31:I31"/>
  </mergeCells>
  <pageMargins left="0.7" right="0.7" top="0.75" bottom="0.75" header="0.3" footer="0.3"/>
  <pageSetup paperSize="9" scale="50" orientation="landscape" r:id="rId1"/>
  <ignoredErrors>
    <ignoredError sqref="N37 B12 D12 E12 N12 P9:P12 Q9:Q11 G12 I12:J12 L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Autoseguro</vt:lpstr>
      <vt:lpstr>Movimientos</vt:lpstr>
      <vt:lpstr>Hoja1</vt:lpstr>
      <vt:lpstr>Tipo de Pension</vt:lpstr>
      <vt:lpstr>Modalidad</vt:lpstr>
      <vt:lpstr>Retroactivos</vt:lpstr>
      <vt:lpstr>Reintegros</vt:lpstr>
      <vt:lpstr>Créditos Rechazados</vt:lpstr>
      <vt:lpstr>Recuperación Fondos</vt:lpstr>
      <vt:lpstr>Servicios</vt:lpstr>
      <vt:lpstr>'Afiliados y Cotizantes'!Área_de_impresión</vt:lpstr>
      <vt:lpstr>Aportes!Área_de_impresión</vt:lpstr>
      <vt:lpstr>Autoseguro!Área_de_impresión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Roa</dc:creator>
  <cp:lastModifiedBy>Eury Enrique Familia Marte</cp:lastModifiedBy>
  <cp:lastPrinted>2022-04-08T16:04:15Z</cp:lastPrinted>
  <dcterms:created xsi:type="dcterms:W3CDTF">2019-06-03T16:17:46Z</dcterms:created>
  <dcterms:modified xsi:type="dcterms:W3CDTF">2023-04-10T19:13:38Z</dcterms:modified>
</cp:coreProperties>
</file>