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omments1.xml" ContentType="application/vnd.openxmlformats-officedocument.spreadsheetml.comments+xml"/>
  <Override PartName="/xl/charts/chart19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0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charts/chart2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6.xml" ContentType="application/vnd.openxmlformats-officedocument.drawing+xml"/>
  <Override PartName="/xl/comments3.xml" ContentType="application/vnd.openxmlformats-officedocument.spreadsheetml.comments+xml"/>
  <Override PartName="/xl/charts/chart26.xml" ContentType="application/vnd.openxmlformats-officedocument.drawingml.chart+xml"/>
  <Override PartName="/xl/drawings/drawing17.xml" ContentType="application/vnd.openxmlformats-officedocument.drawing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8.xml" ContentType="application/vnd.openxmlformats-officedocument.drawing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drawings/drawing20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fsadfs1\PLANIFICACION Y DESARROLLO\PLANIFICACION\7. Estadísticas\Boletín Estadístico 2021\T4\"/>
    </mc:Choice>
  </mc:AlternateContent>
  <xr:revisionPtr revIDLastSave="0" documentId="13_ncr:1_{2341914F-1C95-48FA-B4B5-C54394BEBB45}" xr6:coauthVersionLast="46" xr6:coauthVersionMax="46" xr10:uidLastSave="{00000000-0000-0000-0000-000000000000}"/>
  <bookViews>
    <workbookView xWindow="-120" yWindow="-120" windowWidth="29040" windowHeight="15840" tabRatio="990" xr2:uid="{00000000-000D-0000-FFFF-FFFF00000000}"/>
  </bookViews>
  <sheets>
    <sheet name="Presupuesto Adm." sheetId="1" r:id="rId1"/>
    <sheet name="Afiliados y Cotizantes" sheetId="3" r:id="rId2"/>
    <sheet name="Cotizantes" sheetId="4" r:id="rId3"/>
    <sheet name="Empleador" sheetId="7" r:id="rId4"/>
    <sheet name="Aportes" sheetId="5" r:id="rId5"/>
    <sheet name="Traspaso" sheetId="6" r:id="rId6"/>
    <sheet name="Presupuesto de Pensiones" sheetId="2" r:id="rId7"/>
    <sheet name="Nómina" sheetId="8" r:id="rId8"/>
    <sheet name="Movimientos" sheetId="9" r:id="rId9"/>
    <sheet name="Tipo de Pension" sheetId="12" r:id="rId10"/>
    <sheet name="Hoja1" sheetId="18" state="hidden" r:id="rId11"/>
    <sheet name="Modalidad" sheetId="10" r:id="rId12"/>
    <sheet name="Retroactivos" sheetId="11" r:id="rId13"/>
    <sheet name="Reintegros" sheetId="16" state="hidden" r:id="rId14"/>
    <sheet name="Créditos Rechazados" sheetId="17" state="hidden" r:id="rId15"/>
    <sheet name="Recuperación Fondos" sheetId="15" r:id="rId16"/>
    <sheet name="Servicios" sheetId="13" r:id="rId17"/>
  </sheets>
  <definedNames>
    <definedName name="_xlnm.Print_Area" localSheetId="1">'Afiliados y Cotizantes'!$A$1:$M$57</definedName>
    <definedName name="_xlnm.Print_Area" localSheetId="4">Aportes!$A$1:$D$39</definedName>
    <definedName name="_xlnm.Print_Area" localSheetId="2">Cotizantes!$A$1:$K$39</definedName>
    <definedName name="_xlnm.Print_Area" localSheetId="11">Modalidad!$A$1:$Q$44</definedName>
    <definedName name="_xlnm.Print_Area" localSheetId="8">Movimientos!$A$1:$M$40</definedName>
    <definedName name="_xlnm.Print_Area" localSheetId="7">Nómina!$A$1:$O$57</definedName>
    <definedName name="_xlnm.Print_Area" localSheetId="6">'Presupuesto de Pensiones'!$A$1:$H$51</definedName>
    <definedName name="_xlnm.Print_Area" localSheetId="15">'Recuperación Fondos'!$A$1:$G$56</definedName>
    <definedName name="_xlnm.Print_Area" localSheetId="12">Retroactivos!$A$1:$M$44</definedName>
    <definedName name="_xlnm.Print_Area" localSheetId="16">Servicios!$A$1:$BG$53</definedName>
    <definedName name="_xlnm.Print_Area" localSheetId="9">'Tipo de Pension'!$A$1:$AH$69</definedName>
    <definedName name="_xlnm.Print_Area" localSheetId="5">Traspaso!$A$1:$C$41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2" l="1"/>
  <c r="J9" i="11" l="1"/>
  <c r="J12" i="11" s="1"/>
  <c r="I12" i="11"/>
  <c r="H12" i="11"/>
  <c r="C12" i="11"/>
  <c r="B12" i="11"/>
  <c r="D9" i="11"/>
  <c r="D12" i="11" s="1"/>
  <c r="M8" i="11"/>
  <c r="L8" i="11"/>
  <c r="K8" i="11"/>
  <c r="L18" i="12" l="1"/>
  <c r="Q12" i="10" l="1"/>
  <c r="C13" i="10" l="1"/>
  <c r="E13" i="10"/>
  <c r="G13" i="10"/>
  <c r="M13" i="10"/>
  <c r="L13" i="10"/>
  <c r="H13" i="10"/>
  <c r="D13" i="10"/>
  <c r="I13" i="10"/>
  <c r="K13" i="10"/>
  <c r="Q9" i="10"/>
  <c r="P9" i="10"/>
  <c r="O9" i="10"/>
  <c r="N9" i="10"/>
  <c r="T59" i="12" l="1"/>
  <c r="U55" i="12"/>
  <c r="U56" i="12"/>
  <c r="U57" i="12"/>
  <c r="U58" i="12"/>
  <c r="U59" i="12"/>
  <c r="U60" i="12"/>
  <c r="U61" i="12"/>
  <c r="U62" i="12"/>
  <c r="U63" i="12"/>
  <c r="U54" i="12"/>
  <c r="T55" i="12"/>
  <c r="T56" i="12"/>
  <c r="T57" i="12"/>
  <c r="T58" i="12"/>
  <c r="T60" i="12"/>
  <c r="T61" i="12"/>
  <c r="T62" i="12"/>
  <c r="T63" i="12"/>
  <c r="T54" i="12"/>
  <c r="S55" i="12"/>
  <c r="S56" i="12"/>
  <c r="S57" i="12"/>
  <c r="S58" i="12"/>
  <c r="S59" i="12"/>
  <c r="S60" i="12"/>
  <c r="S61" i="12"/>
  <c r="S62" i="12"/>
  <c r="S63" i="12"/>
  <c r="S54" i="12"/>
  <c r="R55" i="12"/>
  <c r="R56" i="12"/>
  <c r="R57" i="12"/>
  <c r="R58" i="12"/>
  <c r="R59" i="12"/>
  <c r="R60" i="12"/>
  <c r="R61" i="12"/>
  <c r="R62" i="12"/>
  <c r="R63" i="12"/>
  <c r="R54" i="12"/>
  <c r="Q63" i="12"/>
  <c r="P64" i="12"/>
  <c r="Q56" i="12" s="1"/>
  <c r="N64" i="12"/>
  <c r="O60" i="12" s="1"/>
  <c r="U33" i="12"/>
  <c r="U34" i="12"/>
  <c r="U35" i="12"/>
  <c r="U36" i="12"/>
  <c r="U37" i="12"/>
  <c r="U38" i="12"/>
  <c r="U39" i="12"/>
  <c r="U40" i="12"/>
  <c r="U41" i="12"/>
  <c r="U42" i="12"/>
  <c r="U43" i="12"/>
  <c r="U44" i="12"/>
  <c r="U32" i="12"/>
  <c r="T33" i="12"/>
  <c r="T34" i="12"/>
  <c r="T35" i="12"/>
  <c r="T36" i="12"/>
  <c r="T37" i="12"/>
  <c r="T38" i="12"/>
  <c r="T39" i="12"/>
  <c r="T40" i="12"/>
  <c r="T41" i="12"/>
  <c r="T42" i="12"/>
  <c r="T43" i="12"/>
  <c r="T44" i="12"/>
  <c r="T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32" i="12"/>
  <c r="Q42" i="12"/>
  <c r="N45" i="12"/>
  <c r="O35" i="12" s="1"/>
  <c r="U10" i="12"/>
  <c r="U11" i="12"/>
  <c r="U12" i="12"/>
  <c r="U13" i="12"/>
  <c r="U14" i="12"/>
  <c r="U15" i="12"/>
  <c r="U16" i="12"/>
  <c r="U17" i="12"/>
  <c r="U9" i="12"/>
  <c r="T10" i="12"/>
  <c r="T11" i="12"/>
  <c r="T12" i="12"/>
  <c r="T13" i="12"/>
  <c r="T14" i="12"/>
  <c r="T15" i="12"/>
  <c r="T16" i="12"/>
  <c r="T17" i="12"/>
  <c r="T9" i="12"/>
  <c r="S10" i="12"/>
  <c r="S11" i="12"/>
  <c r="S12" i="12"/>
  <c r="S13" i="12"/>
  <c r="S14" i="12"/>
  <c r="S15" i="12"/>
  <c r="S16" i="12"/>
  <c r="S17" i="12"/>
  <c r="S9" i="12"/>
  <c r="R10" i="12"/>
  <c r="R11" i="12"/>
  <c r="R12" i="12"/>
  <c r="R13" i="12"/>
  <c r="R14" i="12"/>
  <c r="R15" i="12"/>
  <c r="R16" i="12"/>
  <c r="R17" i="12"/>
  <c r="R9" i="12"/>
  <c r="P18" i="12"/>
  <c r="T18" i="12" s="1"/>
  <c r="N18" i="12"/>
  <c r="J9" i="9"/>
  <c r="J10" i="9"/>
  <c r="J11" i="9"/>
  <c r="I12" i="8"/>
  <c r="H12" i="8"/>
  <c r="E12" i="8"/>
  <c r="J12" i="8"/>
  <c r="G12" i="8"/>
  <c r="D12" i="8"/>
  <c r="D13" i="8"/>
  <c r="G13" i="8"/>
  <c r="J13" i="8"/>
  <c r="M8" i="8"/>
  <c r="O58" i="12" l="1"/>
  <c r="O57" i="12"/>
  <c r="Q54" i="12"/>
  <c r="O43" i="12"/>
  <c r="O42" i="12"/>
  <c r="O54" i="12"/>
  <c r="Q58" i="12"/>
  <c r="Q62" i="12"/>
  <c r="O36" i="12"/>
  <c r="O63" i="12"/>
  <c r="Q57" i="12"/>
  <c r="O59" i="12"/>
  <c r="Q13" i="12"/>
  <c r="Q14" i="12"/>
  <c r="Q15" i="12"/>
  <c r="Q10" i="12"/>
  <c r="Q16" i="12"/>
  <c r="U18" i="12"/>
  <c r="Q36" i="12"/>
  <c r="O62" i="12"/>
  <c r="O56" i="12"/>
  <c r="Q61" i="12"/>
  <c r="Q55" i="12"/>
  <c r="Q11" i="12"/>
  <c r="Q17" i="12"/>
  <c r="O61" i="12"/>
  <c r="O55" i="12"/>
  <c r="Q60" i="12"/>
  <c r="Q9" i="12"/>
  <c r="Q12" i="12"/>
  <c r="Q59" i="12"/>
  <c r="Q37" i="12"/>
  <c r="Q33" i="12"/>
  <c r="Q39" i="12"/>
  <c r="Q34" i="12"/>
  <c r="Q40" i="12"/>
  <c r="Q35" i="12"/>
  <c r="Q41" i="12"/>
  <c r="Q43" i="12"/>
  <c r="Q32" i="12"/>
  <c r="Q38" i="12"/>
  <c r="Q44" i="12"/>
  <c r="O40" i="12"/>
  <c r="O33" i="12"/>
  <c r="O39" i="12"/>
  <c r="O32" i="12"/>
  <c r="O38" i="12"/>
  <c r="O44" i="12"/>
  <c r="O37" i="12"/>
  <c r="O34" i="12"/>
  <c r="O41" i="12"/>
  <c r="L8" i="8"/>
  <c r="K8" i="8"/>
  <c r="Q64" i="12" l="1"/>
  <c r="Q18" i="12"/>
  <c r="Q45" i="12"/>
  <c r="O64" i="12"/>
  <c r="O45" i="12"/>
  <c r="E14" i="2"/>
  <c r="B14" i="2"/>
  <c r="D10" i="2"/>
  <c r="F10" i="2" s="1"/>
  <c r="C12" i="2"/>
  <c r="C14" i="2" s="1"/>
  <c r="G10" i="2" l="1"/>
  <c r="H10" i="2" l="1"/>
  <c r="D10" i="5"/>
  <c r="C10" i="5"/>
  <c r="B13" i="1" l="1"/>
  <c r="C13" i="1"/>
  <c r="D10" i="1"/>
  <c r="D9" i="1"/>
  <c r="E9" i="1"/>
  <c r="F9" i="1" s="1"/>
  <c r="H14" i="10" l="1"/>
  <c r="G7" i="15"/>
  <c r="F9" i="15"/>
  <c r="G9" i="15" s="1"/>
  <c r="M11" i="11"/>
  <c r="L11" i="11"/>
  <c r="K11" i="11"/>
  <c r="M9" i="11"/>
  <c r="L9" i="11"/>
  <c r="K9" i="11"/>
  <c r="J13" i="10"/>
  <c r="F13" i="10"/>
  <c r="B13" i="10"/>
  <c r="P12" i="10"/>
  <c r="O12" i="10"/>
  <c r="N12" i="10"/>
  <c r="Q10" i="10"/>
  <c r="P10" i="10"/>
  <c r="O10" i="10"/>
  <c r="N10" i="10"/>
  <c r="N13" i="10" s="1"/>
  <c r="K9" i="9"/>
  <c r="K11" i="9"/>
  <c r="F12" i="8"/>
  <c r="C12" i="8"/>
  <c r="B12" i="8"/>
  <c r="M9" i="8"/>
  <c r="L9" i="8"/>
  <c r="L12" i="8" s="1"/>
  <c r="K9" i="8"/>
  <c r="K12" i="8" s="1"/>
  <c r="M11" i="8"/>
  <c r="L11" i="8"/>
  <c r="K11" i="8"/>
  <c r="D13" i="2"/>
  <c r="G13" i="2" s="1"/>
  <c r="H13" i="2" s="1"/>
  <c r="D11" i="2"/>
  <c r="D8" i="5"/>
  <c r="C8" i="5"/>
  <c r="G11" i="2" l="1"/>
  <c r="F13" i="2"/>
  <c r="F11" i="2"/>
  <c r="H11" i="2" l="1"/>
  <c r="D9" i="5"/>
  <c r="C9" i="5"/>
  <c r="D10" i="7"/>
  <c r="D8" i="7"/>
  <c r="D10" i="4"/>
  <c r="F10" i="4" s="1"/>
  <c r="D8" i="4"/>
  <c r="F8" i="4" s="1"/>
  <c r="F9" i="3"/>
  <c r="D9" i="3"/>
  <c r="F7" i="3"/>
  <c r="D7" i="3"/>
  <c r="E10" i="1"/>
  <c r="F10" i="1" s="1"/>
  <c r="E12" i="1"/>
  <c r="F12" i="1" s="1"/>
  <c r="D12" i="1"/>
  <c r="D12" i="2"/>
  <c r="D14" i="2" s="1"/>
  <c r="G12" i="2"/>
  <c r="H12" i="2" s="1"/>
  <c r="F15" i="2"/>
  <c r="G15" i="2"/>
  <c r="H15" i="2" s="1"/>
  <c r="F16" i="2"/>
  <c r="G16" i="2"/>
  <c r="H16" i="2" s="1"/>
  <c r="F17" i="2"/>
  <c r="G17" i="2"/>
  <c r="H17" i="2" s="1"/>
  <c r="B18" i="2"/>
  <c r="E18" i="2"/>
  <c r="F19" i="2"/>
  <c r="G19" i="2"/>
  <c r="H19" i="2" s="1"/>
  <c r="F20" i="2"/>
  <c r="G20" i="2"/>
  <c r="F21" i="2"/>
  <c r="G21" i="2"/>
  <c r="H21" i="2"/>
  <c r="B22" i="2"/>
  <c r="E22" i="2"/>
  <c r="F23" i="2"/>
  <c r="G23" i="2"/>
  <c r="H23" i="2" s="1"/>
  <c r="F24" i="2"/>
  <c r="G24" i="2"/>
  <c r="H24" i="2" s="1"/>
  <c r="F25" i="2"/>
  <c r="G25" i="2"/>
  <c r="H25" i="2" s="1"/>
  <c r="F26" i="2"/>
  <c r="G26" i="2"/>
  <c r="H26" i="2" s="1"/>
  <c r="B27" i="2"/>
  <c r="E27" i="2"/>
  <c r="F18" i="2" l="1"/>
  <c r="G22" i="2"/>
  <c r="H22" i="2" s="1"/>
  <c r="F27" i="2"/>
  <c r="F22" i="2"/>
  <c r="B28" i="2"/>
  <c r="H20" i="2"/>
  <c r="G18" i="2"/>
  <c r="H18" i="2" s="1"/>
  <c r="G14" i="2"/>
  <c r="F12" i="2"/>
  <c r="F14" i="2"/>
  <c r="E10" i="4"/>
  <c r="E8" i="4"/>
  <c r="G27" i="2"/>
  <c r="H27" i="2" s="1"/>
  <c r="E28" i="2"/>
  <c r="F28" i="2" l="1"/>
  <c r="H14" i="2"/>
  <c r="G28" i="2"/>
  <c r="L64" i="12"/>
  <c r="J64" i="12"/>
  <c r="M61" i="12" l="1"/>
  <c r="T64" i="12"/>
  <c r="U64" i="12"/>
  <c r="K60" i="12"/>
  <c r="S64" i="12"/>
  <c r="K54" i="12"/>
  <c r="M60" i="12"/>
  <c r="K57" i="12"/>
  <c r="M57" i="12"/>
  <c r="M54" i="12"/>
  <c r="M56" i="12"/>
  <c r="M63" i="12"/>
  <c r="M55" i="12"/>
  <c r="M62" i="12"/>
  <c r="K56" i="12"/>
  <c r="K63" i="12"/>
  <c r="K55" i="12"/>
  <c r="K62" i="12"/>
  <c r="K61" i="12"/>
  <c r="K59" i="12"/>
  <c r="M58" i="12"/>
  <c r="M59" i="12"/>
  <c r="K58" i="12"/>
  <c r="L45" i="12"/>
  <c r="J45" i="12"/>
  <c r="K35" i="12" l="1"/>
  <c r="S45" i="12"/>
  <c r="R45" i="12"/>
  <c r="M33" i="12"/>
  <c r="T45" i="12"/>
  <c r="U45" i="12"/>
  <c r="M64" i="12"/>
  <c r="M43" i="12"/>
  <c r="M37" i="12"/>
  <c r="K41" i="12"/>
  <c r="K40" i="12"/>
  <c r="K38" i="12"/>
  <c r="M40" i="12"/>
  <c r="K43" i="12"/>
  <c r="K37" i="12"/>
  <c r="M32" i="12"/>
  <c r="M39" i="12"/>
  <c r="K34" i="12"/>
  <c r="M36" i="12"/>
  <c r="K44" i="12"/>
  <c r="M34" i="12"/>
  <c r="K42" i="12"/>
  <c r="K36" i="12"/>
  <c r="M44" i="12"/>
  <c r="M38" i="12"/>
  <c r="M42" i="12"/>
  <c r="K64" i="12"/>
  <c r="K32" i="12"/>
  <c r="K39" i="12"/>
  <c r="K33" i="12"/>
  <c r="M41" i="12"/>
  <c r="M35" i="12"/>
  <c r="M45" i="12" l="1"/>
  <c r="K45" i="12"/>
  <c r="M17" i="12"/>
  <c r="M16" i="12"/>
  <c r="M15" i="12"/>
  <c r="M14" i="12"/>
  <c r="M13" i="12"/>
  <c r="M12" i="12"/>
  <c r="M11" i="12"/>
  <c r="M10" i="12"/>
  <c r="M9" i="12"/>
  <c r="J18" i="12"/>
  <c r="K13" i="12" s="1"/>
  <c r="C72" i="18"/>
  <c r="D69" i="18" s="1"/>
  <c r="A72" i="18"/>
  <c r="B71" i="18"/>
  <c r="B70" i="18"/>
  <c r="B69" i="18"/>
  <c r="B68" i="18"/>
  <c r="B67" i="18"/>
  <c r="B66" i="18"/>
  <c r="B65" i="18"/>
  <c r="B64" i="18"/>
  <c r="B63" i="18"/>
  <c r="D71" i="18" l="1"/>
  <c r="K14" i="12"/>
  <c r="S18" i="12"/>
  <c r="R18" i="12"/>
  <c r="K9" i="12"/>
  <c r="M18" i="12"/>
  <c r="K15" i="12"/>
  <c r="D65" i="18"/>
  <c r="D68" i="18"/>
  <c r="D66" i="18"/>
  <c r="K12" i="12"/>
  <c r="K17" i="12"/>
  <c r="B72" i="18"/>
  <c r="D63" i="18"/>
  <c r="D70" i="18"/>
  <c r="K11" i="12"/>
  <c r="D64" i="18"/>
  <c r="D67" i="18"/>
  <c r="K16" i="12"/>
  <c r="K10" i="12"/>
  <c r="D72" i="18" l="1"/>
  <c r="K18" i="12"/>
  <c r="F64" i="12" l="1"/>
  <c r="G9" i="16" l="1"/>
  <c r="F9" i="16"/>
  <c r="C9" i="16"/>
  <c r="B9" i="16"/>
  <c r="C63" i="12"/>
  <c r="C62" i="12"/>
  <c r="C61" i="12"/>
  <c r="C60" i="12"/>
  <c r="C59" i="12"/>
  <c r="C58" i="12"/>
  <c r="C57" i="12"/>
  <c r="C56" i="12"/>
  <c r="C55" i="12"/>
  <c r="C54" i="12"/>
  <c r="T53" i="12" l="1"/>
  <c r="R53" i="12"/>
  <c r="R64" i="12" l="1"/>
  <c r="B64" i="12" l="1"/>
  <c r="D45" i="12"/>
  <c r="B45" i="12"/>
  <c r="D18" i="12"/>
  <c r="B18" i="12"/>
  <c r="C12" i="12" l="1"/>
  <c r="C14" i="12"/>
  <c r="C15" i="12"/>
  <c r="C13" i="12"/>
  <c r="C16" i="12"/>
  <c r="C10" i="12"/>
  <c r="C17" i="12"/>
  <c r="C11" i="12"/>
  <c r="C9" i="12"/>
  <c r="E53" i="12"/>
  <c r="E61" i="12"/>
  <c r="E58" i="12"/>
  <c r="E63" i="12"/>
  <c r="E54" i="12"/>
  <c r="E62" i="12"/>
  <c r="E59" i="12"/>
  <c r="E56" i="12"/>
  <c r="E55" i="12"/>
  <c r="E57" i="12"/>
  <c r="E60" i="12"/>
  <c r="E44" i="12"/>
  <c r="E41" i="12"/>
  <c r="E38" i="12"/>
  <c r="E35" i="12"/>
  <c r="E32" i="12"/>
  <c r="E43" i="12"/>
  <c r="E40" i="12"/>
  <c r="E37" i="12"/>
  <c r="E34" i="12"/>
  <c r="E42" i="12"/>
  <c r="E39" i="12"/>
  <c r="E36" i="12"/>
  <c r="E33" i="12"/>
  <c r="E16" i="12"/>
  <c r="E13" i="12"/>
  <c r="E10" i="12"/>
  <c r="E17" i="12"/>
  <c r="E14" i="12"/>
  <c r="E15" i="12"/>
  <c r="E12" i="12"/>
  <c r="E9" i="12"/>
  <c r="E11" i="12"/>
  <c r="E18" i="12" l="1"/>
  <c r="E45" i="12"/>
  <c r="E64" i="12"/>
  <c r="Z19" i="13"/>
  <c r="Z15" i="13"/>
  <c r="E12" i="11"/>
  <c r="F12" i="11"/>
  <c r="G12" i="11"/>
  <c r="E16" i="11"/>
  <c r="F16" i="11"/>
  <c r="G16" i="11"/>
  <c r="E20" i="11"/>
  <c r="F20" i="11"/>
  <c r="G20" i="11"/>
  <c r="E24" i="11"/>
  <c r="F24" i="11"/>
  <c r="G24" i="11"/>
  <c r="E25" i="11" l="1"/>
  <c r="F25" i="11"/>
  <c r="G25" i="11"/>
  <c r="Z43" i="13"/>
  <c r="K10" i="9" l="1"/>
  <c r="P39" i="17"/>
  <c r="N39" i="17"/>
  <c r="P38" i="17"/>
  <c r="N38" i="17"/>
  <c r="P37" i="17"/>
  <c r="N37" i="17"/>
  <c r="P36" i="17"/>
  <c r="N36" i="17"/>
  <c r="P35" i="17"/>
  <c r="N35" i="17"/>
  <c r="P34" i="17"/>
  <c r="N34" i="17"/>
  <c r="P33" i="17"/>
  <c r="N33" i="17"/>
  <c r="P32" i="17"/>
  <c r="N32" i="17"/>
  <c r="G23" i="17"/>
  <c r="F23" i="17"/>
  <c r="E23" i="17"/>
  <c r="D23" i="17"/>
  <c r="C23" i="17"/>
  <c r="B23" i="17"/>
  <c r="I22" i="17"/>
  <c r="H22" i="17"/>
  <c r="I21" i="17"/>
  <c r="H21" i="17"/>
  <c r="I20" i="17"/>
  <c r="H20" i="17"/>
  <c r="G19" i="17"/>
  <c r="F19" i="17"/>
  <c r="E19" i="17"/>
  <c r="D19" i="17"/>
  <c r="C19" i="17"/>
  <c r="B19" i="17"/>
  <c r="I18" i="17"/>
  <c r="H18" i="17"/>
  <c r="I17" i="17"/>
  <c r="H17" i="17"/>
  <c r="I16" i="17"/>
  <c r="H16" i="17"/>
  <c r="G15" i="17"/>
  <c r="F15" i="17"/>
  <c r="E15" i="17"/>
  <c r="D15" i="17"/>
  <c r="C15" i="17"/>
  <c r="B15" i="17"/>
  <c r="I14" i="17"/>
  <c r="H14" i="17"/>
  <c r="I13" i="17"/>
  <c r="H13" i="17"/>
  <c r="I12" i="17"/>
  <c r="H12" i="17"/>
  <c r="G11" i="17"/>
  <c r="G24" i="17" s="1"/>
  <c r="F11" i="17"/>
  <c r="E11" i="17"/>
  <c r="E24" i="17" s="1"/>
  <c r="D11" i="17"/>
  <c r="C11" i="17"/>
  <c r="B11" i="17"/>
  <c r="I10" i="17"/>
  <c r="H10" i="17"/>
  <c r="I9" i="17"/>
  <c r="H9" i="17"/>
  <c r="I8" i="17"/>
  <c r="H8" i="17"/>
  <c r="P39" i="16"/>
  <c r="N39" i="16"/>
  <c r="P38" i="16"/>
  <c r="N38" i="16"/>
  <c r="P37" i="16"/>
  <c r="N37" i="16"/>
  <c r="P36" i="16"/>
  <c r="N36" i="16"/>
  <c r="P35" i="16"/>
  <c r="N35" i="16"/>
  <c r="P34" i="16"/>
  <c r="N34" i="16"/>
  <c r="P33" i="16"/>
  <c r="N33" i="16"/>
  <c r="P32" i="16"/>
  <c r="N32" i="16"/>
  <c r="G23" i="16"/>
  <c r="F23" i="16"/>
  <c r="E23" i="16"/>
  <c r="D23" i="16"/>
  <c r="C23" i="16"/>
  <c r="B23" i="16"/>
  <c r="I22" i="16"/>
  <c r="H22" i="16"/>
  <c r="I21" i="16"/>
  <c r="H21" i="16"/>
  <c r="I20" i="16"/>
  <c r="H20" i="16"/>
  <c r="G19" i="16"/>
  <c r="F19" i="16"/>
  <c r="E19" i="16"/>
  <c r="D19" i="16"/>
  <c r="C19" i="16"/>
  <c r="B19" i="16"/>
  <c r="I18" i="16"/>
  <c r="H18" i="16"/>
  <c r="I17" i="16"/>
  <c r="H17" i="16"/>
  <c r="I16" i="16"/>
  <c r="H16" i="16"/>
  <c r="G15" i="16"/>
  <c r="F15" i="16"/>
  <c r="E15" i="16"/>
  <c r="D15" i="16"/>
  <c r="C15" i="16"/>
  <c r="B15" i="16"/>
  <c r="I14" i="16"/>
  <c r="H14" i="16"/>
  <c r="I13" i="16"/>
  <c r="H13" i="16"/>
  <c r="I12" i="16"/>
  <c r="H12" i="16"/>
  <c r="G11" i="16"/>
  <c r="G24" i="16" s="1"/>
  <c r="F11" i="16"/>
  <c r="F24" i="16" s="1"/>
  <c r="E11" i="16"/>
  <c r="E24" i="16" s="1"/>
  <c r="D11" i="16"/>
  <c r="C11" i="16"/>
  <c r="B11" i="16"/>
  <c r="I10" i="16"/>
  <c r="H10" i="16"/>
  <c r="I9" i="16"/>
  <c r="H9" i="16"/>
  <c r="I8" i="16"/>
  <c r="H8" i="16"/>
  <c r="B24" i="16" l="1"/>
  <c r="F24" i="17"/>
  <c r="D24" i="17"/>
  <c r="H15" i="16"/>
  <c r="H11" i="17"/>
  <c r="H15" i="17"/>
  <c r="H19" i="17"/>
  <c r="D24" i="16"/>
  <c r="I11" i="16"/>
  <c r="B24" i="17"/>
  <c r="H23" i="17"/>
  <c r="I11" i="17"/>
  <c r="C24" i="17"/>
  <c r="H11" i="16"/>
  <c r="H19" i="16"/>
  <c r="H23" i="16"/>
  <c r="C24" i="16"/>
  <c r="I19" i="17"/>
  <c r="I15" i="17"/>
  <c r="I23" i="17"/>
  <c r="I15" i="16"/>
  <c r="I23" i="16"/>
  <c r="I19" i="16"/>
  <c r="H24" i="17" l="1"/>
  <c r="I24" i="16"/>
  <c r="I24" i="17"/>
  <c r="H24" i="16"/>
  <c r="B11" i="4"/>
  <c r="D12" i="9" l="1"/>
  <c r="B12" i="9"/>
  <c r="E11" i="1"/>
  <c r="E13" i="1" s="1"/>
  <c r="C11" i="4" l="1"/>
  <c r="E10" i="3" l="1"/>
  <c r="C12" i="9" l="1"/>
  <c r="C10" i="15" l="1"/>
  <c r="E10" i="15" l="1"/>
  <c r="D10" i="15"/>
  <c r="B10" i="15"/>
  <c r="C11" i="6"/>
  <c r="B11" i="6"/>
  <c r="B11" i="5"/>
  <c r="C11" i="7"/>
  <c r="B11" i="7"/>
  <c r="D11" i="5" l="1"/>
  <c r="C11" i="5"/>
  <c r="C53" i="12"/>
  <c r="C64" i="12" s="1"/>
  <c r="G54" i="12"/>
  <c r="G60" i="12"/>
  <c r="G61" i="12"/>
  <c r="G56" i="12"/>
  <c r="G57" i="12"/>
  <c r="G63" i="12"/>
  <c r="G55" i="12"/>
  <c r="G62" i="12"/>
  <c r="G58" i="12"/>
  <c r="G59" i="12"/>
  <c r="D13" i="1"/>
  <c r="AW50" i="13" l="1"/>
  <c r="AV50" i="13"/>
  <c r="AT50" i="13"/>
  <c r="AS50" i="13"/>
  <c r="AQ50" i="13"/>
  <c r="AP50" i="13"/>
  <c r="AN50" i="13"/>
  <c r="AM50" i="13"/>
  <c r="AK50" i="13"/>
  <c r="AJ50" i="13"/>
  <c r="AH50" i="13"/>
  <c r="AG50" i="13"/>
  <c r="AE50" i="13"/>
  <c r="AD50" i="13"/>
  <c r="AB50" i="13"/>
  <c r="AA50" i="13"/>
  <c r="Y50" i="13"/>
  <c r="X50" i="13"/>
  <c r="V50" i="13"/>
  <c r="U50" i="13"/>
  <c r="S50" i="13"/>
  <c r="R50" i="13"/>
  <c r="P50" i="13"/>
  <c r="O50" i="13"/>
  <c r="J50" i="13"/>
  <c r="I50" i="13"/>
  <c r="G50" i="13"/>
  <c r="F50" i="13"/>
  <c r="D50" i="13"/>
  <c r="C50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M49" i="13"/>
  <c r="L49" i="13"/>
  <c r="K49" i="13"/>
  <c r="H49" i="13"/>
  <c r="E49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M48" i="13"/>
  <c r="L48" i="13"/>
  <c r="K48" i="13"/>
  <c r="H48" i="13"/>
  <c r="E48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M47" i="13"/>
  <c r="L47" i="13"/>
  <c r="K47" i="13"/>
  <c r="H47" i="13"/>
  <c r="E47" i="13"/>
  <c r="AX46" i="13"/>
  <c r="AU46" i="13"/>
  <c r="AR46" i="13"/>
  <c r="AO46" i="13"/>
  <c r="AL46" i="13"/>
  <c r="AI46" i="13"/>
  <c r="AF46" i="13"/>
  <c r="AC46" i="13"/>
  <c r="Z46" i="13"/>
  <c r="W46" i="13"/>
  <c r="T46" i="13"/>
  <c r="Q46" i="13"/>
  <c r="M46" i="13"/>
  <c r="L46" i="13"/>
  <c r="K46" i="13"/>
  <c r="H46" i="13"/>
  <c r="E46" i="13"/>
  <c r="Z45" i="13"/>
  <c r="W45" i="13"/>
  <c r="T45" i="13"/>
  <c r="Q45" i="13"/>
  <c r="M45" i="13"/>
  <c r="L45" i="13"/>
  <c r="K45" i="13"/>
  <c r="H45" i="13"/>
  <c r="E45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M44" i="13"/>
  <c r="L44" i="13"/>
  <c r="K44" i="13"/>
  <c r="H44" i="13"/>
  <c r="E44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M42" i="13"/>
  <c r="L42" i="13"/>
  <c r="K42" i="13"/>
  <c r="H42" i="13"/>
  <c r="E42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M41" i="13"/>
  <c r="L41" i="13"/>
  <c r="K41" i="13"/>
  <c r="H41" i="13"/>
  <c r="E41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M40" i="13"/>
  <c r="L40" i="13"/>
  <c r="K40" i="13"/>
  <c r="H40" i="13"/>
  <c r="E40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M39" i="13"/>
  <c r="L39" i="13"/>
  <c r="K39" i="13"/>
  <c r="H39" i="13"/>
  <c r="E39" i="13"/>
  <c r="AW30" i="13"/>
  <c r="AV30" i="13"/>
  <c r="AT30" i="13"/>
  <c r="AS30" i="13"/>
  <c r="AQ30" i="13"/>
  <c r="AP30" i="13"/>
  <c r="AN30" i="13"/>
  <c r="AM30" i="13"/>
  <c r="AK30" i="13"/>
  <c r="AJ30" i="13"/>
  <c r="AH30" i="13"/>
  <c r="AG30" i="13"/>
  <c r="AE30" i="13"/>
  <c r="AD30" i="13"/>
  <c r="AB30" i="13"/>
  <c r="AA30" i="13"/>
  <c r="V30" i="13"/>
  <c r="U30" i="13"/>
  <c r="S30" i="13"/>
  <c r="R30" i="13"/>
  <c r="P30" i="13"/>
  <c r="O30" i="13"/>
  <c r="J30" i="13"/>
  <c r="I30" i="13"/>
  <c r="G30" i="13"/>
  <c r="H30" i="13" s="1"/>
  <c r="F30" i="13"/>
  <c r="D30" i="13"/>
  <c r="C30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M29" i="13"/>
  <c r="L29" i="13"/>
  <c r="K29" i="13"/>
  <c r="H29" i="13"/>
  <c r="E29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M28" i="13"/>
  <c r="L28" i="13"/>
  <c r="K28" i="13"/>
  <c r="H28" i="13"/>
  <c r="E28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M27" i="13"/>
  <c r="L27" i="13"/>
  <c r="K27" i="13"/>
  <c r="H27" i="13"/>
  <c r="E27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M26" i="13"/>
  <c r="L26" i="13"/>
  <c r="K26" i="13"/>
  <c r="H26" i="13"/>
  <c r="E26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M25" i="13"/>
  <c r="L25" i="13"/>
  <c r="K25" i="13"/>
  <c r="H25" i="13"/>
  <c r="E25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M24" i="13"/>
  <c r="L24" i="13"/>
  <c r="K24" i="13"/>
  <c r="H24" i="13"/>
  <c r="E24" i="13"/>
  <c r="Z23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M22" i="13"/>
  <c r="L22" i="13"/>
  <c r="K22" i="13"/>
  <c r="H22" i="13"/>
  <c r="E22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M21" i="13"/>
  <c r="L21" i="13"/>
  <c r="K21" i="13"/>
  <c r="H21" i="13"/>
  <c r="E21" i="13"/>
  <c r="Z20" i="13"/>
  <c r="W20" i="13"/>
  <c r="T20" i="13"/>
  <c r="Q20" i="13"/>
  <c r="M20" i="13"/>
  <c r="L20" i="13"/>
  <c r="K20" i="13"/>
  <c r="H20" i="13"/>
  <c r="E20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M18" i="13"/>
  <c r="L18" i="13"/>
  <c r="K18" i="13"/>
  <c r="H18" i="13"/>
  <c r="E18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M17" i="13"/>
  <c r="L17" i="13"/>
  <c r="K17" i="13"/>
  <c r="H17" i="13"/>
  <c r="E17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M16" i="13"/>
  <c r="L16" i="13"/>
  <c r="K16" i="13"/>
  <c r="H16" i="13"/>
  <c r="E16" i="13"/>
  <c r="AX14" i="13"/>
  <c r="AU14" i="13"/>
  <c r="AR14" i="13"/>
  <c r="AO14" i="13"/>
  <c r="AL14" i="13"/>
  <c r="AI14" i="13"/>
  <c r="AF14" i="13"/>
  <c r="AC14" i="13"/>
  <c r="W14" i="13"/>
  <c r="T14" i="13"/>
  <c r="Q14" i="13"/>
  <c r="M14" i="13"/>
  <c r="L14" i="13"/>
  <c r="K14" i="13"/>
  <c r="H14" i="13"/>
  <c r="E14" i="13"/>
  <c r="AX13" i="13"/>
  <c r="AU13" i="13"/>
  <c r="AR13" i="13"/>
  <c r="AO13" i="13"/>
  <c r="AL13" i="13"/>
  <c r="AI13" i="13"/>
  <c r="AF13" i="13"/>
  <c r="AC13" i="13"/>
  <c r="W13" i="13"/>
  <c r="T13" i="13"/>
  <c r="Q13" i="13"/>
  <c r="M13" i="13"/>
  <c r="L13" i="13"/>
  <c r="K13" i="13"/>
  <c r="H13" i="13"/>
  <c r="E13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M12" i="13"/>
  <c r="L12" i="13"/>
  <c r="K12" i="13"/>
  <c r="H12" i="13"/>
  <c r="E12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M11" i="13"/>
  <c r="L11" i="13"/>
  <c r="K11" i="13"/>
  <c r="H11" i="13"/>
  <c r="E11" i="13"/>
  <c r="E22" i="15"/>
  <c r="D22" i="15"/>
  <c r="C22" i="15"/>
  <c r="B22" i="15"/>
  <c r="F21" i="15"/>
  <c r="G21" i="15" s="1"/>
  <c r="F20" i="15"/>
  <c r="G20" i="15" s="1"/>
  <c r="F19" i="15"/>
  <c r="G19" i="15" s="1"/>
  <c r="E18" i="15"/>
  <c r="D18" i="15"/>
  <c r="C18" i="15"/>
  <c r="B18" i="15"/>
  <c r="F17" i="15"/>
  <c r="G17" i="15" s="1"/>
  <c r="F16" i="15"/>
  <c r="G16" i="15" s="1"/>
  <c r="F15" i="15"/>
  <c r="G15" i="15" s="1"/>
  <c r="E14" i="15"/>
  <c r="D14" i="15"/>
  <c r="C14" i="15"/>
  <c r="B14" i="15"/>
  <c r="F13" i="15"/>
  <c r="G13" i="15" s="1"/>
  <c r="F12" i="15"/>
  <c r="G12" i="15" s="1"/>
  <c r="F11" i="15"/>
  <c r="G11" i="15" s="1"/>
  <c r="F8" i="15"/>
  <c r="G8" i="15" s="1"/>
  <c r="J24" i="11"/>
  <c r="I24" i="11"/>
  <c r="H24" i="11"/>
  <c r="D24" i="11"/>
  <c r="C24" i="11"/>
  <c r="B24" i="11"/>
  <c r="M23" i="11"/>
  <c r="L23" i="11"/>
  <c r="K23" i="11"/>
  <c r="M22" i="11"/>
  <c r="L22" i="11"/>
  <c r="K22" i="11"/>
  <c r="M21" i="11"/>
  <c r="L21" i="11"/>
  <c r="K21" i="11"/>
  <c r="J20" i="11"/>
  <c r="I20" i="11"/>
  <c r="H20" i="11"/>
  <c r="D20" i="11"/>
  <c r="C20" i="11"/>
  <c r="B20" i="11"/>
  <c r="M19" i="11"/>
  <c r="L19" i="11"/>
  <c r="K19" i="11"/>
  <c r="M18" i="11"/>
  <c r="L18" i="11"/>
  <c r="K18" i="11"/>
  <c r="M17" i="11"/>
  <c r="L17" i="11"/>
  <c r="K17" i="11"/>
  <c r="J16" i="11"/>
  <c r="I16" i="11"/>
  <c r="H16" i="11"/>
  <c r="D16" i="11"/>
  <c r="C16" i="11"/>
  <c r="B16" i="11"/>
  <c r="M15" i="11"/>
  <c r="L15" i="11"/>
  <c r="K15" i="11"/>
  <c r="M14" i="11"/>
  <c r="L14" i="11"/>
  <c r="K14" i="11"/>
  <c r="M13" i="11"/>
  <c r="L13" i="11"/>
  <c r="K13" i="11"/>
  <c r="M10" i="11"/>
  <c r="M12" i="11" s="1"/>
  <c r="L10" i="11"/>
  <c r="L12" i="11" s="1"/>
  <c r="K10" i="11"/>
  <c r="K12" i="11" s="1"/>
  <c r="I26" i="10"/>
  <c r="H26" i="10"/>
  <c r="H27" i="10" s="1"/>
  <c r="G26" i="10"/>
  <c r="F26" i="10"/>
  <c r="F27" i="10" s="1"/>
  <c r="M26" i="10"/>
  <c r="L26" i="10"/>
  <c r="L27" i="10" s="1"/>
  <c r="K26" i="10"/>
  <c r="J26" i="10"/>
  <c r="J27" i="10" s="1"/>
  <c r="E26" i="10"/>
  <c r="D26" i="10"/>
  <c r="D27" i="10" s="1"/>
  <c r="C26" i="10"/>
  <c r="B26" i="10"/>
  <c r="B27" i="10" s="1"/>
  <c r="Q25" i="10"/>
  <c r="P25" i="10"/>
  <c r="O25" i="10"/>
  <c r="N25" i="10"/>
  <c r="Q24" i="10"/>
  <c r="P24" i="10"/>
  <c r="P26" i="10" s="1"/>
  <c r="P27" i="10" s="1"/>
  <c r="O24" i="10"/>
  <c r="N24" i="10"/>
  <c r="N26" i="10" s="1"/>
  <c r="N27" i="10" s="1"/>
  <c r="Q23" i="10"/>
  <c r="P23" i="10"/>
  <c r="O23" i="10"/>
  <c r="N23" i="10"/>
  <c r="Q22" i="10"/>
  <c r="P22" i="10"/>
  <c r="O22" i="10"/>
  <c r="N22" i="10"/>
  <c r="I21" i="10"/>
  <c r="H21" i="10"/>
  <c r="G21" i="10"/>
  <c r="F21" i="10"/>
  <c r="M21" i="10"/>
  <c r="L21" i="10"/>
  <c r="K21" i="10"/>
  <c r="J21" i="10"/>
  <c r="E21" i="10"/>
  <c r="D21" i="10"/>
  <c r="C21" i="10"/>
  <c r="B21" i="10"/>
  <c r="Q20" i="10"/>
  <c r="P20" i="10"/>
  <c r="P21" i="10" s="1"/>
  <c r="O20" i="10"/>
  <c r="N20" i="10"/>
  <c r="N21" i="10" s="1"/>
  <c r="Q19" i="10"/>
  <c r="P19" i="10"/>
  <c r="O19" i="10"/>
  <c r="N19" i="10"/>
  <c r="Q18" i="10"/>
  <c r="P18" i="10"/>
  <c r="O18" i="10"/>
  <c r="N18" i="10"/>
  <c r="I17" i="10"/>
  <c r="H17" i="10"/>
  <c r="G17" i="10"/>
  <c r="F17" i="10"/>
  <c r="M17" i="10"/>
  <c r="L17" i="10"/>
  <c r="K17" i="10"/>
  <c r="J17" i="10"/>
  <c r="E17" i="10"/>
  <c r="D17" i="10"/>
  <c r="C17" i="10"/>
  <c r="B17" i="10"/>
  <c r="Q16" i="10"/>
  <c r="P16" i="10"/>
  <c r="P17" i="10" s="1"/>
  <c r="O16" i="10"/>
  <c r="N16" i="10"/>
  <c r="N17" i="10" s="1"/>
  <c r="Q15" i="10"/>
  <c r="P15" i="10"/>
  <c r="O15" i="10"/>
  <c r="N15" i="10"/>
  <c r="Q14" i="10"/>
  <c r="P14" i="10"/>
  <c r="O14" i="10"/>
  <c r="N14" i="10"/>
  <c r="Q11" i="10"/>
  <c r="Q13" i="10" s="1"/>
  <c r="P11" i="10"/>
  <c r="P13" i="10" s="1"/>
  <c r="O11" i="10"/>
  <c r="O13" i="10" s="1"/>
  <c r="N11" i="10"/>
  <c r="H64" i="12"/>
  <c r="G53" i="12"/>
  <c r="H45" i="12"/>
  <c r="F45" i="12"/>
  <c r="H18" i="12"/>
  <c r="F18" i="12"/>
  <c r="I24" i="9"/>
  <c r="H24" i="9"/>
  <c r="G24" i="9"/>
  <c r="F24" i="9"/>
  <c r="E24" i="9"/>
  <c r="D24" i="9"/>
  <c r="C24" i="9"/>
  <c r="B24" i="9"/>
  <c r="K23" i="9"/>
  <c r="J23" i="9"/>
  <c r="K22" i="9"/>
  <c r="J22" i="9"/>
  <c r="K21" i="9"/>
  <c r="J21" i="9"/>
  <c r="I20" i="9"/>
  <c r="H20" i="9"/>
  <c r="G20" i="9"/>
  <c r="F20" i="9"/>
  <c r="E20" i="9"/>
  <c r="D20" i="9"/>
  <c r="C20" i="9"/>
  <c r="B20" i="9"/>
  <c r="K19" i="9"/>
  <c r="J19" i="9"/>
  <c r="K18" i="9"/>
  <c r="J18" i="9"/>
  <c r="K17" i="9"/>
  <c r="J17" i="9"/>
  <c r="I16" i="9"/>
  <c r="H16" i="9"/>
  <c r="G16" i="9"/>
  <c r="F16" i="9"/>
  <c r="E16" i="9"/>
  <c r="D16" i="9"/>
  <c r="C16" i="9"/>
  <c r="B16" i="9"/>
  <c r="K15" i="9"/>
  <c r="J15" i="9"/>
  <c r="K14" i="9"/>
  <c r="J14" i="9"/>
  <c r="K13" i="9"/>
  <c r="J13" i="9"/>
  <c r="I12" i="9"/>
  <c r="H12" i="9"/>
  <c r="G12" i="9"/>
  <c r="F12" i="9"/>
  <c r="E12" i="9"/>
  <c r="G25" i="8"/>
  <c r="F25" i="8"/>
  <c r="F26" i="8" s="1"/>
  <c r="E25" i="8"/>
  <c r="E26" i="8" s="1"/>
  <c r="J25" i="8"/>
  <c r="I25" i="8"/>
  <c r="I26" i="8" s="1"/>
  <c r="H25" i="8"/>
  <c r="H26" i="8" s="1"/>
  <c r="D25" i="8"/>
  <c r="C25" i="8"/>
  <c r="C26" i="8" s="1"/>
  <c r="B25" i="8"/>
  <c r="B26" i="8" s="1"/>
  <c r="M24" i="8"/>
  <c r="L24" i="8"/>
  <c r="L25" i="8" s="1"/>
  <c r="L26" i="8" s="1"/>
  <c r="K24" i="8"/>
  <c r="K25" i="8" s="1"/>
  <c r="K26" i="8" s="1"/>
  <c r="M23" i="8"/>
  <c r="L23" i="8"/>
  <c r="K23" i="8"/>
  <c r="M22" i="8"/>
  <c r="L22" i="8"/>
  <c r="K22" i="8"/>
  <c r="M21" i="8"/>
  <c r="L21" i="8"/>
  <c r="K21" i="8"/>
  <c r="G20" i="8"/>
  <c r="F20" i="8"/>
  <c r="E20" i="8"/>
  <c r="J20" i="8"/>
  <c r="I20" i="8"/>
  <c r="H20" i="8"/>
  <c r="D20" i="8"/>
  <c r="C20" i="8"/>
  <c r="B20" i="8"/>
  <c r="M19" i="8"/>
  <c r="L19" i="8"/>
  <c r="L20" i="8" s="1"/>
  <c r="K19" i="8"/>
  <c r="K20" i="8" s="1"/>
  <c r="M18" i="8"/>
  <c r="L18" i="8"/>
  <c r="K18" i="8"/>
  <c r="M17" i="8"/>
  <c r="L17" i="8"/>
  <c r="K17" i="8"/>
  <c r="G16" i="8"/>
  <c r="F16" i="8"/>
  <c r="E16" i="8"/>
  <c r="J16" i="8"/>
  <c r="I16" i="8"/>
  <c r="H16" i="8"/>
  <c r="D16" i="8"/>
  <c r="C16" i="8"/>
  <c r="B16" i="8"/>
  <c r="M15" i="8"/>
  <c r="L15" i="8"/>
  <c r="L16" i="8" s="1"/>
  <c r="K15" i="8"/>
  <c r="K16" i="8" s="1"/>
  <c r="M14" i="8"/>
  <c r="L14" i="8"/>
  <c r="K14" i="8"/>
  <c r="M13" i="8"/>
  <c r="L13" i="8"/>
  <c r="K13" i="8"/>
  <c r="M10" i="8"/>
  <c r="M12" i="8" s="1"/>
  <c r="L10" i="8"/>
  <c r="K10" i="8"/>
  <c r="C23" i="6"/>
  <c r="B23" i="6"/>
  <c r="C19" i="6"/>
  <c r="B19" i="6"/>
  <c r="C15" i="6"/>
  <c r="B15" i="6"/>
  <c r="B23" i="5"/>
  <c r="C22" i="5"/>
  <c r="C21" i="5"/>
  <c r="C20" i="5"/>
  <c r="B19" i="5"/>
  <c r="C18" i="5"/>
  <c r="C17" i="5"/>
  <c r="C16" i="5"/>
  <c r="B15" i="5"/>
  <c r="D15" i="5" s="1"/>
  <c r="C14" i="5"/>
  <c r="C13" i="5"/>
  <c r="C12" i="5"/>
  <c r="C23" i="7"/>
  <c r="B23" i="7"/>
  <c r="D22" i="7"/>
  <c r="D21" i="7"/>
  <c r="D20" i="7"/>
  <c r="C19" i="7"/>
  <c r="B19" i="7"/>
  <c r="D18" i="7"/>
  <c r="D17" i="7"/>
  <c r="D16" i="7"/>
  <c r="C15" i="7"/>
  <c r="B15" i="7"/>
  <c r="D14" i="7"/>
  <c r="D13" i="7"/>
  <c r="D12" i="7"/>
  <c r="D9" i="7"/>
  <c r="C23" i="4"/>
  <c r="C24" i="4" s="1"/>
  <c r="B23" i="4"/>
  <c r="B24" i="4" s="1"/>
  <c r="D22" i="4"/>
  <c r="F22" i="4" s="1"/>
  <c r="D21" i="4"/>
  <c r="D20" i="4"/>
  <c r="F20" i="4" s="1"/>
  <c r="F23" i="4" s="1"/>
  <c r="C19" i="4"/>
  <c r="B19" i="4"/>
  <c r="D18" i="4"/>
  <c r="F18" i="4" s="1"/>
  <c r="D17" i="4"/>
  <c r="F17" i="4" s="1"/>
  <c r="D16" i="4"/>
  <c r="F16" i="4" s="1"/>
  <c r="F19" i="4" s="1"/>
  <c r="C15" i="4"/>
  <c r="B15" i="4"/>
  <c r="D14" i="4"/>
  <c r="E14" i="4" s="1"/>
  <c r="D13" i="4"/>
  <c r="E13" i="4" s="1"/>
  <c r="D12" i="4"/>
  <c r="F12" i="4" s="1"/>
  <c r="F15" i="4" s="1"/>
  <c r="D9" i="4"/>
  <c r="O10" i="4" s="1"/>
  <c r="E22" i="3"/>
  <c r="C22" i="3"/>
  <c r="B22" i="3"/>
  <c r="F21" i="3"/>
  <c r="D21" i="3"/>
  <c r="F20" i="3"/>
  <c r="D20" i="3"/>
  <c r="F19" i="3"/>
  <c r="D19" i="3"/>
  <c r="E18" i="3"/>
  <c r="C18" i="3"/>
  <c r="B18" i="3"/>
  <c r="F17" i="3"/>
  <c r="D17" i="3"/>
  <c r="F16" i="3"/>
  <c r="D16" i="3"/>
  <c r="F15" i="3"/>
  <c r="D15" i="3"/>
  <c r="E14" i="3"/>
  <c r="E23" i="3" s="1"/>
  <c r="C14" i="3"/>
  <c r="B14" i="3"/>
  <c r="F13" i="3"/>
  <c r="D13" i="3"/>
  <c r="F12" i="3"/>
  <c r="D12" i="3"/>
  <c r="F11" i="3"/>
  <c r="D11" i="3"/>
  <c r="C10" i="3"/>
  <c r="B10" i="3"/>
  <c r="F8" i="3"/>
  <c r="D8" i="3"/>
  <c r="E26" i="1"/>
  <c r="C26" i="1"/>
  <c r="B26" i="1"/>
  <c r="F25" i="1"/>
  <c r="D25" i="1"/>
  <c r="F24" i="1"/>
  <c r="D24" i="1"/>
  <c r="F23" i="1"/>
  <c r="D23" i="1"/>
  <c r="F22" i="1"/>
  <c r="D22" i="1"/>
  <c r="E21" i="1"/>
  <c r="C21" i="1"/>
  <c r="B21" i="1"/>
  <c r="F20" i="1"/>
  <c r="D20" i="1"/>
  <c r="F19" i="1"/>
  <c r="D19" i="1"/>
  <c r="F18" i="1"/>
  <c r="D18" i="1"/>
  <c r="E17" i="1"/>
  <c r="C17" i="1"/>
  <c r="B17" i="1"/>
  <c r="F16" i="1"/>
  <c r="D16" i="1"/>
  <c r="F15" i="1"/>
  <c r="D15" i="1"/>
  <c r="F14" i="1"/>
  <c r="D14" i="1"/>
  <c r="F11" i="1"/>
  <c r="D11" i="1"/>
  <c r="D23" i="5" l="1"/>
  <c r="R13" i="10"/>
  <c r="R28" i="10" s="1"/>
  <c r="C27" i="1"/>
  <c r="N13" i="13"/>
  <c r="T30" i="13"/>
  <c r="B23" i="15"/>
  <c r="D23" i="15"/>
  <c r="N16" i="13"/>
  <c r="N21" i="13"/>
  <c r="N29" i="13"/>
  <c r="K30" i="13"/>
  <c r="W30" i="13"/>
  <c r="AR30" i="13"/>
  <c r="N42" i="13"/>
  <c r="N47" i="13"/>
  <c r="E50" i="13"/>
  <c r="Q50" i="13"/>
  <c r="AI50" i="13"/>
  <c r="AR50" i="13"/>
  <c r="AU30" i="13"/>
  <c r="C25" i="9"/>
  <c r="N18" i="13"/>
  <c r="N25" i="13"/>
  <c r="AF30" i="13"/>
  <c r="AX30" i="13"/>
  <c r="K50" i="13"/>
  <c r="F13" i="4"/>
  <c r="F25" i="9"/>
  <c r="D25" i="9"/>
  <c r="J20" i="9"/>
  <c r="B25" i="9"/>
  <c r="N17" i="13"/>
  <c r="N22" i="13"/>
  <c r="N48" i="13"/>
  <c r="D26" i="1"/>
  <c r="H50" i="13"/>
  <c r="T50" i="13"/>
  <c r="AC50" i="13"/>
  <c r="AL50" i="13"/>
  <c r="N20" i="13"/>
  <c r="C24" i="7"/>
  <c r="L16" i="11"/>
  <c r="G32" i="12"/>
  <c r="I41" i="12"/>
  <c r="B24" i="7"/>
  <c r="H25" i="9"/>
  <c r="J24" i="9"/>
  <c r="C23" i="15"/>
  <c r="N46" i="13"/>
  <c r="D21" i="1"/>
  <c r="D18" i="3"/>
  <c r="C23" i="5"/>
  <c r="I25" i="9"/>
  <c r="I63" i="12"/>
  <c r="J25" i="11"/>
  <c r="M20" i="11"/>
  <c r="E30" i="13"/>
  <c r="AU50" i="13"/>
  <c r="F21" i="1"/>
  <c r="F26" i="1"/>
  <c r="D23" i="7"/>
  <c r="J16" i="9"/>
  <c r="G9" i="12"/>
  <c r="E12" i="4"/>
  <c r="E15" i="4" s="1"/>
  <c r="E20" i="4"/>
  <c r="E23" i="4" s="1"/>
  <c r="D19" i="7"/>
  <c r="N45" i="13"/>
  <c r="N49" i="13"/>
  <c r="W50" i="13"/>
  <c r="I10" i="12"/>
  <c r="I9" i="12"/>
  <c r="F14" i="4"/>
  <c r="B23" i="3"/>
  <c r="F23" i="3" s="1"/>
  <c r="D11" i="4"/>
  <c r="D15" i="4"/>
  <c r="T43" i="8"/>
  <c r="T40" i="8"/>
  <c r="N26" i="13"/>
  <c r="AO30" i="13"/>
  <c r="M50" i="13"/>
  <c r="K27" i="10"/>
  <c r="B27" i="1"/>
  <c r="D23" i="4"/>
  <c r="D24" i="4" s="1"/>
  <c r="L30" i="13"/>
  <c r="N12" i="13"/>
  <c r="N24" i="13"/>
  <c r="AI30" i="13"/>
  <c r="N44" i="13"/>
  <c r="M30" i="13"/>
  <c r="N30" i="13" s="1"/>
  <c r="E22" i="4"/>
  <c r="E23" i="15"/>
  <c r="N28" i="13"/>
  <c r="N41" i="13"/>
  <c r="K24" i="9"/>
  <c r="F14" i="3"/>
  <c r="D15" i="7"/>
  <c r="S31" i="8"/>
  <c r="S43" i="8"/>
  <c r="S40" i="8"/>
  <c r="K16" i="9"/>
  <c r="K20" i="9"/>
  <c r="K20" i="11"/>
  <c r="N14" i="13"/>
  <c r="N27" i="13"/>
  <c r="Q30" i="13"/>
  <c r="AC30" i="13"/>
  <c r="AL30" i="13"/>
  <c r="L50" i="13"/>
  <c r="N40" i="13"/>
  <c r="AF50" i="13"/>
  <c r="AO50" i="13"/>
  <c r="AX50" i="13"/>
  <c r="F18" i="3"/>
  <c r="D14" i="3"/>
  <c r="D22" i="3"/>
  <c r="F22" i="3"/>
  <c r="C44" i="12"/>
  <c r="C38" i="12"/>
  <c r="C32" i="12"/>
  <c r="C43" i="12"/>
  <c r="C37" i="12"/>
  <c r="C41" i="12"/>
  <c r="C40" i="12"/>
  <c r="C39" i="12"/>
  <c r="C42" i="12"/>
  <c r="C36" i="12"/>
  <c r="C35" i="12"/>
  <c r="C34" i="12"/>
  <c r="C33" i="12"/>
  <c r="D11" i="7"/>
  <c r="E17" i="4"/>
  <c r="G16" i="12"/>
  <c r="F14" i="15"/>
  <c r="G14" i="15" s="1"/>
  <c r="F18" i="15"/>
  <c r="G18" i="15" s="1"/>
  <c r="F22" i="15"/>
  <c r="G22" i="15" s="1"/>
  <c r="D17" i="1"/>
  <c r="D19" i="4"/>
  <c r="C19" i="5"/>
  <c r="E25" i="9"/>
  <c r="O17" i="10"/>
  <c r="N11" i="13"/>
  <c r="N39" i="13"/>
  <c r="O9" i="4"/>
  <c r="F17" i="1"/>
  <c r="E21" i="4"/>
  <c r="E24" i="4" s="1"/>
  <c r="D19" i="5"/>
  <c r="I27" i="10"/>
  <c r="E16" i="4"/>
  <c r="E19" i="4" s="1"/>
  <c r="E18" i="4"/>
  <c r="F21" i="4"/>
  <c r="F24" i="4" s="1"/>
  <c r="G25" i="9"/>
  <c r="I25" i="11"/>
  <c r="K16" i="11"/>
  <c r="L20" i="11"/>
  <c r="K24" i="11"/>
  <c r="M24" i="11"/>
  <c r="C27" i="10"/>
  <c r="M27" i="10"/>
  <c r="O26" i="10"/>
  <c r="L24" i="11"/>
  <c r="D25" i="11"/>
  <c r="M16" i="11"/>
  <c r="H25" i="11"/>
  <c r="B25" i="11"/>
  <c r="C25" i="11"/>
  <c r="Z50" i="13"/>
  <c r="I53" i="12"/>
  <c r="I55" i="12"/>
  <c r="I56" i="12"/>
  <c r="I38" i="12"/>
  <c r="I42" i="12"/>
  <c r="K12" i="9"/>
  <c r="S34" i="8"/>
  <c r="E9" i="4"/>
  <c r="E11" i="4" s="1"/>
  <c r="F9" i="4"/>
  <c r="I59" i="12"/>
  <c r="Q21" i="10"/>
  <c r="G27" i="10"/>
  <c r="Q26" i="10"/>
  <c r="Q17" i="10"/>
  <c r="O21" i="10"/>
  <c r="E27" i="10"/>
  <c r="D10" i="3"/>
  <c r="F10" i="15"/>
  <c r="J12" i="9"/>
  <c r="Q15" i="8"/>
  <c r="M16" i="8"/>
  <c r="J26" i="8"/>
  <c r="M20" i="8"/>
  <c r="M25" i="8"/>
  <c r="Q10" i="8"/>
  <c r="F13" i="1"/>
  <c r="G13" i="12"/>
  <c r="I14" i="12"/>
  <c r="I15" i="12"/>
  <c r="I13" i="12"/>
  <c r="I11" i="12"/>
  <c r="I16" i="12"/>
  <c r="I12" i="12"/>
  <c r="I17" i="12"/>
  <c r="I32" i="12"/>
  <c r="I36" i="12"/>
  <c r="G64" i="12"/>
  <c r="I58" i="12"/>
  <c r="I62" i="12"/>
  <c r="I61" i="12"/>
  <c r="I33" i="12"/>
  <c r="I54" i="12"/>
  <c r="I57" i="12"/>
  <c r="I60" i="12"/>
  <c r="I37" i="12"/>
  <c r="I43" i="12"/>
  <c r="I34" i="12"/>
  <c r="I44" i="12"/>
  <c r="I39" i="12"/>
  <c r="G10" i="12"/>
  <c r="I40" i="12"/>
  <c r="G15" i="12"/>
  <c r="I35" i="12"/>
  <c r="G12" i="12"/>
  <c r="G42" i="12"/>
  <c r="G39" i="12"/>
  <c r="G36" i="12"/>
  <c r="G34" i="12"/>
  <c r="G44" i="12"/>
  <c r="G41" i="12"/>
  <c r="G38" i="12"/>
  <c r="G35" i="12"/>
  <c r="G33" i="12"/>
  <c r="G43" i="12"/>
  <c r="G40" i="12"/>
  <c r="G37" i="12"/>
  <c r="G11" i="12"/>
  <c r="G14" i="12"/>
  <c r="G17" i="12"/>
  <c r="T34" i="8"/>
  <c r="T31" i="8"/>
  <c r="D26" i="8"/>
  <c r="G26" i="8"/>
  <c r="B24" i="5"/>
  <c r="C15" i="5"/>
  <c r="C23" i="3"/>
  <c r="F10" i="3"/>
  <c r="K25" i="9" l="1"/>
  <c r="D27" i="1"/>
  <c r="L25" i="11"/>
  <c r="N50" i="13"/>
  <c r="J25" i="9"/>
  <c r="Q28" i="10"/>
  <c r="D23" i="3"/>
  <c r="U43" i="8"/>
  <c r="U40" i="8"/>
  <c r="D28" i="8"/>
  <c r="M25" i="4"/>
  <c r="M11" i="4"/>
  <c r="O11" i="4"/>
  <c r="C45" i="12"/>
  <c r="C18" i="12"/>
  <c r="U34" i="8"/>
  <c r="U31" i="8"/>
  <c r="G28" i="8"/>
  <c r="G27" i="8"/>
  <c r="M26" i="8"/>
  <c r="K25" i="11"/>
  <c r="O27" i="10"/>
  <c r="J27" i="8"/>
  <c r="M25" i="11"/>
  <c r="Q27" i="10"/>
  <c r="J28" i="8"/>
  <c r="B25" i="7"/>
  <c r="C25" i="7"/>
  <c r="D24" i="7"/>
  <c r="F11" i="4"/>
  <c r="I18" i="12"/>
  <c r="D27" i="8"/>
  <c r="I64" i="12"/>
  <c r="I45" i="12"/>
  <c r="G18" i="12"/>
  <c r="E27" i="1"/>
  <c r="F27" i="1" s="1"/>
  <c r="G10" i="15"/>
  <c r="F23" i="15"/>
  <c r="G23" i="15" s="1"/>
  <c r="G45" i="12"/>
  <c r="Z14" i="13"/>
  <c r="Z13" i="13"/>
  <c r="X30" i="13"/>
  <c r="Y30" i="13"/>
  <c r="O28" i="10" l="1"/>
  <c r="U9" i="8"/>
  <c r="V11" i="8"/>
  <c r="Z30" i="13"/>
  <c r="O9" i="12" l="1"/>
  <c r="O16" i="12"/>
  <c r="O17" i="12"/>
  <c r="O15" i="12"/>
  <c r="O10" i="12"/>
  <c r="O11" i="12"/>
  <c r="O14" i="12"/>
  <c r="O13" i="12"/>
  <c r="O12" i="12"/>
  <c r="O18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  <author>César Augusto Roa Meran</author>
  </authors>
  <commentList>
    <comment ref="J3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Este total incluye tambien las pensiones solidarias</t>
        </r>
      </text>
    </comment>
    <comment ref="L3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También incluye el monto de las pensiones solidarias.</t>
        </r>
      </text>
    </comment>
    <comment ref="N34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pensiones solidarias</t>
        </r>
      </text>
    </comment>
    <comment ref="P34" authorId="1" shapeId="0" xr:uid="{00000000-0006-0000-0900-000004000000}">
      <text>
        <r>
          <rPr>
            <b/>
            <sz val="9"/>
            <color indexed="81"/>
            <rFont val="Tahoma"/>
            <family val="2"/>
          </rPr>
          <t>César Augusto Roa Meran:</t>
        </r>
        <r>
          <rPr>
            <sz val="9"/>
            <color indexed="81"/>
            <rFont val="Tahoma"/>
            <family val="2"/>
          </rPr>
          <t xml:space="preserve">
Incluye monto de pensiones solidarias.</t>
        </r>
      </text>
    </comment>
    <comment ref="A46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Modificar esta nota cuando se haga el ajuste. 
Como la variación presentará un pico, favor especificar.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R1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Revisar total. No coincide con el total de la nómina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Isabel Jaquez Adames</author>
  </authors>
  <commentList>
    <comment ref="E6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Isabel Jaquez Adames:</t>
        </r>
        <r>
          <rPr>
            <sz val="9"/>
            <color indexed="81"/>
            <rFont val="Tahoma"/>
            <family val="2"/>
          </rPr>
          <t xml:space="preserve">
Estas columnas se pueden eliminar</t>
        </r>
      </text>
    </comment>
  </commentList>
</comments>
</file>

<file path=xl/sharedStrings.xml><?xml version="1.0" encoding="utf-8"?>
<sst xmlns="http://schemas.openxmlformats.org/spreadsheetml/2006/main" count="871" uniqueCount="244">
  <si>
    <t>Dirección General de Jubilaciones y Pensiones a Cargo del Estado</t>
  </si>
  <si>
    <t>Mes</t>
  </si>
  <si>
    <t>Cotizantes</t>
  </si>
  <si>
    <t>% Cotizantes</t>
  </si>
  <si>
    <t>No Cotizantes</t>
  </si>
  <si>
    <t>% No Cotizantes</t>
  </si>
  <si>
    <t>Direccion General de Jubilaciones y Pensiones a Cargo del Estado</t>
  </si>
  <si>
    <t>Distribución de Cotizantes por Tipo de Empleador</t>
  </si>
  <si>
    <t>Privado</t>
  </si>
  <si>
    <t>Total</t>
  </si>
  <si>
    <t>Distribución de Aportes</t>
  </si>
  <si>
    <t xml:space="preserve">Mes </t>
  </si>
  <si>
    <t>Cantidad de Aportes</t>
  </si>
  <si>
    <t>Individualización por tipo de Empleador</t>
  </si>
  <si>
    <t>DGJP</t>
  </si>
  <si>
    <t>PN</t>
  </si>
  <si>
    <t>TOTAL</t>
  </si>
  <si>
    <t>Cantidad Pensionados</t>
  </si>
  <si>
    <t>Cantidad Pensiones</t>
  </si>
  <si>
    <t>Monto</t>
  </si>
  <si>
    <t>Inclusiones</t>
  </si>
  <si>
    <t>Exclusiones</t>
  </si>
  <si>
    <t>Suspensiones</t>
  </si>
  <si>
    <t>Cantidad</t>
  </si>
  <si>
    <t>TOTAL GENERAL</t>
  </si>
  <si>
    <t>Electrónico</t>
  </si>
  <si>
    <t>Cheque</t>
  </si>
  <si>
    <t>Cantidad de Pensiones</t>
  </si>
  <si>
    <t>Cantidad  Pensiones</t>
  </si>
  <si>
    <t>Cantidad Electrónico</t>
  </si>
  <si>
    <t>Cantidad Cheque</t>
  </si>
  <si>
    <t>% Recuperado</t>
  </si>
  <si>
    <t>Restante</t>
  </si>
  <si>
    <t>Absoluto (RD$)</t>
  </si>
  <si>
    <t>Relativo</t>
  </si>
  <si>
    <t>Abril</t>
  </si>
  <si>
    <t>Mayo</t>
  </si>
  <si>
    <t>Junio</t>
  </si>
  <si>
    <t xml:space="preserve">Tipo de Pensión </t>
  </si>
  <si>
    <t xml:space="preserve">Tipo  </t>
  </si>
  <si>
    <t>Porcentaje</t>
  </si>
  <si>
    <t>PENSIÓN CIVIL</t>
  </si>
  <si>
    <t>IDSS</t>
  </si>
  <si>
    <t>GLORIAS DEL DEPORTE</t>
  </si>
  <si>
    <t>PODER LEGISLATIVO</t>
  </si>
  <si>
    <t>PODER EJECUTIVO</t>
  </si>
  <si>
    <t>PENSION POR SOBREVIVENCIA</t>
  </si>
  <si>
    <t>TOTALES:</t>
  </si>
  <si>
    <t>Cantidad 
Pensionados</t>
  </si>
  <si>
    <t xml:space="preserve">Público 
</t>
  </si>
  <si>
    <t>Cantidad 
Pensiones</t>
  </si>
  <si>
    <t>Cantidad 
Solicitudes</t>
  </si>
  <si>
    <t>Monto 
Solicitado</t>
  </si>
  <si>
    <t>Monto Recuperado 
Años Anteriores</t>
  </si>
  <si>
    <t>Monto Recuperado 
Año en Curso</t>
  </si>
  <si>
    <t>Total 
Recuperado</t>
  </si>
  <si>
    <t>Pensiones por Monto</t>
  </si>
  <si>
    <t>Rango</t>
  </si>
  <si>
    <t xml:space="preserve">Cantidad </t>
  </si>
  <si>
    <t>Menos de RD$5117.50</t>
  </si>
  <si>
    <t>Igual a RD$5117.51</t>
  </si>
  <si>
    <t>&gt;=100,000.00</t>
  </si>
  <si>
    <t>Pensiones por Edad</t>
  </si>
  <si>
    <t xml:space="preserve">Descripción </t>
  </si>
  <si>
    <t>Recibidas</t>
  </si>
  <si>
    <t>Procesadas</t>
  </si>
  <si>
    <t>% Eficiencia</t>
  </si>
  <si>
    <t>Aplicación Descuento 2%</t>
  </si>
  <si>
    <t xml:space="preserve">Certificación </t>
  </si>
  <si>
    <t>Modificación de Datos</t>
  </si>
  <si>
    <t>Pensión por Sobrevivencia Concubin@</t>
  </si>
  <si>
    <t>Pensión por Sobrevivencia Conyuge</t>
  </si>
  <si>
    <t>Reactivación</t>
  </si>
  <si>
    <t>Reembolso</t>
  </si>
  <si>
    <t>Reinclusión</t>
  </si>
  <si>
    <t>Retroactivo</t>
  </si>
  <si>
    <t>Solicitud Inclusión a Nómina</t>
  </si>
  <si>
    <t>Solicitud de Pensión</t>
  </si>
  <si>
    <t>Suspensión Descuento 2%</t>
  </si>
  <si>
    <t>Suspensión por Laborar Nuevamente en el Estado</t>
  </si>
  <si>
    <t>Total:</t>
  </si>
  <si>
    <t>Pensión por Sobrevivencia Menor</t>
  </si>
  <si>
    <t>Reajuste de Pensión</t>
  </si>
  <si>
    <t>Enero</t>
  </si>
  <si>
    <t>Febrero</t>
  </si>
  <si>
    <t>Marzo</t>
  </si>
  <si>
    <t>Julio</t>
  </si>
  <si>
    <t>Agosto</t>
  </si>
  <si>
    <t>Septiembre</t>
  </si>
  <si>
    <t>Octubre</t>
  </si>
  <si>
    <t>Noviembre</t>
  </si>
  <si>
    <t>Diciembre</t>
  </si>
  <si>
    <t>1er Trimestre</t>
  </si>
  <si>
    <t>3er Trimestre</t>
  </si>
  <si>
    <t>4to Trimestre</t>
  </si>
  <si>
    <t>Solicitudes Recibidas</t>
  </si>
  <si>
    <t>Cantidad de Tramites Procesados</t>
  </si>
  <si>
    <t>% Privado</t>
  </si>
  <si>
    <t>% Público</t>
  </si>
  <si>
    <t>10,000.00 - 20,000.00</t>
  </si>
  <si>
    <t>5,117.50 - 10,000.00</t>
  </si>
  <si>
    <t>20,000.00 - 30,000.00</t>
  </si>
  <si>
    <t>30,000.00 - 40,000.00</t>
  </si>
  <si>
    <t>40,000.00 - 50,000.00</t>
  </si>
  <si>
    <t>50,000.00 - 60,000.00</t>
  </si>
  <si>
    <t>60,000.00 - 70,000.00</t>
  </si>
  <si>
    <t>70,000.00 - 80,000.00</t>
  </si>
  <si>
    <t>80,000.00 - 90,000.00</t>
  </si>
  <si>
    <t>90,000.00 - 100,000.00</t>
  </si>
  <si>
    <t>18-30</t>
  </si>
  <si>
    <t>30-40</t>
  </si>
  <si>
    <t>40-50</t>
  </si>
  <si>
    <t>50-60</t>
  </si>
  <si>
    <t>60-70</t>
  </si>
  <si>
    <t>70-80</t>
  </si>
  <si>
    <t>80-90</t>
  </si>
  <si>
    <t>90-100</t>
  </si>
  <si>
    <t>Menos 18 años</t>
  </si>
  <si>
    <t xml:space="preserve">Electrónico </t>
  </si>
  <si>
    <t>Pensión por Sobrevivencia Concubinato</t>
  </si>
  <si>
    <t>Departamento Administrativo y Financiero</t>
  </si>
  <si>
    <t>Departamento de Gestión Financiera de Pensiones</t>
  </si>
  <si>
    <t>División de Seguimiento al Sistema de Reparto</t>
  </si>
  <si>
    <t>Gestión de Servicios a Pensionados</t>
  </si>
  <si>
    <t>Dirección de Servicios y Trámite de Pensiones</t>
  </si>
  <si>
    <t>PABELLÓN DE LA FAMA</t>
  </si>
  <si>
    <t>T4</t>
  </si>
  <si>
    <t>Regalía</t>
  </si>
  <si>
    <t>Diciembre**</t>
  </si>
  <si>
    <t xml:space="preserve"> **Estos totales incluyen las nóminas adicionales de regalía de pensionados inactivos.</t>
  </si>
  <si>
    <t>2do Trimestre</t>
  </si>
  <si>
    <t xml:space="preserve">Julio </t>
  </si>
  <si>
    <t>Promedio
2do Trimestre</t>
  </si>
  <si>
    <t>Promedio
3er Trimestre</t>
  </si>
  <si>
    <t>Promedio
4to Trimestre</t>
  </si>
  <si>
    <t>T2</t>
  </si>
  <si>
    <t>T3</t>
  </si>
  <si>
    <t>Público (RD$)</t>
  </si>
  <si>
    <t>Privado (RD$)</t>
  </si>
  <si>
    <t>Total (RD$)</t>
  </si>
  <si>
    <t>Pensiones Solidarias</t>
  </si>
  <si>
    <t>Δ Absoluta</t>
  </si>
  <si>
    <t>Δ Relativa</t>
  </si>
  <si>
    <t>Pensiones</t>
  </si>
  <si>
    <t>Variaciones</t>
  </si>
  <si>
    <t>Registro de Poder</t>
  </si>
  <si>
    <t>Abril-Junio 2019</t>
  </si>
  <si>
    <t xml:space="preserve">Cantidad* </t>
  </si>
  <si>
    <t>Monto*</t>
  </si>
  <si>
    <t>Pensionados</t>
  </si>
  <si>
    <t>Ajustes Monto Pensiones</t>
  </si>
  <si>
    <t>POLICÍA NACIONAL</t>
  </si>
  <si>
    <t>PENSIÓN SOLIDARIA</t>
  </si>
  <si>
    <r>
      <t>*</t>
    </r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Datos extraídos de SIJUPEN.</t>
    </r>
  </si>
  <si>
    <t>*Datos extraídos de SIJUPEN.</t>
  </si>
  <si>
    <t>Ejecución Presupuesto Administrativo</t>
  </si>
  <si>
    <t>*Fuente: SIGEF</t>
  </si>
  <si>
    <t>Ejecución Presupuesto Pensionados</t>
  </si>
  <si>
    <r>
      <rPr>
        <b/>
        <sz val="8"/>
        <color rgb="FF000000"/>
        <rFont val="Calibri"/>
        <family val="2"/>
        <scheme val="minor"/>
      </rPr>
      <t>*Nota:</t>
    </r>
    <r>
      <rPr>
        <sz val="8"/>
        <color rgb="FF000000"/>
        <rFont val="Calibri"/>
        <family val="2"/>
        <scheme val="minor"/>
      </rPr>
      <t xml:space="preserve"> No incluye los pensionados de la Policía Nacional ni los pensionados por pensión solidaria.</t>
    </r>
  </si>
  <si>
    <t>Nómina de Pensionados</t>
  </si>
  <si>
    <t>Movimientos en Nómina</t>
  </si>
  <si>
    <t>Modalidad de Pago</t>
  </si>
  <si>
    <t>Pago de Retroactivos</t>
  </si>
  <si>
    <t>Recuperación de Fondos</t>
  </si>
  <si>
    <t>Cantidad de Cotizantes por Tipo de Empleador</t>
  </si>
  <si>
    <t>Año 2021</t>
  </si>
  <si>
    <t>Estadíticas Trimestre Enero-Marzo</t>
  </si>
  <si>
    <t>Reintegro de Cheques</t>
  </si>
  <si>
    <t>Cantidad 
de Cheques</t>
  </si>
  <si>
    <t xml:space="preserve"> *Estos totales incluyen las nóminas adicionales de regalía de pensionados inactivos.</t>
  </si>
  <si>
    <t>Créditos Rechazados</t>
  </si>
  <si>
    <t xml:space="preserve">Cantidad 
</t>
  </si>
  <si>
    <t>Individualización de aportes por tipo de Empleador</t>
  </si>
  <si>
    <t>Fuente: Boletín Mensual SIPEN</t>
  </si>
  <si>
    <t>Fuente: SIGEF</t>
  </si>
  <si>
    <t>Fuente: SIJUPEN</t>
  </si>
  <si>
    <t>Pensión por Sobrevivencia Padre/Madre</t>
  </si>
  <si>
    <t>Modificación de Datos Críticos</t>
  </si>
  <si>
    <t>Pensión por Sobrevivencia Padr/Madre</t>
  </si>
  <si>
    <t>Sin fecha de nacimiento</t>
  </si>
  <si>
    <t>Presupuesto Programado</t>
  </si>
  <si>
    <t>Presupuesto Ejecutado</t>
  </si>
  <si>
    <t>Cantidad de Traspasos</t>
  </si>
  <si>
    <t>Recibidos (SCI a Reparto)</t>
  </si>
  <si>
    <t>Cedidos (Reparto a SCI)</t>
  </si>
  <si>
    <t>Trimestre Enero-Marzo
Al 31 de Marzo 2021</t>
  </si>
  <si>
    <t>Tipo Cantidad Porcentaje Monto Porcentaje</t>
  </si>
  <si>
    <t>PENSIÓN</t>
  </si>
  <si>
    <t>CIVIL</t>
  </si>
  <si>
    <t>GLORIAS</t>
  </si>
  <si>
    <t>DEL</t>
  </si>
  <si>
    <t>DEPORTE</t>
  </si>
  <si>
    <t>PABELLÓN</t>
  </si>
  <si>
    <t>DE</t>
  </si>
  <si>
    <t>LA</t>
  </si>
  <si>
    <t>FAMA</t>
  </si>
  <si>
    <t>PODER</t>
  </si>
  <si>
    <t>LEGISLATIVO</t>
  </si>
  <si>
    <t>EJECUTIVO</t>
  </si>
  <si>
    <t>POLICÍA</t>
  </si>
  <si>
    <t>NACIONAL</t>
  </si>
  <si>
    <t>SOLIDARIA</t>
  </si>
  <si>
    <t>PENSION</t>
  </si>
  <si>
    <t>POR</t>
  </si>
  <si>
    <t>SOBREVIVENCIA</t>
  </si>
  <si>
    <t>Cantidad*</t>
  </si>
  <si>
    <t>Menos</t>
  </si>
  <si>
    <t>de</t>
  </si>
  <si>
    <t>RD$5117.50</t>
  </si>
  <si>
    <t>Igual</t>
  </si>
  <si>
    <t>a</t>
  </si>
  <si>
    <t>RD$5117.51</t>
  </si>
  <si>
    <t>-</t>
  </si>
  <si>
    <t>con</t>
  </si>
  <si>
    <t>Nacimiento</t>
  </si>
  <si>
    <t>Cantidad 
(Var Absoluta)</t>
  </si>
  <si>
    <t>Monto
(Var Absoluta)</t>
  </si>
  <si>
    <t>Porcentaje
(Var Porcentual)</t>
  </si>
  <si>
    <t>Trimestre Abril-Junio
Al 30 de Junio 2021</t>
  </si>
  <si>
    <t>Estadíticas Trimestre Abril-Junio</t>
  </si>
  <si>
    <t>Afiliados</t>
  </si>
  <si>
    <t>Afiliados y Cotizantes</t>
  </si>
  <si>
    <t>Enero-Abril 2021</t>
  </si>
  <si>
    <t>Abril-Junio 2020</t>
  </si>
  <si>
    <t>Ajuste de Partidas Devengadas</t>
  </si>
  <si>
    <t>Programación Total</t>
  </si>
  <si>
    <t>Programación Presupuestaria</t>
  </si>
  <si>
    <t>Programación Ordinaria (RD$)</t>
  </si>
  <si>
    <t>Ejecución Presupuestaria</t>
  </si>
  <si>
    <t xml:space="preserve"> Ejecutado</t>
  </si>
  <si>
    <t>Trimestre Julio-Septiembre
Al 30 de Septiembre 2021</t>
  </si>
  <si>
    <t>Pensiones Civiles</t>
  </si>
  <si>
    <t>Estadísticas Trimestre Octubre-Diciembre</t>
  </si>
  <si>
    <t>Promedio 4to Trimestre</t>
  </si>
  <si>
    <t>*Nota: Para el calculo de las variaciones de Octubre, se utilizó la cantidad de aportes de Septiembre 2021 (33,952); Para las variaciones del trimestre, el total de aportes correspondientes al Trimestre Julio-Septiembre 2021 (T3) (110,057).</t>
  </si>
  <si>
    <t>Trimestre Octubre- Diciembre
Al 30 de Diciembre 2021</t>
  </si>
  <si>
    <t>Estadíticas Trimestre Octubre-Diciembre</t>
  </si>
  <si>
    <t>4to Trimestre*</t>
  </si>
  <si>
    <r>
      <rPr>
        <b/>
        <sz val="7"/>
        <color theme="1"/>
        <rFont val="Calibri"/>
        <family val="2"/>
        <scheme val="minor"/>
      </rPr>
      <t>*Nota</t>
    </r>
    <r>
      <rPr>
        <sz val="7"/>
        <color theme="1"/>
        <rFont val="Calibri"/>
        <family val="2"/>
        <scheme val="minor"/>
      </rPr>
      <t xml:space="preserve">: Se presenta la información en base a los tramites gestionados dentro del mes por las distintas divisiones del departamento de Gestión Financiera. </t>
    </r>
  </si>
  <si>
    <r>
      <rPr>
        <b/>
        <sz val="7"/>
        <color theme="1"/>
        <rFont val="Calibri"/>
        <family val="2"/>
        <scheme val="minor"/>
      </rPr>
      <t>*Nota</t>
    </r>
    <r>
      <rPr>
        <sz val="7"/>
        <color theme="1"/>
        <rFont val="Calibri"/>
        <family val="2"/>
        <scheme val="minor"/>
      </rPr>
      <t>: El Monto ejecutado mensual corresponde al pago de nómina del mes, más los retroactivos del mes anterior (T-3), Estos montos están sujetos a variación de acuerdo con la efectividad del pago.</t>
    </r>
  </si>
  <si>
    <t>*Datos generados de SIJUPEN al 04 enero 2022.</t>
  </si>
  <si>
    <t>Regalia</t>
  </si>
  <si>
    <r>
      <t>*</t>
    </r>
    <r>
      <rPr>
        <b/>
        <sz val="8"/>
        <rFont val="Calibri"/>
        <family val="2"/>
        <scheme val="minor"/>
      </rPr>
      <t>Nota:</t>
    </r>
    <r>
      <rPr>
        <sz val="8"/>
        <rFont val="Calibri"/>
        <family val="2"/>
        <scheme val="minor"/>
      </rPr>
      <t xml:space="preserve"> No incluye los pensionados de la Policía Nacional, el pico en las variaciones del trimestre es producto de las pensiones solidarias incluidas.</t>
    </r>
  </si>
  <si>
    <t>Fuente: Boletín Mensual SIPEN y UNIPAGO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</si>
</sst>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RD$&quot;#,##0.00"/>
    <numFmt numFmtId="167" formatCode="&quot;$&quot;#,##0.00"/>
    <numFmt numFmtId="168" formatCode="_(* #,##0.0_);_(* \(#,##0.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>
      <alignment vertical="top"/>
    </xf>
  </cellStyleXfs>
  <cellXfs count="320">
    <xf numFmtId="0" fontId="0" fillId="0" borderId="0" xfId="0"/>
    <xf numFmtId="0" fontId="0" fillId="0" borderId="0" xfId="0" applyProtection="1">
      <protection locked="0"/>
    </xf>
    <xf numFmtId="9" fontId="5" fillId="0" borderId="0" xfId="0" applyNumberFormat="1" applyFont="1" applyFill="1" applyBorder="1" applyAlignment="1" applyProtection="1">
      <alignment horizontal="center" vertical="center"/>
    </xf>
    <xf numFmtId="9" fontId="7" fillId="7" borderId="0" xfId="0" applyNumberFormat="1" applyFont="1" applyFill="1" applyBorder="1" applyAlignment="1" applyProtection="1">
      <alignment horizontal="center" vertical="center"/>
    </xf>
    <xf numFmtId="9" fontId="4" fillId="0" borderId="0" xfId="0" applyNumberFormat="1" applyFont="1" applyFill="1" applyBorder="1" applyAlignment="1" applyProtection="1">
      <alignment horizontal="center" vertical="center"/>
    </xf>
    <xf numFmtId="9" fontId="3" fillId="7" borderId="0" xfId="0" applyNumberFormat="1" applyFont="1" applyFill="1" applyBorder="1" applyAlignment="1" applyProtection="1">
      <alignment horizontal="center" vertical="center"/>
    </xf>
    <xf numFmtId="9" fontId="3" fillId="10" borderId="0" xfId="0" applyNumberFormat="1" applyFont="1" applyFill="1" applyBorder="1" applyAlignment="1" applyProtection="1">
      <alignment horizontal="center" vertical="center"/>
    </xf>
    <xf numFmtId="9" fontId="7" fillId="10" borderId="0" xfId="0" applyNumberFormat="1" applyFont="1" applyFill="1" applyBorder="1" applyAlignment="1" applyProtection="1">
      <alignment horizontal="center" vertical="center"/>
    </xf>
    <xf numFmtId="3" fontId="6" fillId="7" borderId="0" xfId="0" applyNumberFormat="1" applyFont="1" applyFill="1" applyBorder="1" applyAlignment="1" applyProtection="1">
      <alignment horizontal="center" vertical="center"/>
    </xf>
    <xf numFmtId="165" fontId="6" fillId="7" borderId="0" xfId="2" applyNumberFormat="1" applyFont="1" applyFill="1" applyBorder="1" applyAlignment="1" applyProtection="1">
      <alignment horizontal="center" vertical="center"/>
    </xf>
    <xf numFmtId="3" fontId="6" fillId="10" borderId="0" xfId="0" applyNumberFormat="1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/>
      <protection locked="0"/>
    </xf>
    <xf numFmtId="165" fontId="6" fillId="7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9" fontId="6" fillId="7" borderId="0" xfId="1" applyFont="1" applyFill="1" applyBorder="1" applyAlignment="1" applyProtection="1">
      <alignment horizontal="center" vertical="center"/>
    </xf>
    <xf numFmtId="9" fontId="0" fillId="0" borderId="0" xfId="1" applyNumberFormat="1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9" fontId="0" fillId="0" borderId="0" xfId="1" applyFont="1" applyProtection="1">
      <protection locked="0"/>
    </xf>
    <xf numFmtId="3" fontId="2" fillId="0" borderId="0" xfId="0" applyNumberFormat="1" applyFont="1" applyBorder="1" applyAlignment="1" applyProtection="1">
      <alignment horizontal="center" vertical="center"/>
    </xf>
    <xf numFmtId="9" fontId="0" fillId="0" borderId="0" xfId="1" applyFont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3" fontId="6" fillId="10" borderId="0" xfId="0" applyNumberFormat="1" applyFont="1" applyFill="1" applyBorder="1" applyAlignment="1" applyProtection="1">
      <alignment horizontal="left" vertical="center" wrapText="1"/>
    </xf>
    <xf numFmtId="9" fontId="2" fillId="9" borderId="0" xfId="1" applyFont="1" applyFill="1" applyAlignment="1" applyProtection="1">
      <alignment horizontal="center"/>
    </xf>
    <xf numFmtId="0" fontId="2" fillId="9" borderId="0" xfId="0" applyFont="1" applyFill="1" applyProtection="1"/>
    <xf numFmtId="3" fontId="3" fillId="0" borderId="0" xfId="0" applyNumberFormat="1" applyFont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 wrapText="1"/>
    </xf>
    <xf numFmtId="0" fontId="6" fillId="10" borderId="0" xfId="0" applyFont="1" applyFill="1" applyBorder="1" applyAlignment="1" applyProtection="1">
      <alignment horizontal="center" vertical="center" wrapText="1"/>
    </xf>
    <xf numFmtId="0" fontId="0" fillId="10" borderId="0" xfId="0" applyFill="1" applyProtection="1"/>
    <xf numFmtId="0" fontId="4" fillId="0" borderId="0" xfId="0" applyFont="1" applyBorder="1" applyAlignment="1" applyProtection="1">
      <alignment horizontal="left" vertical="center"/>
      <protection locked="0"/>
    </xf>
    <xf numFmtId="165" fontId="4" fillId="0" borderId="0" xfId="2" applyNumberFormat="1" applyFont="1" applyBorder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43" fontId="0" fillId="0" borderId="0" xfId="0" applyNumberFormat="1" applyProtection="1">
      <protection locked="0"/>
    </xf>
    <xf numFmtId="165" fontId="3" fillId="0" borderId="0" xfId="2" applyNumberFormat="1" applyFont="1" applyFill="1" applyBorder="1" applyAlignment="1" applyProtection="1">
      <alignment horizontal="center"/>
    </xf>
    <xf numFmtId="165" fontId="3" fillId="0" borderId="0" xfId="2" applyNumberFormat="1" applyFont="1" applyFill="1" applyBorder="1" applyAlignment="1" applyProtection="1">
      <alignment horizontal="center" vertical="center"/>
    </xf>
    <xf numFmtId="165" fontId="12" fillId="7" borderId="0" xfId="2" applyNumberFormat="1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horizontal="center"/>
    </xf>
    <xf numFmtId="165" fontId="12" fillId="10" borderId="0" xfId="2" applyNumberFormat="1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3" fillId="5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center"/>
    </xf>
    <xf numFmtId="0" fontId="6" fillId="10" borderId="0" xfId="0" applyFont="1" applyFill="1" applyBorder="1" applyAlignment="1" applyProtection="1">
      <alignment horizontal="center" vertical="center"/>
    </xf>
    <xf numFmtId="165" fontId="6" fillId="10" borderId="0" xfId="2" applyNumberFormat="1" applyFont="1" applyFill="1" applyBorder="1" applyAlignment="1" applyProtection="1">
      <alignment horizontal="left" vertical="center"/>
    </xf>
    <xf numFmtId="0" fontId="0" fillId="0" borderId="0" xfId="0" applyFill="1" applyProtection="1">
      <protection locked="0"/>
    </xf>
    <xf numFmtId="3" fontId="8" fillId="0" borderId="0" xfId="0" applyNumberFormat="1" applyFont="1" applyBorder="1" applyAlignment="1" applyProtection="1">
      <alignment horizontal="center" vertical="top"/>
      <protection locked="0"/>
    </xf>
    <xf numFmtId="4" fontId="8" fillId="0" borderId="0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165" fontId="12" fillId="7" borderId="0" xfId="2" applyNumberFormat="1" applyFont="1" applyFill="1" applyBorder="1" applyAlignment="1" applyProtection="1">
      <alignment vertical="center"/>
    </xf>
    <xf numFmtId="37" fontId="12" fillId="7" borderId="0" xfId="2" applyNumberFormat="1" applyFont="1" applyFill="1" applyBorder="1" applyAlignment="1" applyProtection="1">
      <alignment horizontal="right" vertical="center"/>
    </xf>
    <xf numFmtId="43" fontId="3" fillId="0" borderId="0" xfId="2" applyFont="1" applyFill="1" applyBorder="1" applyAlignment="1" applyProtection="1">
      <alignment horizontal="center" vertical="center"/>
    </xf>
    <xf numFmtId="165" fontId="12" fillId="10" borderId="0" xfId="2" applyNumberFormat="1" applyFont="1" applyFill="1" applyBorder="1" applyAlignment="1" applyProtection="1">
      <alignment vertical="center"/>
    </xf>
    <xf numFmtId="37" fontId="12" fillId="10" borderId="0" xfId="2" applyNumberFormat="1" applyFont="1" applyFill="1" applyBorder="1" applyAlignment="1" applyProtection="1">
      <alignment horizontal="right" vertical="center"/>
    </xf>
    <xf numFmtId="43" fontId="4" fillId="0" borderId="0" xfId="2" applyFont="1" applyBorder="1" applyAlignment="1" applyProtection="1">
      <alignment horizontal="center"/>
      <protection locked="0"/>
    </xf>
    <xf numFmtId="0" fontId="6" fillId="1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top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3" fontId="3" fillId="0" borderId="0" xfId="2" applyFont="1" applyFill="1" applyBorder="1" applyAlignment="1" applyProtection="1">
      <alignment horizontal="center"/>
    </xf>
    <xf numFmtId="3" fontId="3" fillId="0" borderId="0" xfId="0" applyNumberFormat="1" applyFont="1" applyBorder="1" applyAlignment="1" applyProtection="1"/>
    <xf numFmtId="9" fontId="4" fillId="0" borderId="0" xfId="1" applyFont="1" applyBorder="1" applyAlignment="1" applyProtection="1">
      <alignment horizontal="center"/>
    </xf>
    <xf numFmtId="165" fontId="3" fillId="0" borderId="0" xfId="2" applyNumberFormat="1" applyFont="1" applyBorder="1" applyAlignment="1" applyProtection="1"/>
    <xf numFmtId="3" fontId="6" fillId="7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/>
    </xf>
    <xf numFmtId="0" fontId="6" fillId="10" borderId="0" xfId="0" applyFont="1" applyFill="1" applyBorder="1" applyAlignment="1" applyProtection="1">
      <alignment horizontal="left"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43" fontId="6" fillId="7" borderId="0" xfId="2" applyFont="1" applyFill="1" applyBorder="1" applyAlignment="1" applyProtection="1">
      <alignment horizontal="center" vertical="center"/>
    </xf>
    <xf numFmtId="3" fontId="0" fillId="0" borderId="0" xfId="0" applyNumberFormat="1"/>
    <xf numFmtId="4" fontId="0" fillId="0" borderId="0" xfId="0" applyNumberFormat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9" fontId="8" fillId="0" borderId="0" xfId="1" applyNumberFormat="1" applyFont="1" applyBorder="1" applyAlignment="1" applyProtection="1">
      <alignment horizontal="center" vertical="top"/>
    </xf>
    <xf numFmtId="9" fontId="0" fillId="0" borderId="0" xfId="1" applyNumberFormat="1" applyFont="1" applyBorder="1" applyAlignment="1" applyProtection="1">
      <alignment horizontal="center"/>
    </xf>
    <xf numFmtId="164" fontId="8" fillId="0" borderId="0" xfId="1" applyNumberFormat="1" applyFont="1" applyBorder="1" applyAlignment="1" applyProtection="1">
      <alignment horizontal="center" vertical="top"/>
    </xf>
    <xf numFmtId="3" fontId="16" fillId="0" borderId="0" xfId="0" applyNumberFormat="1" applyFont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 vertical="center"/>
    </xf>
    <xf numFmtId="165" fontId="0" fillId="12" borderId="0" xfId="0" applyNumberForma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13" borderId="0" xfId="0" applyFill="1" applyAlignment="1" applyProtection="1">
      <protection locked="0"/>
    </xf>
    <xf numFmtId="10" fontId="8" fillId="0" borderId="0" xfId="1" applyNumberFormat="1" applyFont="1" applyBorder="1" applyAlignment="1" applyProtection="1">
      <alignment horizontal="center" vertical="top"/>
    </xf>
    <xf numFmtId="10" fontId="8" fillId="12" borderId="0" xfId="1" applyNumberFormat="1" applyFont="1" applyFill="1" applyBorder="1" applyAlignment="1" applyProtection="1">
      <alignment horizontal="center" vertical="top"/>
    </xf>
    <xf numFmtId="10" fontId="8" fillId="0" borderId="0" xfId="1" applyNumberFormat="1" applyFont="1" applyFill="1" applyBorder="1" applyAlignment="1" applyProtection="1">
      <alignment horizontal="center" vertical="top"/>
    </xf>
    <xf numFmtId="10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3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Border="1" applyProtection="1"/>
    <xf numFmtId="0" fontId="3" fillId="5" borderId="0" xfId="0" applyFont="1" applyFill="1" applyBorder="1" applyAlignment="1" applyProtection="1">
      <alignment horizontal="left" vertical="center"/>
    </xf>
    <xf numFmtId="10" fontId="6" fillId="7" borderId="0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/>
    </xf>
    <xf numFmtId="3" fontId="8" fillId="0" borderId="4" xfId="0" applyNumberFormat="1" applyFont="1" applyBorder="1" applyAlignment="1" applyProtection="1">
      <alignment horizontal="center" vertical="top"/>
      <protection locked="0"/>
    </xf>
    <xf numFmtId="9" fontId="0" fillId="0" borderId="5" xfId="1" applyNumberFormat="1" applyFont="1" applyBorder="1" applyAlignment="1" applyProtection="1">
      <alignment horizontal="center"/>
    </xf>
    <xf numFmtId="164" fontId="0" fillId="0" borderId="5" xfId="1" applyNumberFormat="1" applyFont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 vertical="center"/>
    </xf>
    <xf numFmtId="9" fontId="6" fillId="7" borderId="7" xfId="1" applyFont="1" applyFill="1" applyBorder="1" applyAlignment="1" applyProtection="1">
      <alignment horizontal="center" vertical="center"/>
    </xf>
    <xf numFmtId="3" fontId="6" fillId="7" borderId="7" xfId="0" applyNumberFormat="1" applyFont="1" applyFill="1" applyBorder="1" applyAlignment="1" applyProtection="1">
      <alignment horizontal="center" vertical="center"/>
    </xf>
    <xf numFmtId="9" fontId="6" fillId="7" borderId="8" xfId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vertical="top"/>
    </xf>
    <xf numFmtId="0" fontId="6" fillId="7" borderId="11" xfId="0" applyFont="1" applyFill="1" applyBorder="1" applyAlignment="1" applyProtection="1">
      <alignment horizontal="center"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0" fontId="2" fillId="0" borderId="10" xfId="0" applyFont="1" applyFill="1" applyBorder="1" applyAlignment="1" applyProtection="1">
      <alignment vertical="center"/>
    </xf>
    <xf numFmtId="166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10" fontId="0" fillId="0" borderId="5" xfId="1" applyNumberFormat="1" applyFont="1" applyBorder="1" applyAlignment="1" applyProtection="1">
      <alignment horizontal="center"/>
    </xf>
    <xf numFmtId="10" fontId="0" fillId="0" borderId="5" xfId="1" applyNumberFormat="1" applyFont="1" applyFill="1" applyBorder="1" applyAlignment="1" applyProtection="1">
      <alignment horizontal="center"/>
    </xf>
    <xf numFmtId="14" fontId="0" fillId="0" borderId="0" xfId="0" applyNumberFormat="1"/>
    <xf numFmtId="0" fontId="2" fillId="0" borderId="10" xfId="0" applyFont="1" applyFill="1" applyBorder="1" applyAlignment="1" applyProtection="1">
      <alignment horizontal="center" vertical="center"/>
    </xf>
    <xf numFmtId="166" fontId="2" fillId="12" borderId="10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9" fontId="0" fillId="12" borderId="5" xfId="1" applyNumberFormat="1" applyFont="1" applyFill="1" applyBorder="1" applyAlignment="1" applyProtection="1">
      <alignment horizontal="center"/>
    </xf>
    <xf numFmtId="167" fontId="0" fillId="0" borderId="0" xfId="0" applyNumberFormat="1" applyProtection="1"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9" fontId="6" fillId="7" borderId="7" xfId="1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10" fontId="8" fillId="0" borderId="5" xfId="1" applyNumberFormat="1" applyFont="1" applyBorder="1" applyAlignment="1" applyProtection="1">
      <alignment horizontal="center" vertical="top"/>
    </xf>
    <xf numFmtId="10" fontId="8" fillId="0" borderId="5" xfId="1" applyNumberFormat="1" applyFont="1" applyFill="1" applyBorder="1" applyAlignment="1" applyProtection="1">
      <alignment horizontal="center" vertical="top"/>
    </xf>
    <xf numFmtId="43" fontId="0" fillId="0" borderId="0" xfId="2" applyFont="1" applyProtection="1">
      <protection locked="0"/>
    </xf>
    <xf numFmtId="164" fontId="0" fillId="0" borderId="0" xfId="1" applyNumberFormat="1" applyFont="1" applyBorder="1" applyAlignment="1" applyProtection="1">
      <alignment horizontal="center"/>
    </xf>
    <xf numFmtId="10" fontId="0" fillId="0" borderId="0" xfId="1" applyNumberFormat="1" applyFont="1" applyBorder="1" applyAlignment="1" applyProtection="1">
      <alignment horizontal="center"/>
    </xf>
    <xf numFmtId="9" fontId="0" fillId="12" borderId="0" xfId="1" applyNumberFormat="1" applyFont="1" applyFill="1" applyBorder="1" applyAlignment="1" applyProtection="1">
      <alignment horizontal="center"/>
    </xf>
    <xf numFmtId="165" fontId="4" fillId="0" borderId="0" xfId="2" applyNumberFormat="1" applyFont="1" applyBorder="1" applyAlignment="1" applyProtection="1">
      <alignment horizontal="center"/>
    </xf>
    <xf numFmtId="43" fontId="3" fillId="0" borderId="0" xfId="2" applyNumberFormat="1" applyFont="1" applyFill="1" applyBorder="1" applyAlignment="1" applyProtection="1">
      <alignment horizontal="center" vertical="center"/>
    </xf>
    <xf numFmtId="0" fontId="12" fillId="7" borderId="0" xfId="2" applyNumberFormat="1" applyFont="1" applyFill="1" applyBorder="1" applyAlignment="1" applyProtection="1">
      <alignment horizontal="center" vertical="center"/>
    </xf>
    <xf numFmtId="165" fontId="17" fillId="7" borderId="0" xfId="0" applyNumberFormat="1" applyFont="1" applyFill="1" applyBorder="1" applyAlignment="1" applyProtection="1">
      <alignment horizontal="center" vertical="center"/>
    </xf>
    <xf numFmtId="165" fontId="26" fillId="0" borderId="0" xfId="2" applyNumberFormat="1" applyFont="1" applyFill="1" applyBorder="1" applyAlignment="1" applyProtection="1">
      <alignment horizontal="center" vertical="center"/>
    </xf>
    <xf numFmtId="165" fontId="17" fillId="7" borderId="0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center"/>
    </xf>
    <xf numFmtId="3" fontId="17" fillId="7" borderId="7" xfId="0" applyNumberFormat="1" applyFont="1" applyFill="1" applyBorder="1" applyAlignment="1" applyProtection="1">
      <alignment horizontal="center" vertical="center"/>
    </xf>
    <xf numFmtId="3" fontId="17" fillId="7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9" fillId="0" borderId="0" xfId="0" applyNumberFormat="1" applyFont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vertical="center"/>
    </xf>
    <xf numFmtId="0" fontId="6" fillId="7" borderId="0" xfId="0" applyFont="1" applyFill="1" applyBorder="1" applyAlignment="1" applyProtection="1">
      <alignment vertical="center"/>
    </xf>
    <xf numFmtId="3" fontId="0" fillId="0" borderId="0" xfId="0" applyNumberForma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43" fontId="5" fillId="0" borderId="0" xfId="2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vertical="center"/>
    </xf>
    <xf numFmtId="0" fontId="30" fillId="0" borderId="0" xfId="0" applyFont="1" applyProtection="1"/>
    <xf numFmtId="0" fontId="14" fillId="0" borderId="0" xfId="0" applyFont="1" applyProtection="1"/>
    <xf numFmtId="3" fontId="0" fillId="0" borderId="0" xfId="0" applyNumberFormat="1" applyProtection="1"/>
    <xf numFmtId="3" fontId="0" fillId="0" borderId="0" xfId="0" applyNumberFormat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Protection="1"/>
    <xf numFmtId="0" fontId="25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3" fontId="4" fillId="0" borderId="0" xfId="0" applyNumberFormat="1" applyFont="1" applyAlignment="1" applyProtection="1">
      <alignment horizontal="center"/>
    </xf>
    <xf numFmtId="9" fontId="0" fillId="0" borderId="0" xfId="1" applyFont="1" applyProtection="1"/>
    <xf numFmtId="3" fontId="4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2" fillId="9" borderId="0" xfId="0" applyFont="1" applyFill="1" applyBorder="1" applyAlignment="1" applyProtection="1">
      <alignment horizontal="left"/>
    </xf>
    <xf numFmtId="0" fontId="20" fillId="0" borderId="0" xfId="0" applyFont="1" applyProtection="1"/>
    <xf numFmtId="3" fontId="0" fillId="0" borderId="0" xfId="0" applyNumberFormat="1" applyBorder="1" applyAlignment="1" applyProtection="1">
      <alignment horizontal="center"/>
    </xf>
    <xf numFmtId="3" fontId="0" fillId="0" borderId="0" xfId="0" applyNumberFormat="1" applyAlignment="1" applyProtection="1">
      <alignment horizontal="center"/>
    </xf>
    <xf numFmtId="10" fontId="0" fillId="0" borderId="0" xfId="1" applyNumberFormat="1" applyFont="1" applyAlignment="1" applyProtection="1">
      <alignment horizontal="center" vertical="center"/>
    </xf>
    <xf numFmtId="43" fontId="0" fillId="0" borderId="0" xfId="2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3" fontId="29" fillId="0" borderId="0" xfId="0" applyNumberFormat="1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 vertical="center"/>
    </xf>
    <xf numFmtId="165" fontId="4" fillId="0" borderId="0" xfId="2" applyNumberFormat="1" applyFont="1" applyBorder="1" applyAlignment="1" applyProtection="1"/>
    <xf numFmtId="165" fontId="4" fillId="0" borderId="0" xfId="2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9" fontId="2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0" borderId="0" xfId="0" applyNumberFormat="1" applyProtection="1"/>
    <xf numFmtId="0" fontId="4" fillId="5" borderId="0" xfId="0" applyFont="1" applyFill="1" applyBorder="1" applyProtection="1"/>
    <xf numFmtId="3" fontId="4" fillId="0" borderId="0" xfId="0" applyNumberFormat="1" applyFont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Fill="1" applyProtection="1"/>
    <xf numFmtId="0" fontId="2" fillId="0" borderId="4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top"/>
    </xf>
    <xf numFmtId="3" fontId="8" fillId="0" borderId="0" xfId="0" applyNumberFormat="1" applyFont="1" applyBorder="1" applyAlignment="1" applyProtection="1">
      <alignment horizontal="center" vertical="top"/>
    </xf>
    <xf numFmtId="0" fontId="0" fillId="0" borderId="4" xfId="0" applyBorder="1" applyProtection="1"/>
    <xf numFmtId="0" fontId="14" fillId="0" borderId="0" xfId="0" applyFont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center"/>
    </xf>
    <xf numFmtId="3" fontId="8" fillId="0" borderId="0" xfId="0" applyNumberFormat="1" applyFont="1" applyAlignment="1" applyProtection="1">
      <alignment horizontal="center" vertical="top"/>
    </xf>
    <xf numFmtId="4" fontId="8" fillId="0" borderId="0" xfId="0" applyNumberFormat="1" applyFont="1" applyAlignment="1" applyProtection="1">
      <alignment horizontal="center" vertical="top"/>
    </xf>
    <xf numFmtId="3" fontId="27" fillId="0" borderId="0" xfId="0" applyNumberFormat="1" applyFont="1" applyAlignment="1" applyProtection="1">
      <alignment horizontal="center" vertical="top"/>
    </xf>
    <xf numFmtId="0" fontId="25" fillId="0" borderId="0" xfId="0" applyFont="1" applyFill="1" applyBorder="1" applyAlignment="1" applyProtection="1">
      <alignment horizontal="left" vertical="center"/>
    </xf>
    <xf numFmtId="4" fontId="8" fillId="0" borderId="0" xfId="0" applyNumberFormat="1" applyFont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horizontal="center" vertical="top"/>
    </xf>
    <xf numFmtId="0" fontId="11" fillId="0" borderId="0" xfId="0" applyFont="1" applyFill="1" applyBorder="1" applyAlignment="1" applyProtection="1">
      <alignment horizontal="left" vertical="center"/>
    </xf>
    <xf numFmtId="4" fontId="0" fillId="0" borderId="0" xfId="0" applyNumberFormat="1" applyProtection="1"/>
    <xf numFmtId="165" fontId="3" fillId="0" borderId="0" xfId="0" applyNumberFormat="1" applyFont="1" applyFill="1" applyBorder="1" applyAlignment="1" applyProtection="1">
      <alignment horizontal="center" vertical="center"/>
    </xf>
    <xf numFmtId="39" fontId="4" fillId="0" borderId="0" xfId="2" applyNumberFormat="1" applyFont="1" applyBorder="1" applyAlignment="1" applyProtection="1">
      <alignment horizontal="center" vertical="center"/>
    </xf>
    <xf numFmtId="43" fontId="4" fillId="0" borderId="0" xfId="2" applyFont="1" applyBorder="1" applyAlignment="1" applyProtection="1">
      <alignment horizontal="center" vertical="center"/>
    </xf>
    <xf numFmtId="10" fontId="2" fillId="9" borderId="0" xfId="1" applyNumberFormat="1" applyFont="1" applyFill="1" applyBorder="1" applyAlignment="1" applyProtection="1">
      <alignment horizontal="center"/>
    </xf>
    <xf numFmtId="165" fontId="0" fillId="0" borderId="0" xfId="0" applyNumberFormat="1" applyProtection="1"/>
    <xf numFmtId="43" fontId="4" fillId="0" borderId="0" xfId="2" applyFont="1" applyBorder="1" applyAlignment="1" applyProtection="1">
      <alignment horizontal="center"/>
    </xf>
    <xf numFmtId="0" fontId="4" fillId="0" borderId="0" xfId="2" applyNumberFormat="1" applyFont="1" applyBorder="1" applyAlignment="1" applyProtection="1">
      <alignment horizontal="center" vertical="center"/>
    </xf>
    <xf numFmtId="0" fontId="4" fillId="0" borderId="0" xfId="2" applyNumberFormat="1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3" fontId="26" fillId="0" borderId="0" xfId="2" applyNumberFormat="1" applyFont="1" applyBorder="1" applyAlignment="1" applyProtection="1"/>
    <xf numFmtId="3" fontId="4" fillId="0" borderId="0" xfId="2" applyNumberFormat="1" applyFont="1" applyBorder="1" applyAlignment="1" applyProtection="1"/>
    <xf numFmtId="0" fontId="26" fillId="0" borderId="0" xfId="0" applyFont="1" applyBorder="1" applyAlignment="1" applyProtection="1">
      <alignment horizontal="center"/>
    </xf>
    <xf numFmtId="0" fontId="9" fillId="5" borderId="0" xfId="0" applyFont="1" applyFill="1" applyBorder="1" applyAlignment="1" applyProtection="1"/>
    <xf numFmtId="4" fontId="0" fillId="0" borderId="0" xfId="2" applyNumberFormat="1" applyFont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3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</xf>
    <xf numFmtId="9" fontId="4" fillId="0" borderId="0" xfId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/>
      <protection locked="0"/>
    </xf>
    <xf numFmtId="0" fontId="14" fillId="0" borderId="0" xfId="0" applyFont="1" applyAlignment="1" applyProtection="1">
      <alignment wrapText="1"/>
    </xf>
    <xf numFmtId="164" fontId="0" fillId="0" borderId="0" xfId="1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165" fontId="33" fillId="0" borderId="0" xfId="2" applyNumberFormat="1" applyFont="1" applyBorder="1" applyAlignment="1" applyProtection="1">
      <protection locked="0"/>
    </xf>
    <xf numFmtId="165" fontId="4" fillId="0" borderId="0" xfId="2" applyNumberFormat="1" applyFont="1" applyBorder="1" applyAlignment="1" applyProtection="1">
      <protection locked="0"/>
    </xf>
    <xf numFmtId="165" fontId="33" fillId="0" borderId="0" xfId="2" applyNumberFormat="1" applyFont="1" applyBorder="1" applyAlignment="1" applyProtection="1">
      <alignment horizontal="center"/>
      <protection locked="0"/>
    </xf>
    <xf numFmtId="165" fontId="26" fillId="0" borderId="0" xfId="2" applyNumberFormat="1" applyFont="1" applyBorder="1" applyAlignment="1" applyProtection="1">
      <alignment horizontal="center"/>
      <protection locked="0"/>
    </xf>
    <xf numFmtId="0" fontId="32" fillId="14" borderId="0" xfId="0" applyFont="1" applyFill="1" applyProtection="1">
      <protection locked="0"/>
    </xf>
    <xf numFmtId="0" fontId="26" fillId="14" borderId="0" xfId="0" applyFont="1" applyFill="1" applyBorder="1" applyAlignment="1" applyProtection="1">
      <alignment horizontal="left" vertical="center" wrapText="1"/>
    </xf>
    <xf numFmtId="165" fontId="26" fillId="0" borderId="0" xfId="2" applyNumberFormat="1" applyFont="1" applyBorder="1" applyAlignment="1" applyProtection="1">
      <protection locked="0"/>
    </xf>
    <xf numFmtId="165" fontId="16" fillId="14" borderId="0" xfId="0" applyNumberFormat="1" applyFont="1" applyFill="1" applyBorder="1" applyAlignment="1" applyProtection="1">
      <alignment horizontal="center" vertical="center" wrapText="1"/>
    </xf>
    <xf numFmtId="9" fontId="6" fillId="7" borderId="8" xfId="1" applyNumberFormat="1" applyFont="1" applyFill="1" applyBorder="1" applyAlignment="1" applyProtection="1">
      <alignment horizontal="center" vertical="center"/>
    </xf>
    <xf numFmtId="3" fontId="24" fillId="7" borderId="6" xfId="0" applyNumberFormat="1" applyFont="1" applyFill="1" applyBorder="1" applyAlignment="1" applyProtection="1">
      <alignment horizontal="center" vertical="top"/>
    </xf>
    <xf numFmtId="3" fontId="23" fillId="7" borderId="7" xfId="0" applyNumberFormat="1" applyFont="1" applyFill="1" applyBorder="1" applyAlignment="1" applyProtection="1">
      <alignment horizontal="center" vertical="top"/>
    </xf>
    <xf numFmtId="3" fontId="8" fillId="0" borderId="4" xfId="0" applyNumberFormat="1" applyFont="1" applyBorder="1" applyAlignment="1">
      <alignment horizontal="center"/>
    </xf>
    <xf numFmtId="9" fontId="0" fillId="12" borderId="4" xfId="1" applyNumberFormat="1" applyFont="1" applyFill="1" applyBorder="1" applyAlignment="1" applyProtection="1">
      <alignment horizontal="center"/>
    </xf>
    <xf numFmtId="3" fontId="6" fillId="7" borderId="6" xfId="0" applyNumberFormat="1" applyFont="1" applyFill="1" applyBorder="1" applyAlignment="1" applyProtection="1">
      <alignment horizontal="center"/>
    </xf>
    <xf numFmtId="10" fontId="23" fillId="7" borderId="8" xfId="1" applyNumberFormat="1" applyFont="1" applyFill="1" applyBorder="1" applyAlignment="1" applyProtection="1">
      <alignment horizontal="center" vertical="top"/>
    </xf>
    <xf numFmtId="4" fontId="23" fillId="7" borderId="7" xfId="0" applyNumberFormat="1" applyFont="1" applyFill="1" applyBorder="1" applyAlignment="1" applyProtection="1">
      <alignment horizontal="center" vertical="top"/>
    </xf>
    <xf numFmtId="165" fontId="4" fillId="0" borderId="0" xfId="2" applyNumberFormat="1" applyFont="1" applyBorder="1" applyAlignment="1" applyProtection="1">
      <alignment horizontal="center" vertical="center"/>
      <protection locked="0"/>
    </xf>
    <xf numFmtId="39" fontId="4" fillId="0" borderId="0" xfId="2" applyNumberFormat="1" applyFont="1" applyBorder="1" applyAlignment="1" applyProtection="1">
      <alignment horizontal="center" vertical="center"/>
      <protection locked="0"/>
    </xf>
    <xf numFmtId="43" fontId="4" fillId="0" borderId="0" xfId="2" applyFont="1" applyBorder="1" applyAlignment="1" applyProtection="1">
      <alignment horizontal="center" vertical="center"/>
      <protection locked="0"/>
    </xf>
    <xf numFmtId="3" fontId="8" fillId="0" borderId="4" xfId="0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center" vertical="center" wrapText="1"/>
    </xf>
    <xf numFmtId="165" fontId="4" fillId="0" borderId="0" xfId="2" applyNumberFormat="1" applyFont="1" applyBorder="1" applyAlignment="1" applyProtection="1">
      <alignment horizontal="right"/>
      <protection locked="0"/>
    </xf>
    <xf numFmtId="3" fontId="4" fillId="0" borderId="0" xfId="2" applyNumberFormat="1" applyFont="1" applyBorder="1" applyAlignment="1" applyProtection="1">
      <alignment horizontal="center"/>
      <protection locked="0"/>
    </xf>
    <xf numFmtId="4" fontId="4" fillId="0" borderId="0" xfId="2" applyNumberFormat="1" applyFont="1" applyBorder="1" applyAlignment="1" applyProtection="1">
      <alignment horizontal="center"/>
      <protection locked="0"/>
    </xf>
    <xf numFmtId="165" fontId="3" fillId="0" borderId="0" xfId="2" applyNumberFormat="1" applyFont="1" applyBorder="1" applyAlignment="1" applyProtection="1">
      <alignment vertical="center"/>
    </xf>
    <xf numFmtId="3" fontId="6" fillId="7" borderId="0" xfId="0" applyNumberFormat="1" applyFont="1" applyFill="1" applyBorder="1" applyAlignment="1" applyProtection="1">
      <alignment vertical="center"/>
    </xf>
    <xf numFmtId="10" fontId="2" fillId="12" borderId="0" xfId="1" applyNumberFormat="1" applyFont="1" applyFill="1" applyAlignment="1" applyProtection="1">
      <alignment horizontal="center"/>
    </xf>
    <xf numFmtId="165" fontId="26" fillId="0" borderId="0" xfId="2" applyNumberFormat="1" applyFont="1" applyBorder="1" applyAlignment="1" applyProtection="1">
      <alignment horizontal="center" vertical="center"/>
      <protection locked="0"/>
    </xf>
    <xf numFmtId="43" fontId="34" fillId="0" borderId="0" xfId="0" applyNumberFormat="1" applyFont="1" applyProtection="1">
      <protection locked="0"/>
    </xf>
    <xf numFmtId="3" fontId="0" fillId="0" borderId="0" xfId="0" applyNumberFormat="1" applyFont="1" applyBorder="1" applyAlignment="1" applyProtection="1">
      <alignment horizontal="center"/>
    </xf>
    <xf numFmtId="0" fontId="3" fillId="14" borderId="0" xfId="0" applyFont="1" applyFill="1" applyBorder="1" applyAlignment="1" applyProtection="1">
      <alignment horizontal="center" vertical="center" wrapText="1"/>
    </xf>
    <xf numFmtId="0" fontId="4" fillId="14" borderId="0" xfId="0" applyFont="1" applyFill="1" applyBorder="1" applyAlignment="1" applyProtection="1">
      <alignment horizontal="left" vertical="center"/>
    </xf>
    <xf numFmtId="165" fontId="3" fillId="14" borderId="0" xfId="0" applyNumberFormat="1" applyFont="1" applyFill="1" applyBorder="1" applyAlignment="1" applyProtection="1">
      <alignment horizontal="center" vertical="center" wrapText="1"/>
    </xf>
    <xf numFmtId="43" fontId="3" fillId="14" borderId="0" xfId="0" applyNumberFormat="1" applyFont="1" applyFill="1" applyBorder="1" applyAlignment="1" applyProtection="1">
      <alignment horizontal="center" vertical="center" wrapText="1"/>
    </xf>
    <xf numFmtId="165" fontId="12" fillId="7" borderId="0" xfId="2" applyNumberFormat="1" applyFont="1" applyFill="1" applyBorder="1" applyAlignment="1" applyProtection="1">
      <alignment horizontal="right"/>
    </xf>
    <xf numFmtId="3" fontId="26" fillId="0" borderId="0" xfId="0" applyNumberFormat="1" applyFont="1" applyAlignment="1" applyProtection="1">
      <alignment horizontal="center" vertical="center"/>
    </xf>
    <xf numFmtId="3" fontId="0" fillId="0" borderId="0" xfId="0" applyNumberFormat="1" applyAlignment="1" applyProtection="1">
      <alignment horizontal="center" vertical="center"/>
      <protection locked="0"/>
    </xf>
    <xf numFmtId="165" fontId="5" fillId="0" borderId="0" xfId="2" applyNumberFormat="1" applyFont="1" applyFill="1" applyBorder="1" applyAlignment="1" applyProtection="1">
      <alignment horizontal="left" vertical="center" indent="1"/>
    </xf>
    <xf numFmtId="165" fontId="5" fillId="0" borderId="0" xfId="2" applyNumberFormat="1" applyFont="1" applyFill="1" applyBorder="1" applyAlignment="1" applyProtection="1">
      <alignment horizontal="left" vertical="center"/>
    </xf>
    <xf numFmtId="3" fontId="19" fillId="0" borderId="0" xfId="0" applyNumberFormat="1" applyFont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165" fontId="17" fillId="7" borderId="0" xfId="2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left" wrapText="1"/>
    </xf>
    <xf numFmtId="0" fontId="30" fillId="0" borderId="0" xfId="0" applyFont="1" applyAlignment="1" applyProtection="1">
      <alignment horizontal="left"/>
    </xf>
    <xf numFmtId="0" fontId="3" fillId="5" borderId="0" xfId="0" applyFont="1" applyFill="1" applyBorder="1" applyAlignment="1" applyProtection="1">
      <alignment horizontal="left" vertical="center" wrapText="1"/>
    </xf>
    <xf numFmtId="0" fontId="2" fillId="5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11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5" borderId="0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</xf>
  </cellXfs>
  <cellStyles count="4">
    <cellStyle name="Millares" xfId="2" builtinId="3"/>
    <cellStyle name="Normal" xfId="0" builtinId="0"/>
    <cellStyle name="Normal 2" xfId="3" xr:uid="{00000000-0005-0000-0000-000002000000}"/>
    <cellStyle name="Porcentaje" xfId="1" builtinId="5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800">
                <a:solidFill>
                  <a:schemeClr val="accent1"/>
                </a:solidFill>
              </a:rPr>
              <a:t>Programado vs Ejecutado</a:t>
            </a:r>
          </a:p>
        </c:rich>
      </c:tx>
      <c:layout>
        <c:manualLayout>
          <c:xMode val="edge"/>
          <c:yMode val="edge"/>
          <c:x val="0.37079371203792127"/>
          <c:y val="8.176099009340066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15130463804834"/>
          <c:y val="5.1400554097404488E-2"/>
          <c:w val="0.74836611939844222"/>
          <c:h val="0.72112459900845727"/>
        </c:manualLayout>
      </c:layout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26F-49E2-B71B-8A084CE8A512}"/>
              </c:ext>
            </c:extLst>
          </c:dPt>
          <c:dLbls>
            <c:dLbl>
              <c:idx val="0"/>
              <c:layout>
                <c:manualLayout>
                  <c:x val="3.7480411352754229E-3"/>
                  <c:y val="0.282517697713524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6F-49E2-B71B-8A084CE8A512}"/>
                </c:ext>
              </c:extLst>
            </c:dLbl>
            <c:dLbl>
              <c:idx val="1"/>
              <c:layout>
                <c:manualLayout>
                  <c:x val="8.6248125726919988E-3"/>
                  <c:y val="0.258665377375253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6F-49E2-B71B-8A084CE8A512}"/>
                </c:ext>
              </c:extLst>
            </c:dLbl>
            <c:dLbl>
              <c:idx val="2"/>
              <c:layout>
                <c:manualLayout>
                  <c:x val="-1.049188905010401E-3"/>
                  <c:y val="0.23850936195525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Adm.'!$B$10:$B$12</c15:sqref>
                  </c15:fullRef>
                </c:ext>
              </c:extLst>
              <c:f>'Presupuesto Adm.'!$B$10:$B$12</c:f>
              <c:numCache>
                <c:formatCode>#,##0</c:formatCode>
                <c:ptCount val="3"/>
                <c:pt idx="0">
                  <c:v>126059504.59999999</c:v>
                </c:pt>
                <c:pt idx="1">
                  <c:v>63549026</c:v>
                </c:pt>
                <c:pt idx="2">
                  <c:v>44693245.57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F-49E2-B71B-8A084CE8A512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2002174133629172E-3"/>
                  <c:y val="0.29654002940820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26F-49E2-B71B-8A084CE8A512}"/>
                </c:ext>
              </c:extLst>
            </c:dLbl>
            <c:dLbl>
              <c:idx val="1"/>
              <c:layout>
                <c:manualLayout>
                  <c:x val="7.0277250115702104E-3"/>
                  <c:y val="0.27802245272669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26F-49E2-B71B-8A084CE8A512}"/>
                </c:ext>
              </c:extLst>
            </c:dLbl>
            <c:dLbl>
              <c:idx val="2"/>
              <c:layout>
                <c:manualLayout>
                  <c:x val="-1.6168370910673185E-3"/>
                  <c:y val="0.222398262289256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26F-49E2-B71B-8A084CE8A5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'Presupuesto Adm.'!$A$10:$A$12</c15:sqref>
                  </c15:fullRef>
                </c:ext>
              </c:extLst>
              <c:f>'Presupuesto Adm.'!$A$10:$A$12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Adm.'!$C$10:$C$12</c15:sqref>
                  </c15:fullRef>
                </c:ext>
              </c:extLst>
              <c:f>'Presupuesto Adm.'!$C$10:$C$12</c:f>
              <c:numCache>
                <c:formatCode>#,##0</c:formatCode>
                <c:ptCount val="3"/>
                <c:pt idx="0">
                  <c:v>124970172.83</c:v>
                </c:pt>
                <c:pt idx="1">
                  <c:v>54845550.219999999</c:v>
                </c:pt>
                <c:pt idx="2">
                  <c:v>39778591.619999997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64528"/>
        <c:axId val="1578266160"/>
      </c:barChart>
      <c:lineChart>
        <c:grouping val="standard"/>
        <c:varyColors val="0"/>
        <c:ser>
          <c:idx val="2"/>
          <c:order val="2"/>
          <c:tx>
            <c:strRef>
              <c:f>'Presupuesto Adm.'!$D$8</c:f>
              <c:strCache>
                <c:ptCount val="1"/>
                <c:pt idx="0">
                  <c:v>Relativo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9683824208967118E-2"/>
                  <c:y val="-5.0508012577029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73-488F-AC0F-83F78A7882F5}"/>
                </c:ext>
              </c:extLst>
            </c:dLbl>
            <c:dLbl>
              <c:idx val="1"/>
              <c:layout>
                <c:manualLayout>
                  <c:x val="-3.5290326643874124E-2"/>
                  <c:y val="-7.3584891084060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BB-4D30-8D34-CD287BDB4B79}"/>
                </c:ext>
              </c:extLst>
            </c:dLbl>
            <c:dLbl>
              <c:idx val="2"/>
              <c:layout>
                <c:manualLayout>
                  <c:x val="-1.9261643724234268E-2"/>
                  <c:y val="-3.27043960373602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F2-4A65-B098-370A8A17C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'Presupuesto Adm.'!$A$20:$A$25</c15:sqref>
                  </c15:fullRef>
                </c:ext>
              </c:extLst>
              <c:f>'Presupuesto Adm.'!$A$20:$A$22</c:f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'Presupuesto Adm.'!$D$10:$D$12</c15:sqref>
                  </c15:fullRef>
                </c:ext>
              </c:extLst>
              <c:f>'Presupuesto Adm.'!$D$10:$D$12</c:f>
              <c:numCache>
                <c:formatCode>0%</c:formatCode>
                <c:ptCount val="3"/>
                <c:pt idx="0">
                  <c:v>0.99135859074286736</c:v>
                </c:pt>
                <c:pt idx="1">
                  <c:v>0.86304312862324595</c:v>
                </c:pt>
                <c:pt idx="2">
                  <c:v>0.89003586812010527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6F-49E2-B71B-8A084CE8A5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70512"/>
        <c:axId val="1578269424"/>
      </c:lineChart>
      <c:catAx>
        <c:axId val="1578264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6160"/>
        <c:crosses val="autoZero"/>
        <c:auto val="1"/>
        <c:lblAlgn val="ctr"/>
        <c:lblOffset val="100"/>
        <c:noMultiLvlLbl val="0"/>
      </c:catAx>
      <c:valAx>
        <c:axId val="1578266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64528"/>
        <c:crosses val="autoZero"/>
        <c:crossBetween val="between"/>
      </c:valAx>
      <c:valAx>
        <c:axId val="157826942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70512"/>
        <c:crosses val="max"/>
        <c:crossBetween val="between"/>
      </c:valAx>
      <c:catAx>
        <c:axId val="157827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69424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Distribución de</a:t>
            </a:r>
            <a:r>
              <a:rPr lang="es-ES" sz="800" baseline="0">
                <a:solidFill>
                  <a:schemeClr val="accent1">
                    <a:lumMod val="75000"/>
                  </a:schemeClr>
                </a:solidFill>
              </a:rPr>
              <a:t> Aportes</a:t>
            </a:r>
            <a:endParaRPr lang="es-ES" sz="800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36509152799625716"/>
          <c:y val="1.44177444971329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6C4-4E72-86CD-26E8823546D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6C4-4E72-86CD-26E8823546DB}"/>
              </c:ext>
            </c:extLst>
          </c:dPt>
          <c:dLbls>
            <c:dLbl>
              <c:idx val="0"/>
              <c:layout>
                <c:manualLayout>
                  <c:x val="-1.0049754918591058E-2"/>
                  <c:y val="0.25553812587764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C4-4E72-86CD-26E8823546DB}"/>
                </c:ext>
              </c:extLst>
            </c:dLbl>
            <c:dLbl>
              <c:idx val="1"/>
              <c:layout>
                <c:manualLayout>
                  <c:x val="3.645867423629125E-3"/>
                  <c:y val="0.199998338179580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C4-4E72-86CD-26E8823546DB}"/>
                </c:ext>
              </c:extLst>
            </c:dLbl>
            <c:dLbl>
              <c:idx val="2"/>
              <c:layout>
                <c:manualLayout>
                  <c:x val="6.423616493789394E-3"/>
                  <c:y val="0.22591180369177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C4-4E72-86CD-26E8823546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Aportes!$A$8:$A$10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Aportes!$B$8:$B$10</c:f>
              <c:numCache>
                <c:formatCode>#,##0</c:formatCode>
                <c:ptCount val="3"/>
                <c:pt idx="0">
                  <c:v>36251</c:v>
                </c:pt>
                <c:pt idx="1">
                  <c:v>33007</c:v>
                </c:pt>
                <c:pt idx="2">
                  <c:v>33204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C4-4E72-86CD-26E8823546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65120"/>
        <c:axId val="1667765664"/>
      </c:barChart>
      <c:catAx>
        <c:axId val="1667765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5664"/>
        <c:crosses val="autoZero"/>
        <c:auto val="1"/>
        <c:lblAlgn val="ctr"/>
        <c:lblOffset val="100"/>
        <c:noMultiLvlLbl val="0"/>
      </c:catAx>
      <c:valAx>
        <c:axId val="166776566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6512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>
                    <a:lumMod val="75000"/>
                  </a:schemeClr>
                </a:solidFill>
              </a:rPr>
              <a:t>Cantidad de Traspasos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16285132106767"/>
          <c:y val="0.18401209406649208"/>
          <c:w val="0.83717921431840892"/>
          <c:h val="0.616100245148962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Traspaso!$C$7</c:f>
              <c:strCache>
                <c:ptCount val="1"/>
                <c:pt idx="0">
                  <c:v>Cedidos (Reparto a SCI)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7.7559880655497029E-3"/>
                  <c:y val="1.4613281051213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Traspaso!$C$8:$C$10</c:f>
              <c:numCache>
                <c:formatCode>General</c:formatCode>
                <c:ptCount val="3"/>
                <c:pt idx="0">
                  <c:v>6</c:v>
                </c:pt>
                <c:pt idx="1">
                  <c:v>4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1B-4846-AF71-C6243F490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65019632"/>
        <c:axId val="1665020176"/>
      </c:barChart>
      <c:lineChart>
        <c:grouping val="standard"/>
        <c:varyColors val="0"/>
        <c:ser>
          <c:idx val="0"/>
          <c:order val="0"/>
          <c:tx>
            <c:strRef>
              <c:f>Traspaso!$B$7</c:f>
              <c:strCache>
                <c:ptCount val="1"/>
                <c:pt idx="0">
                  <c:v>Recibidos (SCI a Reparto)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3.8779940327748159E-3"/>
                  <c:y val="4.46984575932844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1B-4846-AF71-C6243F490D5B}"/>
                </c:ext>
              </c:extLst>
            </c:dLbl>
            <c:dLbl>
              <c:idx val="2"/>
              <c:layout>
                <c:manualLayout>
                  <c:x val="2.7776948677003897E-3"/>
                  <c:y val="-8.3832449750424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1B-4846-AF71-C6243F490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Traspaso!$A$8:$A$10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Traspaso!$B$8:$B$10</c:f>
              <c:numCache>
                <c:formatCode>General</c:formatCode>
                <c:ptCount val="3"/>
                <c:pt idx="0">
                  <c:v>329</c:v>
                </c:pt>
                <c:pt idx="1">
                  <c:v>17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1B-4846-AF71-C6243F490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62418912"/>
        <c:axId val="1862406848"/>
      </c:lineChart>
      <c:catAx>
        <c:axId val="1665019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0176"/>
        <c:crosses val="autoZero"/>
        <c:auto val="1"/>
        <c:lblAlgn val="ctr"/>
        <c:lblOffset val="100"/>
        <c:noMultiLvlLbl val="0"/>
      </c:catAx>
      <c:valAx>
        <c:axId val="1665020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019632"/>
        <c:crosses val="autoZero"/>
        <c:crossBetween val="between"/>
      </c:valAx>
      <c:valAx>
        <c:axId val="18624068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862418912"/>
        <c:crosses val="max"/>
        <c:crossBetween val="between"/>
      </c:valAx>
      <c:catAx>
        <c:axId val="186241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62406848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5350973477992517"/>
          <c:y val="0.9041337293198819"/>
          <c:w val="0.74649022484356753"/>
          <c:h val="8.4775034493234272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800">
                <a:solidFill>
                  <a:schemeClr val="accent1"/>
                </a:solidFill>
              </a:rPr>
              <a:t>Programado</a:t>
            </a:r>
            <a:r>
              <a:rPr lang="es-ES" sz="800" baseline="0">
                <a:solidFill>
                  <a:schemeClr val="accent1"/>
                </a:solidFill>
              </a:rPr>
              <a:t> vs Ejecutado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Programado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8335477608375425E-3"/>
                  <c:y val="0.276593870749314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C-42CC-B337-D1674F2E4349}"/>
                </c:ext>
              </c:extLst>
            </c:dLbl>
            <c:dLbl>
              <c:idx val="1"/>
              <c:layout>
                <c:manualLayout>
                  <c:x val="2.9318096831944741E-3"/>
                  <c:y val="0.272326687951854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C-42CC-B337-D1674F2E4349}"/>
                </c:ext>
              </c:extLst>
            </c:dLbl>
            <c:dLbl>
              <c:idx val="2"/>
              <c:layout>
                <c:manualLayout>
                  <c:x val="3.1158163346941725E-3"/>
                  <c:y val="0.24770022468496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C-42CC-B337-D1674F2E4349}"/>
                </c:ext>
              </c:extLst>
            </c:dLbl>
            <c:dLbl>
              <c:idx val="3"/>
              <c:layout>
                <c:manualLayout>
                  <c:x val="2.9317585865322399E-3"/>
                  <c:y val="0.300522335981448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anchor="ctr" anchorCtr="0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Pensiones'!$B$11:$B$13</c:f>
              <c:numCache>
                <c:formatCode>#,##0</c:formatCode>
                <c:ptCount val="3"/>
                <c:pt idx="0">
                  <c:v>2508842513.0300002</c:v>
                </c:pt>
                <c:pt idx="1">
                  <c:v>2239886421.9000001</c:v>
                </c:pt>
                <c:pt idx="2">
                  <c:v>2218865381.27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01-44D8-A584-F0F60B69051B}"/>
            </c:ext>
          </c:extLst>
        </c:ser>
        <c:ser>
          <c:idx val="1"/>
          <c:order val="1"/>
          <c:tx>
            <c:v>Ejecutado</c:v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8045458235823636E-3"/>
                  <c:y val="0.27098671228958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C-42CC-B337-D1674F2E4349}"/>
                </c:ext>
              </c:extLst>
            </c:dLbl>
            <c:dLbl>
              <c:idx val="1"/>
              <c:layout>
                <c:manualLayout>
                  <c:x val="1.1840428009545826E-3"/>
                  <c:y val="0.27541226808994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9C-42CC-B337-D1674F2E4349}"/>
                </c:ext>
              </c:extLst>
            </c:dLbl>
            <c:dLbl>
              <c:idx val="2"/>
              <c:layout>
                <c:manualLayout>
                  <c:x val="2.9449168731017152E-3"/>
                  <c:y val="0.233175965873311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9C-42CC-B337-D1674F2E4349}"/>
                </c:ext>
              </c:extLst>
            </c:dLbl>
            <c:dLbl>
              <c:idx val="3"/>
              <c:layout>
                <c:manualLayout>
                  <c:x val="5.8635171730644798E-3"/>
                  <c:y val="0.22360624759032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B5-4490-8641-238B14764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Pensiones'!$E$11:$E$13</c:f>
              <c:numCache>
                <c:formatCode>#,##0</c:formatCode>
                <c:ptCount val="3"/>
                <c:pt idx="0">
                  <c:v>2256226854.9400001</c:v>
                </c:pt>
                <c:pt idx="1">
                  <c:v>2249933443.8600001</c:v>
                </c:pt>
                <c:pt idx="2">
                  <c:v>2190086970.8600001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1264"/>
        <c:axId val="1665032144"/>
      </c:barChart>
      <c:lineChart>
        <c:grouping val="standard"/>
        <c:varyColors val="0"/>
        <c:ser>
          <c:idx val="2"/>
          <c:order val="2"/>
          <c:tx>
            <c:v>% Ejecutado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1C01-44D8-A584-F0F60B6905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1C01-44D8-A584-F0F60B69051B}"/>
              </c:ext>
            </c:extLst>
          </c:dPt>
          <c:dLbls>
            <c:dLbl>
              <c:idx val="0"/>
              <c:layout>
                <c:manualLayout>
                  <c:x val="-5.7923871618470353E-2"/>
                  <c:y val="2.5658581204141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9C-42CC-B337-D1674F2E4349}"/>
                </c:ext>
              </c:extLst>
            </c:dLbl>
            <c:dLbl>
              <c:idx val="1"/>
              <c:layout>
                <c:manualLayout>
                  <c:x val="-4.9269040243825182E-2"/>
                  <c:y val="-2.712972634330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01-44D8-A584-F0F60B69051B}"/>
                </c:ext>
              </c:extLst>
            </c:dLbl>
            <c:dLbl>
              <c:idx val="2"/>
              <c:layout>
                <c:manualLayout>
                  <c:x val="-3.4261534787331571E-2"/>
                  <c:y val="-3.5436498082016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01-44D8-A584-F0F60B69051B}"/>
                </c:ext>
              </c:extLst>
            </c:dLbl>
            <c:dLbl>
              <c:idx val="3"/>
              <c:layout>
                <c:manualLayout>
                  <c:x val="-2.0522310105725677E-2"/>
                  <c:y val="-5.1309620836715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A9-4B6E-B63A-43C37AF34B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'Presupuesto de Pensiones'!$A$11:$A$13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'Presupuesto de Pensiones'!$F$11:$F$13</c:f>
              <c:numCache>
                <c:formatCode>0%</c:formatCode>
                <c:ptCount val="3"/>
                <c:pt idx="0">
                  <c:v>0.89921812731483164</c:v>
                </c:pt>
                <c:pt idx="1">
                  <c:v>1.0041690950282935</c:v>
                </c:pt>
                <c:pt idx="2">
                  <c:v>0.98689088180941709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C01-44D8-A584-F0F60B690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5032688"/>
        <c:axId val="1665026160"/>
      </c:lineChart>
      <c:catAx>
        <c:axId val="1665021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2144"/>
        <c:crosses val="autoZero"/>
        <c:auto val="1"/>
        <c:lblAlgn val="ctr"/>
        <c:lblOffset val="100"/>
        <c:noMultiLvlLbl val="0"/>
      </c:catAx>
      <c:valAx>
        <c:axId val="166503214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1264"/>
        <c:crosses val="autoZero"/>
        <c:crossBetween val="between"/>
      </c:valAx>
      <c:valAx>
        <c:axId val="1665026160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5032688"/>
        <c:crosses val="max"/>
        <c:crossBetween val="between"/>
      </c:valAx>
      <c:catAx>
        <c:axId val="1665032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5026160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% Monto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v>4,835,209,400</c:v>
          </c:tx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accent3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3E-45F1-A77D-4A3BE75DB07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Civiles
79%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F3E-45F1-A77D-4A3BE75DB07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accent1"/>
                        </a:solidFill>
                      </a:rPr>
                      <a:t>PN
21%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F3E-45F1-A77D-4A3BE75DB07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1"/>
                    </a:solidFill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(Nómina!$D$27,Nómina!$J$27)</c:f>
            </c:numRef>
          </c:val>
          <c:extLst>
            <c:ext xmlns:c16="http://schemas.microsoft.com/office/drawing/2014/chart" uri="{C3380CC4-5D6E-409C-BE32-E72D297353CC}">
              <c16:uniqueId val="{00000003-7F3E-45F1-A77D-4A3BE75DB0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1471526098266"/>
          <c:y val="0.13154844993940878"/>
          <c:w val="0.82866557875303415"/>
          <c:h val="0.69190263993496037"/>
        </c:manualLayout>
      </c:layout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2.6166165550448378E-3"/>
                  <c:y val="0.280286959840681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D9-494F-9FD7-D7A98F07ECC5}"/>
                </c:ext>
              </c:extLst>
            </c:dLbl>
            <c:dLbl>
              <c:idx val="1"/>
              <c:layout>
                <c:manualLayout>
                  <c:x val="-1.9338092923303063E-4"/>
                  <c:y val="0.2811533092209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D9-494F-9FD7-D7A98F07ECC5}"/>
                </c:ext>
              </c:extLst>
            </c:dLbl>
            <c:dLbl>
              <c:idx val="2"/>
              <c:layout>
                <c:manualLayout>
                  <c:x val="8.2366115236005497E-3"/>
                  <c:y val="0.279420610460411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Nómina!$B$9:$B$11</c:f>
              <c:numCache>
                <c:formatCode>_(* #,##0_);_(* \(#,##0\);_(* "-"??_);_(@_)</c:formatCode>
                <c:ptCount val="3"/>
                <c:pt idx="0">
                  <c:v>117259</c:v>
                </c:pt>
                <c:pt idx="1">
                  <c:v>117272</c:v>
                </c:pt>
                <c:pt idx="2">
                  <c:v>116619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D9-494F-9FD7-D7A98F07ECC5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D9-494F-9FD7-D7A98F07ECC5}"/>
                </c:ext>
              </c:extLst>
            </c:dLbl>
            <c:dLbl>
              <c:idx val="1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D9-494F-9FD7-D7A98F07ECC5}"/>
                </c:ext>
              </c:extLst>
            </c:dLbl>
            <c:dLbl>
              <c:idx val="2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D9-494F-9FD7-D7A98F07E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Nómina!$E$9:$E$11</c:f>
              <c:numCache>
                <c:formatCode>_(* #,##0_);_(* \(#,##0\);_(* "-"??_);_(@_)</c:formatCode>
                <c:ptCount val="3"/>
                <c:pt idx="0">
                  <c:v>16112</c:v>
                </c:pt>
                <c:pt idx="1">
                  <c:v>15670</c:v>
                </c:pt>
                <c:pt idx="2">
                  <c:v>9806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3D9-494F-9FD7-D7A98F07ECC5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Nómina!$H$9:$H$11</c:f>
              <c:numCache>
                <c:formatCode>_(* #,##0_);_(* \(#,##0\);_(* "-"??_);_(@_)</c:formatCode>
                <c:ptCount val="3"/>
                <c:pt idx="0">
                  <c:v>21355</c:v>
                </c:pt>
                <c:pt idx="1">
                  <c:v>21366</c:v>
                </c:pt>
                <c:pt idx="2">
                  <c:v>21389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F-40C1-B7CC-955B6C3781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33232"/>
        <c:axId val="1665027248"/>
      </c:barChart>
      <c:catAx>
        <c:axId val="1665033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7248"/>
        <c:crosses val="autoZero"/>
        <c:auto val="1"/>
        <c:lblAlgn val="ctr"/>
        <c:lblOffset val="100"/>
        <c:noMultiLvlLbl val="0"/>
      </c:catAx>
      <c:valAx>
        <c:axId val="166502724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33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1335770283434614"/>
          <c:y val="0.93137511312911292"/>
          <c:w val="0.22633816425502665"/>
          <c:h val="6.5109557839156396E-2"/>
        </c:manualLayout>
      </c:layout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1.8258793274707537E-3"/>
                  <c:y val="0.182871159511427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BD-4A0D-BE09-D21C77B6043E}"/>
                </c:ext>
              </c:extLst>
            </c:dLbl>
            <c:dLbl>
              <c:idx val="1"/>
              <c:layout>
                <c:manualLayout>
                  <c:x val="1.8258793274707537E-3"/>
                  <c:y val="0.18862088526761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0.17824149844191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Nómina!$C$9:$C$11</c:f>
              <c:numCache>
                <c:formatCode>_(* #,##0_);_(* \(#,##0\);_(* "-"??_);_(@_)</c:formatCode>
                <c:ptCount val="3"/>
                <c:pt idx="0">
                  <c:v>129626</c:v>
                </c:pt>
                <c:pt idx="1">
                  <c:v>129725</c:v>
                </c:pt>
                <c:pt idx="2">
                  <c:v>129056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BD-4A0D-BE09-D21C77B6043E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BD-4A0D-BE09-D21C77B6043E}"/>
                </c:ext>
              </c:extLst>
            </c:dLbl>
            <c:dLbl>
              <c:idx val="1"/>
              <c:layout>
                <c:manualLayout>
                  <c:x val="1.30405795883616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D-4A0D-BE09-D21C77B6043E}"/>
                </c:ext>
              </c:extLst>
            </c:dLbl>
            <c:dLbl>
              <c:idx val="2"/>
              <c:layout>
                <c:manualLayout>
                  <c:x val="-9.5208122101056675E-4"/>
                  <c:y val="1.7249177268572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BD-4A0D-BE09-D21C77B604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Nómina!$F$9:$F$11</c:f>
              <c:numCache>
                <c:formatCode>_(* #,##0_);_(* \(#,##0\);_(* "-"??_);_(@_)</c:formatCode>
                <c:ptCount val="3"/>
                <c:pt idx="0">
                  <c:v>16112</c:v>
                </c:pt>
                <c:pt idx="1">
                  <c:v>15670</c:v>
                </c:pt>
                <c:pt idx="2">
                  <c:v>9806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CBD-4A0D-BE09-D21C77B6043E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6143564425193773E-17"/>
                  <c:y val="5.7497257561908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A7-42AB-9E5A-58FEC411AE86}"/>
                </c:ext>
              </c:extLst>
            </c:dLbl>
            <c:dLbl>
              <c:idx val="1"/>
              <c:layout>
                <c:manualLayout>
                  <c:x val="0"/>
                  <c:y val="5.7497257561907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A7-42AB-9E5A-58FEC411AE86}"/>
                </c:ext>
              </c:extLst>
            </c:dLbl>
            <c:dLbl>
              <c:idx val="2"/>
              <c:layout>
                <c:manualLayout>
                  <c:x val="2.5169507716138687E-3"/>
                  <c:y val="1.724917726857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A7-42AB-9E5A-58FEC411AE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Nómina!$I$9:$I$11</c:f>
              <c:numCache>
                <c:formatCode>_(* #,##0_);_(* \(#,##0\);_(* "-"??_);_(@_)</c:formatCode>
                <c:ptCount val="3"/>
                <c:pt idx="0">
                  <c:v>21419</c:v>
                </c:pt>
                <c:pt idx="1">
                  <c:v>21429</c:v>
                </c:pt>
                <c:pt idx="2">
                  <c:v>21451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7-4C8F-829E-12F6B5EA66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8880"/>
        <c:axId val="1665018544"/>
      </c:barChart>
      <c:catAx>
        <c:axId val="1665028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18544"/>
        <c:crosses val="autoZero"/>
        <c:auto val="1"/>
        <c:lblAlgn val="ctr"/>
        <c:lblOffset val="100"/>
        <c:noMultiLvlLbl val="0"/>
      </c:catAx>
      <c:valAx>
        <c:axId val="166501854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8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PC</c:v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4.9402791952599815E-3"/>
                  <c:y val="0.192856496451481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AB-4ACC-9DB2-E039C3656B7D}"/>
                </c:ext>
              </c:extLst>
            </c:dLbl>
            <c:dLbl>
              <c:idx val="1"/>
              <c:layout>
                <c:manualLayout>
                  <c:x val="-5.5544341463445307E-3"/>
                  <c:y val="0.215137415898894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AB-4ACC-9DB2-E039C3656B7D}"/>
                </c:ext>
              </c:extLst>
            </c:dLbl>
            <c:dLbl>
              <c:idx val="2"/>
              <c:layout>
                <c:manualLayout>
                  <c:x val="-2.8154707518661961E-3"/>
                  <c:y val="0.23723951716480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AB-4ACC-9DB2-E039C3656B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Nómina!$D$9:$D$11</c:f>
              <c:numCache>
                <c:formatCode>_(* #,##0_);_(* \(#,##0\);_(* "-"??_);_(@_)</c:formatCode>
                <c:ptCount val="3"/>
                <c:pt idx="0">
                  <c:v>1652476440.6800001</c:v>
                </c:pt>
                <c:pt idx="1">
                  <c:v>1649838556.3800001</c:v>
                </c:pt>
                <c:pt idx="2">
                  <c:v>1637299424.1300001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53-4019-BFDC-2A350F855EE7}"/>
            </c:ext>
          </c:extLst>
        </c:ser>
        <c:ser>
          <c:idx val="1"/>
          <c:order val="1"/>
          <c:tx>
            <c:v>PS</c:v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888958688751932E-3"/>
                  <c:y val="1.788181815017594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5C-498E-B306-189846393CDE}"/>
                </c:ext>
              </c:extLst>
            </c:dLbl>
            <c:dLbl>
              <c:idx val="1"/>
              <c:layout>
                <c:manualLayout>
                  <c:x val="9.1129695062634377E-3"/>
                  <c:y val="1.6576575949433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5C-498E-B306-189846393CDE}"/>
                </c:ext>
              </c:extLst>
            </c:dLbl>
            <c:dLbl>
              <c:idx val="2"/>
              <c:layout>
                <c:manualLayout>
                  <c:x val="6.2974987543972412E-3"/>
                  <c:y val="5.52552531647767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Nómina!$A$9:$A$11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Nómina!$G$9:$G$11</c:f>
              <c:numCache>
                <c:formatCode>_(* #,##0_);_(* \(#,##0\);_(* "-"??_);_(@_)</c:formatCode>
                <c:ptCount val="3"/>
                <c:pt idx="0">
                  <c:v>96672000</c:v>
                </c:pt>
                <c:pt idx="1">
                  <c:v>94020000</c:v>
                </c:pt>
                <c:pt idx="2">
                  <c:v>58836000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53-4019-BFDC-2A350F855EE7}"/>
            </c:ext>
          </c:extLst>
        </c:ser>
        <c:ser>
          <c:idx val="2"/>
          <c:order val="2"/>
          <c:tx>
            <c:v>PN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2952385384117803E-3"/>
                  <c:y val="-2.532503181026103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5C-498E-B306-189846393CDE}"/>
                </c:ext>
              </c:extLst>
            </c:dLbl>
            <c:dLbl>
              <c:idx val="1"/>
              <c:layout>
                <c:manualLayout>
                  <c:x val="4.6332017197177064E-3"/>
                  <c:y val="5.5255253164777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5C-498E-B306-189846393CDE}"/>
                </c:ext>
              </c:extLst>
            </c:dLbl>
            <c:dLbl>
              <c:idx val="2"/>
              <c:layout>
                <c:manualLayout>
                  <c:x val="7.4488820807821271E-3"/>
                  <c:y val="5.52552531647772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5C-498E-B306-189846393C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Nómina!$J$9:$J$11</c:f>
              <c:numCache>
                <c:formatCode>_(* #,##0_);_(* \(#,##0\);_(* "-"??_);_(@_)</c:formatCode>
                <c:ptCount val="3"/>
                <c:pt idx="0">
                  <c:v>481455980.31999999</c:v>
                </c:pt>
                <c:pt idx="1">
                  <c:v>469897614.08999997</c:v>
                </c:pt>
                <c:pt idx="2">
                  <c:v>467789023.38999999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D-447F-87D6-9DFFE7E603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5023984"/>
        <c:axId val="1665028336"/>
      </c:barChart>
      <c:catAx>
        <c:axId val="166502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28336"/>
        <c:crosses val="autoZero"/>
        <c:auto val="1"/>
        <c:lblAlgn val="ctr"/>
        <c:lblOffset val="100"/>
        <c:noMultiLvlLbl val="0"/>
      </c:catAx>
      <c:valAx>
        <c:axId val="166502833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650239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Pensiones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8485851887606E-3"/>
                  <c:y val="0.2082864594838247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F-409D-B8DA-00FECF4961CB}"/>
                </c:ext>
              </c:extLst>
            </c:dLbl>
            <c:dLbl>
              <c:idx val="1"/>
              <c:layout>
                <c:manualLayout>
                  <c:x val="-2.4868485851888061E-3"/>
                  <c:y val="0.2278133150604332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F-409D-B8DA-00FECF4961CB}"/>
                </c:ext>
              </c:extLst>
            </c:dLbl>
            <c:dLbl>
              <c:idx val="2"/>
              <c:layout>
                <c:manualLayout>
                  <c:x val="0"/>
                  <c:y val="0.234322266919302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Movimientos!$B$9:$B$11</c:f>
              <c:numCache>
                <c:formatCode>#,##0</c:formatCode>
                <c:ptCount val="3"/>
                <c:pt idx="0">
                  <c:v>1322</c:v>
                </c:pt>
                <c:pt idx="1">
                  <c:v>7337</c:v>
                </c:pt>
                <c:pt idx="2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2-4033-860E-FF0E9A955014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8548109438340837E-6"/>
                  <c:y val="0.2052036410083434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8F-409D-B8DA-00FECF4961CB}"/>
                </c:ext>
              </c:extLst>
            </c:dLbl>
            <c:dLbl>
              <c:idx val="1"/>
              <c:layout>
                <c:manualLayout>
                  <c:x val="4.6290120230386292E-3"/>
                  <c:y val="0.1735487304305543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8F-409D-B8DA-00FECF4961CB}"/>
                </c:ext>
              </c:extLst>
            </c:dLbl>
            <c:dLbl>
              <c:idx val="2"/>
              <c:layout>
                <c:manualLayout>
                  <c:x val="2.3222581125892905E-3"/>
                  <c:y val="0.1490198516519689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Movimientos!$D$9:$D$11</c:f>
              <c:numCache>
                <c:formatCode>#,##0</c:formatCode>
                <c:ptCount val="3"/>
                <c:pt idx="0">
                  <c:v>6524</c:v>
                </c:pt>
                <c:pt idx="1">
                  <c:v>54</c:v>
                </c:pt>
                <c:pt idx="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82-4033-860E-FF0E9A955014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1822506520483466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8F-409D-B8DA-00FECF4961CB}"/>
                </c:ext>
              </c:extLst>
            </c:dLbl>
            <c:dLbl>
              <c:idx val="1"/>
              <c:layout>
                <c:manualLayout>
                  <c:x val="0"/>
                  <c:y val="0.201777507624955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88759603907216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Movimientos!$F$9:$F$11</c:f>
              <c:numCache>
                <c:formatCode>#,##0</c:formatCode>
                <c:ptCount val="3"/>
                <c:pt idx="0">
                  <c:v>639</c:v>
                </c:pt>
                <c:pt idx="1">
                  <c:v>420</c:v>
                </c:pt>
                <c:pt idx="2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82-4033-860E-FF0E9A955014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2446002643670107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8F-409D-B8DA-00FECF4961CB}"/>
                </c:ext>
              </c:extLst>
            </c:dLbl>
            <c:dLbl>
              <c:idx val="1"/>
              <c:layout>
                <c:manualLayout>
                  <c:x val="2.4868485851887606E-3"/>
                  <c:y val="0.1757417001894770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8F-409D-B8DA-00FECF4961CB}"/>
                </c:ext>
              </c:extLst>
            </c:dLbl>
            <c:dLbl>
              <c:idx val="2"/>
              <c:layout>
                <c:manualLayout>
                  <c:x val="0"/>
                  <c:y val="0.175741700189477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58F-409D-B8DA-00FECF4961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Movimientos!$H$9:$H$11</c:f>
              <c:numCache>
                <c:formatCode>#,##0</c:formatCode>
                <c:ptCount val="3"/>
                <c:pt idx="0">
                  <c:v>350</c:v>
                </c:pt>
                <c:pt idx="1">
                  <c:v>406</c:v>
                </c:pt>
                <c:pt idx="2">
                  <c:v>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82-4033-860E-FF0E9A9550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2896"/>
        <c:axId val="1665031056"/>
      </c:barChart>
      <c:catAx>
        <c:axId val="1665022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5031056"/>
        <c:crosses val="autoZero"/>
        <c:auto val="1"/>
        <c:lblAlgn val="ctr"/>
        <c:lblOffset val="100"/>
        <c:noMultiLvlLbl val="0"/>
      </c:catAx>
      <c:valAx>
        <c:axId val="1665031056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28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DO" sz="1200">
                <a:solidFill>
                  <a:schemeClr val="accent5">
                    <a:lumMod val="75000"/>
                  </a:schemeClr>
                </a:solidFill>
              </a:rPr>
              <a:t>Monto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Inclusiones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486909372692307E-3"/>
                  <c:y val="0.3025642857706242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FF-4828-BAD6-C3A255569C39}"/>
                </c:ext>
              </c:extLst>
            </c:dLbl>
            <c:dLbl>
              <c:idx val="1"/>
              <c:layout>
                <c:manualLayout>
                  <c:x val="-2.4869093726923282E-3"/>
                  <c:y val="0.322090698577531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85996575013559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Movimientos!$C$9:$C$11</c:f>
              <c:numCache>
                <c:formatCode>#,##0</c:formatCode>
                <c:ptCount val="3"/>
                <c:pt idx="0">
                  <c:v>14519250.74</c:v>
                </c:pt>
                <c:pt idx="1">
                  <c:v>57019638.060000002</c:v>
                </c:pt>
                <c:pt idx="2">
                  <c:v>15761730.609999999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FF-4828-BAD6-C3A255569C39}"/>
            </c:ext>
          </c:extLst>
        </c:ser>
        <c:ser>
          <c:idx val="1"/>
          <c:order val="1"/>
          <c:tx>
            <c:v>Aumentos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3233312007718793E-3"/>
                  <c:y val="0.3348353412946560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FF-4828-BAD6-C3A255569C39}"/>
                </c:ext>
              </c:extLst>
            </c:dLbl>
            <c:dLbl>
              <c:idx val="1"/>
              <c:layout>
                <c:manualLayout>
                  <c:x val="0"/>
                  <c:y val="0.2972880807038527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FF-4828-BAD6-C3A255569C39}"/>
                </c:ext>
              </c:extLst>
            </c:dLbl>
            <c:dLbl>
              <c:idx val="2"/>
              <c:layout>
                <c:manualLayout>
                  <c:x val="2.322342527936185E-3"/>
                  <c:y val="0.2845439019512958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Movimientos!$E$9:$E$11</c:f>
              <c:numCache>
                <c:formatCode>#,##0</c:formatCode>
                <c:ptCount val="3"/>
                <c:pt idx="0">
                  <c:v>13308312.51</c:v>
                </c:pt>
                <c:pt idx="1">
                  <c:v>1701943.41</c:v>
                </c:pt>
                <c:pt idx="2">
                  <c:v>783739.99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AFF-4828-BAD6-C3A255569C39}"/>
            </c:ext>
          </c:extLst>
        </c:ser>
        <c:ser>
          <c:idx val="2"/>
          <c:order val="2"/>
          <c:tx>
            <c:v>Exclusiones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0.3059902001403956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FF-4828-BAD6-C3A255569C39}"/>
                </c:ext>
              </c:extLst>
            </c:dLbl>
            <c:dLbl>
              <c:idx val="1"/>
              <c:layout>
                <c:manualLayout>
                  <c:x val="-2.3145060115193996E-3"/>
                  <c:y val="0.3314094269248846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FF-4828-BAD6-C3A255569C39}"/>
                </c:ext>
              </c:extLst>
            </c:dLbl>
            <c:dLbl>
              <c:idx val="2"/>
              <c:layout>
                <c:manualLayout>
                  <c:x val="-8.4864240063431912E-17"/>
                  <c:y val="0.312499159064220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Movimientos!$G$9:$G$11</c:f>
              <c:numCache>
                <c:formatCode>#,##0</c:formatCode>
                <c:ptCount val="3"/>
                <c:pt idx="0">
                  <c:v>7167056.3300000001</c:v>
                </c:pt>
                <c:pt idx="1">
                  <c:v>4669563.04</c:v>
                </c:pt>
                <c:pt idx="2">
                  <c:v>2941843.77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FF-4828-BAD6-C3A255569C39}"/>
            </c:ext>
          </c:extLst>
        </c:ser>
        <c:ser>
          <c:idx val="3"/>
          <c:order val="3"/>
          <c:tx>
            <c:v>Suspensiones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4.2432120031715956E-17"/>
                  <c:y val="0.3153084645231812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FF-4828-BAD6-C3A255569C39}"/>
                </c:ext>
              </c:extLst>
            </c:dLbl>
            <c:dLbl>
              <c:idx val="1"/>
              <c:layout>
                <c:manualLayout>
                  <c:x val="4.8014153842116424E-3"/>
                  <c:y val="0.311265941242599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AFF-4828-BAD6-C3A255569C39}"/>
                </c:ext>
              </c:extLst>
            </c:dLbl>
            <c:dLbl>
              <c:idx val="2"/>
              <c:layout>
                <c:manualLayout>
                  <c:x val="0"/>
                  <c:y val="0.32305064126862759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AFF-4828-BAD6-C3A255569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Movimientos!$A$9:$A$11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Movimientos!$I$9:$I$11</c:f>
              <c:numCache>
                <c:formatCode>#,##0</c:formatCode>
                <c:ptCount val="3"/>
                <c:pt idx="0">
                  <c:v>3848755.86</c:v>
                </c:pt>
                <c:pt idx="1">
                  <c:v>4231362.9800000004</c:v>
                </c:pt>
                <c:pt idx="2">
                  <c:v>3847902.1100000003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AFF-4828-BAD6-C3A255569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665025616"/>
        <c:axId val="1670809952"/>
      </c:barChart>
      <c:catAx>
        <c:axId val="1665025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0809952"/>
        <c:crosses val="autoZero"/>
        <c:auto val="1"/>
        <c:lblAlgn val="ctr"/>
        <c:lblOffset val="100"/>
        <c:noMultiLvlLbl val="0"/>
      </c:catAx>
      <c:valAx>
        <c:axId val="1670809952"/>
        <c:scaling>
          <c:logBase val="10"/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502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solidFill>
        <a:schemeClr val="bg1"/>
      </a:solidFill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Pension'!$B$9:$B$17</c:f>
              <c:numCache>
                <c:formatCode>#,##0</c:formatCode>
                <c:ptCount val="9"/>
                <c:pt idx="0">
                  <c:v>31019</c:v>
                </c:pt>
                <c:pt idx="1">
                  <c:v>59255</c:v>
                </c:pt>
                <c:pt idx="2">
                  <c:v>276</c:v>
                </c:pt>
                <c:pt idx="3">
                  <c:v>164</c:v>
                </c:pt>
                <c:pt idx="4">
                  <c:v>304</c:v>
                </c:pt>
                <c:pt idx="5">
                  <c:v>18929</c:v>
                </c:pt>
                <c:pt idx="6">
                  <c:v>21161</c:v>
                </c:pt>
                <c:pt idx="7">
                  <c:v>10167</c:v>
                </c:pt>
                <c:pt idx="8">
                  <c:v>17066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9-4047-9F40-71C6BD8AD3E7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Pension'!$F$9:$F$17</c:f>
              <c:numCache>
                <c:formatCode>#,##0</c:formatCode>
                <c:ptCount val="9"/>
                <c:pt idx="0">
                  <c:v>31137</c:v>
                </c:pt>
                <c:pt idx="1">
                  <c:v>59538</c:v>
                </c:pt>
                <c:pt idx="2">
                  <c:v>272</c:v>
                </c:pt>
                <c:pt idx="3">
                  <c:v>165</c:v>
                </c:pt>
                <c:pt idx="4">
                  <c:v>291</c:v>
                </c:pt>
                <c:pt idx="5">
                  <c:v>18719</c:v>
                </c:pt>
                <c:pt idx="6">
                  <c:v>21144</c:v>
                </c:pt>
                <c:pt idx="7">
                  <c:v>9753</c:v>
                </c:pt>
                <c:pt idx="8">
                  <c:v>17481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9-4047-9F40-71C6BD8AD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1792"/>
        <c:axId val="1670802336"/>
      </c:barChart>
      <c:catAx>
        <c:axId val="167080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336"/>
        <c:crosses val="autoZero"/>
        <c:auto val="1"/>
        <c:lblAlgn val="ctr"/>
        <c:lblOffset val="100"/>
        <c:noMultiLvlLbl val="0"/>
      </c:catAx>
      <c:valAx>
        <c:axId val="167080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1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D-4104-B3CC-8200D90701E9}"/>
                </c:ext>
              </c:extLst>
            </c:dLbl>
            <c:dLbl>
              <c:idx val="1"/>
              <c:layout>
                <c:manualLayout>
                  <c:x val="-2.5816702227310574E-3"/>
                  <c:y val="0.477557014024595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D-4104-B3CC-8200D90701E9}"/>
                </c:ext>
              </c:extLst>
            </c:dLbl>
            <c:dLbl>
              <c:idx val="2"/>
              <c:layout>
                <c:manualLayout>
                  <c:x val="-9.4815498035064744E-17"/>
                  <c:y val="0.267403366459109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FD-4104-B3CC-8200D9070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93979</c:v>
                </c:pt>
                <c:pt idx="1">
                  <c:v>93855</c:v>
                </c:pt>
                <c:pt idx="2">
                  <c:v>94075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0A-4452-858C-7F9BABBFE773}"/>
            </c:ext>
          </c:extLst>
        </c:ser>
        <c:ser>
          <c:idx val="1"/>
          <c:order val="1"/>
          <c:tx>
            <c:strRef>
              <c:f>'Afiliados y Cotizantes'!$C$6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7.75772127423728E-3"/>
                  <c:y val="0.222149164215909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07-4111-9C6F-70426A98AB28}"/>
                </c:ext>
              </c:extLst>
            </c:dLbl>
            <c:dLbl>
              <c:idx val="1"/>
              <c:layout>
                <c:manualLayout>
                  <c:x val="0"/>
                  <c:y val="0.211532829233089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FD-4C7D-AD24-E902661EFCBE}"/>
                </c:ext>
              </c:extLst>
            </c:dLbl>
            <c:dLbl>
              <c:idx val="2"/>
              <c:layout>
                <c:manualLayout>
                  <c:x val="2.5859070914124264E-3"/>
                  <c:y val="0.234607996203774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FD-4104-B3CC-8200D90701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Cotizantes'!$C$7:$C$9</c:f>
              <c:numCache>
                <c:formatCode>#,##0</c:formatCode>
                <c:ptCount val="3"/>
                <c:pt idx="0">
                  <c:v>31974</c:v>
                </c:pt>
                <c:pt idx="1">
                  <c:v>30662</c:v>
                </c:pt>
                <c:pt idx="2">
                  <c:v>31296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0A-4452-858C-7F9BABBFE7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578271600"/>
        <c:axId val="1578260720"/>
      </c:barChart>
      <c:lineChart>
        <c:grouping val="standard"/>
        <c:varyColors val="0"/>
        <c:ser>
          <c:idx val="2"/>
          <c:order val="2"/>
          <c:tx>
            <c:strRef>
              <c:f>'Afiliados y Cotizantes'!$D$6</c:f>
              <c:strCache>
                <c:ptCount val="1"/>
                <c:pt idx="0">
                  <c:v>%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272093495421197E-3"/>
                  <c:y val="-8.1490126180545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07-4111-9C6F-70426A98AB28}"/>
                </c:ext>
              </c:extLst>
            </c:dLbl>
            <c:dLbl>
              <c:idx val="1"/>
              <c:layout>
                <c:manualLayout>
                  <c:x val="-2.3235032004579517E-2"/>
                  <c:y val="-0.113737411883746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07-4111-9C6F-70426A98AB28}"/>
                </c:ext>
              </c:extLst>
            </c:dLbl>
            <c:dLbl>
              <c:idx val="2"/>
              <c:layout>
                <c:manualLayout>
                  <c:x val="-7.7512056028258463E-3"/>
                  <c:y val="-3.98729269105478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="1"/>
                  </a:pPr>
                  <a:endParaRPr lang="es-D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047766387117218E-2"/>
                      <c:h val="0.172051903876195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D25-44E4-888B-15C391A2CD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Cotizantes'!$D$7:$D$9</c:f>
              <c:numCache>
                <c:formatCode>0%</c:formatCode>
                <c:ptCount val="3"/>
                <c:pt idx="0">
                  <c:v>0.34022494387043917</c:v>
                </c:pt>
                <c:pt idx="1">
                  <c:v>0.32669543444675297</c:v>
                </c:pt>
                <c:pt idx="2">
                  <c:v>0.33267074142971031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10A-4452-858C-7F9BABBFE77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8262352"/>
        <c:axId val="1578258544"/>
      </c:lineChart>
      <c:catAx>
        <c:axId val="157827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78260720"/>
        <c:crosses val="autoZero"/>
        <c:auto val="1"/>
        <c:lblAlgn val="ctr"/>
        <c:lblOffset val="100"/>
        <c:noMultiLvlLbl val="0"/>
      </c:catAx>
      <c:valAx>
        <c:axId val="15782607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578271600"/>
        <c:crosses val="autoZero"/>
        <c:crossBetween val="between"/>
      </c:valAx>
      <c:valAx>
        <c:axId val="15782585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578262352"/>
        <c:crosses val="max"/>
        <c:crossBetween val="between"/>
      </c:valAx>
      <c:catAx>
        <c:axId val="15782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78258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Tipo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Pension'!$D$9:$D$17</c:f>
              <c:numCache>
                <c:formatCode>#,##0</c:formatCode>
                <c:ptCount val="9"/>
                <c:pt idx="0">
                  <c:v>1173442137.0700002</c:v>
                </c:pt>
                <c:pt idx="1">
                  <c:v>1519841427.98</c:v>
                </c:pt>
                <c:pt idx="2">
                  <c:v>14051194.5</c:v>
                </c:pt>
                <c:pt idx="3">
                  <c:v>13794113.449999999</c:v>
                </c:pt>
                <c:pt idx="4">
                  <c:v>24475306.240000002</c:v>
                </c:pt>
                <c:pt idx="5">
                  <c:v>1270376143.8499999</c:v>
                </c:pt>
                <c:pt idx="6">
                  <c:v>1349942285</c:v>
                </c:pt>
                <c:pt idx="7">
                  <c:v>182934000</c:v>
                </c:pt>
                <c:pt idx="8">
                  <c:v>521272530.97000003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9-44D0-B52B-F7CCBE23C12D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Pension'!$A$9:$A$17</c:f>
              <c:strCache>
                <c:ptCount val="9"/>
                <c:pt idx="0">
                  <c:v>PENSIÓN CIVIL</c:v>
                </c:pt>
                <c:pt idx="1">
                  <c:v>IDSS</c:v>
                </c:pt>
                <c:pt idx="2">
                  <c:v>GLORIAS DEL DEPORTE</c:v>
                </c:pt>
                <c:pt idx="3">
                  <c:v>PABELLÓN DE LA FAMA</c:v>
                </c:pt>
                <c:pt idx="4">
                  <c:v>PODER LEGISLATIVO</c:v>
                </c:pt>
                <c:pt idx="5">
                  <c:v>PODER EJECUTIVO</c:v>
                </c:pt>
                <c:pt idx="6">
                  <c:v>POLICÍA NACIONAL</c:v>
                </c:pt>
                <c:pt idx="7">
                  <c:v>PENSIÓN SOLIDARIA</c:v>
                </c:pt>
                <c:pt idx="8">
                  <c:v>PENSION POR SOBREVIVENCIA</c:v>
                </c:pt>
              </c:strCache>
            </c:strRef>
          </c:cat>
          <c:val>
            <c:numRef>
              <c:f>'Tipo de Pension'!$H$9:$H$17</c:f>
              <c:numCache>
                <c:formatCode>#,##0</c:formatCode>
                <c:ptCount val="9"/>
                <c:pt idx="0">
                  <c:v>1176044296.6300001</c:v>
                </c:pt>
                <c:pt idx="1">
                  <c:v>1541474639.6500001</c:v>
                </c:pt>
                <c:pt idx="2">
                  <c:v>13814766</c:v>
                </c:pt>
                <c:pt idx="3">
                  <c:v>14317246.57</c:v>
                </c:pt>
                <c:pt idx="4">
                  <c:v>23892285.82</c:v>
                </c:pt>
                <c:pt idx="5">
                  <c:v>1266294876.3800001</c:v>
                </c:pt>
                <c:pt idx="6">
                  <c:v>1355419605.6700001</c:v>
                </c:pt>
                <c:pt idx="7">
                  <c:v>178296000</c:v>
                </c:pt>
                <c:pt idx="8">
                  <c:v>538130177.79999995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9-44D0-B52B-F7CCBE23C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8864"/>
        <c:axId val="1670811040"/>
      </c:barChart>
      <c:catAx>
        <c:axId val="167080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1040"/>
        <c:crosses val="autoZero"/>
        <c:auto val="1"/>
        <c:lblAlgn val="ctr"/>
        <c:lblOffset val="100"/>
        <c:noMultiLvlLbl val="0"/>
      </c:catAx>
      <c:valAx>
        <c:axId val="167081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Monto de Pensión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Pension'!$B$32:$B$44</c:f>
              <c:numCache>
                <c:formatCode>#,##0</c:formatCode>
                <c:ptCount val="13"/>
                <c:pt idx="0">
                  <c:v>45</c:v>
                </c:pt>
                <c:pt idx="1">
                  <c:v>1</c:v>
                </c:pt>
                <c:pt idx="2">
                  <c:v>92637</c:v>
                </c:pt>
                <c:pt idx="3">
                  <c:v>19649</c:v>
                </c:pt>
                <c:pt idx="4">
                  <c:v>6559</c:v>
                </c:pt>
                <c:pt idx="5">
                  <c:v>3631</c:v>
                </c:pt>
                <c:pt idx="6">
                  <c:v>2221</c:v>
                </c:pt>
                <c:pt idx="7">
                  <c:v>1221</c:v>
                </c:pt>
                <c:pt idx="8">
                  <c:v>264</c:v>
                </c:pt>
                <c:pt idx="9">
                  <c:v>185</c:v>
                </c:pt>
                <c:pt idx="10">
                  <c:v>254</c:v>
                </c:pt>
                <c:pt idx="11">
                  <c:v>299</c:v>
                </c:pt>
                <c:pt idx="1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E5-4C06-ADE3-C67B6B3CDF6E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Pension'!$F$32:$F$44</c:f>
              <c:numCache>
                <c:formatCode>#,##0</c:formatCode>
                <c:ptCount val="13"/>
                <c:pt idx="0">
                  <c:v>44</c:v>
                </c:pt>
                <c:pt idx="1">
                  <c:v>1</c:v>
                </c:pt>
                <c:pt idx="2">
                  <c:v>91543</c:v>
                </c:pt>
                <c:pt idx="3">
                  <c:v>21220</c:v>
                </c:pt>
                <c:pt idx="4">
                  <c:v>6548</c:v>
                </c:pt>
                <c:pt idx="5">
                  <c:v>3632</c:v>
                </c:pt>
                <c:pt idx="6">
                  <c:v>2268</c:v>
                </c:pt>
                <c:pt idx="7">
                  <c:v>1235</c:v>
                </c:pt>
                <c:pt idx="8">
                  <c:v>278</c:v>
                </c:pt>
                <c:pt idx="9">
                  <c:v>200</c:v>
                </c:pt>
                <c:pt idx="10">
                  <c:v>285</c:v>
                </c:pt>
                <c:pt idx="11">
                  <c:v>299</c:v>
                </c:pt>
                <c:pt idx="12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5-4C06-ADE3-C67B6B3CD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12128"/>
        <c:axId val="1670796896"/>
      </c:barChart>
      <c:catAx>
        <c:axId val="16708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6896"/>
        <c:crosses val="autoZero"/>
        <c:auto val="1"/>
        <c:lblAlgn val="ctr"/>
        <c:lblOffset val="100"/>
        <c:noMultiLvlLbl val="0"/>
      </c:catAx>
      <c:valAx>
        <c:axId val="167079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1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Monto de Pensión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Pension'!$D$32:$D$44</c:f>
              <c:numCache>
                <c:formatCode>#,##0</c:formatCode>
                <c:ptCount val="13"/>
                <c:pt idx="0">
                  <c:v>532989.91</c:v>
                </c:pt>
                <c:pt idx="1">
                  <c:v>15352.5</c:v>
                </c:pt>
                <c:pt idx="2">
                  <c:v>2235327896.7399998</c:v>
                </c:pt>
                <c:pt idx="3">
                  <c:v>708949871.52999997</c:v>
                </c:pt>
                <c:pt idx="4">
                  <c:v>483159209.02999997</c:v>
                </c:pt>
                <c:pt idx="5">
                  <c:v>365983320.5</c:v>
                </c:pt>
                <c:pt idx="6">
                  <c:v>290375508.15000004</c:v>
                </c:pt>
                <c:pt idx="7">
                  <c:v>192054293.13999999</c:v>
                </c:pt>
                <c:pt idx="8">
                  <c:v>49155833.020000003</c:v>
                </c:pt>
                <c:pt idx="9">
                  <c:v>41176405.170000002</c:v>
                </c:pt>
                <c:pt idx="10">
                  <c:v>63409503.49000001</c:v>
                </c:pt>
                <c:pt idx="11">
                  <c:v>85900590.050000012</c:v>
                </c:pt>
                <c:pt idx="12">
                  <c:v>21212080.800000001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7-44F1-B06B-1E6FB69EDFA2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Pension'!$A$32:$A$44</c:f>
              <c:strCache>
                <c:ptCount val="13"/>
                <c:pt idx="0">
                  <c:v>Menos de RD$5117.50</c:v>
                </c:pt>
                <c:pt idx="1">
                  <c:v>Igual a RD$5117.51</c:v>
                </c:pt>
                <c:pt idx="2">
                  <c:v>5,117.50 - 10,000.00</c:v>
                </c:pt>
                <c:pt idx="3">
                  <c:v>10,000.00 - 20,000.00</c:v>
                </c:pt>
                <c:pt idx="4">
                  <c:v>20,000.00 - 30,000.00</c:v>
                </c:pt>
                <c:pt idx="5">
                  <c:v>30,000.00 - 40,000.00</c:v>
                </c:pt>
                <c:pt idx="6">
                  <c:v>40,000.00 - 50,000.00</c:v>
                </c:pt>
                <c:pt idx="7">
                  <c:v>50,000.00 - 60,000.00</c:v>
                </c:pt>
                <c:pt idx="8">
                  <c:v>60,000.00 - 70,000.00</c:v>
                </c:pt>
                <c:pt idx="9">
                  <c:v>70,000.00 - 80,000.00</c:v>
                </c:pt>
                <c:pt idx="10">
                  <c:v>80,000.00 - 90,000.00</c:v>
                </c:pt>
                <c:pt idx="11">
                  <c:v>90,000.00 - 100,000.00</c:v>
                </c:pt>
                <c:pt idx="12">
                  <c:v>&gt;=100,000.00</c:v>
                </c:pt>
              </c:strCache>
            </c:strRef>
          </c:cat>
          <c:val>
            <c:numRef>
              <c:f>'Tipo de Pension'!$H$32:$H$44</c:f>
              <c:numCache>
                <c:formatCode>#,##0</c:formatCode>
                <c:ptCount val="13"/>
                <c:pt idx="0">
                  <c:v>530449.59</c:v>
                </c:pt>
                <c:pt idx="1">
                  <c:v>15352.5</c:v>
                </c:pt>
                <c:pt idx="2">
                  <c:v>2212806756.8400002</c:v>
                </c:pt>
                <c:pt idx="3">
                  <c:v>758596266.04999995</c:v>
                </c:pt>
                <c:pt idx="4">
                  <c:v>482498714.48000002</c:v>
                </c:pt>
                <c:pt idx="5">
                  <c:v>365025765.06</c:v>
                </c:pt>
                <c:pt idx="6">
                  <c:v>291929316.19000006</c:v>
                </c:pt>
                <c:pt idx="7">
                  <c:v>194227711.18000001</c:v>
                </c:pt>
                <c:pt idx="8">
                  <c:v>50462090.810000002</c:v>
                </c:pt>
                <c:pt idx="9">
                  <c:v>42494532.810000002</c:v>
                </c:pt>
                <c:pt idx="10">
                  <c:v>67252662.49000001</c:v>
                </c:pt>
                <c:pt idx="11">
                  <c:v>86096590.050000012</c:v>
                </c:pt>
                <c:pt idx="12">
                  <c:v>22032080.800000001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7-44F1-B06B-1E6FB69ED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2880"/>
        <c:axId val="1670803968"/>
      </c:barChart>
      <c:catAx>
        <c:axId val="167080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3968"/>
        <c:crosses val="autoZero"/>
        <c:auto val="1"/>
        <c:lblAlgn val="ctr"/>
        <c:lblOffset val="100"/>
        <c:noMultiLvlLbl val="0"/>
      </c:catAx>
      <c:valAx>
        <c:axId val="167080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665485564304461"/>
          <c:y val="0.89405975544116423"/>
          <c:w val="0.61224562554680662"/>
          <c:h val="7.81527829033448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Cantidad</a:t>
            </a:r>
            <a:r>
              <a:rPr lang="es-DO" baseline="0"/>
              <a:t> de Pensiones</a:t>
            </a:r>
          </a:p>
          <a:p>
            <a:pPr>
              <a:defRPr/>
            </a:pPr>
            <a:r>
              <a:rPr lang="es-DO" baseline="0"/>
              <a:t>por Edad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Pension'!$A$53:$A$63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Pension'!$B$54:$B$63</c:f>
              <c:numCache>
                <c:formatCode>#,##0</c:formatCode>
                <c:ptCount val="10"/>
                <c:pt idx="0">
                  <c:v>8</c:v>
                </c:pt>
                <c:pt idx="1">
                  <c:v>86</c:v>
                </c:pt>
                <c:pt idx="2">
                  <c:v>589</c:v>
                </c:pt>
                <c:pt idx="3">
                  <c:v>3077</c:v>
                </c:pt>
                <c:pt idx="4">
                  <c:v>34793</c:v>
                </c:pt>
                <c:pt idx="5">
                  <c:v>46288</c:v>
                </c:pt>
                <c:pt idx="6">
                  <c:v>23828</c:v>
                </c:pt>
                <c:pt idx="7">
                  <c:v>5471</c:v>
                </c:pt>
                <c:pt idx="8">
                  <c:v>331</c:v>
                </c:pt>
                <c:pt idx="9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25-4BEB-A242-114DA170D702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Pension'!$A$53:$A$63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Pension'!$F$54:$F$63</c:f>
              <c:numCache>
                <c:formatCode>#,##0</c:formatCode>
                <c:ptCount val="10"/>
                <c:pt idx="0">
                  <c:v>10</c:v>
                </c:pt>
                <c:pt idx="1">
                  <c:v>87</c:v>
                </c:pt>
                <c:pt idx="2">
                  <c:v>605</c:v>
                </c:pt>
                <c:pt idx="3">
                  <c:v>3130</c:v>
                </c:pt>
                <c:pt idx="4">
                  <c:v>36116</c:v>
                </c:pt>
                <c:pt idx="5">
                  <c:v>46247</c:v>
                </c:pt>
                <c:pt idx="6">
                  <c:v>23342</c:v>
                </c:pt>
                <c:pt idx="7">
                  <c:v>5205</c:v>
                </c:pt>
                <c:pt idx="8">
                  <c:v>311</c:v>
                </c:pt>
                <c:pt idx="9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25-4BEB-A242-114DA170D7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0160"/>
        <c:axId val="1670805600"/>
      </c:barChart>
      <c:catAx>
        <c:axId val="167080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5600"/>
        <c:crosses val="autoZero"/>
        <c:auto val="1"/>
        <c:lblAlgn val="ctr"/>
        <c:lblOffset val="100"/>
        <c:noMultiLvlLbl val="0"/>
      </c:catAx>
      <c:valAx>
        <c:axId val="167080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Total Pagado por Edad de Pensionados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Julio- Septiembre 2021</c:v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'Tipo de Pension'!$A$54:$A$63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Pension'!$D$53:$D$63</c:f>
              <c:numCache>
                <c:formatCode>#,##0.00</c:formatCode>
                <c:ptCount val="10"/>
                <c:pt idx="0">
                  <c:v>218422.05000000002</c:v>
                </c:pt>
                <c:pt idx="1">
                  <c:v>3325981.5200000005</c:v>
                </c:pt>
                <c:pt idx="2">
                  <c:v>20009093.34</c:v>
                </c:pt>
                <c:pt idx="3">
                  <c:v>118248151.71000001</c:v>
                </c:pt>
                <c:pt idx="4">
                  <c:v>1258662719.05</c:v>
                </c:pt>
                <c:pt idx="5">
                  <c:v>1929558341.4400001</c:v>
                </c:pt>
                <c:pt idx="6">
                  <c:v>960599435.4000001</c:v>
                </c:pt>
                <c:pt idx="7">
                  <c:v>229201609.84</c:v>
                </c:pt>
                <c:pt idx="8">
                  <c:v>14324499.039999999</c:v>
                </c:pt>
                <c:pt idx="9">
                  <c:v>3104600.6399999997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1-4C2C-B1C5-95C571BD3EF0}"/>
            </c:ext>
          </c:extLst>
        </c:ser>
        <c:ser>
          <c:idx val="1"/>
          <c:order val="1"/>
          <c:tx>
            <c:v>Octubre-Diciembre 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'Tipo de Pension'!$A$54:$A$63</c:f>
              <c:strCache>
                <c:ptCount val="10"/>
                <c:pt idx="0">
                  <c:v>18-30</c:v>
                </c:pt>
                <c:pt idx="1">
                  <c:v>30-40</c:v>
                </c:pt>
                <c:pt idx="2">
                  <c:v>40-50</c:v>
                </c:pt>
                <c:pt idx="3">
                  <c:v>50-60</c:v>
                </c:pt>
                <c:pt idx="4">
                  <c:v>60-70</c:v>
                </c:pt>
                <c:pt idx="5">
                  <c:v>70-80</c:v>
                </c:pt>
                <c:pt idx="6">
                  <c:v>80-90</c:v>
                </c:pt>
                <c:pt idx="7">
                  <c:v>90-100</c:v>
                </c:pt>
                <c:pt idx="8">
                  <c:v>100</c:v>
                </c:pt>
                <c:pt idx="9">
                  <c:v>Sin fecha de nacimiento</c:v>
                </c:pt>
              </c:strCache>
            </c:strRef>
          </c:cat>
          <c:val>
            <c:numRef>
              <c:f>'Tipo de Pension'!$H$54:$H$63</c:f>
              <c:numCache>
                <c:formatCode>#,##0</c:formatCode>
                <c:ptCount val="10"/>
                <c:pt idx="0">
                  <c:v>267422.05000000005</c:v>
                </c:pt>
                <c:pt idx="1">
                  <c:v>3382679.5200000005</c:v>
                </c:pt>
                <c:pt idx="2">
                  <c:v>20991429.760000002</c:v>
                </c:pt>
                <c:pt idx="3">
                  <c:v>120596482.05000001</c:v>
                </c:pt>
                <c:pt idx="4">
                  <c:v>1308301488.6100001</c:v>
                </c:pt>
                <c:pt idx="5">
                  <c:v>1938025601.8400002</c:v>
                </c:pt>
                <c:pt idx="6">
                  <c:v>947241481.60000002</c:v>
                </c:pt>
                <c:pt idx="7">
                  <c:v>219514634.68000001</c:v>
                </c:pt>
                <c:pt idx="8">
                  <c:v>13782468.100000001</c:v>
                </c:pt>
                <c:pt idx="9">
                  <c:v>1864600.6400000001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1-4C2C-B1C5-95C571BD3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807232"/>
        <c:axId val="1670799072"/>
      </c:barChart>
      <c:catAx>
        <c:axId val="167080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799072"/>
        <c:crosses val="autoZero"/>
        <c:auto val="1"/>
        <c:lblAlgn val="ctr"/>
        <c:lblOffset val="100"/>
        <c:noMultiLvlLbl val="0"/>
      </c:catAx>
      <c:valAx>
        <c:axId val="167079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0807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accent1"/>
                </a:solidFill>
              </a:rPr>
              <a:t>Porcentaje Modalidad</a:t>
            </a:r>
            <a:r>
              <a:rPr lang="es-ES" sz="1400" baseline="0">
                <a:solidFill>
                  <a:schemeClr val="accent1"/>
                </a:solidFill>
              </a:rPr>
              <a:t> de Pago</a:t>
            </a:r>
            <a:endParaRPr lang="es-ES" sz="14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24019212290391287"/>
          <c:y val="2.8813564442481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882-47C0-9C20-76A0642EBB7A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882-47C0-9C20-76A0642EBB7A}"/>
              </c:ext>
            </c:extLst>
          </c:dPt>
          <c:dLbls>
            <c:dLbl>
              <c:idx val="0"/>
              <c:layout>
                <c:manualLayout>
                  <c:x val="-1.8055555555555554E-2"/>
                  <c:y val="-0.3553240740740740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Electrónico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6A789905-C907-4699-A041-A6FD64461BF5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41666666666666"/>
                      <c:h val="0.2106481481481481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82-47C0-9C20-76A0642EBB7A}"/>
                </c:ext>
              </c:extLst>
            </c:dLbl>
            <c:dLbl>
              <c:idx val="1"/>
              <c:layout>
                <c:manualLayout>
                  <c:x val="-4.6721964522656895E-2"/>
                  <c:y val="5.278391640570033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Cheque</a:t>
                    </a:r>
                  </a:p>
                  <a:p>
                    <a:pPr>
                      <a:defRPr sz="1000" b="1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defRPr>
                    </a:pPr>
                    <a:r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 </a:t>
                    </a:r>
                    <a:fld id="{928CA2D4-AB57-4300-BD4F-83CC6382AA06}" type="VALUE">
                      <a:rPr lang="en-US" sz="1000" b="1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 sz="1000" b="1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</a:defRPr>
                      </a:pPr>
                      <a:t>[VALOR]</a:t>
                    </a:fld>
                    <a:endParaRPr lang="en-US" sz="1000" b="1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D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02209762708696"/>
                      <c:h val="0.144161609851142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882-47C0-9C20-76A0642EBB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(Modalidad!$O$8,Modalidad!$Q$8)</c:f>
              <c:strCache>
                <c:ptCount val="2"/>
                <c:pt idx="0">
                  <c:v>Monto</c:v>
                </c:pt>
                <c:pt idx="1">
                  <c:v>Monto</c:v>
                </c:pt>
              </c:strCache>
            </c:strRef>
          </c:cat>
          <c:val>
            <c:numRef>
              <c:f>(Modalidad!$O$28,Modalidad!$Q$28)</c:f>
              <c:numCache>
                <c:formatCode>0.00%</c:formatCode>
                <c:ptCount val="2"/>
                <c:pt idx="0">
                  <c:v>0.98884753351905497</c:v>
                </c:pt>
                <c:pt idx="1">
                  <c:v>1.115246648094506E-2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2-47C0-9C20-76A0642EB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10597950039618"/>
          <c:y val="4.2299470680314477E-2"/>
          <c:w val="0.65858516691985691"/>
          <c:h val="0.72007785017025605"/>
        </c:manualLayout>
      </c:layout>
      <c:barChart>
        <c:barDir val="col"/>
        <c:grouping val="clustered"/>
        <c:varyColors val="0"/>
        <c:ser>
          <c:idx val="0"/>
          <c:order val="0"/>
          <c:tx>
            <c:v>Pensionados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5670313832067104E-3"/>
                  <c:y val="0.311630376731340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88-4D3B-A92B-728D1A25D15E}"/>
                </c:ext>
              </c:extLst>
            </c:dLbl>
            <c:dLbl>
              <c:idx val="1"/>
              <c:layout>
                <c:manualLayout>
                  <c:x val="5.317712263509332E-3"/>
                  <c:y val="0.26754118620320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88-4D3B-A92B-728D1A25D15E}"/>
                </c:ext>
              </c:extLst>
            </c:dLbl>
            <c:dLbl>
              <c:idx val="2"/>
              <c:layout>
                <c:manualLayout>
                  <c:x val="-1.310969913632988E-4"/>
                  <c:y val="0.2193356780953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Retroactivos!$K$9:$K$11</c:f>
              <c:numCache>
                <c:formatCode>_(* #,##0_);_(* \(#,##0\);_(* "-"??_);_(@_)</c:formatCode>
                <c:ptCount val="3"/>
                <c:pt idx="0">
                  <c:v>356</c:v>
                </c:pt>
                <c:pt idx="1">
                  <c:v>450</c:v>
                </c:pt>
                <c:pt idx="2">
                  <c:v>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88-4F3E-9D80-50FAAA1EC586}"/>
            </c:ext>
          </c:extLst>
        </c:ser>
        <c:ser>
          <c:idx val="1"/>
          <c:order val="1"/>
          <c:tx>
            <c:v>Pensiones</c:v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1578925883884176E-4"/>
                  <c:y val="0.30398691524423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88-4D3B-A92B-728D1A25D15E}"/>
                </c:ext>
              </c:extLst>
            </c:dLbl>
            <c:dLbl>
              <c:idx val="1"/>
              <c:layout>
                <c:manualLayout>
                  <c:x val="7.8587543744788567E-3"/>
                  <c:y val="0.294912528196875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88-4D3B-A92B-728D1A25D15E}"/>
                </c:ext>
              </c:extLst>
            </c:dLbl>
            <c:dLbl>
              <c:idx val="2"/>
              <c:layout>
                <c:manualLayout>
                  <c:x val="5.3047180786667007E-4"/>
                  <c:y val="0.23311701088522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EE-4D86-9DDE-7D4E78FEC9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Retroactivos!$L$9:$L$11</c:f>
              <c:numCache>
                <c:formatCode>_(* #,##0_);_(* \(#,##0\);_(* "-"??_);_(@_)</c:formatCode>
                <c:ptCount val="3"/>
                <c:pt idx="0">
                  <c:v>375</c:v>
                </c:pt>
                <c:pt idx="1">
                  <c:v>470</c:v>
                </c:pt>
                <c:pt idx="2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51440"/>
        <c:axId val="1672050896"/>
      </c:barChart>
      <c:lineChart>
        <c:grouping val="standard"/>
        <c:varyColors val="0"/>
        <c:ser>
          <c:idx val="2"/>
          <c:order val="2"/>
          <c:tx>
            <c:strRef>
              <c:f>Retroactivos!$M$7</c:f>
              <c:strCache>
                <c:ptCount val="1"/>
                <c:pt idx="0">
                  <c:v>Monto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6-6B88-4F3E-9D80-50FAAA1EC586}"/>
              </c:ext>
            </c:extLst>
          </c:dPt>
          <c:dLbls>
            <c:dLbl>
              <c:idx val="0"/>
              <c:layout>
                <c:manualLayout>
                  <c:x val="-8.2359133535238424E-2"/>
                  <c:y val="-9.25415310991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88-4F3E-9D80-50FAAA1EC586}"/>
                </c:ext>
              </c:extLst>
            </c:dLbl>
            <c:dLbl>
              <c:idx val="1"/>
              <c:layout>
                <c:manualLayout>
                  <c:x val="-7.8194645276661839E-2"/>
                  <c:y val="-5.5881200677427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88-4D3B-A92B-728D1A25D15E}"/>
                </c:ext>
              </c:extLst>
            </c:dLbl>
            <c:dLbl>
              <c:idx val="2"/>
              <c:layout>
                <c:manualLayout>
                  <c:x val="-7.8957023086544328E-2"/>
                  <c:y val="-9.2902556516728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88-4D3B-A92B-728D1A25D1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Retroactivos!$A$9:$A$11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Retroactivos!$M$9:$M$11</c:f>
              <c:numCache>
                <c:formatCode>_(* #,##0_);_(* \(#,##0\);_(* "-"??_);_(@_)</c:formatCode>
                <c:ptCount val="3"/>
                <c:pt idx="0">
                  <c:v>25622433.940000001</c:v>
                </c:pt>
                <c:pt idx="1">
                  <c:v>36177273.390000001</c:v>
                </c:pt>
                <c:pt idx="2">
                  <c:v>26162523.34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B88-4F3E-9D80-50FAAA1EC5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55792"/>
        <c:axId val="1672053072"/>
      </c:lineChart>
      <c:catAx>
        <c:axId val="16720514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0896"/>
        <c:crosses val="autoZero"/>
        <c:auto val="1"/>
        <c:lblAlgn val="ctr"/>
        <c:lblOffset val="100"/>
        <c:noMultiLvlLbl val="0"/>
      </c:catAx>
      <c:valAx>
        <c:axId val="1672050896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crossAx val="1672051440"/>
        <c:crosses val="autoZero"/>
        <c:crossBetween val="between"/>
      </c:valAx>
      <c:valAx>
        <c:axId val="1672053072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1672055792"/>
        <c:crosses val="max"/>
        <c:crossBetween val="between"/>
      </c:valAx>
      <c:catAx>
        <c:axId val="1672055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53072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24932899446490744"/>
          <c:y val="0.87879252468585134"/>
          <c:w val="0.51212458447537823"/>
          <c:h val="8.4031421083945429E-2"/>
        </c:manualLayout>
      </c:layout>
      <c:overlay val="0"/>
      <c:txPr>
        <a:bodyPr/>
        <a:lstStyle/>
        <a:p>
          <a:pPr>
            <a:defRPr sz="90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Reintegro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Cheques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Reintegros!$H$7</c:f>
              <c:strCache>
                <c:ptCount val="1"/>
                <c:pt idx="0">
                  <c:v>Cantidad 
de Cheques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80</c:v>
                </c:pt>
                <c:pt idx="2">
                  <c:v>2996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3-4894-8909-6FB7CBDC635F}"/>
            </c:ext>
          </c:extLst>
        </c:ser>
        <c:ser>
          <c:idx val="1"/>
          <c:order val="1"/>
          <c:tx>
            <c:strRef>
              <c:f>Reintegros!$I$7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Reintegros!$A$8:$A$10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Reintegros!$I$8:$I$10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797212.89</c:v>
                </c:pt>
                <c:pt idx="2" formatCode="_(* #,##0_);_(* \(#,##0\);_(* &quot;-&quot;??_);_(@_)">
                  <c:v>20744930.620000001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E3-4894-8909-6FB7CBDC63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088"/>
        <c:axId val="1672050352"/>
      </c:barChart>
      <c:catAx>
        <c:axId val="167204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50352"/>
        <c:crosses val="autoZero"/>
        <c:auto val="1"/>
        <c:lblAlgn val="ctr"/>
        <c:lblOffset val="100"/>
        <c:noMultiLvlLbl val="0"/>
      </c:catAx>
      <c:valAx>
        <c:axId val="167205035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 b="1">
                <a:solidFill>
                  <a:schemeClr val="tx2">
                    <a:lumMod val="60000"/>
                    <a:lumOff val="40000"/>
                  </a:schemeClr>
                </a:solidFill>
              </a:rPr>
              <a:t>Créditos</a:t>
            </a:r>
            <a:r>
              <a:rPr lang="es-DO" sz="1100" b="1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Rechazados</a:t>
            </a:r>
            <a:endParaRPr lang="es-DO" sz="1100" b="1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'Créditos Rechazados'!$H$7</c:f>
              <c:strCache>
                <c:ptCount val="1"/>
                <c:pt idx="0">
                  <c:v>Cantidad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Rechazados'!$H$8:$H$10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9-4FB4-B4A2-1D086BEA9BB5}"/>
            </c:ext>
          </c:extLst>
        </c:ser>
        <c:ser>
          <c:idx val="1"/>
          <c:order val="1"/>
          <c:tx>
            <c:strRef>
              <c:f>'Créditos Rechazados'!$I$7</c:f>
              <c:strCache>
                <c:ptCount val="1"/>
                <c:pt idx="0">
                  <c:v>Monto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'Créditos Rechazados'!$A$8:$A$10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'Créditos Rechazados'!$I$8:$I$10</c:f>
              <c:numCache>
                <c:formatCode>_(* #,##0.00_);_(* \(#,##0.00\);_(* "-"??_);_(@_)</c:formatCode>
                <c:ptCount val="3"/>
                <c:pt idx="0">
                  <c:v>0</c:v>
                </c:pt>
                <c:pt idx="1">
                  <c:v>414032.22</c:v>
                </c:pt>
                <c:pt idx="2" formatCode="_(* #,##0_);_(* \(#,##0\);_(* &quot;-&quot;??_);_(@_)">
                  <c:v>1591442.78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9-4FB4-B4A2-1D086BEA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047632"/>
        <c:axId val="1672049264"/>
      </c:barChart>
      <c:catAx>
        <c:axId val="167204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9264"/>
        <c:crosses val="autoZero"/>
        <c:auto val="1"/>
        <c:lblAlgn val="ctr"/>
        <c:lblOffset val="100"/>
        <c:noMultiLvlLbl val="0"/>
      </c:catAx>
      <c:valAx>
        <c:axId val="16720492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7204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>
                <a:solidFill>
                  <a:schemeClr val="tx2">
                    <a:lumMod val="60000"/>
                    <a:lumOff val="40000"/>
                  </a:schemeClr>
                </a:solidFill>
              </a:rPr>
              <a:t>Recuperación</a:t>
            </a: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 de Fondos</a:t>
            </a:r>
          </a:p>
          <a:p>
            <a:pPr>
              <a:defRPr>
                <a:solidFill>
                  <a:schemeClr val="tx2">
                    <a:lumMod val="60000"/>
                    <a:lumOff val="40000"/>
                  </a:schemeClr>
                </a:solidFill>
              </a:defRPr>
            </a:pPr>
            <a:r>
              <a:rPr lang="es-ES" sz="800" baseline="0">
                <a:solidFill>
                  <a:schemeClr val="tx2">
                    <a:lumMod val="60000"/>
                    <a:lumOff val="40000"/>
                  </a:schemeClr>
                </a:solidFill>
              </a:rPr>
              <a:t>Monto solicitado / Total Recuperado</a:t>
            </a:r>
            <a:endParaRPr lang="es-ES" sz="800">
              <a:solidFill>
                <a:schemeClr val="tx2">
                  <a:lumMod val="60000"/>
                  <a:lumOff val="40000"/>
                </a:schemeClr>
              </a:solidFill>
            </a:endParaRPr>
          </a:p>
        </c:rich>
      </c:tx>
      <c:layout>
        <c:manualLayout>
          <c:xMode val="edge"/>
          <c:yMode val="edge"/>
          <c:x val="0.32894941816863671"/>
          <c:y val="2.25743397894365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816805319017807"/>
          <c:y val="0.1147686611742301"/>
          <c:w val="0.71680195964278259"/>
          <c:h val="0.696257253237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'Recuperación Fondos'!$C$6</c:f>
              <c:strCache>
                <c:ptCount val="1"/>
                <c:pt idx="0">
                  <c:v>Monto 
Solicitado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1627360304052202E-3"/>
                  <c:y val="1.00042264392546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53-4937-ACFC-AC9F032F728F}"/>
                </c:ext>
              </c:extLst>
            </c:dLbl>
            <c:dLbl>
              <c:idx val="1"/>
              <c:layout>
                <c:manualLayout>
                  <c:x val="9.6392642906953756E-3"/>
                  <c:y val="1.4763042565397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53-4937-ACFC-AC9F032F728F}"/>
                </c:ext>
              </c:extLst>
            </c:dLbl>
            <c:dLbl>
              <c:idx val="2"/>
              <c:layout>
                <c:manualLayout>
                  <c:x val="-1.3192972468158329E-2"/>
                  <c:y val="-1.2444627131374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05016486830457"/>
                      <c:h val="5.71039915780010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Fondos'!$C$7:$C$9</c:f>
              <c:numCache>
                <c:formatCode>#,##0</c:formatCode>
                <c:ptCount val="3"/>
                <c:pt idx="0">
                  <c:v>5133639.01</c:v>
                </c:pt>
                <c:pt idx="1">
                  <c:v>5109698.8899999997</c:v>
                </c:pt>
                <c:pt idx="2">
                  <c:v>11796449.66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3-4937-ACFC-AC9F032F728F}"/>
            </c:ext>
          </c:extLst>
        </c:ser>
        <c:ser>
          <c:idx val="1"/>
          <c:order val="1"/>
          <c:tx>
            <c:strRef>
              <c:f>'Recuperación Fondos'!$F$6</c:f>
              <c:strCache>
                <c:ptCount val="1"/>
                <c:pt idx="0">
                  <c:v>Total 
Recuperado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4392903851938711E-2"/>
                  <c:y val="6.3777124573428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953-4937-ACFC-AC9F032F728F}"/>
                </c:ext>
              </c:extLst>
            </c:dLbl>
            <c:dLbl>
              <c:idx val="1"/>
              <c:layout>
                <c:manualLayout>
                  <c:x val="-5.6177255415696984E-3"/>
                  <c:y val="1.851863899551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53-4937-ACFC-AC9F032F728F}"/>
                </c:ext>
              </c:extLst>
            </c:dLbl>
            <c:dLbl>
              <c:idx val="2"/>
              <c:layout>
                <c:manualLayout>
                  <c:x val="-1.6182377245843587E-3"/>
                  <c:y val="4.629733677941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Fondos'!$F$7:$F$9</c:f>
              <c:numCache>
                <c:formatCode>_(* #,##0_);_(* \(#,##0\);_(* "-"??_);_(@_)</c:formatCode>
                <c:ptCount val="3"/>
                <c:pt idx="0">
                  <c:v>0</c:v>
                </c:pt>
                <c:pt idx="1">
                  <c:v>1748436.51</c:v>
                </c:pt>
                <c:pt idx="2">
                  <c:v>4637882.97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72048720"/>
        <c:axId val="1672045456"/>
      </c:barChart>
      <c:lineChart>
        <c:grouping val="standard"/>
        <c:varyColors val="0"/>
        <c:ser>
          <c:idx val="2"/>
          <c:order val="2"/>
          <c:tx>
            <c:strRef>
              <c:f>'Recuperación Fondos'!$G$6</c:f>
              <c:strCache>
                <c:ptCount val="1"/>
                <c:pt idx="0">
                  <c:v>% Recuperado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2.1569069157486503E-2"/>
                  <c:y val="-2.7777810635139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53-4937-ACFC-AC9F032F728F}"/>
                </c:ext>
              </c:extLst>
            </c:dLbl>
            <c:dLbl>
              <c:idx val="1"/>
              <c:layout>
                <c:manualLayout>
                  <c:x val="-1.4491722255479594E-2"/>
                  <c:y val="4.8658926786569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953-4937-ACFC-AC9F032F728F}"/>
                </c:ext>
              </c:extLst>
            </c:dLbl>
            <c:dLbl>
              <c:idx val="2"/>
              <c:layout>
                <c:manualLayout>
                  <c:x val="-3.4951729757808213E-2"/>
                  <c:y val="4.01780803283632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953-4937-ACFC-AC9F032F72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'Recuperación Fondos'!$A$7:$A$9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'Recuperación Fondos'!$G$7:$G$9</c:f>
              <c:numCache>
                <c:formatCode>0%</c:formatCode>
                <c:ptCount val="3"/>
                <c:pt idx="0">
                  <c:v>0</c:v>
                </c:pt>
                <c:pt idx="1">
                  <c:v>0.34217994986393419</c:v>
                </c:pt>
                <c:pt idx="2">
                  <c:v>0.39315922194169728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953-4937-ACFC-AC9F032F72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72048176"/>
        <c:axId val="1672052528"/>
      </c:lineChart>
      <c:valAx>
        <c:axId val="16720525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crossAx val="1672048176"/>
        <c:crosses val="max"/>
        <c:crossBetween val="between"/>
      </c:valAx>
      <c:catAx>
        <c:axId val="16720481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72052528"/>
        <c:crosses val="autoZero"/>
        <c:auto val="1"/>
        <c:lblAlgn val="ctr"/>
        <c:lblOffset val="100"/>
        <c:noMultiLvlLbl val="0"/>
      </c:catAx>
      <c:valAx>
        <c:axId val="1672045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72048720"/>
        <c:crosses val="autoZero"/>
        <c:crossBetween val="between"/>
      </c:valAx>
      <c:catAx>
        <c:axId val="167204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5456"/>
        <c:crosses val="autoZero"/>
        <c:auto val="1"/>
        <c:lblAlgn val="ctr"/>
        <c:lblOffset val="100"/>
        <c:noMultiLvlLbl val="0"/>
      </c:catAx>
    </c:plotArea>
    <c:legend>
      <c:legendPos val="b"/>
      <c:overlay val="0"/>
      <c:txPr>
        <a:bodyPr/>
        <a:lstStyle/>
        <a:p>
          <a:pPr>
            <a:defRPr sz="800" baseline="0"/>
          </a:pPr>
          <a:endParaRPr lang="es-D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7777777777779E-3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78-45C9-98ED-9F30D255D1DD}"/>
                </c:ext>
              </c:extLst>
            </c:dLbl>
            <c:dLbl>
              <c:idx val="1"/>
              <c:layout>
                <c:manualLayout>
                  <c:x val="0"/>
                  <c:y val="0.25925925925925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8-45C9-98ED-9F30D255D1DD}"/>
                </c:ext>
              </c:extLst>
            </c:dLbl>
            <c:dLbl>
              <c:idx val="2"/>
              <c:layout>
                <c:manualLayout>
                  <c:x val="-5.089806020278669E-3"/>
                  <c:y val="0.3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Cotizantes'!$B$19:$B$21</c:f>
            </c:numRef>
          </c:val>
          <c:extLst>
            <c:ext xmlns:c16="http://schemas.microsoft.com/office/drawing/2014/chart" uri="{C3380CC4-5D6E-409C-BE32-E72D297353CC}">
              <c16:uniqueId val="{00000003-2078-45C9-98ED-9F30D255D1DD}"/>
            </c:ext>
          </c:extLst>
        </c:ser>
        <c:ser>
          <c:idx val="1"/>
          <c:order val="1"/>
          <c:tx>
            <c:strRef>
              <c:f>'Afiliados y Cotizantes'!$E$6</c:f>
              <c:strCache>
                <c:ptCount val="1"/>
                <c:pt idx="0">
                  <c:v>No Cotizantes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5555555555555558E-3"/>
                  <c:y val="0.180555555555555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78-45C9-98ED-9F30D255D1DD}"/>
                </c:ext>
              </c:extLst>
            </c:dLbl>
            <c:dLbl>
              <c:idx val="1"/>
              <c:layout>
                <c:manualLayout>
                  <c:x val="0"/>
                  <c:y val="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78-45C9-98ED-9F30D255D1DD}"/>
                </c:ext>
              </c:extLst>
            </c:dLbl>
            <c:dLbl>
              <c:idx val="2"/>
              <c:layout>
                <c:manualLayout>
                  <c:x val="5.322654626403322E-3"/>
                  <c:y val="0.33333333333333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50" baseline="0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Cotizantes'!$E$19:$E$21</c:f>
            </c:numRef>
          </c:val>
          <c:extLst>
            <c:ext xmlns:c16="http://schemas.microsoft.com/office/drawing/2014/chart" uri="{C3380CC4-5D6E-409C-BE32-E72D297353CC}">
              <c16:uniqueId val="{00000007-2078-45C9-98ED-9F30D255D1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442368000"/>
        <c:axId val="166776892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61503111895377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78-45C9-98ED-9F30D255D1DD}"/>
                </c:ext>
              </c:extLst>
            </c:dLbl>
            <c:dLbl>
              <c:idx val="1"/>
              <c:layout>
                <c:manualLayout>
                  <c:x val="-1.5269418060836006E-2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6E4-49FA-B031-0D3D53027384}"/>
                </c:ext>
              </c:extLst>
            </c:dLbl>
            <c:dLbl>
              <c:idx val="2"/>
              <c:layout>
                <c:manualLayout>
                  <c:x val="-2.6164408349125427E-2"/>
                  <c:y val="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78-45C9-98ED-9F30D255D1D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'Afiliados y Cotizantes'!$A$19:$A$21</c:f>
            </c:multiLvlStrRef>
          </c:cat>
          <c:val>
            <c:numRef>
              <c:f>'Afiliados y Cotizantes'!$F$19:$F$21</c:f>
            </c:numRef>
          </c:val>
          <c:smooth val="0"/>
          <c:extLst>
            <c:ext xmlns:c16="http://schemas.microsoft.com/office/drawing/2014/chart" uri="{C3380CC4-5D6E-409C-BE32-E72D297353CC}">
              <c16:uniqueId val="{0000000A-2078-45C9-98ED-9F30D255D1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0224"/>
        <c:axId val="1667760768"/>
      </c:lineChart>
      <c:catAx>
        <c:axId val="14423680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8928"/>
        <c:crosses val="autoZero"/>
        <c:auto val="1"/>
        <c:lblAlgn val="ctr"/>
        <c:lblOffset val="100"/>
        <c:noMultiLvlLbl val="0"/>
      </c:catAx>
      <c:valAx>
        <c:axId val="16677689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442368000"/>
        <c:crosses val="autoZero"/>
        <c:crossBetween val="between"/>
      </c:valAx>
      <c:valAx>
        <c:axId val="166776076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0224"/>
        <c:crosses val="max"/>
        <c:crossBetween val="between"/>
      </c:valAx>
      <c:catAx>
        <c:axId val="1667760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07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Servicios!$X$10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Servicios!$X$11:$X$29</c:f>
              <c:numCache>
                <c:formatCode>#,##0</c:formatCode>
                <c:ptCount val="19"/>
                <c:pt idx="0">
                  <c:v>45</c:v>
                </c:pt>
                <c:pt idx="1">
                  <c:v>7073</c:v>
                </c:pt>
                <c:pt idx="2">
                  <c:v>629</c:v>
                </c:pt>
                <c:pt idx="3">
                  <c:v>6737</c:v>
                </c:pt>
                <c:pt idx="4">
                  <c:v>88</c:v>
                </c:pt>
                <c:pt idx="5">
                  <c:v>62</c:v>
                </c:pt>
                <c:pt idx="6">
                  <c:v>410</c:v>
                </c:pt>
                <c:pt idx="7">
                  <c:v>5</c:v>
                </c:pt>
                <c:pt idx="8">
                  <c:v>1</c:v>
                </c:pt>
                <c:pt idx="9">
                  <c:v>29</c:v>
                </c:pt>
                <c:pt idx="10">
                  <c:v>296</c:v>
                </c:pt>
                <c:pt idx="11">
                  <c:v>187</c:v>
                </c:pt>
                <c:pt idx="12">
                  <c:v>1237</c:v>
                </c:pt>
                <c:pt idx="13">
                  <c:v>14</c:v>
                </c:pt>
                <c:pt idx="14">
                  <c:v>246</c:v>
                </c:pt>
                <c:pt idx="15">
                  <c:v>10557</c:v>
                </c:pt>
                <c:pt idx="16">
                  <c:v>743</c:v>
                </c:pt>
                <c:pt idx="17">
                  <c:v>85</c:v>
                </c:pt>
                <c:pt idx="18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C-45A1-A6C8-669D4A3C48EA}"/>
            </c:ext>
          </c:extLst>
        </c:ser>
        <c:ser>
          <c:idx val="22"/>
          <c:order val="1"/>
          <c:tx>
            <c:strRef>
              <c:f>Servicios!$Y$10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Servicios!$Y$11:$Y$29</c:f>
              <c:numCache>
                <c:formatCode>#,##0</c:formatCode>
                <c:ptCount val="19"/>
                <c:pt idx="0">
                  <c:v>32</c:v>
                </c:pt>
                <c:pt idx="1">
                  <c:v>7073</c:v>
                </c:pt>
                <c:pt idx="2">
                  <c:v>533</c:v>
                </c:pt>
                <c:pt idx="3">
                  <c:v>6581</c:v>
                </c:pt>
                <c:pt idx="4">
                  <c:v>71</c:v>
                </c:pt>
                <c:pt idx="5">
                  <c:v>52</c:v>
                </c:pt>
                <c:pt idx="6">
                  <c:v>304</c:v>
                </c:pt>
                <c:pt idx="7">
                  <c:v>4</c:v>
                </c:pt>
                <c:pt idx="8">
                  <c:v>1</c:v>
                </c:pt>
                <c:pt idx="9">
                  <c:v>21</c:v>
                </c:pt>
                <c:pt idx="10">
                  <c:v>235</c:v>
                </c:pt>
                <c:pt idx="11">
                  <c:v>150</c:v>
                </c:pt>
                <c:pt idx="12">
                  <c:v>1039</c:v>
                </c:pt>
                <c:pt idx="13">
                  <c:v>13</c:v>
                </c:pt>
                <c:pt idx="14">
                  <c:v>211</c:v>
                </c:pt>
                <c:pt idx="15">
                  <c:v>9752</c:v>
                </c:pt>
                <c:pt idx="16">
                  <c:v>596</c:v>
                </c:pt>
                <c:pt idx="17">
                  <c:v>68</c:v>
                </c:pt>
                <c:pt idx="1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55248"/>
        <c:axId val="1672041104"/>
      </c:barChart>
      <c:lineChart>
        <c:grouping val="standard"/>
        <c:varyColors val="0"/>
        <c:ser>
          <c:idx val="23"/>
          <c:order val="2"/>
          <c:tx>
            <c:strRef>
              <c:f>Servicios!$Z$10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Servicios!$B$11:$B$29</c:f>
              <c:strCache>
                <c:ptCount val="19"/>
                <c:pt idx="0">
                  <c:v>Aplicación Descuento 2%</c:v>
                </c:pt>
                <c:pt idx="1">
                  <c:v>Certificación </c:v>
                </c:pt>
                <c:pt idx="2">
                  <c:v>Exclusiones</c:v>
                </c:pt>
                <c:pt idx="3">
                  <c:v>Modificación de Datos</c:v>
                </c:pt>
                <c:pt idx="4">
                  <c:v>Modificación de Datos Críticos</c:v>
                </c:pt>
                <c:pt idx="5">
                  <c:v>Pensión por Sobrevivencia Concubinato</c:v>
                </c:pt>
                <c:pt idx="6">
                  <c:v>Pensión por Sobrevivencia Conyuge</c:v>
                </c:pt>
                <c:pt idx="7">
                  <c:v>Pensión por Sobrevivencia Menor</c:v>
                </c:pt>
                <c:pt idx="8">
                  <c:v>Pensión por Sobrevivencia Padr/Madre</c:v>
                </c:pt>
                <c:pt idx="9">
                  <c:v>Reajuste de Pensión</c:v>
                </c:pt>
                <c:pt idx="10">
                  <c:v>Reactivación</c:v>
                </c:pt>
                <c:pt idx="11">
                  <c:v>Reembolso</c:v>
                </c:pt>
                <c:pt idx="12">
                  <c:v>Registro de Poder</c:v>
                </c:pt>
                <c:pt idx="13">
                  <c:v>Reinclusión</c:v>
                </c:pt>
                <c:pt idx="14">
                  <c:v>Retroactivo</c:v>
                </c:pt>
                <c:pt idx="15">
                  <c:v>Solicitud Inclusión a Nómina</c:v>
                </c:pt>
                <c:pt idx="16">
                  <c:v>Solicitud de Pensión</c:v>
                </c:pt>
                <c:pt idx="17">
                  <c:v>Suspensión Descuento 2%</c:v>
                </c:pt>
                <c:pt idx="18">
                  <c:v>Suspensión por Laborar Nuevamente en el Estado</c:v>
                </c:pt>
              </c:strCache>
            </c:strRef>
          </c:cat>
          <c:val>
            <c:numRef>
              <c:f>Servicios!$Z$11:$Z$29</c:f>
              <c:numCache>
                <c:formatCode>0%</c:formatCode>
                <c:ptCount val="19"/>
                <c:pt idx="0">
                  <c:v>0.71111111111111114</c:v>
                </c:pt>
                <c:pt idx="1">
                  <c:v>1</c:v>
                </c:pt>
                <c:pt idx="2">
                  <c:v>0.84737678855325915</c:v>
                </c:pt>
                <c:pt idx="3">
                  <c:v>0.97684429271188955</c:v>
                </c:pt>
                <c:pt idx="4">
                  <c:v>0.80681818181818177</c:v>
                </c:pt>
                <c:pt idx="5">
                  <c:v>0.83870967741935487</c:v>
                </c:pt>
                <c:pt idx="6">
                  <c:v>0.74146341463414633</c:v>
                </c:pt>
                <c:pt idx="7">
                  <c:v>0.8</c:v>
                </c:pt>
                <c:pt idx="8">
                  <c:v>1</c:v>
                </c:pt>
                <c:pt idx="9">
                  <c:v>0.72413793103448276</c:v>
                </c:pt>
                <c:pt idx="10">
                  <c:v>0.79391891891891897</c:v>
                </c:pt>
                <c:pt idx="11">
                  <c:v>0.80213903743315507</c:v>
                </c:pt>
                <c:pt idx="12">
                  <c:v>0.83993532740501209</c:v>
                </c:pt>
                <c:pt idx="13">
                  <c:v>0.9285714285714286</c:v>
                </c:pt>
                <c:pt idx="14">
                  <c:v>0.85772357723577231</c:v>
                </c:pt>
                <c:pt idx="15">
                  <c:v>0.92374727668845313</c:v>
                </c:pt>
                <c:pt idx="16">
                  <c:v>0.80215343203230149</c:v>
                </c:pt>
                <c:pt idx="17">
                  <c:v>0.8</c:v>
                </c:pt>
                <c:pt idx="18">
                  <c:v>0.92682926829268297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C-45A1-A6C8-669D4A3C4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042192"/>
        <c:axId val="1672041648"/>
      </c:lineChart>
      <c:catAx>
        <c:axId val="167205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1104"/>
        <c:crosses val="autoZero"/>
        <c:auto val="1"/>
        <c:lblAlgn val="ctr"/>
        <c:lblOffset val="100"/>
        <c:noMultiLvlLbl val="0"/>
      </c:catAx>
      <c:valAx>
        <c:axId val="1672041104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672055248"/>
        <c:crosses val="autoZero"/>
        <c:crossBetween val="between"/>
      </c:valAx>
      <c:valAx>
        <c:axId val="167204164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72042192"/>
        <c:crosses val="max"/>
        <c:crossBetween val="between"/>
      </c:valAx>
      <c:catAx>
        <c:axId val="16720421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164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1"/>
          <c:order val="0"/>
          <c:tx>
            <c:strRef>
              <c:f>Servicios!$X$10</c:f>
              <c:strCache>
                <c:ptCount val="1"/>
                <c:pt idx="0">
                  <c:v>Recibidas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Servicios!$X$38:$X$49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43</c:v>
                </c:pt>
                <c:pt idx="2">
                  <c:v>77</c:v>
                </c:pt>
                <c:pt idx="3">
                  <c:v>417</c:v>
                </c:pt>
                <c:pt idx="4">
                  <c:v>4</c:v>
                </c:pt>
                <c:pt idx="5">
                  <c:v>1</c:v>
                </c:pt>
                <c:pt idx="6">
                  <c:v>300</c:v>
                </c:pt>
                <c:pt idx="7">
                  <c:v>175</c:v>
                </c:pt>
                <c:pt idx="8">
                  <c:v>14</c:v>
                </c:pt>
                <c:pt idx="9">
                  <c:v>269</c:v>
                </c:pt>
                <c:pt idx="10">
                  <c:v>10528</c:v>
                </c:pt>
                <c:pt idx="11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3-4EA1-A621-3A7FC20B75EF}"/>
            </c:ext>
          </c:extLst>
        </c:ser>
        <c:ser>
          <c:idx val="22"/>
          <c:order val="1"/>
          <c:tx>
            <c:strRef>
              <c:f>Servicios!$Y$10</c:f>
              <c:strCache>
                <c:ptCount val="1"/>
                <c:pt idx="0">
                  <c:v>Procesadas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Servicios!$Y$38:$Y$49</c:f>
              <c:numCache>
                <c:formatCode>#,##0</c:formatCode>
                <c:ptCount val="12"/>
                <c:pt idx="0" formatCode="General">
                  <c:v>0</c:v>
                </c:pt>
                <c:pt idx="1">
                  <c:v>39</c:v>
                </c:pt>
                <c:pt idx="2">
                  <c:v>33</c:v>
                </c:pt>
                <c:pt idx="3">
                  <c:v>326</c:v>
                </c:pt>
                <c:pt idx="4">
                  <c:v>3</c:v>
                </c:pt>
                <c:pt idx="5">
                  <c:v>1</c:v>
                </c:pt>
                <c:pt idx="6">
                  <c:v>220</c:v>
                </c:pt>
                <c:pt idx="7">
                  <c:v>122</c:v>
                </c:pt>
                <c:pt idx="8">
                  <c:v>11</c:v>
                </c:pt>
                <c:pt idx="9">
                  <c:v>202</c:v>
                </c:pt>
                <c:pt idx="10">
                  <c:v>9005</c:v>
                </c:pt>
                <c:pt idx="11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043824"/>
        <c:axId val="1672044368"/>
      </c:barChart>
      <c:lineChart>
        <c:grouping val="standard"/>
        <c:varyColors val="0"/>
        <c:ser>
          <c:idx val="23"/>
          <c:order val="2"/>
          <c:tx>
            <c:strRef>
              <c:f>Servicios!$Z$10</c:f>
              <c:strCache>
                <c:ptCount val="1"/>
                <c:pt idx="0">
                  <c:v>% Eficiencia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Servicios!$B$38:$B$49</c:f>
              <c:strCache>
                <c:ptCount val="12"/>
                <c:pt idx="1">
                  <c:v>Aplicación Descuento 2%</c:v>
                </c:pt>
                <c:pt idx="2">
                  <c:v>Pensión por Sobrevivencia Concubin@</c:v>
                </c:pt>
                <c:pt idx="3">
                  <c:v>Pensión por Sobrevivencia Conyuge</c:v>
                </c:pt>
                <c:pt idx="4">
                  <c:v>Pensión por Sobrevivencia Menor</c:v>
                </c:pt>
                <c:pt idx="5">
                  <c:v>Pensión por Sobrevivencia Padre/Madre</c:v>
                </c:pt>
                <c:pt idx="6">
                  <c:v>Reactivación</c:v>
                </c:pt>
                <c:pt idx="7">
                  <c:v>Reembolso</c:v>
                </c:pt>
                <c:pt idx="8">
                  <c:v>Reinclusión</c:v>
                </c:pt>
                <c:pt idx="9">
                  <c:v>Retroactivo</c:v>
                </c:pt>
                <c:pt idx="10">
                  <c:v>Solicitud Inclusión a Nómina</c:v>
                </c:pt>
                <c:pt idx="11">
                  <c:v>Suspensión Descuento 2%</c:v>
                </c:pt>
              </c:strCache>
            </c:strRef>
          </c:cat>
          <c:val>
            <c:numRef>
              <c:f>Servicios!$Z$38:$Z$49</c:f>
              <c:numCache>
                <c:formatCode>0%</c:formatCode>
                <c:ptCount val="12"/>
                <c:pt idx="0" formatCode="General">
                  <c:v>0</c:v>
                </c:pt>
                <c:pt idx="1">
                  <c:v>0.90697674418604646</c:v>
                </c:pt>
                <c:pt idx="2">
                  <c:v>0.42857142857142855</c:v>
                </c:pt>
                <c:pt idx="3">
                  <c:v>0.78177458033573144</c:v>
                </c:pt>
                <c:pt idx="4">
                  <c:v>0.75</c:v>
                </c:pt>
                <c:pt idx="5">
                  <c:v>1</c:v>
                </c:pt>
                <c:pt idx="6">
                  <c:v>0.73333333333333328</c:v>
                </c:pt>
                <c:pt idx="7">
                  <c:v>0.69714285714285718</c:v>
                </c:pt>
                <c:pt idx="8">
                  <c:v>0.7857142857142857</c:v>
                </c:pt>
                <c:pt idx="9">
                  <c:v>0.75092936802973975</c:v>
                </c:pt>
                <c:pt idx="10">
                  <c:v>0.85533814589665658</c:v>
                </c:pt>
                <c:pt idx="11">
                  <c:v>0.85057471264367812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E3-4EA1-A621-3A7FC20B7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377216"/>
        <c:axId val="1672046544"/>
      </c:lineChart>
      <c:catAx>
        <c:axId val="1672043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72044368"/>
        <c:crosses val="autoZero"/>
        <c:auto val="1"/>
        <c:lblAlgn val="ctr"/>
        <c:lblOffset val="100"/>
        <c:noMultiLvlLbl val="0"/>
      </c:catAx>
      <c:valAx>
        <c:axId val="1672044368"/>
        <c:scaling>
          <c:logBase val="10"/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672043824"/>
        <c:crosses val="autoZero"/>
        <c:crossBetween val="between"/>
      </c:valAx>
      <c:valAx>
        <c:axId val="16720465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1672377216"/>
        <c:crosses val="max"/>
        <c:crossBetween val="between"/>
      </c:valAx>
      <c:catAx>
        <c:axId val="1672377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720465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'Afiliados y Cotizantes'!$B$6</c:f>
              <c:strCache>
                <c:ptCount val="1"/>
                <c:pt idx="0">
                  <c:v>Afiliados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2.3665036994507917E-17"/>
                  <c:y val="0.22250136602998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0E-4F43-9E46-5A2A7118901E}"/>
                </c:ext>
              </c:extLst>
            </c:dLbl>
            <c:dLbl>
              <c:idx val="1"/>
              <c:layout>
                <c:manualLayout>
                  <c:x val="2.5816702227310574E-3"/>
                  <c:y val="0.472334064262240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0E-4F43-9E46-5A2A7118901E}"/>
                </c:ext>
              </c:extLst>
            </c:dLbl>
            <c:dLbl>
              <c:idx val="2"/>
              <c:layout>
                <c:manualLayout>
                  <c:x val="-5.1633404454622094E-3"/>
                  <c:y val="0.4781602658434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0E-4F43-9E46-5A2A71189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Cotizantes'!$B$7:$B$9</c:f>
              <c:numCache>
                <c:formatCode>#,##0</c:formatCode>
                <c:ptCount val="3"/>
                <c:pt idx="0">
                  <c:v>93979</c:v>
                </c:pt>
                <c:pt idx="1">
                  <c:v>93855</c:v>
                </c:pt>
                <c:pt idx="2">
                  <c:v>94075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0E-4F43-9E46-5A2A7118901E}"/>
            </c:ext>
          </c:extLst>
        </c:ser>
        <c:ser>
          <c:idx val="1"/>
          <c:order val="1"/>
          <c:tx>
            <c:v>No Cotizantes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1633404454621149E-3"/>
                  <c:y val="0.393979007543447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0E-4F43-9E46-5A2A7118901E}"/>
                </c:ext>
              </c:extLst>
            </c:dLbl>
            <c:dLbl>
              <c:idx val="1"/>
              <c:layout>
                <c:manualLayout>
                  <c:x val="2.5816702227310574E-3"/>
                  <c:y val="0.39403018411963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0E-4F43-9E46-5A2A7118901E}"/>
                </c:ext>
              </c:extLst>
            </c:dLbl>
            <c:dLbl>
              <c:idx val="2"/>
              <c:layout>
                <c:manualLayout>
                  <c:x val="-2.5816702227310574E-3"/>
                  <c:y val="0.393799647736819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0E-4F43-9E46-5A2A71189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Cotizantes'!$E$7:$E$9</c:f>
              <c:numCache>
                <c:formatCode>#,##0</c:formatCode>
                <c:ptCount val="3"/>
                <c:pt idx="0">
                  <c:v>62005</c:v>
                </c:pt>
                <c:pt idx="1">
                  <c:v>63193</c:v>
                </c:pt>
                <c:pt idx="2">
                  <c:v>62779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0E-4F43-9E46-5A2A71189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70560"/>
        <c:axId val="1667758048"/>
      </c:barChart>
      <c:lineChart>
        <c:grouping val="standard"/>
        <c:varyColors val="0"/>
        <c:ser>
          <c:idx val="2"/>
          <c:order val="2"/>
          <c:tx>
            <c:strRef>
              <c:f>'Afiliados y Cotizantes'!$F$6</c:f>
              <c:strCache>
                <c:ptCount val="1"/>
                <c:pt idx="0">
                  <c:v>% No Cotizantes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7450106681931728E-3"/>
                  <c:y val="-0.12161646370644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0E-4F43-9E46-5A2A7118901E}"/>
                </c:ext>
              </c:extLst>
            </c:dLbl>
            <c:dLbl>
              <c:idx val="1"/>
              <c:layout>
                <c:manualLayout>
                  <c:x val="-6.9705096013738546E-2"/>
                  <c:y val="-0.136842629316782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0E-4F43-9E46-5A2A7118901E}"/>
                </c:ext>
              </c:extLst>
            </c:dLbl>
            <c:dLbl>
              <c:idx val="2"/>
              <c:layout>
                <c:manualLayout>
                  <c:x val="-4.3888393786427976E-2"/>
                  <c:y val="-0.10299960998457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B0-450A-9E85-956BCBE613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'Afiliados y Cotizantes'!$A$7:$A$9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'Afiliados y Cotizantes'!$F$7:$F$9</c:f>
              <c:numCache>
                <c:formatCode>0%</c:formatCode>
                <c:ptCount val="3"/>
                <c:pt idx="0">
                  <c:v>0.65977505612956089</c:v>
                </c:pt>
                <c:pt idx="1">
                  <c:v>0.67330456555324703</c:v>
                </c:pt>
                <c:pt idx="2">
                  <c:v>0.66732925857028969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40E-4F43-9E46-5A2A71189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67766752"/>
        <c:axId val="1667762944"/>
      </c:lineChart>
      <c:catAx>
        <c:axId val="1667770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58048"/>
        <c:crosses val="autoZero"/>
        <c:auto val="1"/>
        <c:lblAlgn val="ctr"/>
        <c:lblOffset val="100"/>
        <c:noMultiLvlLbl val="0"/>
      </c:catAx>
      <c:valAx>
        <c:axId val="16677580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70560"/>
        <c:crosses val="autoZero"/>
        <c:crossBetween val="between"/>
      </c:valAx>
      <c:valAx>
        <c:axId val="1667762944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crossAx val="1667766752"/>
        <c:crosses val="max"/>
        <c:crossBetween val="between"/>
      </c:valAx>
      <c:catAx>
        <c:axId val="1667766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7762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5258870374947961"/>
          <c:y val="0.85712440398047529"/>
          <c:w val="0.72580263517381349"/>
          <c:h val="0.10300266910897687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800">
                <a:solidFill>
                  <a:schemeClr val="accent1"/>
                </a:solidFill>
              </a:rPr>
              <a:t>Porcentaje de cotizantes</a:t>
            </a:r>
            <a:r>
              <a:rPr lang="es-ES" sz="800" baseline="0">
                <a:solidFill>
                  <a:schemeClr val="accent1"/>
                </a:solidFill>
              </a:rPr>
              <a:t> y No cotizantes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484-42B2-80EC-06380EF794C9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8484-42B2-80EC-06380EF794C9}"/>
              </c:ext>
            </c:extLst>
          </c:dPt>
          <c:dLbls>
            <c:dLbl>
              <c:idx val="0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84-42B2-80EC-06380EF794C9}"/>
                </c:ext>
              </c:extLst>
            </c:dLbl>
            <c:dLbl>
              <c:idx val="1"/>
              <c:layout>
                <c:manualLayout>
                  <c:x val="0.21927088801399824"/>
                  <c:y val="-0.2268121172353455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95822397200349"/>
                      <c:h val="0.126898148148148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484-42B2-80EC-06380EF794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('Afiliados y Cotizantes'!$D$6,'Afiliados y Cotizantes'!$F$6)</c:f>
              <c:strCache>
                <c:ptCount val="2"/>
                <c:pt idx="0">
                  <c:v>% Cotizantes</c:v>
                </c:pt>
                <c:pt idx="1">
                  <c:v>% No Cotizantes</c:v>
                </c:pt>
              </c:strCache>
            </c:strRef>
          </c:cat>
          <c:val>
            <c:numRef>
              <c:f>('Afiliados y Cotizantes'!$D$10,'Afiliados y Cotizantes'!$F$10)</c:f>
              <c:numCache>
                <c:formatCode>0%</c:formatCode>
                <c:ptCount val="2"/>
                <c:pt idx="0">
                  <c:v>0.33319972047717528</c:v>
                </c:pt>
                <c:pt idx="1">
                  <c:v>0.66680027952282472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84-42B2-80EC-06380EF794C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es-ES" sz="1000">
                <a:solidFill>
                  <a:schemeClr val="accent1"/>
                </a:solidFill>
              </a:rPr>
              <a:t>Cantidad</a:t>
            </a:r>
            <a:r>
              <a:rPr lang="es-ES" sz="1000" baseline="0">
                <a:solidFill>
                  <a:schemeClr val="accent1"/>
                </a:solidFill>
              </a:rPr>
              <a:t> de cotizantes por tipo 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s-ES" sz="1000" baseline="0">
                <a:solidFill>
                  <a:schemeClr val="accent1"/>
                </a:solidFill>
              </a:rPr>
              <a:t>de empleador</a:t>
            </a:r>
            <a:endParaRPr lang="es-ES" sz="1000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397542344881213"/>
          <c:y val="1.08857738701297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228018372703412"/>
          <c:y val="3.5109750841474434E-2"/>
          <c:w val="0.68917891513560803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Cotizantes!$B$7</c:f>
              <c:strCache>
                <c:ptCount val="1"/>
                <c:pt idx="0">
                  <c:v>Público 
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2.7770361414853994E-3"/>
                  <c:y val="0.173496156744214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C0-431D-A784-ADE8732008D2}"/>
                </c:ext>
              </c:extLst>
            </c:dLbl>
            <c:dLbl>
              <c:idx val="1"/>
              <c:layout>
                <c:manualLayout>
                  <c:x val="-2.7770361414853994E-3"/>
                  <c:y val="0.233135460625038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C0-431D-A784-ADE8732008D2}"/>
                </c:ext>
              </c:extLst>
            </c:dLbl>
            <c:dLbl>
              <c:idx val="2"/>
              <c:layout>
                <c:manualLayout>
                  <c:x val="2.7770361414853994E-3"/>
                  <c:y val="0.22229195082852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C0-431D-A784-ADE873200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Cotizantes!$B$8:$B$10</c:f>
              <c:numCache>
                <c:formatCode>#,##0</c:formatCode>
                <c:ptCount val="3"/>
                <c:pt idx="0">
                  <c:v>26040</c:v>
                </c:pt>
                <c:pt idx="1">
                  <c:v>24837</c:v>
                </c:pt>
                <c:pt idx="2">
                  <c:v>25350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B-4152-BDE9-0C66FFE1287D}"/>
            </c:ext>
          </c:extLst>
        </c:ser>
        <c:ser>
          <c:idx val="1"/>
          <c:order val="1"/>
          <c:tx>
            <c:strRef>
              <c:f>Cotizantes!$C$7</c:f>
              <c:strCache>
                <c:ptCount val="1"/>
                <c:pt idx="0">
                  <c:v>Privado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Cotizantes!$A$8:$A$10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Cotizantes!$C$8:$C$10</c:f>
              <c:numCache>
                <c:formatCode>#,##0</c:formatCode>
                <c:ptCount val="3"/>
                <c:pt idx="0">
                  <c:v>5934</c:v>
                </c:pt>
                <c:pt idx="1">
                  <c:v>5825</c:v>
                </c:pt>
                <c:pt idx="2">
                  <c:v>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B-4152-BDE9-0C66FFE1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763488"/>
        <c:axId val="1667764032"/>
      </c:barChart>
      <c:catAx>
        <c:axId val="166776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4032"/>
        <c:crosses val="autoZero"/>
        <c:auto val="1"/>
        <c:lblAlgn val="ctr"/>
        <c:lblOffset val="100"/>
        <c:noMultiLvlLbl val="0"/>
      </c:catAx>
      <c:valAx>
        <c:axId val="16677640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667763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12576552930884"/>
          <c:y val="0.41853966170895307"/>
          <c:w val="0.14242979002624673"/>
          <c:h val="0.1674343832020997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 sz="800">
                <a:solidFill>
                  <a:schemeClr val="accent1"/>
                </a:solidFill>
              </a:rPr>
              <a:t>Porcentaje</a:t>
            </a:r>
            <a:r>
              <a:rPr lang="es-ES" sz="800" baseline="0">
                <a:solidFill>
                  <a:schemeClr val="accent1"/>
                </a:solidFill>
              </a:rPr>
              <a:t> Cotizantes por Tipo de Empleador</a:t>
            </a:r>
            <a:endParaRPr lang="es-ES" sz="800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FC0-4626-8946-C199BABBAAC4}"/>
              </c:ext>
            </c:extLst>
          </c:dPt>
          <c:dPt>
            <c:idx val="1"/>
            <c:bubble3D val="0"/>
            <c:explosion val="3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3FC0-4626-8946-C199BABBAAC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E83FA5F-D0AB-48CE-96D6-99FDB27CB416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</a:t>
                    </a:r>
                    <a:fld id="{C20B6CD3-A00D-42C3-9725-57F7CEEDB32F}" type="VALUE">
                      <a:rPr lang="en-US" baseline="0"/>
                      <a:pPr/>
                      <a:t>[VALOR]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0-4626-8946-C199BABBAAC4}"/>
                </c:ext>
              </c:extLst>
            </c:dLbl>
            <c:dLbl>
              <c:idx val="1"/>
              <c:layout>
                <c:manualLayout>
                  <c:x val="0.11663649561069367"/>
                  <c:y val="0.110844708400903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C0-4626-8946-C199BABBA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Cotizantes!$E$7:$F$7</c:f>
              <c:strCache>
                <c:ptCount val="2"/>
                <c:pt idx="0">
                  <c:v>% Público</c:v>
                </c:pt>
                <c:pt idx="1">
                  <c:v>% Privado</c:v>
                </c:pt>
              </c:strCache>
            </c:strRef>
          </c:cat>
          <c:val>
            <c:numRef>
              <c:f>Cotizantes!$E$11:$F$11</c:f>
              <c:numCache>
                <c:formatCode>0%</c:formatCode>
                <c:ptCount val="2"/>
                <c:pt idx="0">
                  <c:v>0.81148160562644822</c:v>
                </c:pt>
                <c:pt idx="1">
                  <c:v>0.18851839437355175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C0-4626-8946-C199BABBA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Empleador!$B$7</c:f>
              <c:strCache>
                <c:ptCount val="1"/>
                <c:pt idx="0">
                  <c:v>Público (RD$)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Empleador!$B$8:$B$10</c:f>
              <c:numCache>
                <c:formatCode>#,##0</c:formatCode>
                <c:ptCount val="3"/>
                <c:pt idx="0">
                  <c:v>99438086</c:v>
                </c:pt>
                <c:pt idx="1">
                  <c:v>94108687.260000005</c:v>
                </c:pt>
                <c:pt idx="2">
                  <c:v>94818405.890000001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4-4074-BEFF-2DE0A00E38F1}"/>
            </c:ext>
          </c:extLst>
        </c:ser>
        <c:ser>
          <c:idx val="1"/>
          <c:order val="1"/>
          <c:tx>
            <c:strRef>
              <c:f>Empleador!$C$7</c:f>
              <c:strCache>
                <c:ptCount val="1"/>
                <c:pt idx="0">
                  <c:v>Privado (RD$)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20766864871802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38-4061-9CFB-E05ABCE275A3}"/>
                </c:ext>
              </c:extLst>
            </c:dLbl>
            <c:dLbl>
              <c:idx val="1"/>
              <c:layout>
                <c:manualLayout>
                  <c:x val="3.849131627010466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38-4061-9CFB-E05ABCE275A3}"/>
                </c:ext>
              </c:extLst>
            </c:dLbl>
            <c:dLbl>
              <c:idx val="2"/>
              <c:layout>
                <c:manualLayout>
                  <c:x val="2.888175309967149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4B-423A-9D8D-AF7B1DB209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Empleador!$A$8:$A$10</c:f>
              <c:strCache>
                <c:ptCount val="3"/>
                <c:pt idx="0">
                  <c:v>Diciembre</c:v>
                </c:pt>
                <c:pt idx="1">
                  <c:v>Noviembre</c:v>
                </c:pt>
                <c:pt idx="2">
                  <c:v>Octubre</c:v>
                </c:pt>
              </c:strCache>
            </c:strRef>
          </c:cat>
          <c:val>
            <c:numRef>
              <c:f>Empleador!$C$8:$C$10</c:f>
              <c:numCache>
                <c:formatCode>#,##0</c:formatCode>
                <c:ptCount val="3"/>
                <c:pt idx="0">
                  <c:v>15892563.41</c:v>
                </c:pt>
                <c:pt idx="1">
                  <c:v>13522440.119999999</c:v>
                </c:pt>
                <c:pt idx="2">
                  <c:v>13624419.310000001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54-4074-BEFF-2DE0A00E38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667757504"/>
        <c:axId val="1667761312"/>
      </c:barChart>
      <c:catAx>
        <c:axId val="1667757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67761312"/>
        <c:crosses val="autoZero"/>
        <c:auto val="1"/>
        <c:lblAlgn val="ctr"/>
        <c:lblOffset val="100"/>
        <c:noMultiLvlLbl val="0"/>
      </c:catAx>
      <c:valAx>
        <c:axId val="16677613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667757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cap="none" spc="20" baseline="0"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r>
              <a:rPr lang="en-US" sz="900" b="1">
                <a:solidFill>
                  <a:schemeClr val="accent1"/>
                </a:solidFill>
              </a:rPr>
              <a:t>Porcentaje Monto Total</a:t>
            </a:r>
            <a:r>
              <a:rPr lang="en-US" sz="900" b="1" baseline="0">
                <a:solidFill>
                  <a:schemeClr val="accent1"/>
                </a:solidFill>
              </a:rPr>
              <a:t> Individualizado por Tipo de Empleador</a:t>
            </a:r>
            <a:endParaRPr lang="en-US" sz="900" b="1">
              <a:solidFill>
                <a:schemeClr val="accent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cap="none" spc="20" baseline="0">
              <a:solidFill>
                <a:schemeClr val="accent1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A7F0-4060-96BC-C2830A8E27F4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A7F0-4060-96BC-C2830A8E27F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1E0124BD-4345-4E4A-B14D-12CA58C69878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7F0-4060-96BC-C2830A8E27F4}"/>
                </c:ext>
              </c:extLst>
            </c:dLbl>
            <c:dLbl>
              <c:idx val="1"/>
              <c:layout>
                <c:manualLayout>
                  <c:x val="7.4119001557259923E-2"/>
                  <c:y val="9.94286855606828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9808AA45-761B-4E95-9508-605747744867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7F0-4060-96BC-C2830A8E2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Empleador!$B$7:$C$7</c:f>
              <c:strCache>
                <c:ptCount val="2"/>
                <c:pt idx="0">
                  <c:v>Público (RD$)</c:v>
                </c:pt>
                <c:pt idx="1">
                  <c:v>Privado (RD$)</c:v>
                </c:pt>
              </c:strCache>
            </c:strRef>
          </c:cat>
          <c:val>
            <c:numRef>
              <c:f>Empleador!$B$25:$C$25</c:f>
              <c:numCache>
                <c:formatCode>0%</c:formatCode>
                <c:ptCount val="2"/>
                <c:pt idx="0">
                  <c:v>0.87013028008193216</c:v>
                </c:pt>
                <c:pt idx="1">
                  <c:v>0.1298697199180677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F0-4060-96BC-C2830A8E27F4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image" Target="../media/image2.png"/><Relationship Id="rId5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1.png"/><Relationship Id="rId1" Type="http://schemas.openxmlformats.org/officeDocument/2006/relationships/chart" Target="../charts/chart17.xml"/><Relationship Id="rId4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image" Target="../media/image1.png"/><Relationship Id="rId1" Type="http://schemas.openxmlformats.org/officeDocument/2006/relationships/image" Target="../media/image4.png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Relationship Id="rId9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6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image" Target="../media/image2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31.xml"/><Relationship Id="rId1" Type="http://schemas.openxmlformats.org/officeDocument/2006/relationships/chart" Target="../charts/chart30.xml"/><Relationship Id="rId4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image" Target="../media/image1.png"/><Relationship Id="rId1" Type="http://schemas.openxmlformats.org/officeDocument/2006/relationships/chart" Target="../charts/chart6.xml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png"/><Relationship Id="rId1" Type="http://schemas.openxmlformats.org/officeDocument/2006/relationships/chart" Target="../charts/chart8.xml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644770</xdr:colOff>
      <xdr:row>29</xdr:row>
      <xdr:rowOff>80596</xdr:rowOff>
    </xdr:from>
    <xdr:to>
      <xdr:col>5</xdr:col>
      <xdr:colOff>223472</xdr:colOff>
      <xdr:row>45</xdr:row>
      <xdr:rowOff>139212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293585</xdr:colOff>
      <xdr:row>1</xdr:row>
      <xdr:rowOff>43961</xdr:rowOff>
    </xdr:from>
    <xdr:to>
      <xdr:col>1</xdr:col>
      <xdr:colOff>352391</xdr:colOff>
      <xdr:row>4</xdr:row>
      <xdr:rowOff>7327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3585" y="234461"/>
          <a:ext cx="850114" cy="534866"/>
        </a:xfrm>
        <a:prstGeom prst="rect">
          <a:avLst/>
        </a:prstGeom>
      </xdr:spPr>
    </xdr:pic>
    <xdr:clientData/>
  </xdr:twoCellAnchor>
  <xdr:twoCellAnchor editAs="oneCell">
    <xdr:from>
      <xdr:col>3</xdr:col>
      <xdr:colOff>581756</xdr:colOff>
      <xdr:row>1</xdr:row>
      <xdr:rowOff>22900</xdr:rowOff>
    </xdr:from>
    <xdr:to>
      <xdr:col>6</xdr:col>
      <xdr:colOff>414076</xdr:colOff>
      <xdr:row>4</xdr:row>
      <xdr:rowOff>9338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9352" y="213400"/>
          <a:ext cx="2246436" cy="5579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286533</xdr:colOff>
      <xdr:row>31</xdr:row>
      <xdr:rowOff>81370</xdr:rowOff>
    </xdr:from>
    <xdr:to>
      <xdr:col>6</xdr:col>
      <xdr:colOff>830385</xdr:colOff>
      <xdr:row>50</xdr:row>
      <xdr:rowOff>174624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301325</xdr:colOff>
      <xdr:row>1</xdr:row>
      <xdr:rowOff>109903</xdr:rowOff>
    </xdr:from>
    <xdr:to>
      <xdr:col>1</xdr:col>
      <xdr:colOff>329514</xdr:colOff>
      <xdr:row>4</xdr:row>
      <xdr:rowOff>58615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25" y="300403"/>
          <a:ext cx="826824" cy="520212"/>
        </a:xfrm>
        <a:prstGeom prst="rect">
          <a:avLst/>
        </a:prstGeom>
      </xdr:spPr>
    </xdr:pic>
    <xdr:clientData/>
  </xdr:twoCellAnchor>
  <xdr:twoCellAnchor editAs="oneCell">
    <xdr:from>
      <xdr:col>5</xdr:col>
      <xdr:colOff>696058</xdr:colOff>
      <xdr:row>1</xdr:row>
      <xdr:rowOff>7326</xdr:rowOff>
    </xdr:from>
    <xdr:to>
      <xdr:col>8</xdr:col>
      <xdr:colOff>407379</xdr:colOff>
      <xdr:row>3</xdr:row>
      <xdr:rowOff>184264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2077" y="197826"/>
          <a:ext cx="2246436" cy="5579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67407</xdr:colOff>
      <xdr:row>24</xdr:row>
      <xdr:rowOff>67897</xdr:rowOff>
    </xdr:from>
    <xdr:to>
      <xdr:col>26</xdr:col>
      <xdr:colOff>694836</xdr:colOff>
      <xdr:row>39</xdr:row>
      <xdr:rowOff>144097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143531</xdr:colOff>
      <xdr:row>30</xdr:row>
      <xdr:rowOff>99393</xdr:rowOff>
    </xdr:from>
    <xdr:to>
      <xdr:col>6</xdr:col>
      <xdr:colOff>8282</xdr:colOff>
      <xdr:row>42</xdr:row>
      <xdr:rowOff>124239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603250</xdr:colOff>
      <xdr:row>44</xdr:row>
      <xdr:rowOff>51661</xdr:rowOff>
    </xdr:from>
    <xdr:to>
      <xdr:col>9</xdr:col>
      <xdr:colOff>901722</xdr:colOff>
      <xdr:row>55</xdr:row>
      <xdr:rowOff>164962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455544</xdr:colOff>
      <xdr:row>31</xdr:row>
      <xdr:rowOff>37272</xdr:rowOff>
    </xdr:from>
    <xdr:to>
      <xdr:col>12</xdr:col>
      <xdr:colOff>463827</xdr:colOff>
      <xdr:row>43</xdr:row>
      <xdr:rowOff>49696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269184</xdr:colOff>
      <xdr:row>43</xdr:row>
      <xdr:rowOff>65464</xdr:rowOff>
    </xdr:from>
    <xdr:to>
      <xdr:col>7</xdr:col>
      <xdr:colOff>363937</xdr:colOff>
      <xdr:row>44</xdr:row>
      <xdr:rowOff>84514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4920559" y="5335964"/>
          <a:ext cx="967878" cy="209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Pensiones</a:t>
          </a:r>
        </a:p>
      </xdr:txBody>
    </xdr:sp>
    <xdr:clientData/>
  </xdr:twoCellAnchor>
  <xdr:twoCellAnchor>
    <xdr:from>
      <xdr:col>6</xdr:col>
      <xdr:colOff>542299</xdr:colOff>
      <xdr:row>30</xdr:row>
      <xdr:rowOff>4141</xdr:rowOff>
    </xdr:from>
    <xdr:to>
      <xdr:col>12</xdr:col>
      <xdr:colOff>324932</xdr:colOff>
      <xdr:row>30</xdr:row>
      <xdr:rowOff>58353</xdr:rowOff>
    </xdr:to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7681908" y="2994163"/>
          <a:ext cx="2060350" cy="5421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Monto</a:t>
          </a:r>
        </a:p>
      </xdr:txBody>
    </xdr:sp>
    <xdr:clientData/>
  </xdr:twoCellAnchor>
  <xdr:twoCellAnchor editAs="oneCell">
    <xdr:from>
      <xdr:col>2</xdr:col>
      <xdr:colOff>446942</xdr:colOff>
      <xdr:row>1</xdr:row>
      <xdr:rowOff>36635</xdr:rowOff>
    </xdr:from>
    <xdr:to>
      <xdr:col>3</xdr:col>
      <xdr:colOff>667472</xdr:colOff>
      <xdr:row>4</xdr:row>
      <xdr:rowOff>87923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54115" y="227135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140805</xdr:colOff>
      <xdr:row>0</xdr:row>
      <xdr:rowOff>124240</xdr:rowOff>
    </xdr:from>
    <xdr:to>
      <xdr:col>12</xdr:col>
      <xdr:colOff>34980</xdr:colOff>
      <xdr:row>3</xdr:row>
      <xdr:rowOff>110678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5870" y="124240"/>
          <a:ext cx="2246436" cy="557938"/>
        </a:xfrm>
        <a:prstGeom prst="rect">
          <a:avLst/>
        </a:prstGeom>
      </xdr:spPr>
    </xdr:pic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0.30281</cdr:x>
      <cdr:y>0</cdr:y>
    </cdr:from>
    <cdr:to>
      <cdr:x>0.71115</cdr:x>
      <cdr:y>0.09722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631919" y="0"/>
          <a:ext cx="2200646" cy="2535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DO" sz="1100" b="1">
              <a:solidFill>
                <a:schemeClr val="accent5">
                  <a:lumMod val="75000"/>
                </a:schemeClr>
              </a:solidFill>
            </a:rPr>
            <a:t>Pensionados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479999</xdr:colOff>
      <xdr:row>26</xdr:row>
      <xdr:rowOff>130663</xdr:rowOff>
    </xdr:from>
    <xdr:to>
      <xdr:col>12</xdr:col>
      <xdr:colOff>720444</xdr:colOff>
      <xdr:row>38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674077</xdr:colOff>
      <xdr:row>2</xdr:row>
      <xdr:rowOff>0</xdr:rowOff>
    </xdr:from>
    <xdr:to>
      <xdr:col>3</xdr:col>
      <xdr:colOff>770050</xdr:colOff>
      <xdr:row>5</xdr:row>
      <xdr:rowOff>51288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077" y="381000"/>
          <a:ext cx="989857" cy="6227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</xdr:row>
      <xdr:rowOff>158750</xdr:rowOff>
    </xdr:from>
    <xdr:to>
      <xdr:col>6</xdr:col>
      <xdr:colOff>240444</xdr:colOff>
      <xdr:row>39</xdr:row>
      <xdr:rowOff>28087</xdr:rowOff>
    </xdr:to>
    <xdr:graphicFrame macro="">
      <xdr:nvGraphicFramePr>
        <xdr:cNvPr id="9" name="1 Gráfic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865187</xdr:colOff>
      <xdr:row>1</xdr:row>
      <xdr:rowOff>119062</xdr:rowOff>
    </xdr:from>
    <xdr:to>
      <xdr:col>9</xdr:col>
      <xdr:colOff>420811</xdr:colOff>
      <xdr:row>4</xdr:row>
      <xdr:rowOff>105500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1875" y="309562"/>
          <a:ext cx="2246436" cy="55793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914851</xdr:colOff>
      <xdr:row>3</xdr:row>
      <xdr:rowOff>60548</xdr:rowOff>
    </xdr:from>
    <xdr:to>
      <xdr:col>25</xdr:col>
      <xdr:colOff>709635</xdr:colOff>
      <xdr:row>6</xdr:row>
      <xdr:rowOff>29668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3806" y="632048"/>
          <a:ext cx="2236646" cy="557938"/>
        </a:xfrm>
        <a:prstGeom prst="rect">
          <a:avLst/>
        </a:prstGeom>
      </xdr:spPr>
    </xdr:pic>
    <xdr:clientData/>
  </xdr:twoCellAnchor>
  <xdr:oneCellAnchor>
    <xdr:from>
      <xdr:col>1</xdr:col>
      <xdr:colOff>198783</xdr:colOff>
      <xdr:row>0</xdr:row>
      <xdr:rowOff>82827</xdr:rowOff>
    </xdr:from>
    <xdr:ext cx="989857" cy="622788"/>
    <xdr:pic>
      <xdr:nvPicPr>
        <xdr:cNvPr id="12" name="Picture 9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33892" y="82827"/>
          <a:ext cx="989857" cy="622788"/>
        </a:xfrm>
        <a:prstGeom prst="rect">
          <a:avLst/>
        </a:prstGeom>
      </xdr:spPr>
    </xdr:pic>
    <xdr:clientData/>
  </xdr:oneCellAnchor>
  <xdr:twoCellAnchor>
    <xdr:from>
      <xdr:col>21</xdr:col>
      <xdr:colOff>361666</xdr:colOff>
      <xdr:row>6</xdr:row>
      <xdr:rowOff>98496</xdr:rowOff>
    </xdr:from>
    <xdr:to>
      <xdr:col>27</xdr:col>
      <xdr:colOff>196014</xdr:colOff>
      <xdr:row>20</xdr:row>
      <xdr:rowOff>34807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27</xdr:col>
      <xdr:colOff>238690</xdr:colOff>
      <xdr:row>6</xdr:row>
      <xdr:rowOff>116708</xdr:rowOff>
    </xdr:from>
    <xdr:to>
      <xdr:col>33</xdr:col>
      <xdr:colOff>238690</xdr:colOff>
      <xdr:row>20</xdr:row>
      <xdr:rowOff>46832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91109</xdr:colOff>
      <xdr:row>30</xdr:row>
      <xdr:rowOff>66261</xdr:rowOff>
    </xdr:from>
    <xdr:to>
      <xdr:col>26</xdr:col>
      <xdr:colOff>687457</xdr:colOff>
      <xdr:row>44</xdr:row>
      <xdr:rowOff>142461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190498</xdr:colOff>
      <xdr:row>31</xdr:row>
      <xdr:rowOff>33129</xdr:rowOff>
    </xdr:from>
    <xdr:to>
      <xdr:col>33</xdr:col>
      <xdr:colOff>190498</xdr:colOff>
      <xdr:row>45</xdr:row>
      <xdr:rowOff>101046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21</xdr:col>
      <xdr:colOff>447261</xdr:colOff>
      <xdr:row>49</xdr:row>
      <xdr:rowOff>124239</xdr:rowOff>
    </xdr:from>
    <xdr:to>
      <xdr:col>27</xdr:col>
      <xdr:colOff>281609</xdr:colOff>
      <xdr:row>63</xdr:row>
      <xdr:rowOff>159026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546561</xdr:colOff>
      <xdr:row>49</xdr:row>
      <xdr:rowOff>121873</xdr:rowOff>
    </xdr:from>
    <xdr:to>
      <xdr:col>33</xdr:col>
      <xdr:colOff>546561</xdr:colOff>
      <xdr:row>63</xdr:row>
      <xdr:rowOff>156660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29</xdr:col>
      <xdr:colOff>29545</xdr:colOff>
      <xdr:row>3</xdr:row>
      <xdr:rowOff>76405</xdr:rowOff>
    </xdr:from>
    <xdr:to>
      <xdr:col>31</xdr:col>
      <xdr:colOff>743211</xdr:colOff>
      <xdr:row>6</xdr:row>
      <xdr:rowOff>45525</xdr:rowOff>
    </xdr:to>
    <xdr:pic>
      <xdr:nvPicPr>
        <xdr:cNvPr id="10" name="Picture 10">
          <a:extLst>
            <a:ext uri="{FF2B5EF4-FFF2-40B4-BE49-F238E27FC236}">
              <a16:creationId xmlns:a16="http://schemas.microsoft.com/office/drawing/2014/main" id="{B8825771-E97A-4C02-BE46-B46CB47933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88363" y="647905"/>
          <a:ext cx="2237666" cy="5579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109904</xdr:colOff>
      <xdr:row>1</xdr:row>
      <xdr:rowOff>73270</xdr:rowOff>
    </xdr:from>
    <xdr:to>
      <xdr:col>4</xdr:col>
      <xdr:colOff>520935</xdr:colOff>
      <xdr:row>4</xdr:row>
      <xdr:rowOff>124558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289" y="263770"/>
          <a:ext cx="989857" cy="622788"/>
        </a:xfrm>
        <a:prstGeom prst="rect">
          <a:avLst/>
        </a:prstGeom>
      </xdr:spPr>
    </xdr:pic>
    <xdr:clientData/>
  </xdr:twoCellAnchor>
  <xdr:twoCellAnchor>
    <xdr:from>
      <xdr:col>4</xdr:col>
      <xdr:colOff>325904</xdr:colOff>
      <xdr:row>29</xdr:row>
      <xdr:rowOff>169208</xdr:rowOff>
    </xdr:from>
    <xdr:to>
      <xdr:col>9</xdr:col>
      <xdr:colOff>419660</xdr:colOff>
      <xdr:row>45</xdr:row>
      <xdr:rowOff>100291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476250</xdr:colOff>
      <xdr:row>1</xdr:row>
      <xdr:rowOff>38100</xdr:rowOff>
    </xdr:from>
    <xdr:to>
      <xdr:col>14</xdr:col>
      <xdr:colOff>474786</xdr:colOff>
      <xdr:row>4</xdr:row>
      <xdr:rowOff>24538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228600"/>
          <a:ext cx="2246436" cy="55793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100954</xdr:colOff>
      <xdr:row>30</xdr:row>
      <xdr:rowOff>171253</xdr:rowOff>
    </xdr:from>
    <xdr:to>
      <xdr:col>10</xdr:col>
      <xdr:colOff>282832</xdr:colOff>
      <xdr:row>42</xdr:row>
      <xdr:rowOff>162101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622962</xdr:colOff>
      <xdr:row>29</xdr:row>
      <xdr:rowOff>146415</xdr:rowOff>
    </xdr:from>
    <xdr:to>
      <xdr:col>9</xdr:col>
      <xdr:colOff>361356</xdr:colOff>
      <xdr:row>31</xdr:row>
      <xdr:rowOff>29184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384962" y="3257915"/>
          <a:ext cx="3738894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Pago de Retroactivos</a:t>
          </a:r>
        </a:p>
      </xdr:txBody>
    </xdr:sp>
    <xdr:clientData/>
  </xdr:twoCellAnchor>
  <xdr:twoCellAnchor editAs="oneCell">
    <xdr:from>
      <xdr:col>1</xdr:col>
      <xdr:colOff>718038</xdr:colOff>
      <xdr:row>1</xdr:row>
      <xdr:rowOff>65942</xdr:rowOff>
    </xdr:from>
    <xdr:to>
      <xdr:col>3</xdr:col>
      <xdr:colOff>255253</xdr:colOff>
      <xdr:row>4</xdr:row>
      <xdr:rowOff>117230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0038" y="256442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9</xdr:col>
      <xdr:colOff>223631</xdr:colOff>
      <xdr:row>0</xdr:row>
      <xdr:rowOff>157370</xdr:rowOff>
    </xdr:from>
    <xdr:to>
      <xdr:col>12</xdr:col>
      <xdr:colOff>104652</xdr:colOff>
      <xdr:row>3</xdr:row>
      <xdr:rowOff>143808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0718" y="157370"/>
          <a:ext cx="2246436" cy="55793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222738</xdr:colOff>
      <xdr:row>1</xdr:row>
      <xdr:rowOff>46892</xdr:rowOff>
    </xdr:from>
    <xdr:to>
      <xdr:col>2</xdr:col>
      <xdr:colOff>677730</xdr:colOff>
      <xdr:row>4</xdr:row>
      <xdr:rowOff>98180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738" y="237392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219808</xdr:colOff>
      <xdr:row>1</xdr:row>
      <xdr:rowOff>14654</xdr:rowOff>
    </xdr:from>
    <xdr:to>
      <xdr:col>9</xdr:col>
      <xdr:colOff>261573</xdr:colOff>
      <xdr:row>4</xdr:row>
      <xdr:rowOff>1092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5233" y="205154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247650</xdr:colOff>
      <xdr:row>1</xdr:row>
      <xdr:rowOff>185737</xdr:rowOff>
    </xdr:from>
    <xdr:to>
      <xdr:col>14</xdr:col>
      <xdr:colOff>971550</xdr:colOff>
      <xdr:row>29</xdr:row>
      <xdr:rowOff>14287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498230</xdr:colOff>
      <xdr:row>2</xdr:row>
      <xdr:rowOff>109903</xdr:rowOff>
    </xdr:from>
    <xdr:to>
      <xdr:col>13</xdr:col>
      <xdr:colOff>747345</xdr:colOff>
      <xdr:row>3</xdr:row>
      <xdr:rowOff>183172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10137530" y="490903"/>
          <a:ext cx="1792165" cy="2637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 b="1">
              <a:solidFill>
                <a:schemeClr val="tx2">
                  <a:lumMod val="60000"/>
                  <a:lumOff val="40000"/>
                </a:schemeClr>
              </a:solidFill>
            </a:rPr>
            <a:t>Créditos</a:t>
          </a:r>
          <a:r>
            <a:rPr lang="es-DO" sz="1100" b="1" baseline="0">
              <a:solidFill>
                <a:schemeClr val="tx2">
                  <a:lumMod val="60000"/>
                  <a:lumOff val="40000"/>
                </a:schemeClr>
              </a:solidFill>
            </a:rPr>
            <a:t> Rechazados</a:t>
          </a:r>
          <a:endParaRPr lang="es-DO" sz="1100" b="1">
            <a:solidFill>
              <a:schemeClr val="tx2">
                <a:lumMod val="60000"/>
                <a:lumOff val="40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365613</xdr:colOff>
      <xdr:row>0</xdr:row>
      <xdr:rowOff>189767</xdr:rowOff>
    </xdr:from>
    <xdr:to>
      <xdr:col>2</xdr:col>
      <xdr:colOff>820605</xdr:colOff>
      <xdr:row>4</xdr:row>
      <xdr:rowOff>50555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13" y="189767"/>
          <a:ext cx="1188417" cy="62278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43962</xdr:rowOff>
    </xdr:from>
    <xdr:to>
      <xdr:col>8</xdr:col>
      <xdr:colOff>908540</xdr:colOff>
      <xdr:row>4</xdr:row>
      <xdr:rowOff>30400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5425" y="234462"/>
          <a:ext cx="2242040" cy="557938"/>
        </a:xfrm>
        <a:prstGeom prst="rect">
          <a:avLst/>
        </a:prstGeom>
      </xdr:spPr>
    </xdr:pic>
    <xdr:clientData/>
  </xdr:twoCellAnchor>
  <xdr:twoCellAnchor>
    <xdr:from>
      <xdr:col>9</xdr:col>
      <xdr:colOff>285750</xdr:colOff>
      <xdr:row>2</xdr:row>
      <xdr:rowOff>119062</xdr:rowOff>
    </xdr:from>
    <xdr:to>
      <xdr:col>14</xdr:col>
      <xdr:colOff>1009650</xdr:colOff>
      <xdr:row>28</xdr:row>
      <xdr:rowOff>138112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24668</xdr:colOff>
      <xdr:row>36</xdr:row>
      <xdr:rowOff>98668</xdr:rowOff>
    </xdr:from>
    <xdr:to>
      <xdr:col>5</xdr:col>
      <xdr:colOff>503603</xdr:colOff>
      <xdr:row>54</xdr:row>
      <xdr:rowOff>51288</xdr:rowOff>
    </xdr:to>
    <xdr:graphicFrame macro="">
      <xdr:nvGraphicFramePr>
        <xdr:cNvPr id="2" name="7 Gráfic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373674</xdr:colOff>
      <xdr:row>1</xdr:row>
      <xdr:rowOff>87923</xdr:rowOff>
    </xdr:from>
    <xdr:ext cx="989857" cy="622788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3674" y="7193573"/>
          <a:ext cx="989857" cy="622788"/>
        </a:xfrm>
        <a:prstGeom prst="rect">
          <a:avLst/>
        </a:prstGeom>
      </xdr:spPr>
    </xdr:pic>
    <xdr:clientData/>
  </xdr:oneCellAnchor>
  <xdr:twoCellAnchor editAs="oneCell">
    <xdr:from>
      <xdr:col>4</xdr:col>
      <xdr:colOff>571501</xdr:colOff>
      <xdr:row>0</xdr:row>
      <xdr:rowOff>153865</xdr:rowOff>
    </xdr:from>
    <xdr:to>
      <xdr:col>7</xdr:col>
      <xdr:colOff>180245</xdr:colOff>
      <xdr:row>3</xdr:row>
      <xdr:rowOff>140303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8424" y="153865"/>
          <a:ext cx="2246436" cy="557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172917</xdr:colOff>
      <xdr:row>29</xdr:row>
      <xdr:rowOff>137012</xdr:rowOff>
    </xdr:from>
    <xdr:to>
      <xdr:col>6</xdr:col>
      <xdr:colOff>7328</xdr:colOff>
      <xdr:row>41</xdr:row>
      <xdr:rowOff>80595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5129</xdr:colOff>
      <xdr:row>42</xdr:row>
      <xdr:rowOff>101112</xdr:rowOff>
    </xdr:from>
    <xdr:to>
      <xdr:col>5</xdr:col>
      <xdr:colOff>1000125</xdr:colOff>
      <xdr:row>56</xdr:row>
      <xdr:rowOff>177312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265970</xdr:colOff>
      <xdr:row>27</xdr:row>
      <xdr:rowOff>104775</xdr:rowOff>
    </xdr:from>
    <xdr:to>
      <xdr:col>4</xdr:col>
      <xdr:colOff>332644</xdr:colOff>
      <xdr:row>28</xdr:row>
      <xdr:rowOff>180975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41258" y="3130794"/>
          <a:ext cx="1641963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  <xdr:twoCellAnchor>
    <xdr:from>
      <xdr:col>8</xdr:col>
      <xdr:colOff>435218</xdr:colOff>
      <xdr:row>3</xdr:row>
      <xdr:rowOff>65943</xdr:rowOff>
    </xdr:from>
    <xdr:to>
      <xdr:col>11</xdr:col>
      <xdr:colOff>19782</xdr:colOff>
      <xdr:row>4</xdr:row>
      <xdr:rowOff>142143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036043" y="637443"/>
          <a:ext cx="1870564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Afiliados/No Cotizantes</a:t>
          </a:r>
        </a:p>
      </xdr:txBody>
    </xdr:sp>
    <xdr:clientData/>
  </xdr:twoCellAnchor>
  <xdr:twoCellAnchor editAs="oneCell">
    <xdr:from>
      <xdr:col>0</xdr:col>
      <xdr:colOff>270708</xdr:colOff>
      <xdr:row>1</xdr:row>
      <xdr:rowOff>65942</xdr:rowOff>
    </xdr:from>
    <xdr:to>
      <xdr:col>1</xdr:col>
      <xdr:colOff>330826</xdr:colOff>
      <xdr:row>4</xdr:row>
      <xdr:rowOff>43962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0708" y="256442"/>
          <a:ext cx="873406" cy="549520"/>
        </a:xfrm>
        <a:prstGeom prst="rect">
          <a:avLst/>
        </a:prstGeom>
      </xdr:spPr>
    </xdr:pic>
    <xdr:clientData/>
  </xdr:twoCellAnchor>
  <xdr:twoCellAnchor>
    <xdr:from>
      <xdr:col>6</xdr:col>
      <xdr:colOff>174379</xdr:colOff>
      <xdr:row>4</xdr:row>
      <xdr:rowOff>174381</xdr:rowOff>
    </xdr:from>
    <xdr:to>
      <xdr:col>12</xdr:col>
      <xdr:colOff>521675</xdr:colOff>
      <xdr:row>27</xdr:row>
      <xdr:rowOff>139945</xdr:rowOff>
    </xdr:to>
    <xdr:graphicFrame macro="">
      <xdr:nvGraphicFramePr>
        <xdr:cNvPr id="13" name="10 Gráfic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249114</xdr:colOff>
      <xdr:row>28</xdr:row>
      <xdr:rowOff>181709</xdr:rowOff>
    </xdr:from>
    <xdr:to>
      <xdr:col>12</xdr:col>
      <xdr:colOff>249114</xdr:colOff>
      <xdr:row>43</xdr:row>
      <xdr:rowOff>67409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769328</xdr:colOff>
      <xdr:row>1</xdr:row>
      <xdr:rowOff>14654</xdr:rowOff>
    </xdr:from>
    <xdr:to>
      <xdr:col>6</xdr:col>
      <xdr:colOff>268167</xdr:colOff>
      <xdr:row>4</xdr:row>
      <xdr:rowOff>1092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024" y="205154"/>
          <a:ext cx="2240382" cy="557938"/>
        </a:xfrm>
        <a:prstGeom prst="rect">
          <a:avLst/>
        </a:prstGeom>
      </xdr:spPr>
    </xdr:pic>
    <xdr:clientData/>
  </xdr:twoCellAnchor>
  <xdr:twoCellAnchor>
    <xdr:from>
      <xdr:col>2</xdr:col>
      <xdr:colOff>269633</xdr:colOff>
      <xdr:row>27</xdr:row>
      <xdr:rowOff>111369</xdr:rowOff>
    </xdr:from>
    <xdr:to>
      <xdr:col>4</xdr:col>
      <xdr:colOff>336307</xdr:colOff>
      <xdr:row>28</xdr:row>
      <xdr:rowOff>187569</xdr:rowOff>
    </xdr:to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2481BE2D-D462-4D37-B72E-399EF4BC8C9B}"/>
            </a:ext>
          </a:extLst>
        </xdr:cNvPr>
        <xdr:cNvSpPr txBox="1"/>
      </xdr:nvSpPr>
      <xdr:spPr>
        <a:xfrm>
          <a:off x="1841258" y="3130794"/>
          <a:ext cx="1638299" cy="2667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>
              <a:solidFill>
                <a:schemeClr val="accent1"/>
              </a:solidFill>
            </a:rPr>
            <a:t>Afiliados/Cotizantes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485781</xdr:colOff>
      <xdr:row>7</xdr:row>
      <xdr:rowOff>158755</xdr:rowOff>
    </xdr:from>
    <xdr:to>
      <xdr:col>57</xdr:col>
      <xdr:colOff>638175</xdr:colOff>
      <xdr:row>31</xdr:row>
      <xdr:rowOff>6349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450850</xdr:colOff>
      <xdr:row>31</xdr:row>
      <xdr:rowOff>82550</xdr:rowOff>
    </xdr:from>
    <xdr:to>
      <xdr:col>57</xdr:col>
      <xdr:colOff>603244</xdr:colOff>
      <xdr:row>52</xdr:row>
      <xdr:rowOff>120644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123825</xdr:colOff>
      <xdr:row>3</xdr:row>
      <xdr:rowOff>0</xdr:rowOff>
    </xdr:from>
    <xdr:to>
      <xdr:col>1</xdr:col>
      <xdr:colOff>1113682</xdr:colOff>
      <xdr:row>6</xdr:row>
      <xdr:rowOff>51288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5825" y="571500"/>
          <a:ext cx="989857" cy="622788"/>
        </a:xfrm>
        <a:prstGeom prst="rect">
          <a:avLst/>
        </a:prstGeom>
      </xdr:spPr>
    </xdr:pic>
    <xdr:clientData/>
  </xdr:twoCellAnchor>
  <xdr:twoCellAnchor editAs="oneCell">
    <xdr:from>
      <xdr:col>23</xdr:col>
      <xdr:colOff>419100</xdr:colOff>
      <xdr:row>2</xdr:row>
      <xdr:rowOff>133350</xdr:rowOff>
    </xdr:from>
    <xdr:to>
      <xdr:col>50</xdr:col>
      <xdr:colOff>379536</xdr:colOff>
      <xdr:row>5</xdr:row>
      <xdr:rowOff>119788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514350"/>
          <a:ext cx="2246436" cy="557938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0.33542</cdr:x>
      <cdr:y>0.01736</cdr:y>
    </cdr:from>
    <cdr:to>
      <cdr:x>0.64375</cdr:x>
      <cdr:y>0.11111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33525" y="47624"/>
          <a:ext cx="14097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0.37758</cdr:x>
      <cdr:y>0.0195</cdr:y>
    </cdr:from>
    <cdr:to>
      <cdr:x>0.65124</cdr:x>
      <cdr:y>0.08894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00604" y="53486"/>
          <a:ext cx="1377461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130421</xdr:rowOff>
    </xdr:from>
    <xdr:to>
      <xdr:col>5</xdr:col>
      <xdr:colOff>492125</xdr:colOff>
      <xdr:row>38</xdr:row>
      <xdr:rowOff>186836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141832</xdr:colOff>
      <xdr:row>1</xdr:row>
      <xdr:rowOff>87924</xdr:rowOff>
    </xdr:from>
    <xdr:to>
      <xdr:col>0</xdr:col>
      <xdr:colOff>1034340</xdr:colOff>
      <xdr:row>4</xdr:row>
      <xdr:rowOff>80596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832" y="278424"/>
          <a:ext cx="896694" cy="564172"/>
        </a:xfrm>
        <a:prstGeom prst="rect">
          <a:avLst/>
        </a:prstGeom>
      </xdr:spPr>
    </xdr:pic>
    <xdr:clientData/>
  </xdr:twoCellAnchor>
  <xdr:twoCellAnchor>
    <xdr:from>
      <xdr:col>5</xdr:col>
      <xdr:colOff>377336</xdr:colOff>
      <xdr:row>27</xdr:row>
      <xdr:rowOff>12212</xdr:rowOff>
    </xdr:from>
    <xdr:to>
      <xdr:col>10</xdr:col>
      <xdr:colOff>388327</xdr:colOff>
      <xdr:row>38</xdr:row>
      <xdr:rowOff>151424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534866</xdr:colOff>
      <xdr:row>1</xdr:row>
      <xdr:rowOff>58616</xdr:rowOff>
    </xdr:from>
    <xdr:to>
      <xdr:col>6</xdr:col>
      <xdr:colOff>495302</xdr:colOff>
      <xdr:row>4</xdr:row>
      <xdr:rowOff>45054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1962" y="249116"/>
          <a:ext cx="2246436" cy="5579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75711</xdr:colOff>
      <xdr:row>28</xdr:row>
      <xdr:rowOff>48600</xdr:rowOff>
    </xdr:from>
    <xdr:to>
      <xdr:col>4</xdr:col>
      <xdr:colOff>451827</xdr:colOff>
      <xdr:row>38</xdr:row>
      <xdr:rowOff>42740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80597</xdr:colOff>
      <xdr:row>2</xdr:row>
      <xdr:rowOff>36634</xdr:rowOff>
    </xdr:from>
    <xdr:to>
      <xdr:col>0</xdr:col>
      <xdr:colOff>639575</xdr:colOff>
      <xdr:row>4</xdr:row>
      <xdr:rowOff>7326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597" y="608134"/>
          <a:ext cx="558978" cy="351692"/>
        </a:xfrm>
        <a:prstGeom prst="rect">
          <a:avLst/>
        </a:prstGeom>
      </xdr:spPr>
    </xdr:pic>
    <xdr:clientData/>
  </xdr:twoCellAnchor>
  <xdr:twoCellAnchor>
    <xdr:from>
      <xdr:col>4</xdr:col>
      <xdr:colOff>105507</xdr:colOff>
      <xdr:row>4</xdr:row>
      <xdr:rowOff>37366</xdr:rowOff>
    </xdr:from>
    <xdr:to>
      <xdr:col>9</xdr:col>
      <xdr:colOff>281354</xdr:colOff>
      <xdr:row>28</xdr:row>
      <xdr:rowOff>104773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825748</xdr:colOff>
      <xdr:row>1</xdr:row>
      <xdr:rowOff>163271</xdr:rowOff>
    </xdr:from>
    <xdr:to>
      <xdr:col>4</xdr:col>
      <xdr:colOff>564907</xdr:colOff>
      <xdr:row>4</xdr:row>
      <xdr:rowOff>1943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2623" y="353771"/>
          <a:ext cx="1653684" cy="41017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189851</xdr:rowOff>
    </xdr:from>
    <xdr:to>
      <xdr:col>2</xdr:col>
      <xdr:colOff>1006896</xdr:colOff>
      <xdr:row>39</xdr:row>
      <xdr:rowOff>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432289</xdr:colOff>
      <xdr:row>1</xdr:row>
      <xdr:rowOff>131885</xdr:rowOff>
    </xdr:from>
    <xdr:to>
      <xdr:col>0</xdr:col>
      <xdr:colOff>1317338</xdr:colOff>
      <xdr:row>4</xdr:row>
      <xdr:rowOff>117231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289" y="322385"/>
          <a:ext cx="885049" cy="556846"/>
        </a:xfrm>
        <a:prstGeom prst="rect">
          <a:avLst/>
        </a:prstGeom>
      </xdr:spPr>
    </xdr:pic>
    <xdr:clientData/>
  </xdr:twoCellAnchor>
  <xdr:twoCellAnchor editAs="oneCell">
    <xdr:from>
      <xdr:col>2</xdr:col>
      <xdr:colOff>461596</xdr:colOff>
      <xdr:row>1</xdr:row>
      <xdr:rowOff>7327</xdr:rowOff>
    </xdr:from>
    <xdr:to>
      <xdr:col>4</xdr:col>
      <xdr:colOff>187571</xdr:colOff>
      <xdr:row>3</xdr:row>
      <xdr:rowOff>184265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6923" y="197827"/>
          <a:ext cx="2246436" cy="5579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27</xdr:row>
      <xdr:rowOff>7083</xdr:rowOff>
    </xdr:from>
    <xdr:to>
      <xdr:col>2</xdr:col>
      <xdr:colOff>1044575</xdr:colOff>
      <xdr:row>40</xdr:row>
      <xdr:rowOff>58615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21981</xdr:colOff>
      <xdr:row>2</xdr:row>
      <xdr:rowOff>36634</xdr:rowOff>
    </xdr:from>
    <xdr:to>
      <xdr:col>0</xdr:col>
      <xdr:colOff>600808</xdr:colOff>
      <xdr:row>4</xdr:row>
      <xdr:rowOff>19814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81" y="417634"/>
          <a:ext cx="578827" cy="364180"/>
        </a:xfrm>
        <a:prstGeom prst="rect">
          <a:avLst/>
        </a:prstGeom>
      </xdr:spPr>
    </xdr:pic>
    <xdr:clientData/>
  </xdr:twoCellAnchor>
  <xdr:twoCellAnchor editAs="oneCell">
    <xdr:from>
      <xdr:col>2</xdr:col>
      <xdr:colOff>205155</xdr:colOff>
      <xdr:row>1</xdr:row>
      <xdr:rowOff>102577</xdr:rowOff>
    </xdr:from>
    <xdr:to>
      <xdr:col>3</xdr:col>
      <xdr:colOff>486506</xdr:colOff>
      <xdr:row>3</xdr:row>
      <xdr:rowOff>131749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2732" y="293077"/>
          <a:ext cx="1651486" cy="410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50"/>
  <sheetViews>
    <sheetView showGridLines="0" tabSelected="1" zoomScale="115" zoomScaleNormal="115" workbookViewId="0">
      <selection activeCell="I9" sqref="I9"/>
    </sheetView>
  </sheetViews>
  <sheetFormatPr baseColWidth="10" defaultColWidth="11.42578125" defaultRowHeight="15" x14ac:dyDescent="0.25"/>
  <cols>
    <col min="1" max="1" width="11.7109375" style="1" customWidth="1"/>
    <col min="2" max="2" width="15.42578125" style="1" customWidth="1"/>
    <col min="3" max="3" width="13.7109375" style="1" bestFit="1" customWidth="1"/>
    <col min="4" max="4" width="11.42578125" style="1" bestFit="1" customWidth="1"/>
    <col min="5" max="5" width="13.140625" style="1" customWidth="1"/>
    <col min="6" max="6" width="11.42578125" style="1" bestFit="1" customWidth="1"/>
    <col min="7" max="16384" width="11.42578125" style="1"/>
  </cols>
  <sheetData>
    <row r="1" spans="1:8" x14ac:dyDescent="0.25">
      <c r="A1" s="283" t="s">
        <v>0</v>
      </c>
      <c r="B1" s="283"/>
      <c r="C1" s="283"/>
      <c r="D1" s="283"/>
      <c r="E1" s="283"/>
      <c r="F1" s="283"/>
    </row>
    <row r="2" spans="1:8" x14ac:dyDescent="0.25">
      <c r="A2" s="283" t="s">
        <v>120</v>
      </c>
      <c r="B2" s="283"/>
      <c r="C2" s="283"/>
      <c r="D2" s="283"/>
      <c r="E2" s="283"/>
      <c r="F2" s="283"/>
    </row>
    <row r="3" spans="1:8" x14ac:dyDescent="0.25">
      <c r="A3" s="283" t="s">
        <v>155</v>
      </c>
      <c r="B3" s="283"/>
      <c r="C3" s="283"/>
      <c r="D3" s="283"/>
      <c r="E3" s="283"/>
      <c r="F3" s="283"/>
    </row>
    <row r="4" spans="1:8" x14ac:dyDescent="0.25">
      <c r="A4" s="283" t="s">
        <v>232</v>
      </c>
      <c r="B4" s="283"/>
      <c r="C4" s="283"/>
      <c r="D4" s="283"/>
      <c r="E4" s="283"/>
      <c r="F4" s="283"/>
    </row>
    <row r="5" spans="1:8" x14ac:dyDescent="0.25">
      <c r="A5" s="284" t="s">
        <v>165</v>
      </c>
      <c r="B5" s="284"/>
      <c r="C5" s="284"/>
      <c r="D5" s="284"/>
      <c r="E5" s="284"/>
      <c r="F5" s="284"/>
    </row>
    <row r="6" spans="1:8" x14ac:dyDescent="0.25">
      <c r="A6" s="282" t="s">
        <v>1</v>
      </c>
      <c r="B6" s="282" t="s">
        <v>180</v>
      </c>
      <c r="C6" s="282" t="s">
        <v>181</v>
      </c>
      <c r="D6" s="282"/>
      <c r="E6" s="282" t="s">
        <v>32</v>
      </c>
      <c r="F6" s="282"/>
    </row>
    <row r="7" spans="1:8" ht="11.25" customHeight="1" x14ac:dyDescent="0.25">
      <c r="A7" s="282"/>
      <c r="B7" s="282"/>
      <c r="C7" s="282"/>
      <c r="D7" s="282"/>
      <c r="E7" s="282"/>
      <c r="F7" s="282"/>
    </row>
    <row r="8" spans="1:8" x14ac:dyDescent="0.25">
      <c r="A8" s="150"/>
      <c r="B8" s="151" t="s">
        <v>19</v>
      </c>
      <c r="C8" s="151" t="s">
        <v>33</v>
      </c>
      <c r="D8" s="151" t="s">
        <v>34</v>
      </c>
      <c r="E8" s="151" t="s">
        <v>33</v>
      </c>
      <c r="F8" s="151" t="s">
        <v>34</v>
      </c>
      <c r="G8" s="152"/>
      <c r="H8" s="152"/>
    </row>
    <row r="9" spans="1:8" x14ac:dyDescent="0.25">
      <c r="A9" s="230" t="s">
        <v>127</v>
      </c>
      <c r="B9" s="279">
        <v>22000000</v>
      </c>
      <c r="C9" s="280">
        <v>21689927</v>
      </c>
      <c r="D9" s="231">
        <f>+C9/B9</f>
        <v>0.98590577272727276</v>
      </c>
      <c r="E9" s="277">
        <f>+B9-C9</f>
        <v>310073</v>
      </c>
      <c r="F9" s="231">
        <f>(E9/B9)</f>
        <v>1.4094227272727272E-2</v>
      </c>
      <c r="G9" s="152"/>
      <c r="H9" s="152"/>
    </row>
    <row r="10" spans="1:8" x14ac:dyDescent="0.25">
      <c r="A10" s="95" t="s">
        <v>91</v>
      </c>
      <c r="B10" s="279">
        <v>126059504.59999999</v>
      </c>
      <c r="C10" s="280">
        <v>124970172.83</v>
      </c>
      <c r="D10" s="2">
        <f>+C10/B10</f>
        <v>0.99135859074286736</v>
      </c>
      <c r="E10" s="278">
        <f>+B10-C10</f>
        <v>1089331.7699999958</v>
      </c>
      <c r="F10" s="4">
        <f>(E10/B10)</f>
        <v>8.6414092571326494E-3</v>
      </c>
      <c r="G10" s="152"/>
      <c r="H10" s="152"/>
    </row>
    <row r="11" spans="1:8" x14ac:dyDescent="0.25">
      <c r="A11" s="95" t="s">
        <v>90</v>
      </c>
      <c r="B11" s="279">
        <v>63549026</v>
      </c>
      <c r="C11" s="280">
        <v>54845550.219999999</v>
      </c>
      <c r="D11" s="2">
        <f>+C11/B11</f>
        <v>0.86304312862324595</v>
      </c>
      <c r="E11" s="278">
        <f>+B11-C11</f>
        <v>8703475.7800000012</v>
      </c>
      <c r="F11" s="4">
        <f>(E11/B11)</f>
        <v>0.13695687137675408</v>
      </c>
      <c r="G11" s="152"/>
      <c r="H11" s="152"/>
    </row>
    <row r="12" spans="1:8" x14ac:dyDescent="0.25">
      <c r="A12" s="95" t="s">
        <v>89</v>
      </c>
      <c r="B12" s="279">
        <v>44693245.57</v>
      </c>
      <c r="C12" s="280">
        <v>39778591.619999997</v>
      </c>
      <c r="D12" s="2">
        <f>+C12/B12</f>
        <v>0.89003586812010527</v>
      </c>
      <c r="E12" s="278">
        <f>+B12-C12</f>
        <v>4914653.950000003</v>
      </c>
      <c r="F12" s="4">
        <f>(E12/B12)</f>
        <v>0.10996413187989477</v>
      </c>
      <c r="G12" s="152"/>
      <c r="H12" s="152"/>
    </row>
    <row r="13" spans="1:8" x14ac:dyDescent="0.25">
      <c r="A13" s="155" t="s">
        <v>94</v>
      </c>
      <c r="B13" s="8">
        <f>SUM(B9:B12)</f>
        <v>256301776.16999999</v>
      </c>
      <c r="C13" s="8">
        <f>SUM(C9:C12)</f>
        <v>241284241.66999999</v>
      </c>
      <c r="D13" s="3">
        <f>(C13/B13)</f>
        <v>0.94140682626389927</v>
      </c>
      <c r="E13" s="281">
        <f>SUM(E9:E12)</f>
        <v>15017534.5</v>
      </c>
      <c r="F13" s="5">
        <f>(E13/B13)</f>
        <v>5.8593173736100686E-2</v>
      </c>
      <c r="G13" s="152"/>
      <c r="H13" s="152"/>
    </row>
    <row r="14" spans="1:8" hidden="1" x14ac:dyDescent="0.25">
      <c r="A14" s="95" t="s">
        <v>35</v>
      </c>
      <c r="B14" s="156"/>
      <c r="C14" s="157"/>
      <c r="D14" s="2" t="e">
        <f t="shared" ref="D14:D25" si="0">+C14/B14</f>
        <v>#DIV/0!</v>
      </c>
      <c r="E14" s="158"/>
      <c r="F14" s="4" t="e">
        <f t="shared" ref="F14:F25" si="1">(E14/B14)</f>
        <v>#DIV/0!</v>
      </c>
      <c r="G14" s="152"/>
      <c r="H14" s="152"/>
    </row>
    <row r="15" spans="1:8" hidden="1" x14ac:dyDescent="0.25">
      <c r="A15" s="95" t="s">
        <v>36</v>
      </c>
      <c r="B15" s="156"/>
      <c r="C15" s="157"/>
      <c r="D15" s="2" t="e">
        <f t="shared" si="0"/>
        <v>#DIV/0!</v>
      </c>
      <c r="E15" s="158"/>
      <c r="F15" s="4" t="e">
        <f t="shared" si="1"/>
        <v>#DIV/0!</v>
      </c>
      <c r="G15" s="152"/>
      <c r="H15" s="152"/>
    </row>
    <row r="16" spans="1:8" hidden="1" x14ac:dyDescent="0.25">
      <c r="A16" s="95" t="s">
        <v>37</v>
      </c>
      <c r="B16" s="156"/>
      <c r="C16" s="157"/>
      <c r="D16" s="2" t="e">
        <f t="shared" si="0"/>
        <v>#DIV/0!</v>
      </c>
      <c r="E16" s="158"/>
      <c r="F16" s="4" t="e">
        <f t="shared" si="1"/>
        <v>#DIV/0!</v>
      </c>
      <c r="G16" s="152"/>
      <c r="H16" s="152"/>
    </row>
    <row r="17" spans="1:8" hidden="1" x14ac:dyDescent="0.25">
      <c r="A17" s="155" t="s">
        <v>130</v>
      </c>
      <c r="B17" s="8">
        <f>SUM(B14:B16)</f>
        <v>0</v>
      </c>
      <c r="C17" s="8">
        <f>SUM(C14:C16)</f>
        <v>0</v>
      </c>
      <c r="D17" s="3" t="e">
        <f>(C17/B17)</f>
        <v>#DIV/0!</v>
      </c>
      <c r="E17" s="9">
        <f>SUM(E14:E16)</f>
        <v>0</v>
      </c>
      <c r="F17" s="5" t="e">
        <f>(E17/B17)</f>
        <v>#DIV/0!</v>
      </c>
      <c r="G17" s="152"/>
      <c r="H17" s="152"/>
    </row>
    <row r="18" spans="1:8" hidden="1" x14ac:dyDescent="0.25">
      <c r="A18" s="95" t="s">
        <v>131</v>
      </c>
      <c r="B18" s="156"/>
      <c r="C18" s="157"/>
      <c r="D18" s="2" t="e">
        <f t="shared" si="0"/>
        <v>#DIV/0!</v>
      </c>
      <c r="E18" s="158"/>
      <c r="F18" s="4" t="e">
        <f t="shared" si="1"/>
        <v>#DIV/0!</v>
      </c>
      <c r="G18" s="152"/>
      <c r="H18" s="152"/>
    </row>
    <row r="19" spans="1:8" hidden="1" x14ac:dyDescent="0.25">
      <c r="A19" s="95" t="s">
        <v>87</v>
      </c>
      <c r="B19" s="156"/>
      <c r="C19" s="157"/>
      <c r="D19" s="2" t="e">
        <f t="shared" si="0"/>
        <v>#DIV/0!</v>
      </c>
      <c r="E19" s="158"/>
      <c r="F19" s="4" t="e">
        <f t="shared" si="1"/>
        <v>#DIV/0!</v>
      </c>
      <c r="G19" s="152"/>
      <c r="H19" s="152"/>
    </row>
    <row r="20" spans="1:8" hidden="1" x14ac:dyDescent="0.25">
      <c r="A20" s="95" t="s">
        <v>88</v>
      </c>
      <c r="B20" s="156"/>
      <c r="C20" s="157"/>
      <c r="D20" s="2" t="e">
        <f t="shared" si="0"/>
        <v>#DIV/0!</v>
      </c>
      <c r="E20" s="158"/>
      <c r="F20" s="4" t="e">
        <f t="shared" si="1"/>
        <v>#DIV/0!</v>
      </c>
      <c r="G20" s="152"/>
      <c r="H20" s="152"/>
    </row>
    <row r="21" spans="1:8" hidden="1" x14ac:dyDescent="0.25">
      <c r="A21" s="155" t="s">
        <v>93</v>
      </c>
      <c r="B21" s="8">
        <f>SUM(B18:B20)</f>
        <v>0</v>
      </c>
      <c r="C21" s="8">
        <f>SUM(C18:C20)</f>
        <v>0</v>
      </c>
      <c r="D21" s="3" t="e">
        <f>(C21/B21)</f>
        <v>#DIV/0!</v>
      </c>
      <c r="E21" s="9">
        <f>SUM(E18:E20)</f>
        <v>0</v>
      </c>
      <c r="F21" s="5" t="e">
        <f>(E21/B21)</f>
        <v>#DIV/0!</v>
      </c>
      <c r="G21" s="152"/>
      <c r="H21" s="152"/>
    </row>
    <row r="22" spans="1:8" hidden="1" x14ac:dyDescent="0.25">
      <c r="A22" s="95" t="s">
        <v>89</v>
      </c>
      <c r="B22" s="156"/>
      <c r="C22" s="157"/>
      <c r="D22" s="2" t="e">
        <f t="shared" si="0"/>
        <v>#DIV/0!</v>
      </c>
      <c r="E22" s="158"/>
      <c r="F22" s="4" t="e">
        <f t="shared" si="1"/>
        <v>#DIV/0!</v>
      </c>
      <c r="G22" s="152"/>
      <c r="H22" s="152"/>
    </row>
    <row r="23" spans="1:8" hidden="1" x14ac:dyDescent="0.25">
      <c r="A23" s="95" t="s">
        <v>90</v>
      </c>
      <c r="B23" s="156"/>
      <c r="C23" s="157"/>
      <c r="D23" s="2" t="e">
        <f t="shared" si="0"/>
        <v>#DIV/0!</v>
      </c>
      <c r="E23" s="158"/>
      <c r="F23" s="4" t="e">
        <f t="shared" si="1"/>
        <v>#DIV/0!</v>
      </c>
      <c r="G23" s="152"/>
      <c r="H23" s="152"/>
    </row>
    <row r="24" spans="1:8" hidden="1" x14ac:dyDescent="0.25">
      <c r="A24" s="95" t="s">
        <v>91</v>
      </c>
      <c r="B24" s="156"/>
      <c r="C24" s="157"/>
      <c r="D24" s="2" t="e">
        <f t="shared" si="0"/>
        <v>#DIV/0!</v>
      </c>
      <c r="E24" s="158"/>
      <c r="F24" s="4" t="e">
        <f t="shared" si="1"/>
        <v>#DIV/0!</v>
      </c>
      <c r="G24" s="152"/>
      <c r="H24" s="152"/>
    </row>
    <row r="25" spans="1:8" hidden="1" x14ac:dyDescent="0.25">
      <c r="A25" s="95" t="s">
        <v>127</v>
      </c>
      <c r="B25" s="156"/>
      <c r="C25" s="157"/>
      <c r="D25" s="2" t="e">
        <f t="shared" si="0"/>
        <v>#DIV/0!</v>
      </c>
      <c r="E25" s="158"/>
      <c r="F25" s="4" t="e">
        <f t="shared" si="1"/>
        <v>#DIV/0!</v>
      </c>
      <c r="G25" s="152"/>
      <c r="H25" s="152"/>
    </row>
    <row r="26" spans="1:8" hidden="1" x14ac:dyDescent="0.25">
      <c r="A26" s="155" t="s">
        <v>94</v>
      </c>
      <c r="B26" s="8">
        <f>SUM(B22:B25)</f>
        <v>0</v>
      </c>
      <c r="C26" s="8">
        <f>SUM(C22:C25)</f>
        <v>0</v>
      </c>
      <c r="D26" s="3" t="e">
        <f>(C26/B26)</f>
        <v>#DIV/0!</v>
      </c>
      <c r="E26" s="9">
        <f>SUM(E22:E25)</f>
        <v>0</v>
      </c>
      <c r="F26" s="5" t="e">
        <f>(E26/B26)</f>
        <v>#DIV/0!</v>
      </c>
      <c r="G26" s="152"/>
      <c r="H26" s="152"/>
    </row>
    <row r="27" spans="1:8" hidden="1" x14ac:dyDescent="0.25">
      <c r="A27" s="159" t="s">
        <v>9</v>
      </c>
      <c r="B27" s="10">
        <f>+B13+B17+B21+B26</f>
        <v>256301776.16999999</v>
      </c>
      <c r="C27" s="10">
        <f>+C13+C17+C21+C26</f>
        <v>241284241.66999999</v>
      </c>
      <c r="D27" s="7">
        <f>(C27/B27)</f>
        <v>0.94140682626389927</v>
      </c>
      <c r="E27" s="11">
        <f>+E13+E17+E21+E26</f>
        <v>15017534.5</v>
      </c>
      <c r="F27" s="6">
        <f>(E27/B27)</f>
        <v>5.8593173736100686E-2</v>
      </c>
      <c r="G27" s="152"/>
      <c r="H27" s="152"/>
    </row>
    <row r="28" spans="1:8" x14ac:dyDescent="0.25">
      <c r="A28" s="160" t="s">
        <v>156</v>
      </c>
      <c r="B28" s="152"/>
      <c r="C28" s="152"/>
      <c r="D28" s="152"/>
      <c r="E28" s="152"/>
      <c r="F28" s="152"/>
      <c r="G28" s="152"/>
      <c r="H28" s="152"/>
    </row>
    <row r="29" spans="1:8" s="15" customFormat="1" ht="11.25" x14ac:dyDescent="0.2">
      <c r="A29" s="160"/>
      <c r="B29" s="161"/>
      <c r="C29" s="161"/>
      <c r="D29" s="161"/>
      <c r="E29" s="161"/>
      <c r="F29" s="161"/>
      <c r="G29" s="161"/>
      <c r="H29" s="161"/>
    </row>
    <row r="30" spans="1:8" x14ac:dyDescent="0.25">
      <c r="A30" s="152"/>
      <c r="B30" s="152"/>
      <c r="C30" s="152"/>
      <c r="D30" s="152"/>
      <c r="E30" s="152"/>
      <c r="F30" s="152"/>
      <c r="G30" s="152"/>
      <c r="H30" s="152"/>
    </row>
    <row r="31" spans="1:8" x14ac:dyDescent="0.25">
      <c r="A31" s="152"/>
      <c r="B31" s="152"/>
      <c r="C31" s="152"/>
      <c r="D31" s="152"/>
      <c r="E31" s="152"/>
      <c r="F31" s="152"/>
      <c r="G31" s="152"/>
      <c r="H31" s="152"/>
    </row>
    <row r="32" spans="1:8" x14ac:dyDescent="0.25">
      <c r="A32" s="152"/>
      <c r="B32" s="152"/>
      <c r="C32" s="152"/>
      <c r="D32" s="152"/>
      <c r="E32" s="152"/>
      <c r="F32" s="152"/>
      <c r="G32" s="152"/>
      <c r="H32" s="152"/>
    </row>
    <row r="33" spans="1:8" x14ac:dyDescent="0.25">
      <c r="A33" s="152"/>
      <c r="B33" s="152"/>
      <c r="C33" s="152"/>
      <c r="D33" s="152"/>
      <c r="E33" s="152"/>
      <c r="F33" s="152"/>
      <c r="G33" s="152"/>
      <c r="H33" s="152"/>
    </row>
    <row r="34" spans="1:8" x14ac:dyDescent="0.25">
      <c r="A34" s="152"/>
      <c r="B34" s="152"/>
      <c r="C34" s="152"/>
      <c r="D34" s="152"/>
      <c r="E34" s="152"/>
      <c r="F34" s="152"/>
      <c r="G34" s="152"/>
      <c r="H34" s="152"/>
    </row>
    <row r="35" spans="1:8" x14ac:dyDescent="0.25">
      <c r="A35" s="152"/>
      <c r="B35" s="152"/>
      <c r="C35" s="152"/>
      <c r="D35" s="152"/>
      <c r="E35" s="152"/>
      <c r="F35" s="152"/>
      <c r="G35" s="152"/>
      <c r="H35" s="152"/>
    </row>
    <row r="36" spans="1:8" x14ac:dyDescent="0.25">
      <c r="A36" s="152"/>
      <c r="B36" s="152"/>
      <c r="C36" s="152"/>
      <c r="D36" s="152"/>
      <c r="E36" s="152"/>
      <c r="F36" s="152"/>
      <c r="G36" s="152"/>
      <c r="H36" s="152"/>
    </row>
    <row r="37" spans="1:8" x14ac:dyDescent="0.25">
      <c r="A37" s="152"/>
      <c r="B37" s="152"/>
      <c r="C37" s="152"/>
      <c r="D37" s="152"/>
      <c r="E37" s="152"/>
      <c r="F37" s="152"/>
      <c r="G37" s="152"/>
      <c r="H37" s="152"/>
    </row>
    <row r="38" spans="1:8" x14ac:dyDescent="0.25">
      <c r="A38" s="152"/>
      <c r="B38" s="152"/>
      <c r="C38" s="152"/>
      <c r="D38" s="152"/>
      <c r="E38" s="152"/>
      <c r="F38" s="152"/>
      <c r="G38" s="152"/>
      <c r="H38" s="152"/>
    </row>
    <row r="39" spans="1:8" x14ac:dyDescent="0.25">
      <c r="A39" s="152"/>
      <c r="B39" s="152"/>
      <c r="C39" s="152"/>
      <c r="D39" s="152"/>
      <c r="E39" s="152"/>
      <c r="F39" s="152"/>
      <c r="G39" s="152"/>
      <c r="H39" s="152"/>
    </row>
    <row r="40" spans="1:8" x14ac:dyDescent="0.25">
      <c r="A40" s="152"/>
      <c r="B40" s="152"/>
      <c r="C40" s="152"/>
      <c r="D40" s="152"/>
      <c r="E40" s="152"/>
      <c r="F40" s="152"/>
      <c r="G40" s="152"/>
      <c r="H40" s="152"/>
    </row>
    <row r="41" spans="1:8" x14ac:dyDescent="0.25">
      <c r="A41" s="152"/>
      <c r="B41" s="152"/>
      <c r="C41" s="152"/>
      <c r="D41" s="152"/>
      <c r="E41" s="152"/>
      <c r="F41" s="152"/>
      <c r="G41" s="152"/>
      <c r="H41" s="152"/>
    </row>
    <row r="42" spans="1:8" x14ac:dyDescent="0.25">
      <c r="A42" s="152"/>
      <c r="B42" s="152"/>
      <c r="C42" s="152"/>
      <c r="D42" s="152"/>
      <c r="E42" s="152"/>
      <c r="F42" s="152"/>
      <c r="G42" s="152"/>
      <c r="H42" s="152"/>
    </row>
    <row r="43" spans="1:8" x14ac:dyDescent="0.25">
      <c r="A43" s="152"/>
      <c r="B43" s="152"/>
      <c r="C43" s="152"/>
      <c r="D43" s="152"/>
      <c r="E43" s="152"/>
      <c r="F43" s="152"/>
      <c r="G43" s="152"/>
      <c r="H43" s="152"/>
    </row>
    <row r="44" spans="1:8" x14ac:dyDescent="0.25">
      <c r="A44" s="152"/>
      <c r="B44" s="152"/>
      <c r="C44" s="152"/>
      <c r="D44" s="152"/>
      <c r="E44" s="152"/>
      <c r="F44" s="152"/>
      <c r="G44" s="152"/>
      <c r="H44" s="152"/>
    </row>
    <row r="45" spans="1:8" x14ac:dyDescent="0.25">
      <c r="A45" s="152"/>
      <c r="B45" s="152"/>
      <c r="C45" s="152"/>
      <c r="D45" s="152"/>
      <c r="E45" s="152"/>
      <c r="F45" s="152"/>
      <c r="G45" s="152"/>
      <c r="H45" s="152"/>
    </row>
    <row r="46" spans="1:8" x14ac:dyDescent="0.25">
      <c r="A46" s="152"/>
      <c r="B46" s="152"/>
      <c r="C46" s="152"/>
      <c r="D46" s="152"/>
      <c r="E46" s="152"/>
      <c r="F46" s="152"/>
      <c r="G46" s="152"/>
      <c r="H46" s="152"/>
    </row>
    <row r="50" spans="1:6" x14ac:dyDescent="0.25">
      <c r="A50" s="95"/>
      <c r="B50" s="153"/>
      <c r="C50" s="153"/>
      <c r="D50" s="2"/>
      <c r="E50" s="154"/>
      <c r="F50" s="4"/>
    </row>
  </sheetData>
  <mergeCells count="9">
    <mergeCell ref="B6:B7"/>
    <mergeCell ref="A6:A7"/>
    <mergeCell ref="A1:F1"/>
    <mergeCell ref="A2:F2"/>
    <mergeCell ref="A3:F3"/>
    <mergeCell ref="A5:F5"/>
    <mergeCell ref="C6:D7"/>
    <mergeCell ref="E6:F7"/>
    <mergeCell ref="A4:F4"/>
  </mergeCells>
  <pageMargins left="0.7" right="0.7" top="0.75" bottom="0.75" header="0.3" footer="0.3"/>
  <pageSetup paperSize="9" orientation="portrait" r:id="rId1"/>
  <ignoredErrors>
    <ignoredError sqref="E11" unlockedFormula="1"/>
    <ignoredError sqref="D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AA67"/>
  <sheetViews>
    <sheetView showGridLines="0" topLeftCell="G1" zoomScale="115" zoomScaleNormal="115" workbookViewId="0">
      <selection activeCell="R9" sqref="R9"/>
    </sheetView>
  </sheetViews>
  <sheetFormatPr baseColWidth="10" defaultColWidth="11.42578125" defaultRowHeight="15" x14ac:dyDescent="0.25"/>
  <cols>
    <col min="1" max="1" width="27.7109375" style="1" customWidth="1"/>
    <col min="2" max="2" width="13.42578125" style="1" customWidth="1"/>
    <col min="3" max="3" width="15.7109375" style="1" customWidth="1"/>
    <col min="4" max="4" width="17.7109375" style="1" bestFit="1" customWidth="1"/>
    <col min="5" max="5" width="11.42578125" style="1"/>
    <col min="6" max="6" width="13.42578125" style="1" customWidth="1"/>
    <col min="7" max="7" width="15.7109375" style="1" customWidth="1"/>
    <col min="8" max="8" width="18.42578125" style="1" bestFit="1" customWidth="1"/>
    <col min="9" max="9" width="11.42578125" style="1"/>
    <col min="10" max="11" width="11.42578125" style="1" bestFit="1" customWidth="1"/>
    <col min="12" max="12" width="17.140625" style="1" bestFit="1" customWidth="1"/>
    <col min="13" max="13" width="13" style="1" customWidth="1"/>
    <col min="14" max="14" width="16" style="1" customWidth="1"/>
    <col min="15" max="15" width="12.140625" style="1" customWidth="1"/>
    <col min="16" max="16" width="15.140625" style="1" customWidth="1"/>
    <col min="17" max="17" width="11.42578125" style="1" customWidth="1"/>
    <col min="18" max="19" width="15.7109375" style="1" customWidth="1"/>
    <col min="20" max="20" width="18.42578125" style="1" bestFit="1" customWidth="1"/>
    <col min="21" max="21" width="19.7109375" style="1" customWidth="1"/>
    <col min="22" max="22" width="11.42578125" style="1"/>
    <col min="23" max="23" width="13.7109375" style="1" bestFit="1" customWidth="1"/>
    <col min="24" max="16384" width="11.42578125" style="1"/>
  </cols>
  <sheetData>
    <row r="1" spans="1:27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</row>
    <row r="2" spans="1:27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</row>
    <row r="3" spans="1:27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</row>
    <row r="4" spans="1:27" x14ac:dyDescent="0.25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</row>
    <row r="5" spans="1:27" x14ac:dyDescent="0.2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</row>
    <row r="6" spans="1:27" ht="15.75" customHeight="1" thickBot="1" x14ac:dyDescent="0.3">
      <c r="A6" s="305" t="s">
        <v>38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150"/>
      <c r="W6" s="150"/>
      <c r="X6" s="150"/>
      <c r="Y6" s="152"/>
      <c r="Z6" s="152"/>
      <c r="AA6" s="152"/>
    </row>
    <row r="7" spans="1:27" ht="31.5" customHeight="1" x14ac:dyDescent="0.25">
      <c r="A7" s="193"/>
      <c r="B7" s="304" t="s">
        <v>185</v>
      </c>
      <c r="C7" s="302"/>
      <c r="D7" s="302"/>
      <c r="E7" s="303"/>
      <c r="F7" s="304" t="s">
        <v>218</v>
      </c>
      <c r="G7" s="302"/>
      <c r="H7" s="302"/>
      <c r="I7" s="303"/>
      <c r="J7" s="304" t="s">
        <v>230</v>
      </c>
      <c r="K7" s="301"/>
      <c r="L7" s="301"/>
      <c r="M7" s="307"/>
      <c r="N7" s="304" t="s">
        <v>235</v>
      </c>
      <c r="O7" s="301"/>
      <c r="P7" s="301"/>
      <c r="Q7" s="307"/>
      <c r="R7" s="304" t="s">
        <v>144</v>
      </c>
      <c r="S7" s="301"/>
      <c r="T7" s="301"/>
      <c r="U7" s="307"/>
      <c r="V7" s="194"/>
      <c r="W7" s="194"/>
      <c r="X7" s="194"/>
      <c r="Y7" s="195"/>
      <c r="Z7" s="195"/>
      <c r="AA7" s="195"/>
    </row>
    <row r="8" spans="1:27" ht="30" x14ac:dyDescent="0.25">
      <c r="A8" s="119" t="s">
        <v>39</v>
      </c>
      <c r="B8" s="196" t="s">
        <v>58</v>
      </c>
      <c r="C8" s="129" t="s">
        <v>40</v>
      </c>
      <c r="D8" s="129" t="s">
        <v>19</v>
      </c>
      <c r="E8" s="131" t="s">
        <v>40</v>
      </c>
      <c r="F8" s="196" t="s">
        <v>58</v>
      </c>
      <c r="G8" s="129" t="s">
        <v>40</v>
      </c>
      <c r="H8" s="129" t="s">
        <v>19</v>
      </c>
      <c r="I8" s="131" t="s">
        <v>40</v>
      </c>
      <c r="J8" s="196" t="s">
        <v>23</v>
      </c>
      <c r="K8" s="129" t="s">
        <v>40</v>
      </c>
      <c r="L8" s="129" t="s">
        <v>19</v>
      </c>
      <c r="M8" s="131" t="s">
        <v>40</v>
      </c>
      <c r="N8" s="196" t="s">
        <v>23</v>
      </c>
      <c r="O8" s="129" t="s">
        <v>40</v>
      </c>
      <c r="P8" s="129" t="s">
        <v>19</v>
      </c>
      <c r="Q8" s="131" t="s">
        <v>40</v>
      </c>
      <c r="R8" s="197" t="s">
        <v>215</v>
      </c>
      <c r="S8" s="132" t="s">
        <v>217</v>
      </c>
      <c r="T8" s="132" t="s">
        <v>216</v>
      </c>
      <c r="U8" s="134" t="s">
        <v>217</v>
      </c>
      <c r="V8" s="152"/>
      <c r="W8" s="152"/>
      <c r="X8" s="152"/>
      <c r="Y8" s="152"/>
      <c r="Z8" s="152"/>
      <c r="AA8" s="152"/>
    </row>
    <row r="9" spans="1:27" x14ac:dyDescent="0.25">
      <c r="A9" s="111" t="s">
        <v>41</v>
      </c>
      <c r="B9" s="198">
        <v>31019</v>
      </c>
      <c r="C9" s="82">
        <f>B9/$B$18</f>
        <v>0.19589998800058103</v>
      </c>
      <c r="D9" s="199">
        <v>1173442137.0700002</v>
      </c>
      <c r="E9" s="82">
        <f>D9/D18</f>
        <v>0.19331419648375314</v>
      </c>
      <c r="F9" s="198">
        <v>31137</v>
      </c>
      <c r="G9" s="82">
        <f>F9/$F$18</f>
        <v>0.19644794952681388</v>
      </c>
      <c r="H9" s="199">
        <v>1176044296.6300001</v>
      </c>
      <c r="I9" s="105">
        <f>H9/H18</f>
        <v>0.19255159843573152</v>
      </c>
      <c r="J9" s="198">
        <v>31115</v>
      </c>
      <c r="K9" s="139">
        <f t="shared" ref="K9:K17" si="0">J9/$J$18</f>
        <v>0.19442378949867842</v>
      </c>
      <c r="L9" s="199">
        <v>1222409043.4400001</v>
      </c>
      <c r="M9" s="106">
        <f>L9/L18</f>
        <v>0.19005688580483049</v>
      </c>
      <c r="N9" s="104">
        <v>30782</v>
      </c>
      <c r="O9" s="139">
        <f>N9/$N$18</f>
        <v>0.18415023002327152</v>
      </c>
      <c r="P9" s="199">
        <v>1223279518.3699999</v>
      </c>
      <c r="Q9" s="138">
        <f>P9/P18</f>
        <v>0.18511300756110777</v>
      </c>
      <c r="R9" s="198">
        <f>+N9-J9</f>
        <v>-333</v>
      </c>
      <c r="S9" s="91">
        <f>+(N9-J9)/J9</f>
        <v>-1.0702233649365258E-2</v>
      </c>
      <c r="T9" s="199">
        <f>+P9-L9</f>
        <v>870474.92999982834</v>
      </c>
      <c r="U9" s="120">
        <f>+(P9-L9)/L9</f>
        <v>7.1209791409118791E-4</v>
      </c>
      <c r="V9" s="152"/>
      <c r="W9" s="152"/>
      <c r="X9" s="152"/>
      <c r="Y9" s="152"/>
      <c r="Z9" s="152"/>
      <c r="AA9" s="152"/>
    </row>
    <row r="10" spans="1:27" x14ac:dyDescent="0.25">
      <c r="A10" s="112" t="s">
        <v>42</v>
      </c>
      <c r="B10" s="198">
        <v>59255</v>
      </c>
      <c r="C10" s="82">
        <f t="shared" ref="C10:C17" si="1">B10/$B$18</f>
        <v>0.37422398494388692</v>
      </c>
      <c r="D10" s="199">
        <v>1519841427.98</v>
      </c>
      <c r="E10" s="82">
        <f>D10/D18</f>
        <v>0.25038041088782464</v>
      </c>
      <c r="F10" s="198">
        <v>59538</v>
      </c>
      <c r="G10" s="82">
        <f t="shared" ref="G10:G17" si="2">F10/$F$18</f>
        <v>0.37563406940063093</v>
      </c>
      <c r="H10" s="199">
        <v>1541474639.6500001</v>
      </c>
      <c r="I10" s="105">
        <f>H10/H18</f>
        <v>0.2523828453258784</v>
      </c>
      <c r="J10" s="198">
        <v>59812</v>
      </c>
      <c r="K10" s="139">
        <f t="shared" si="0"/>
        <v>0.37373857295500418</v>
      </c>
      <c r="L10" s="199">
        <v>1560320516.73</v>
      </c>
      <c r="M10" s="106">
        <f>L10/L18</f>
        <v>0.24259445711605893</v>
      </c>
      <c r="N10" s="104">
        <v>60253</v>
      </c>
      <c r="O10" s="139">
        <f t="shared" ref="O10:O17" si="3">N10/$N$18</f>
        <v>0.36045753393516278</v>
      </c>
      <c r="P10" s="199">
        <v>1576059682.79</v>
      </c>
      <c r="Q10" s="138">
        <f>P10/P18</f>
        <v>0.23849753355293102</v>
      </c>
      <c r="R10" s="198">
        <f t="shared" ref="R10:R17" si="4">+N10-J10</f>
        <v>441</v>
      </c>
      <c r="S10" s="91">
        <f t="shared" ref="S10:S17" si="5">+(N10-J10)/J10</f>
        <v>7.3731023874807735E-3</v>
      </c>
      <c r="T10" s="199">
        <f t="shared" ref="T10:T17" si="6">+P10-L10</f>
        <v>15739166.059999943</v>
      </c>
      <c r="U10" s="120">
        <f t="shared" ref="U10:U17" si="7">+(P10-L10)/L10</f>
        <v>1.0087136515377544E-2</v>
      </c>
      <c r="V10" s="152"/>
      <c r="W10" s="152"/>
      <c r="X10" s="152"/>
      <c r="Y10" s="152"/>
      <c r="Z10" s="152"/>
      <c r="AA10" s="152"/>
    </row>
    <row r="11" spans="1:27" x14ac:dyDescent="0.25">
      <c r="A11" s="112" t="s">
        <v>43</v>
      </c>
      <c r="B11" s="198">
        <v>276</v>
      </c>
      <c r="C11" s="84">
        <f t="shared" si="1"/>
        <v>1.7430734932834832E-3</v>
      </c>
      <c r="D11" s="199">
        <v>14051194.5</v>
      </c>
      <c r="E11" s="84">
        <f>D11/D18</f>
        <v>2.3148098134491944E-3</v>
      </c>
      <c r="F11" s="198">
        <v>272</v>
      </c>
      <c r="G11" s="84">
        <f t="shared" si="2"/>
        <v>1.7160883280757098E-3</v>
      </c>
      <c r="H11" s="199">
        <v>13814766</v>
      </c>
      <c r="I11" s="106">
        <f>H11/H18</f>
        <v>2.2618665665384264E-3</v>
      </c>
      <c r="J11" s="198">
        <v>271</v>
      </c>
      <c r="K11" s="139">
        <f t="shared" si="0"/>
        <v>1.6933584108674868E-3</v>
      </c>
      <c r="L11" s="199">
        <v>13780990.5</v>
      </c>
      <c r="M11" s="106">
        <f>L11/L18</f>
        <v>2.1426315125788837E-3</v>
      </c>
      <c r="N11" s="104">
        <v>267</v>
      </c>
      <c r="O11" s="139">
        <f t="shared" si="3"/>
        <v>1.5973007412193327E-3</v>
      </c>
      <c r="P11" s="199">
        <v>13561449.75</v>
      </c>
      <c r="Q11" s="138">
        <f>P11/P18</f>
        <v>2.0521889824955141E-3</v>
      </c>
      <c r="R11" s="198">
        <f t="shared" si="4"/>
        <v>-4</v>
      </c>
      <c r="S11" s="91">
        <f t="shared" si="5"/>
        <v>-1.4760147601476014E-2</v>
      </c>
      <c r="T11" s="199">
        <f t="shared" si="6"/>
        <v>-219540.75</v>
      </c>
      <c r="U11" s="120">
        <f t="shared" si="7"/>
        <v>-1.593069453171744E-2</v>
      </c>
      <c r="V11" s="152"/>
      <c r="W11" s="152"/>
      <c r="X11" s="152"/>
      <c r="Y11" s="152"/>
      <c r="Z11" s="152"/>
      <c r="AA11" s="152"/>
    </row>
    <row r="12" spans="1:27" x14ac:dyDescent="0.25">
      <c r="A12" s="112" t="s">
        <v>125</v>
      </c>
      <c r="B12" s="198">
        <v>164</v>
      </c>
      <c r="C12" s="84">
        <f t="shared" si="1"/>
        <v>1.0357393220959826E-3</v>
      </c>
      <c r="D12" s="199">
        <v>13794113.449999999</v>
      </c>
      <c r="E12" s="84">
        <f>D12/D18</f>
        <v>2.2724579879590681E-3</v>
      </c>
      <c r="F12" s="198">
        <v>165</v>
      </c>
      <c r="G12" s="84">
        <f t="shared" si="2"/>
        <v>1.0410094637223976E-3</v>
      </c>
      <c r="H12" s="199">
        <v>14317246.57</v>
      </c>
      <c r="I12" s="106">
        <f>H12/H18</f>
        <v>2.3441367983771831E-3</v>
      </c>
      <c r="J12" s="198">
        <v>158</v>
      </c>
      <c r="K12" s="139">
        <f t="shared" si="0"/>
        <v>9.8727169342089651E-4</v>
      </c>
      <c r="L12" s="199">
        <v>14034454.629999999</v>
      </c>
      <c r="M12" s="106">
        <f>L12/L18</f>
        <v>2.1820394370126455E-3</v>
      </c>
      <c r="N12" s="104">
        <v>159</v>
      </c>
      <c r="O12" s="139">
        <f t="shared" si="3"/>
        <v>9.5120156499578241E-4</v>
      </c>
      <c r="P12" s="199">
        <v>13825891.460000001</v>
      </c>
      <c r="Q12" s="138">
        <f>P12/P18</f>
        <v>2.092205674942004E-3</v>
      </c>
      <c r="R12" s="198">
        <f t="shared" si="4"/>
        <v>1</v>
      </c>
      <c r="S12" s="91">
        <f t="shared" si="5"/>
        <v>6.3291139240506328E-3</v>
      </c>
      <c r="T12" s="199">
        <f t="shared" si="6"/>
        <v>-208563.16999999806</v>
      </c>
      <c r="U12" s="120">
        <f t="shared" si="7"/>
        <v>-1.4860796197536183E-2</v>
      </c>
      <c r="V12" s="152"/>
      <c r="W12" s="152"/>
      <c r="X12" s="152"/>
      <c r="Y12" s="152"/>
      <c r="Z12" s="152"/>
      <c r="AA12" s="152"/>
    </row>
    <row r="13" spans="1:27" x14ac:dyDescent="0.25">
      <c r="A13" s="112" t="s">
        <v>44</v>
      </c>
      <c r="B13" s="198">
        <v>304</v>
      </c>
      <c r="C13" s="84">
        <f>B13/$B$18</f>
        <v>1.9199070360803583E-3</v>
      </c>
      <c r="D13" s="199">
        <v>24475306.240000002</v>
      </c>
      <c r="E13" s="84">
        <f>D13/D18</f>
        <v>4.0320898747452623E-3</v>
      </c>
      <c r="F13" s="198">
        <v>291</v>
      </c>
      <c r="G13" s="84">
        <f t="shared" si="2"/>
        <v>1.83596214511041E-3</v>
      </c>
      <c r="H13" s="199">
        <v>23892285.82</v>
      </c>
      <c r="I13" s="106">
        <f>H13/H18</f>
        <v>3.9118405982727566E-3</v>
      </c>
      <c r="J13" s="198">
        <v>277</v>
      </c>
      <c r="K13" s="139">
        <f t="shared" si="0"/>
        <v>1.7308497409973943E-3</v>
      </c>
      <c r="L13" s="199">
        <v>23057423.100000001</v>
      </c>
      <c r="M13" s="106">
        <f>L13/L18</f>
        <v>3.584906421125847E-3</v>
      </c>
      <c r="N13" s="104">
        <v>268</v>
      </c>
      <c r="O13" s="139">
        <f t="shared" si="3"/>
        <v>1.6032831409991805E-3</v>
      </c>
      <c r="P13" s="199">
        <v>22376765.140000001</v>
      </c>
      <c r="Q13" s="138">
        <f>P13/P18</f>
        <v>3.3861682733586575E-3</v>
      </c>
      <c r="R13" s="198">
        <f t="shared" si="4"/>
        <v>-9</v>
      </c>
      <c r="S13" s="91">
        <f t="shared" si="5"/>
        <v>-3.2490974729241874E-2</v>
      </c>
      <c r="T13" s="199">
        <f t="shared" si="6"/>
        <v>-680657.96000000089</v>
      </c>
      <c r="U13" s="120">
        <f t="shared" si="7"/>
        <v>-2.952012274086261E-2</v>
      </c>
      <c r="V13" s="152"/>
      <c r="W13" s="152"/>
      <c r="X13" s="152"/>
      <c r="Y13" s="152"/>
      <c r="Z13" s="152"/>
      <c r="AA13" s="152"/>
    </row>
    <row r="14" spans="1:27" x14ac:dyDescent="0.25">
      <c r="A14" s="112" t="s">
        <v>45</v>
      </c>
      <c r="B14" s="198">
        <v>18929</v>
      </c>
      <c r="C14" s="82">
        <f t="shared" si="1"/>
        <v>0.11954579041435888</v>
      </c>
      <c r="D14" s="199">
        <v>1270376143.8499999</v>
      </c>
      <c r="E14" s="82">
        <f>D14/D18</f>
        <v>0.20928321535622652</v>
      </c>
      <c r="F14" s="198">
        <v>18719</v>
      </c>
      <c r="G14" s="82">
        <f t="shared" si="2"/>
        <v>0.11810094637223975</v>
      </c>
      <c r="H14" s="199">
        <v>1266294876.3800001</v>
      </c>
      <c r="I14" s="105">
        <f>H14/H18</f>
        <v>0.20732816207403237</v>
      </c>
      <c r="J14" s="198">
        <v>19491</v>
      </c>
      <c r="K14" s="139">
        <f t="shared" si="0"/>
        <v>0.12179058592700438</v>
      </c>
      <c r="L14" s="199">
        <v>1486475380.6199999</v>
      </c>
      <c r="M14" s="106">
        <f>L14/L18</f>
        <v>0.23111321302986909</v>
      </c>
      <c r="N14" s="104">
        <v>19897</v>
      </c>
      <c r="O14" s="139">
        <f t="shared" si="3"/>
        <v>0.11903180841962945</v>
      </c>
      <c r="P14" s="199">
        <v>1528052711.1600001</v>
      </c>
      <c r="Q14" s="138">
        <f>P14/P18</f>
        <v>0.23123286937039697</v>
      </c>
      <c r="R14" s="198">
        <f t="shared" si="4"/>
        <v>406</v>
      </c>
      <c r="S14" s="91">
        <f t="shared" si="5"/>
        <v>2.0830126725155201E-2</v>
      </c>
      <c r="T14" s="199">
        <f t="shared" si="6"/>
        <v>41577330.5400002</v>
      </c>
      <c r="U14" s="120">
        <f t="shared" si="7"/>
        <v>2.7970413154544509E-2</v>
      </c>
      <c r="V14" s="152"/>
      <c r="W14" s="152"/>
      <c r="X14" s="152"/>
      <c r="Y14" s="152"/>
      <c r="Z14" s="152"/>
      <c r="AA14" s="152"/>
    </row>
    <row r="15" spans="1:27" x14ac:dyDescent="0.25">
      <c r="A15" s="112" t="s">
        <v>151</v>
      </c>
      <c r="B15" s="198">
        <v>21161</v>
      </c>
      <c r="C15" s="82">
        <f t="shared" si="1"/>
        <v>0.13364194996873835</v>
      </c>
      <c r="D15" s="199">
        <v>1349942285</v>
      </c>
      <c r="E15" s="82">
        <f>D15/D18</f>
        <v>0.22239103222918374</v>
      </c>
      <c r="F15" s="198">
        <v>21144</v>
      </c>
      <c r="G15" s="82">
        <f t="shared" si="2"/>
        <v>0.13340063091482648</v>
      </c>
      <c r="H15" s="199">
        <v>1355419605.6700001</v>
      </c>
      <c r="I15" s="105">
        <f>H15/H18</f>
        <v>0.22192039225967858</v>
      </c>
      <c r="J15" s="198">
        <v>21426</v>
      </c>
      <c r="K15" s="139">
        <f t="shared" si="0"/>
        <v>0.13388153989389953</v>
      </c>
      <c r="L15" s="199">
        <v>1385871549.24</v>
      </c>
      <c r="M15" s="106">
        <f>L15/L18</f>
        <v>0.21547159863350476</v>
      </c>
      <c r="N15" s="104">
        <v>21419</v>
      </c>
      <c r="O15" s="139">
        <f t="shared" si="3"/>
        <v>0.12813702088455764</v>
      </c>
      <c r="P15" s="199">
        <v>1419142617.8</v>
      </c>
      <c r="Q15" s="138">
        <f>P15/P18</f>
        <v>0.21475202861987544</v>
      </c>
      <c r="R15" s="198">
        <f t="shared" si="4"/>
        <v>-7</v>
      </c>
      <c r="S15" s="91">
        <f t="shared" si="5"/>
        <v>-3.2670587137123119E-4</v>
      </c>
      <c r="T15" s="199">
        <f t="shared" si="6"/>
        <v>33271068.559999943</v>
      </c>
      <c r="U15" s="120">
        <f t="shared" si="7"/>
        <v>2.4007324905576933E-2</v>
      </c>
      <c r="V15" s="152"/>
      <c r="W15" s="152"/>
      <c r="X15" s="152"/>
      <c r="Y15" s="152"/>
      <c r="Z15" s="152"/>
      <c r="AA15" s="152"/>
    </row>
    <row r="16" spans="1:27" x14ac:dyDescent="0.25">
      <c r="A16" s="112" t="s">
        <v>152</v>
      </c>
      <c r="B16" s="198">
        <v>10167</v>
      </c>
      <c r="C16" s="82">
        <f t="shared" si="1"/>
        <v>6.4209522486279605E-2</v>
      </c>
      <c r="D16" s="199">
        <v>182934000</v>
      </c>
      <c r="E16" s="82">
        <f>D16/D18</f>
        <v>3.0136755876058435E-2</v>
      </c>
      <c r="F16" s="198">
        <v>9753</v>
      </c>
      <c r="G16" s="82">
        <f t="shared" si="2"/>
        <v>6.1533123028391166E-2</v>
      </c>
      <c r="H16" s="199">
        <v>178296000</v>
      </c>
      <c r="I16" s="105">
        <f>H16/H18</f>
        <v>2.9192080513526994E-2</v>
      </c>
      <c r="J16" s="198">
        <v>9773</v>
      </c>
      <c r="K16" s="139">
        <f t="shared" si="0"/>
        <v>6.10671282265976E-2</v>
      </c>
      <c r="L16" s="199">
        <v>175836000</v>
      </c>
      <c r="M16" s="106">
        <f>L16/L18</f>
        <v>2.7338510584258846E-2</v>
      </c>
      <c r="N16" s="104">
        <v>16112</v>
      </c>
      <c r="O16" s="139">
        <f t="shared" si="3"/>
        <v>9.6388425252905946E-2</v>
      </c>
      <c r="P16" s="199">
        <v>249528000</v>
      </c>
      <c r="Q16" s="138">
        <f>P16/P18</f>
        <v>3.7759872422499716E-2</v>
      </c>
      <c r="R16" s="198">
        <f t="shared" si="4"/>
        <v>6339</v>
      </c>
      <c r="S16" s="91">
        <f t="shared" si="5"/>
        <v>0.64862375933694871</v>
      </c>
      <c r="T16" s="199">
        <f t="shared" si="6"/>
        <v>73692000</v>
      </c>
      <c r="U16" s="120">
        <f t="shared" si="7"/>
        <v>0.4190950658568211</v>
      </c>
      <c r="V16" s="152"/>
      <c r="W16" s="152"/>
      <c r="X16" s="152"/>
      <c r="Y16" s="152"/>
      <c r="Z16" s="152"/>
      <c r="AA16" s="152"/>
    </row>
    <row r="17" spans="1:27" x14ac:dyDescent="0.25">
      <c r="A17" s="112" t="s">
        <v>46</v>
      </c>
      <c r="B17" s="198">
        <v>17066</v>
      </c>
      <c r="C17" s="82">
        <f t="shared" si="1"/>
        <v>0.10778004433469537</v>
      </c>
      <c r="D17" s="199">
        <v>521272530.97000003</v>
      </c>
      <c r="E17" s="82">
        <f>D17/D18</f>
        <v>8.5875031490799961E-2</v>
      </c>
      <c r="F17" s="198">
        <v>17481</v>
      </c>
      <c r="G17" s="82">
        <f t="shared" si="2"/>
        <v>0.11029022082018927</v>
      </c>
      <c r="H17" s="199">
        <v>538130177.79999995</v>
      </c>
      <c r="I17" s="105">
        <f>H17/H18</f>
        <v>8.8107077427963587E-2</v>
      </c>
      <c r="J17" s="198">
        <v>17714</v>
      </c>
      <c r="K17" s="139">
        <f t="shared" si="0"/>
        <v>0.11068690365353012</v>
      </c>
      <c r="L17" s="199">
        <v>550020773.17000008</v>
      </c>
      <c r="M17" s="106">
        <f>L17/L18</f>
        <v>8.5515757460760483E-2</v>
      </c>
      <c r="N17" s="104">
        <v>18000</v>
      </c>
      <c r="O17" s="139">
        <f t="shared" si="3"/>
        <v>0.10768319603725839</v>
      </c>
      <c r="P17" s="199">
        <v>562458402.41999996</v>
      </c>
      <c r="Q17" s="138">
        <f>P17/P18</f>
        <v>8.5114125542392852E-2</v>
      </c>
      <c r="R17" s="198">
        <f t="shared" si="4"/>
        <v>286</v>
      </c>
      <c r="S17" s="91">
        <f t="shared" si="5"/>
        <v>1.6145421700350007E-2</v>
      </c>
      <c r="T17" s="199">
        <f t="shared" si="6"/>
        <v>12437629.249999881</v>
      </c>
      <c r="U17" s="120">
        <f t="shared" si="7"/>
        <v>2.2613017283541155E-2</v>
      </c>
      <c r="V17" s="152"/>
      <c r="W17" s="152"/>
      <c r="X17" s="152"/>
      <c r="Y17" s="152"/>
      <c r="Z17" s="152"/>
      <c r="AA17" s="152"/>
    </row>
    <row r="18" spans="1:27" ht="15.75" thickBot="1" x14ac:dyDescent="0.3">
      <c r="A18" s="113" t="s">
        <v>47</v>
      </c>
      <c r="B18" s="107">
        <f t="shared" ref="B18:I18" si="8">SUM(B9:B17)</f>
        <v>158341</v>
      </c>
      <c r="C18" s="108">
        <f t="shared" si="8"/>
        <v>1</v>
      </c>
      <c r="D18" s="109">
        <f t="shared" si="8"/>
        <v>6070129139.0600004</v>
      </c>
      <c r="E18" s="110">
        <f t="shared" si="8"/>
        <v>1</v>
      </c>
      <c r="F18" s="107">
        <f t="shared" si="8"/>
        <v>158500</v>
      </c>
      <c r="G18" s="108">
        <f t="shared" si="8"/>
        <v>1</v>
      </c>
      <c r="H18" s="109">
        <f t="shared" si="8"/>
        <v>6107683894.5200014</v>
      </c>
      <c r="I18" s="110">
        <f t="shared" si="8"/>
        <v>1</v>
      </c>
      <c r="J18" s="247">
        <f t="shared" ref="J18:Q18" si="9">SUM(J9:J17)</f>
        <v>160037</v>
      </c>
      <c r="K18" s="133">
        <f t="shared" si="9"/>
        <v>1</v>
      </c>
      <c r="L18" s="248">
        <f t="shared" si="9"/>
        <v>6431806131.4300003</v>
      </c>
      <c r="M18" s="246">
        <f t="shared" si="9"/>
        <v>1</v>
      </c>
      <c r="N18" s="107">
        <f t="shared" si="9"/>
        <v>167157</v>
      </c>
      <c r="O18" s="133">
        <f t="shared" si="9"/>
        <v>1</v>
      </c>
      <c r="P18" s="248">
        <f t="shared" si="9"/>
        <v>6608285038.8900003</v>
      </c>
      <c r="Q18" s="133">
        <f t="shared" si="9"/>
        <v>0.99999999999999989</v>
      </c>
      <c r="R18" s="107">
        <f>+N18-J18</f>
        <v>7120</v>
      </c>
      <c r="S18" s="108">
        <f>+(N18-J18)/J18</f>
        <v>4.4489711754156849E-2</v>
      </c>
      <c r="T18" s="109">
        <f>+P18-L18</f>
        <v>176478907.46000004</v>
      </c>
      <c r="U18" s="133">
        <f>+(P18-L18)/L18</f>
        <v>2.7438468115139381E-2</v>
      </c>
      <c r="V18" s="200"/>
      <c r="W18" s="152"/>
      <c r="X18" s="152"/>
      <c r="Y18" s="152"/>
      <c r="Z18" s="152"/>
      <c r="AA18" s="152"/>
    </row>
    <row r="19" spans="1:27" ht="9.75" customHeight="1" x14ac:dyDescent="0.25">
      <c r="A19" s="308" t="s">
        <v>153</v>
      </c>
      <c r="B19" s="308"/>
      <c r="C19" s="308"/>
      <c r="D19" s="308"/>
      <c r="E19" s="308"/>
      <c r="F19" s="308"/>
      <c r="G19" s="308"/>
      <c r="H19" s="308"/>
      <c r="I19" s="308"/>
      <c r="J19" s="201"/>
      <c r="K19" s="201"/>
      <c r="L19" s="201"/>
      <c r="M19" s="201"/>
      <c r="N19" s="228"/>
      <c r="O19" s="228"/>
      <c r="P19" s="228"/>
      <c r="Q19" s="228"/>
      <c r="R19" s="201"/>
      <c r="S19" s="201"/>
      <c r="T19" s="201"/>
      <c r="U19" s="201"/>
      <c r="V19" s="152"/>
      <c r="W19" s="152"/>
      <c r="X19" s="152"/>
      <c r="Y19" s="152"/>
      <c r="Z19" s="152"/>
      <c r="AA19" s="152"/>
    </row>
    <row r="20" spans="1:27" x14ac:dyDescent="0.25">
      <c r="A20" s="161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</row>
    <row r="21" spans="1:27" x14ac:dyDescent="0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</row>
    <row r="22" spans="1:27" x14ac:dyDescent="0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</row>
    <row r="23" spans="1:27" x14ac:dyDescent="0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</row>
    <row r="24" spans="1:27" x14ac:dyDescent="0.25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</row>
    <row r="25" spans="1:27" x14ac:dyDescent="0.25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</row>
    <row r="26" spans="1:27" x14ac:dyDescent="0.25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</row>
    <row r="27" spans="1:27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</row>
    <row r="28" spans="1:27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</row>
    <row r="29" spans="1:27" ht="15.75" thickBot="1" x14ac:dyDescent="0.3">
      <c r="A29" s="305" t="s">
        <v>56</v>
      </c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6"/>
      <c r="O29" s="306"/>
      <c r="P29" s="306"/>
      <c r="Q29" s="306"/>
      <c r="R29" s="305"/>
      <c r="S29" s="305"/>
      <c r="T29" s="305"/>
      <c r="U29" s="305"/>
      <c r="V29" s="152"/>
      <c r="W29" s="152"/>
      <c r="X29" s="152"/>
      <c r="Y29" s="152"/>
      <c r="Z29" s="152"/>
      <c r="AA29" s="152"/>
    </row>
    <row r="30" spans="1:27" ht="34.5" customHeight="1" x14ac:dyDescent="0.25">
      <c r="A30" s="193"/>
      <c r="B30" s="304" t="s">
        <v>185</v>
      </c>
      <c r="C30" s="301"/>
      <c r="D30" s="301"/>
      <c r="E30" s="307"/>
      <c r="F30" s="304" t="s">
        <v>218</v>
      </c>
      <c r="G30" s="301"/>
      <c r="H30" s="301"/>
      <c r="I30" s="307"/>
      <c r="J30" s="304" t="s">
        <v>230</v>
      </c>
      <c r="K30" s="301"/>
      <c r="L30" s="301"/>
      <c r="M30" s="307"/>
      <c r="N30" s="304" t="s">
        <v>235</v>
      </c>
      <c r="O30" s="301"/>
      <c r="P30" s="301"/>
      <c r="Q30" s="307"/>
      <c r="R30" s="301" t="s">
        <v>144</v>
      </c>
      <c r="S30" s="302"/>
      <c r="T30" s="302"/>
      <c r="U30" s="303"/>
      <c r="V30" s="152"/>
      <c r="W30" s="152"/>
      <c r="X30" s="152"/>
      <c r="Y30" s="152"/>
      <c r="Z30" s="152"/>
      <c r="AA30" s="152"/>
    </row>
    <row r="31" spans="1:27" ht="30" x14ac:dyDescent="0.25">
      <c r="A31" s="117" t="s">
        <v>57</v>
      </c>
      <c r="B31" s="202" t="s">
        <v>147</v>
      </c>
      <c r="C31" s="59" t="s">
        <v>40</v>
      </c>
      <c r="D31" s="59" t="s">
        <v>148</v>
      </c>
      <c r="E31" s="103" t="s">
        <v>40</v>
      </c>
      <c r="F31" s="59" t="s">
        <v>147</v>
      </c>
      <c r="G31" s="59" t="s">
        <v>40</v>
      </c>
      <c r="H31" s="59" t="s">
        <v>148</v>
      </c>
      <c r="I31" s="103" t="s">
        <v>40</v>
      </c>
      <c r="J31" s="59" t="s">
        <v>205</v>
      </c>
      <c r="K31" s="59" t="s">
        <v>40</v>
      </c>
      <c r="L31" s="59" t="s">
        <v>148</v>
      </c>
      <c r="M31" s="59" t="s">
        <v>40</v>
      </c>
      <c r="N31" s="202" t="s">
        <v>23</v>
      </c>
      <c r="O31" s="59" t="s">
        <v>40</v>
      </c>
      <c r="P31" s="59" t="s">
        <v>19</v>
      </c>
      <c r="Q31" s="103" t="s">
        <v>40</v>
      </c>
      <c r="R31" s="132" t="s">
        <v>215</v>
      </c>
      <c r="S31" s="132" t="s">
        <v>217</v>
      </c>
      <c r="T31" s="132" t="s">
        <v>216</v>
      </c>
      <c r="U31" s="134" t="s">
        <v>217</v>
      </c>
      <c r="V31" s="152"/>
      <c r="W31" s="152"/>
      <c r="X31" s="152"/>
      <c r="Y31" s="152"/>
      <c r="Z31" s="152"/>
      <c r="AA31" s="152"/>
    </row>
    <row r="32" spans="1:27" x14ac:dyDescent="0.25">
      <c r="A32" s="118" t="s">
        <v>59</v>
      </c>
      <c r="B32" s="198">
        <v>45</v>
      </c>
      <c r="C32" s="91">
        <f>B32/$F$45</f>
        <v>3.5265352183317137E-4</v>
      </c>
      <c r="D32" s="199">
        <v>532989.91</v>
      </c>
      <c r="E32" s="135">
        <f>D32/D45</f>
        <v>1.1746973932180064E-4</v>
      </c>
      <c r="F32" s="203">
        <v>44</v>
      </c>
      <c r="G32" s="91">
        <f>F32/$F$45</f>
        <v>3.4481677690354536E-4</v>
      </c>
      <c r="H32" s="203">
        <v>530449.59</v>
      </c>
      <c r="I32" s="120">
        <f>H32/H45</f>
        <v>1.1597141836183716E-4</v>
      </c>
      <c r="J32" s="203">
        <v>42</v>
      </c>
      <c r="K32" s="139">
        <f t="shared" ref="K32:K44" si="10">J32/$J$45</f>
        <v>3.0300625491483358E-4</v>
      </c>
      <c r="L32" s="204">
        <v>518449.58999999997</v>
      </c>
      <c r="M32" s="139">
        <f t="shared" ref="M32:M44" si="11">L32/$L$45</f>
        <v>1.027459990920029E-4</v>
      </c>
      <c r="N32" s="249">
        <v>81</v>
      </c>
      <c r="O32" s="139">
        <f>N32/$N$45</f>
        <v>5.5579190053383471E-4</v>
      </c>
      <c r="P32" s="207">
        <v>911719.75</v>
      </c>
      <c r="Q32" s="120">
        <f>P32/P45</f>
        <v>1.7569757697860985E-4</v>
      </c>
      <c r="R32" s="199">
        <f>+N32-J32</f>
        <v>39</v>
      </c>
      <c r="S32" s="91">
        <f>+(N32-J32)/J32</f>
        <v>0.9285714285714286</v>
      </c>
      <c r="T32" s="199">
        <f>+P32-L32</f>
        <v>393270.16000000003</v>
      </c>
      <c r="U32" s="135">
        <f>+(P32-L32)/L32</f>
        <v>0.75855043110362963</v>
      </c>
      <c r="V32" s="152"/>
      <c r="W32" s="152"/>
      <c r="X32" s="152"/>
      <c r="Y32" s="152"/>
      <c r="Z32" s="152"/>
      <c r="AA32" s="152"/>
    </row>
    <row r="33" spans="1:27" s="55" customFormat="1" x14ac:dyDescent="0.25">
      <c r="A33" s="118" t="s">
        <v>60</v>
      </c>
      <c r="B33" s="198">
        <v>1</v>
      </c>
      <c r="C33" s="93">
        <f>B33/$F$45</f>
        <v>7.8367449296260299E-6</v>
      </c>
      <c r="D33" s="199">
        <v>15352.5</v>
      </c>
      <c r="E33" s="135">
        <f>D33/D45</f>
        <v>3.3836553733971141E-6</v>
      </c>
      <c r="F33" s="203">
        <v>1</v>
      </c>
      <c r="G33" s="93">
        <f>F33/$F$45</f>
        <v>7.8367449296260299E-6</v>
      </c>
      <c r="H33" s="203">
        <v>15352.5</v>
      </c>
      <c r="I33" s="121">
        <f>H33/H45</f>
        <v>3.3564946301496908E-6</v>
      </c>
      <c r="J33" s="203">
        <v>1</v>
      </c>
      <c r="K33" s="139">
        <f t="shared" si="10"/>
        <v>7.2144346408293717E-6</v>
      </c>
      <c r="L33" s="204">
        <v>15352.5</v>
      </c>
      <c r="M33" s="139">
        <f t="shared" si="11"/>
        <v>3.0425483624357281E-6</v>
      </c>
      <c r="N33" s="249">
        <v>1</v>
      </c>
      <c r="O33" s="139">
        <f t="shared" ref="O33:O44" si="12">N33/$N$45</f>
        <v>6.8616284016522803E-6</v>
      </c>
      <c r="P33" s="207">
        <v>15352.5</v>
      </c>
      <c r="Q33" s="120">
        <f>P33/P45</f>
        <v>2.9585813519605203E-6</v>
      </c>
      <c r="R33" s="199">
        <f t="shared" ref="R33:R44" si="13">+N33-J33</f>
        <v>0</v>
      </c>
      <c r="S33" s="91">
        <f t="shared" ref="S33:S44" si="14">+(N33-J33)/J33</f>
        <v>0</v>
      </c>
      <c r="T33" s="199">
        <f t="shared" ref="T33:T44" si="15">+P33-L33</f>
        <v>0</v>
      </c>
      <c r="U33" s="135">
        <f t="shared" ref="U33:U44" si="16">+(P33-L33)/L33</f>
        <v>0</v>
      </c>
      <c r="V33" s="195"/>
      <c r="W33" s="195"/>
      <c r="X33" s="195"/>
      <c r="Y33" s="195"/>
      <c r="Z33" s="195"/>
      <c r="AA33" s="195"/>
    </row>
    <row r="34" spans="1:27" x14ac:dyDescent="0.25">
      <c r="A34" s="119" t="s">
        <v>100</v>
      </c>
      <c r="B34" s="198">
        <v>92637</v>
      </c>
      <c r="C34" s="91">
        <f>B34/$F$45</f>
        <v>0.72597254004576661</v>
      </c>
      <c r="D34" s="199">
        <v>2235327896.7399998</v>
      </c>
      <c r="E34" s="135">
        <f>D34/D45</f>
        <v>0.49266108119907309</v>
      </c>
      <c r="F34" s="203">
        <v>91543</v>
      </c>
      <c r="G34" s="91">
        <f>F34/$F$45</f>
        <v>0.71739914109275571</v>
      </c>
      <c r="H34" s="203">
        <v>2212806756.8400002</v>
      </c>
      <c r="I34" s="105">
        <f>H34/H45</f>
        <v>0.48378270619719349</v>
      </c>
      <c r="J34" s="205">
        <v>100541</v>
      </c>
      <c r="K34" s="139">
        <f t="shared" si="10"/>
        <v>0.72534647322362578</v>
      </c>
      <c r="L34" s="204">
        <v>2368218740.3500004</v>
      </c>
      <c r="M34" s="139">
        <f t="shared" si="11"/>
        <v>0.46933203389294881</v>
      </c>
      <c r="N34" s="257">
        <v>106124</v>
      </c>
      <c r="O34" s="258">
        <f t="shared" si="12"/>
        <v>0.7281834524969466</v>
      </c>
      <c r="P34" s="208">
        <v>2423844473.21</v>
      </c>
      <c r="Q34" s="121">
        <f>P34/P45</f>
        <v>0.46709923846224899</v>
      </c>
      <c r="R34" s="199">
        <f t="shared" si="13"/>
        <v>5583</v>
      </c>
      <c r="S34" s="91">
        <f t="shared" si="14"/>
        <v>5.5529584945445139E-2</v>
      </c>
      <c r="T34" s="199">
        <f t="shared" si="15"/>
        <v>55625732.859999657</v>
      </c>
      <c r="U34" s="135">
        <f t="shared" si="16"/>
        <v>2.3488426939725467E-2</v>
      </c>
      <c r="V34" s="152"/>
      <c r="W34" s="152"/>
      <c r="X34" s="152"/>
      <c r="Y34" s="152"/>
      <c r="Z34" s="152"/>
      <c r="AA34" s="152"/>
    </row>
    <row r="35" spans="1:27" x14ac:dyDescent="0.25">
      <c r="A35" s="119" t="s">
        <v>99</v>
      </c>
      <c r="B35" s="198">
        <v>19649</v>
      </c>
      <c r="C35" s="91">
        <f t="shared" ref="C35:C44" si="17">B35/$F$45</f>
        <v>0.15398420112222189</v>
      </c>
      <c r="D35" s="199">
        <v>708949871.52999997</v>
      </c>
      <c r="E35" s="135">
        <f>D35/D45</f>
        <v>0.15625090651500917</v>
      </c>
      <c r="F35" s="203">
        <v>21220</v>
      </c>
      <c r="G35" s="91">
        <f t="shared" ref="G35:G44" si="18">F35/$F$45</f>
        <v>0.16629572740666437</v>
      </c>
      <c r="H35" s="203">
        <v>758596266.04999995</v>
      </c>
      <c r="I35" s="105">
        <f>H35/H45</f>
        <v>0.16585079260370827</v>
      </c>
      <c r="J35" s="203">
        <v>22135</v>
      </c>
      <c r="K35" s="139">
        <f t="shared" si="10"/>
        <v>0.15969151077475813</v>
      </c>
      <c r="L35" s="204">
        <v>792980471.26999998</v>
      </c>
      <c r="M35" s="139">
        <f t="shared" si="11"/>
        <v>0.15715234875792544</v>
      </c>
      <c r="N35" s="249">
        <v>23398</v>
      </c>
      <c r="O35" s="139">
        <f t="shared" si="12"/>
        <v>0.16054838134186006</v>
      </c>
      <c r="P35" s="207">
        <v>826066109.91000009</v>
      </c>
      <c r="Q35" s="120">
        <f>P35/P45</f>
        <v>0.15919125798835992</v>
      </c>
      <c r="R35" s="199">
        <f t="shared" si="13"/>
        <v>1263</v>
      </c>
      <c r="S35" s="91">
        <f t="shared" si="14"/>
        <v>5.7058956403885253E-2</v>
      </c>
      <c r="T35" s="199">
        <f t="shared" si="15"/>
        <v>33085638.640000105</v>
      </c>
      <c r="U35" s="135">
        <f t="shared" si="16"/>
        <v>4.1723144312761841E-2</v>
      </c>
      <c r="V35" s="152"/>
      <c r="W35" s="152"/>
      <c r="X35" s="152"/>
      <c r="Y35" s="152"/>
      <c r="Z35" s="152"/>
      <c r="AA35" s="152"/>
    </row>
    <row r="36" spans="1:27" ht="15" customHeight="1" x14ac:dyDescent="0.25">
      <c r="A36" s="119" t="s">
        <v>101</v>
      </c>
      <c r="B36" s="198">
        <v>6559</v>
      </c>
      <c r="C36" s="91">
        <f t="shared" si="17"/>
        <v>5.1401209993417137E-2</v>
      </c>
      <c r="D36" s="199">
        <v>483159209.02999997</v>
      </c>
      <c r="E36" s="135">
        <f>D36/D45</f>
        <v>0.10648716846381102</v>
      </c>
      <c r="F36" s="203">
        <v>6548</v>
      </c>
      <c r="G36" s="91">
        <f t="shared" si="18"/>
        <v>5.1315005799191245E-2</v>
      </c>
      <c r="H36" s="203">
        <v>482498714.48000002</v>
      </c>
      <c r="I36" s="105">
        <f>H36/H45</f>
        <v>0.10548798854950327</v>
      </c>
      <c r="J36" s="203">
        <v>6458</v>
      </c>
      <c r="K36" s="139">
        <f t="shared" si="10"/>
        <v>4.6590818910476083E-2</v>
      </c>
      <c r="L36" s="204">
        <v>476030574.31000006</v>
      </c>
      <c r="M36" s="139">
        <f t="shared" si="11"/>
        <v>9.4339426434537049E-2</v>
      </c>
      <c r="N36" s="249">
        <v>6459</v>
      </c>
      <c r="O36" s="139">
        <f t="shared" si="12"/>
        <v>4.4319257846272074E-2</v>
      </c>
      <c r="P36" s="207">
        <v>475442647.19999999</v>
      </c>
      <c r="Q36" s="120">
        <f>P36/P45</f>
        <v>9.1622585893676251E-2</v>
      </c>
      <c r="R36" s="199">
        <f t="shared" si="13"/>
        <v>1</v>
      </c>
      <c r="S36" s="91">
        <f t="shared" si="14"/>
        <v>1.548467017652524E-4</v>
      </c>
      <c r="T36" s="199">
        <f t="shared" si="15"/>
        <v>-587927.11000007391</v>
      </c>
      <c r="U36" s="135">
        <f t="shared" si="16"/>
        <v>-1.2350616572312952E-3</v>
      </c>
      <c r="V36" s="152"/>
      <c r="W36" s="152"/>
      <c r="X36" s="152"/>
      <c r="Y36" s="152"/>
      <c r="Z36" s="152"/>
      <c r="AA36" s="152"/>
    </row>
    <row r="37" spans="1:27" x14ac:dyDescent="0.25">
      <c r="A37" s="119" t="s">
        <v>102</v>
      </c>
      <c r="B37" s="198">
        <v>3631</v>
      </c>
      <c r="C37" s="91">
        <f t="shared" si="17"/>
        <v>2.8455220839472117E-2</v>
      </c>
      <c r="D37" s="199">
        <v>365983320.5</v>
      </c>
      <c r="E37" s="135">
        <f>D37/D45</f>
        <v>8.0661874547047263E-2</v>
      </c>
      <c r="F37" s="203">
        <v>3632</v>
      </c>
      <c r="G37" s="91">
        <f t="shared" si="18"/>
        <v>2.8463057584401742E-2</v>
      </c>
      <c r="H37" s="203">
        <v>365025765.06</v>
      </c>
      <c r="I37" s="105">
        <f>H37/H45</f>
        <v>7.9805049359398972E-2</v>
      </c>
      <c r="J37" s="203">
        <v>3494</v>
      </c>
      <c r="K37" s="139">
        <f t="shared" si="10"/>
        <v>2.5207234635057824E-2</v>
      </c>
      <c r="L37" s="204">
        <v>350981643.21000004</v>
      </c>
      <c r="M37" s="139">
        <f t="shared" si="11"/>
        <v>6.9557311434202032E-2</v>
      </c>
      <c r="N37" s="249">
        <v>3504</v>
      </c>
      <c r="O37" s="139">
        <f t="shared" si="12"/>
        <v>2.4043145919389591E-2</v>
      </c>
      <c r="P37" s="207">
        <v>352275816.86000001</v>
      </c>
      <c r="Q37" s="120">
        <f>P37/P45</f>
        <v>6.7887097378840938E-2</v>
      </c>
      <c r="R37" s="199">
        <f t="shared" si="13"/>
        <v>10</v>
      </c>
      <c r="S37" s="91">
        <f t="shared" si="14"/>
        <v>2.8620492272467086E-3</v>
      </c>
      <c r="T37" s="199">
        <f t="shared" si="15"/>
        <v>1294173.6499999762</v>
      </c>
      <c r="U37" s="135">
        <f t="shared" si="16"/>
        <v>3.6872972562432375E-3</v>
      </c>
      <c r="V37" s="152"/>
      <c r="W37" s="152"/>
      <c r="X37" s="152"/>
      <c r="Y37" s="152"/>
      <c r="Z37" s="152"/>
      <c r="AA37" s="152"/>
    </row>
    <row r="38" spans="1:27" x14ac:dyDescent="0.25">
      <c r="A38" s="119" t="s">
        <v>103</v>
      </c>
      <c r="B38" s="198">
        <v>2221</v>
      </c>
      <c r="C38" s="91">
        <f t="shared" si="17"/>
        <v>1.7405410488699414E-2</v>
      </c>
      <c r="D38" s="199">
        <v>290375508.15000004</v>
      </c>
      <c r="E38" s="135">
        <f>D38/D45</f>
        <v>6.3998088158584279E-2</v>
      </c>
      <c r="F38" s="203">
        <v>2268</v>
      </c>
      <c r="G38" s="91">
        <f t="shared" si="18"/>
        <v>1.7773737500391837E-2</v>
      </c>
      <c r="H38" s="203">
        <v>291929316.19000006</v>
      </c>
      <c r="I38" s="105">
        <f>H38/H45</f>
        <v>6.3824079607556192E-2</v>
      </c>
      <c r="J38" s="203">
        <v>1927</v>
      </c>
      <c r="K38" s="139">
        <f t="shared" si="10"/>
        <v>1.3902215552878199E-2</v>
      </c>
      <c r="L38" s="204">
        <v>247671532.23000002</v>
      </c>
      <c r="M38" s="139">
        <f t="shared" si="11"/>
        <v>4.9083381521467788E-2</v>
      </c>
      <c r="N38" s="249">
        <v>1917</v>
      </c>
      <c r="O38" s="139">
        <f t="shared" si="12"/>
        <v>1.315374164596742E-2</v>
      </c>
      <c r="P38" s="207">
        <v>248797756.74000001</v>
      </c>
      <c r="Q38" s="120">
        <f>P38/P45</f>
        <v>4.7945833154246796E-2</v>
      </c>
      <c r="R38" s="199">
        <f t="shared" si="13"/>
        <v>-10</v>
      </c>
      <c r="S38" s="91">
        <f t="shared" si="14"/>
        <v>-5.1894135962636222E-3</v>
      </c>
      <c r="T38" s="199">
        <f t="shared" si="15"/>
        <v>1126224.5099999905</v>
      </c>
      <c r="U38" s="135">
        <f t="shared" si="16"/>
        <v>4.5472505453477904E-3</v>
      </c>
      <c r="V38" s="152"/>
      <c r="W38" s="152"/>
      <c r="X38" s="152"/>
      <c r="Y38" s="152"/>
      <c r="Z38" s="152"/>
      <c r="AA38" s="152"/>
    </row>
    <row r="39" spans="1:27" x14ac:dyDescent="0.25">
      <c r="A39" s="119" t="s">
        <v>104</v>
      </c>
      <c r="B39" s="198">
        <v>1221</v>
      </c>
      <c r="C39" s="91">
        <f t="shared" si="17"/>
        <v>9.5686655590733836E-3</v>
      </c>
      <c r="D39" s="199">
        <v>192054293.13999999</v>
      </c>
      <c r="E39" s="135">
        <f>D39/D45</f>
        <v>4.2328320531974953E-2</v>
      </c>
      <c r="F39" s="203">
        <v>1235</v>
      </c>
      <c r="G39" s="91">
        <f t="shared" si="18"/>
        <v>9.6783799880881469E-3</v>
      </c>
      <c r="H39" s="203">
        <v>194227711.18000001</v>
      </c>
      <c r="I39" s="105">
        <f>H39/H45</f>
        <v>4.2463720540754611E-2</v>
      </c>
      <c r="J39" s="203">
        <v>2054</v>
      </c>
      <c r="K39" s="139">
        <f t="shared" si="10"/>
        <v>1.4818448752263529E-2</v>
      </c>
      <c r="L39" s="204">
        <v>319678702.56</v>
      </c>
      <c r="M39" s="139">
        <f t="shared" si="11"/>
        <v>6.3353715224198429E-2</v>
      </c>
      <c r="N39" s="249">
        <v>2139</v>
      </c>
      <c r="O39" s="139">
        <f t="shared" si="12"/>
        <v>1.4677023151134228E-2</v>
      </c>
      <c r="P39" s="207">
        <v>326625508.12</v>
      </c>
      <c r="Q39" s="120">
        <f>P39/P45</f>
        <v>6.2944024582215374E-2</v>
      </c>
      <c r="R39" s="199">
        <f t="shared" si="13"/>
        <v>85</v>
      </c>
      <c r="S39" s="91">
        <f t="shared" si="14"/>
        <v>4.1382667964946447E-2</v>
      </c>
      <c r="T39" s="199">
        <f t="shared" si="15"/>
        <v>6946805.5600000024</v>
      </c>
      <c r="U39" s="135">
        <f t="shared" si="16"/>
        <v>2.1730586067728947E-2</v>
      </c>
      <c r="V39" s="152"/>
      <c r="W39" s="152"/>
      <c r="X39" s="152"/>
      <c r="Y39" s="152"/>
      <c r="Z39" s="152"/>
      <c r="AA39" s="152"/>
    </row>
    <row r="40" spans="1:27" x14ac:dyDescent="0.25">
      <c r="A40" s="119" t="s">
        <v>105</v>
      </c>
      <c r="B40" s="198">
        <v>264</v>
      </c>
      <c r="C40" s="91">
        <f t="shared" si="17"/>
        <v>2.0689006614212722E-3</v>
      </c>
      <c r="D40" s="199">
        <v>49155833.020000003</v>
      </c>
      <c r="E40" s="135">
        <f>D40/D45</f>
        <v>1.0833831527890201E-2</v>
      </c>
      <c r="F40" s="203">
        <v>278</v>
      </c>
      <c r="G40" s="91">
        <f t="shared" si="18"/>
        <v>2.1786150904360363E-3</v>
      </c>
      <c r="H40" s="203">
        <v>50462090.810000002</v>
      </c>
      <c r="I40" s="105">
        <f>H40/H45</f>
        <v>1.1032453139872403E-2</v>
      </c>
      <c r="J40" s="203">
        <v>658</v>
      </c>
      <c r="K40" s="139">
        <f t="shared" si="10"/>
        <v>4.7470979936657266E-3</v>
      </c>
      <c r="L40" s="204">
        <v>124092472.21000001</v>
      </c>
      <c r="M40" s="139">
        <f t="shared" si="11"/>
        <v>2.4592564605968842E-2</v>
      </c>
      <c r="N40" s="249">
        <v>716</v>
      </c>
      <c r="O40" s="139">
        <f t="shared" si="12"/>
        <v>4.9129259355830323E-3</v>
      </c>
      <c r="P40" s="207">
        <v>136936441.47</v>
      </c>
      <c r="Q40" s="120">
        <f>P40/P45</f>
        <v>2.6389031241620276E-2</v>
      </c>
      <c r="R40" s="199">
        <f t="shared" si="13"/>
        <v>58</v>
      </c>
      <c r="S40" s="91">
        <f t="shared" si="14"/>
        <v>8.8145896656534953E-2</v>
      </c>
      <c r="T40" s="199">
        <f t="shared" si="15"/>
        <v>12843969.25999999</v>
      </c>
      <c r="U40" s="135">
        <f t="shared" si="16"/>
        <v>0.1035032103983255</v>
      </c>
      <c r="V40" s="152"/>
      <c r="W40" s="152"/>
      <c r="X40" s="152"/>
      <c r="Y40" s="152"/>
      <c r="Z40" s="152"/>
      <c r="AA40" s="152"/>
    </row>
    <row r="41" spans="1:27" ht="15" customHeight="1" x14ac:dyDescent="0.25">
      <c r="A41" s="119" t="s">
        <v>106</v>
      </c>
      <c r="B41" s="198">
        <v>185</v>
      </c>
      <c r="C41" s="91">
        <f t="shared" si="17"/>
        <v>1.4497978119808155E-3</v>
      </c>
      <c r="D41" s="199">
        <v>41176405.170000002</v>
      </c>
      <c r="E41" s="135">
        <f>D41/D45</f>
        <v>9.0751841465980931E-3</v>
      </c>
      <c r="F41" s="203">
        <v>200</v>
      </c>
      <c r="G41" s="91">
        <f t="shared" si="18"/>
        <v>1.5673489859252062E-3</v>
      </c>
      <c r="H41" s="203">
        <v>42494532.810000002</v>
      </c>
      <c r="I41" s="105">
        <f>H41/H45</f>
        <v>9.2905175826402779E-3</v>
      </c>
      <c r="J41" s="203">
        <v>342</v>
      </c>
      <c r="K41" s="139">
        <f t="shared" si="10"/>
        <v>2.4673366471636448E-3</v>
      </c>
      <c r="L41" s="204">
        <v>72787888.969999999</v>
      </c>
      <c r="M41" s="139">
        <f t="shared" si="11"/>
        <v>1.442505600982427E-2</v>
      </c>
      <c r="N41" s="249">
        <v>365</v>
      </c>
      <c r="O41" s="139">
        <f t="shared" si="12"/>
        <v>2.5044943666030824E-3</v>
      </c>
      <c r="P41" s="207">
        <v>79531553.400000006</v>
      </c>
      <c r="Q41" s="120">
        <f>P41/P45</f>
        <v>1.532653123476257E-2</v>
      </c>
      <c r="R41" s="199">
        <f t="shared" si="13"/>
        <v>23</v>
      </c>
      <c r="S41" s="91">
        <f t="shared" si="14"/>
        <v>6.725146198830409E-2</v>
      </c>
      <c r="T41" s="199">
        <f t="shared" si="15"/>
        <v>6743664.4300000072</v>
      </c>
      <c r="U41" s="135">
        <f t="shared" si="16"/>
        <v>9.2648166136257259E-2</v>
      </c>
      <c r="V41" s="152"/>
      <c r="W41" s="152"/>
      <c r="X41" s="152"/>
      <c r="Y41" s="152"/>
      <c r="Z41" s="152"/>
      <c r="AA41" s="152"/>
    </row>
    <row r="42" spans="1:27" x14ac:dyDescent="0.25">
      <c r="A42" s="119" t="s">
        <v>107</v>
      </c>
      <c r="B42" s="198">
        <v>254</v>
      </c>
      <c r="C42" s="91">
        <f t="shared" si="17"/>
        <v>1.9905332121250116E-3</v>
      </c>
      <c r="D42" s="199">
        <v>63409503.49000001</v>
      </c>
      <c r="E42" s="135">
        <f>D42/D45</f>
        <v>1.3975307422789877E-2</v>
      </c>
      <c r="F42" s="203">
        <v>285</v>
      </c>
      <c r="G42" s="91">
        <f t="shared" si="18"/>
        <v>2.2334723049434188E-3</v>
      </c>
      <c r="H42" s="203">
        <v>67252662.49000001</v>
      </c>
      <c r="I42" s="105">
        <f>H42/H45</f>
        <v>1.4703351279006974E-2</v>
      </c>
      <c r="J42" s="203">
        <v>338</v>
      </c>
      <c r="K42" s="139">
        <f t="shared" si="10"/>
        <v>2.4384789086003274E-3</v>
      </c>
      <c r="L42" s="204">
        <v>83354851.930000007</v>
      </c>
      <c r="M42" s="139">
        <f t="shared" si="11"/>
        <v>1.6519209786073547E-2</v>
      </c>
      <c r="N42" s="249">
        <v>368</v>
      </c>
      <c r="O42" s="139">
        <f t="shared" si="12"/>
        <v>2.5250792518080392E-3</v>
      </c>
      <c r="P42" s="207">
        <v>89470336.829999998</v>
      </c>
      <c r="Q42" s="120">
        <f>P42/P45</f>
        <v>1.7241834886752291E-2</v>
      </c>
      <c r="R42" s="199">
        <f t="shared" si="13"/>
        <v>30</v>
      </c>
      <c r="S42" s="91">
        <f t="shared" si="14"/>
        <v>8.8757396449704137E-2</v>
      </c>
      <c r="T42" s="199">
        <f t="shared" si="15"/>
        <v>6115484.8999999911</v>
      </c>
      <c r="U42" s="135">
        <f t="shared" si="16"/>
        <v>7.3366873774014643E-2</v>
      </c>
      <c r="V42" s="152"/>
      <c r="W42" s="152"/>
      <c r="X42" s="152"/>
      <c r="Y42" s="152"/>
      <c r="Z42" s="152"/>
      <c r="AA42" s="152"/>
    </row>
    <row r="43" spans="1:27" x14ac:dyDescent="0.25">
      <c r="A43" s="119" t="s">
        <v>108</v>
      </c>
      <c r="B43" s="198">
        <v>299</v>
      </c>
      <c r="C43" s="91">
        <f t="shared" si="17"/>
        <v>2.343186733958183E-3</v>
      </c>
      <c r="D43" s="199">
        <v>85900590.050000012</v>
      </c>
      <c r="E43" s="135">
        <f>D43/D45</f>
        <v>1.8932290708397016E-2</v>
      </c>
      <c r="F43" s="203">
        <v>299</v>
      </c>
      <c r="G43" s="91">
        <f t="shared" si="18"/>
        <v>2.343186733958183E-3</v>
      </c>
      <c r="H43" s="203">
        <v>86096590.050000012</v>
      </c>
      <c r="I43" s="105">
        <f>H43/H45</f>
        <v>1.8823171612247148E-2</v>
      </c>
      <c r="J43" s="203">
        <v>313</v>
      </c>
      <c r="K43" s="139">
        <f t="shared" si="10"/>
        <v>2.2581180425795934E-3</v>
      </c>
      <c r="L43" s="204">
        <v>90077595.140000001</v>
      </c>
      <c r="M43" s="139">
        <f t="shared" si="11"/>
        <v>1.7851518618163524E-2</v>
      </c>
      <c r="N43" s="249">
        <v>318</v>
      </c>
      <c r="O43" s="139">
        <f t="shared" si="12"/>
        <v>2.1819978317254253E-3</v>
      </c>
      <c r="P43" s="207">
        <v>91199966.299999997</v>
      </c>
      <c r="Q43" s="120">
        <f>P43/P45</f>
        <v>1.7575151903247543E-2</v>
      </c>
      <c r="R43" s="199">
        <f t="shared" si="13"/>
        <v>5</v>
      </c>
      <c r="S43" s="91">
        <f t="shared" si="14"/>
        <v>1.5974440894568689E-2</v>
      </c>
      <c r="T43" s="199">
        <f t="shared" si="15"/>
        <v>1122371.1599999964</v>
      </c>
      <c r="U43" s="135">
        <f t="shared" si="16"/>
        <v>1.2460048009225708E-2</v>
      </c>
      <c r="V43" s="152"/>
      <c r="W43" s="152"/>
      <c r="X43" s="152"/>
      <c r="Y43" s="152"/>
      <c r="Z43" s="152"/>
      <c r="AA43" s="152"/>
    </row>
    <row r="44" spans="1:27" x14ac:dyDescent="0.25">
      <c r="A44" s="119" t="s">
        <v>61</v>
      </c>
      <c r="B44" s="198">
        <v>47</v>
      </c>
      <c r="C44" s="91">
        <f t="shared" si="17"/>
        <v>3.6832701169242345E-4</v>
      </c>
      <c r="D44" s="199">
        <v>21212080.800000001</v>
      </c>
      <c r="E44" s="135">
        <f>D44/D45</f>
        <v>4.675093384129865E-3</v>
      </c>
      <c r="F44" s="203">
        <v>51</v>
      </c>
      <c r="G44" s="91">
        <f t="shared" si="18"/>
        <v>3.9967399141092755E-4</v>
      </c>
      <c r="H44" s="203">
        <v>22032080.800000001</v>
      </c>
      <c r="I44" s="106">
        <f>H44/H45</f>
        <v>4.8168416151261433E-3</v>
      </c>
      <c r="J44" s="203">
        <v>308</v>
      </c>
      <c r="K44" s="139">
        <f t="shared" si="10"/>
        <v>2.2220458693754464E-3</v>
      </c>
      <c r="L44" s="204">
        <v>119526307.91999999</v>
      </c>
      <c r="M44" s="139">
        <f t="shared" si="11"/>
        <v>2.3687645167235601E-2</v>
      </c>
      <c r="N44" s="249">
        <v>348</v>
      </c>
      <c r="O44" s="139">
        <f t="shared" si="12"/>
        <v>2.3878466837749935E-3</v>
      </c>
      <c r="P44" s="207">
        <v>138024738.90000001</v>
      </c>
      <c r="Q44" s="120">
        <f>P44/P45</f>
        <v>2.659875711569841E-2</v>
      </c>
      <c r="R44" s="199">
        <f t="shared" si="13"/>
        <v>40</v>
      </c>
      <c r="S44" s="91">
        <f t="shared" si="14"/>
        <v>0.12987012987012986</v>
      </c>
      <c r="T44" s="199">
        <f t="shared" si="15"/>
        <v>18498430.980000019</v>
      </c>
      <c r="U44" s="135">
        <f t="shared" si="16"/>
        <v>0.15476451420536794</v>
      </c>
      <c r="V44" s="152"/>
      <c r="W44" s="152"/>
      <c r="X44" s="152"/>
      <c r="Y44" s="152"/>
      <c r="Z44" s="152"/>
      <c r="AA44" s="152"/>
    </row>
    <row r="45" spans="1:27" ht="15.75" thickBot="1" x14ac:dyDescent="0.3">
      <c r="A45" s="113" t="s">
        <v>47</v>
      </c>
      <c r="B45" s="107">
        <f t="shared" ref="B45:I45" si="19">SUM(B32:B44)</f>
        <v>127013</v>
      </c>
      <c r="C45" s="108">
        <f t="shared" si="19"/>
        <v>0.99536848374659115</v>
      </c>
      <c r="D45" s="109">
        <f t="shared" si="19"/>
        <v>4537252854.0299997</v>
      </c>
      <c r="E45" s="110">
        <f t="shared" si="19"/>
        <v>1.0000000000000002</v>
      </c>
      <c r="F45" s="109">
        <f t="shared" si="19"/>
        <v>127604</v>
      </c>
      <c r="G45" s="108">
        <f t="shared" si="19"/>
        <v>1</v>
      </c>
      <c r="H45" s="109">
        <f t="shared" si="19"/>
        <v>4573968288.8500013</v>
      </c>
      <c r="I45" s="110">
        <f t="shared" si="19"/>
        <v>0.99999999999999978</v>
      </c>
      <c r="J45" s="109">
        <f t="shared" ref="J45:Q45" si="20">SUM(J32:J44)</f>
        <v>138611</v>
      </c>
      <c r="K45" s="108">
        <f t="shared" si="20"/>
        <v>0.99999999999999989</v>
      </c>
      <c r="L45" s="109">
        <f t="shared" si="20"/>
        <v>5045934582.1900015</v>
      </c>
      <c r="M45" s="108">
        <f t="shared" si="20"/>
        <v>0.99999999999999978</v>
      </c>
      <c r="N45" s="251">
        <f t="shared" si="20"/>
        <v>145738</v>
      </c>
      <c r="O45" s="108">
        <f t="shared" si="20"/>
        <v>1</v>
      </c>
      <c r="P45" s="109">
        <v>5189142421.1900005</v>
      </c>
      <c r="Q45" s="110">
        <f t="shared" si="20"/>
        <v>0.99999999999999978</v>
      </c>
      <c r="R45" s="109">
        <f>+N45-J45</f>
        <v>7127</v>
      </c>
      <c r="S45" s="108">
        <f>+(N45-J45)/J45</f>
        <v>5.141727568519093E-2</v>
      </c>
      <c r="T45" s="248">
        <f>+P45-L45</f>
        <v>143207838.99999905</v>
      </c>
      <c r="U45" s="252">
        <f>+(P45-L45)/L45</f>
        <v>2.8380835436404919E-2</v>
      </c>
      <c r="V45" s="152"/>
      <c r="W45" s="162"/>
      <c r="X45" s="162"/>
      <c r="Y45" s="152"/>
      <c r="Z45" s="152"/>
      <c r="AA45" s="152"/>
    </row>
    <row r="46" spans="1:27" ht="13.5" customHeight="1" x14ac:dyDescent="0.25">
      <c r="A46" s="206" t="s">
        <v>242</v>
      </c>
      <c r="B46" s="157"/>
      <c r="C46" s="157"/>
      <c r="D46" s="157"/>
      <c r="E46" s="152"/>
      <c r="F46" s="157"/>
      <c r="G46" s="157"/>
      <c r="H46" s="157"/>
      <c r="I46" s="152"/>
      <c r="J46" s="152"/>
      <c r="K46" s="152"/>
      <c r="L46" s="152"/>
      <c r="M46" s="152"/>
      <c r="N46" s="152"/>
      <c r="O46" s="152"/>
      <c r="P46" s="152"/>
      <c r="Q46" s="152"/>
      <c r="R46" s="157"/>
      <c r="S46" s="157"/>
      <c r="T46" s="157"/>
      <c r="U46" s="152"/>
      <c r="V46" s="152"/>
      <c r="W46" s="152"/>
      <c r="X46" s="152"/>
      <c r="Y46" s="152"/>
      <c r="Z46" s="152"/>
      <c r="AA46" s="152"/>
    </row>
    <row r="47" spans="1:27" ht="10.5" customHeight="1" x14ac:dyDescent="0.25">
      <c r="A47" s="161" t="s">
        <v>154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62"/>
      <c r="M47" s="162"/>
      <c r="N47" s="16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</row>
    <row r="48" spans="1:27" x14ac:dyDescent="0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207"/>
      <c r="N48" s="210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</row>
    <row r="49" spans="1:27" x14ac:dyDescent="0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</row>
    <row r="50" spans="1:27" ht="15.75" thickBot="1" x14ac:dyDescent="0.3">
      <c r="A50" s="305" t="s">
        <v>62</v>
      </c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152"/>
      <c r="W50" s="152"/>
      <c r="X50" s="152"/>
      <c r="Y50" s="152"/>
      <c r="Z50" s="152"/>
      <c r="AA50" s="152"/>
    </row>
    <row r="51" spans="1:27" ht="33" customHeight="1" x14ac:dyDescent="0.25">
      <c r="A51" s="193"/>
      <c r="B51" s="304" t="s">
        <v>185</v>
      </c>
      <c r="C51" s="302"/>
      <c r="D51" s="302"/>
      <c r="E51" s="303"/>
      <c r="F51" s="301" t="s">
        <v>218</v>
      </c>
      <c r="G51" s="302"/>
      <c r="H51" s="302"/>
      <c r="I51" s="303"/>
      <c r="J51" s="301" t="s">
        <v>230</v>
      </c>
      <c r="K51" s="302"/>
      <c r="L51" s="302"/>
      <c r="M51" s="302"/>
      <c r="N51" s="304" t="s">
        <v>235</v>
      </c>
      <c r="O51" s="301"/>
      <c r="P51" s="301"/>
      <c r="Q51" s="307"/>
      <c r="R51" s="304" t="s">
        <v>144</v>
      </c>
      <c r="S51" s="302"/>
      <c r="T51" s="302"/>
      <c r="U51" s="303"/>
      <c r="V51" s="152"/>
      <c r="W51" s="152"/>
      <c r="X51" s="152"/>
      <c r="Y51" s="152"/>
      <c r="Z51" s="152"/>
      <c r="AA51" s="152"/>
    </row>
    <row r="52" spans="1:27" ht="30" x14ac:dyDescent="0.25">
      <c r="A52" s="123" t="s">
        <v>57</v>
      </c>
      <c r="B52" s="202" t="s">
        <v>147</v>
      </c>
      <c r="C52" s="59" t="s">
        <v>40</v>
      </c>
      <c r="D52" s="59" t="s">
        <v>148</v>
      </c>
      <c r="E52" s="103" t="s">
        <v>40</v>
      </c>
      <c r="F52" s="59" t="s">
        <v>147</v>
      </c>
      <c r="G52" s="59" t="s">
        <v>40</v>
      </c>
      <c r="H52" s="59" t="s">
        <v>148</v>
      </c>
      <c r="I52" s="103" t="s">
        <v>40</v>
      </c>
      <c r="J52" s="59" t="s">
        <v>205</v>
      </c>
      <c r="K52" s="59" t="s">
        <v>40</v>
      </c>
      <c r="L52" s="59" t="s">
        <v>148</v>
      </c>
      <c r="M52" s="59" t="s">
        <v>40</v>
      </c>
      <c r="N52" s="202" t="s">
        <v>23</v>
      </c>
      <c r="O52" s="59" t="s">
        <v>40</v>
      </c>
      <c r="P52" s="59" t="s">
        <v>19</v>
      </c>
      <c r="Q52" s="103" t="s">
        <v>40</v>
      </c>
      <c r="R52" s="197" t="s">
        <v>215</v>
      </c>
      <c r="S52" s="132" t="s">
        <v>217</v>
      </c>
      <c r="T52" s="132" t="s">
        <v>216</v>
      </c>
      <c r="U52" s="134" t="s">
        <v>217</v>
      </c>
      <c r="V52" s="152"/>
      <c r="W52" s="152"/>
      <c r="X52" s="152"/>
      <c r="Y52" s="152"/>
      <c r="Z52" s="152"/>
      <c r="AA52" s="152"/>
    </row>
    <row r="53" spans="1:27" ht="18" hidden="1" customHeight="1" x14ac:dyDescent="0.25">
      <c r="A53" s="124" t="s">
        <v>117</v>
      </c>
      <c r="B53" s="198">
        <v>0</v>
      </c>
      <c r="C53" s="92">
        <f t="shared" ref="C53:C63" si="21">B53/$F$64</f>
        <v>0</v>
      </c>
      <c r="D53" s="207">
        <v>0</v>
      </c>
      <c r="E53" s="126">
        <f>D53/D64</f>
        <v>0</v>
      </c>
      <c r="F53" s="203">
        <v>0</v>
      </c>
      <c r="G53" s="92">
        <f t="shared" ref="G53:G63" si="22">F53/$F$64</f>
        <v>0</v>
      </c>
      <c r="H53" s="204">
        <v>0</v>
      </c>
      <c r="I53" s="126">
        <f>H53/H64</f>
        <v>0</v>
      </c>
      <c r="J53" s="140"/>
      <c r="K53" s="140"/>
      <c r="L53" s="140"/>
      <c r="M53" s="140"/>
      <c r="N53" s="250"/>
      <c r="O53" s="140"/>
      <c r="P53" s="140"/>
      <c r="Q53" s="126"/>
      <c r="R53" s="198">
        <f>+F53-B53</f>
        <v>0</v>
      </c>
      <c r="S53" s="92"/>
      <c r="T53" s="207">
        <f>+H53-D53</f>
        <v>0</v>
      </c>
      <c r="U53" s="126"/>
      <c r="V53" s="152"/>
      <c r="W53" s="152"/>
      <c r="X53" s="152"/>
      <c r="Y53" s="152"/>
      <c r="Z53" s="152"/>
      <c r="AA53" s="152"/>
    </row>
    <row r="54" spans="1:27" x14ac:dyDescent="0.25">
      <c r="A54" s="118" t="s">
        <v>109</v>
      </c>
      <c r="B54" s="198">
        <v>8</v>
      </c>
      <c r="C54" s="91">
        <f t="shared" si="21"/>
        <v>6.9496929104445195E-5</v>
      </c>
      <c r="D54" s="207">
        <v>218422.05000000002</v>
      </c>
      <c r="E54" s="135">
        <f>D54/D64</f>
        <v>4.8139712955604169E-5</v>
      </c>
      <c r="F54" s="203">
        <v>10</v>
      </c>
      <c r="G54" s="91">
        <f t="shared" si="22"/>
        <v>8.6871161380556503E-5</v>
      </c>
      <c r="H54" s="203">
        <v>267422.05000000005</v>
      </c>
      <c r="I54" s="120">
        <f>H54/H64</f>
        <v>5.8466091829254018E-5</v>
      </c>
      <c r="J54" s="203">
        <v>10</v>
      </c>
      <c r="K54" s="139">
        <f>J54/$J$64</f>
        <v>8.591581967987765E-5</v>
      </c>
      <c r="L54" s="204">
        <v>315922.05000000005</v>
      </c>
      <c r="M54" s="139">
        <f t="shared" ref="M54:M63" si="23">L54/$L$64</f>
        <v>6.4869744352882342E-5</v>
      </c>
      <c r="N54" s="198">
        <v>9</v>
      </c>
      <c r="O54" s="139">
        <f>N54/$N$64</f>
        <v>7.6753170332341224E-5</v>
      </c>
      <c r="P54" s="204">
        <v>267922.05000000005</v>
      </c>
      <c r="Q54" s="120">
        <f>P54/$P$64</f>
        <v>5.423946631353769E-5</v>
      </c>
      <c r="R54" s="198">
        <f>+N54-J54</f>
        <v>-1</v>
      </c>
      <c r="S54" s="93">
        <f>+(N54-J54)/J54</f>
        <v>-0.1</v>
      </c>
      <c r="T54" s="208">
        <f>+P54-L54</f>
        <v>-48000</v>
      </c>
      <c r="U54" s="136">
        <f>+(P54-L54)/L54</f>
        <v>-0.15193621337921806</v>
      </c>
      <c r="V54" s="152"/>
      <c r="W54" s="152"/>
      <c r="X54" s="152"/>
      <c r="Y54" s="152"/>
      <c r="Z54" s="152"/>
      <c r="AA54" s="152"/>
    </row>
    <row r="55" spans="1:27" x14ac:dyDescent="0.25">
      <c r="A55" s="118" t="s">
        <v>110</v>
      </c>
      <c r="B55" s="198">
        <v>86</v>
      </c>
      <c r="C55" s="91">
        <f t="shared" si="21"/>
        <v>7.4709198787278582E-4</v>
      </c>
      <c r="D55" s="207">
        <v>3325981.5200000005</v>
      </c>
      <c r="E55" s="135">
        <f>D55/D64</f>
        <v>7.3303860882380722E-4</v>
      </c>
      <c r="F55" s="203">
        <v>87</v>
      </c>
      <c r="G55" s="91">
        <f t="shared" si="22"/>
        <v>7.5577910401084154E-4</v>
      </c>
      <c r="H55" s="203">
        <v>3382679.5200000005</v>
      </c>
      <c r="I55" s="120">
        <f>H55/H64</f>
        <v>7.3955027809134255E-4</v>
      </c>
      <c r="J55" s="203">
        <v>83</v>
      </c>
      <c r="K55" s="139">
        <f t="shared" ref="K55:K63" si="24">J55/$J$64</f>
        <v>7.1310130334298458E-4</v>
      </c>
      <c r="L55" s="204">
        <v>3325389.4000000004</v>
      </c>
      <c r="M55" s="139">
        <f t="shared" si="23"/>
        <v>6.828176768661282E-4</v>
      </c>
      <c r="N55" s="198">
        <v>86</v>
      </c>
      <c r="O55" s="139">
        <f t="shared" ref="O55:O63" si="25">N55/$N$64</f>
        <v>7.3341918317570509E-4</v>
      </c>
      <c r="P55" s="204">
        <v>3421308.34</v>
      </c>
      <c r="Q55" s="120">
        <f t="shared" ref="Q55:Q63" si="26">P55/$P$64</f>
        <v>6.9262659962349312E-4</v>
      </c>
      <c r="R55" s="198">
        <f t="shared" ref="R55:R63" si="27">+N55-J55</f>
        <v>3</v>
      </c>
      <c r="S55" s="93">
        <f t="shared" ref="S55:S63" si="28">+(N55-J55)/J55</f>
        <v>3.614457831325301E-2</v>
      </c>
      <c r="T55" s="208">
        <f t="shared" ref="T55:T63" si="29">+P55-L55</f>
        <v>95918.939999999478</v>
      </c>
      <c r="U55" s="136">
        <f t="shared" ref="U55:U63" si="30">+(P55-L55)/L55</f>
        <v>2.8844423453084762E-2</v>
      </c>
      <c r="V55" s="152"/>
      <c r="W55" s="152"/>
      <c r="X55" s="152"/>
      <c r="Y55" s="152"/>
      <c r="Z55" s="152"/>
      <c r="AA55" s="152"/>
    </row>
    <row r="56" spans="1:27" x14ac:dyDescent="0.25">
      <c r="A56" s="118" t="s">
        <v>111</v>
      </c>
      <c r="B56" s="198">
        <v>589</v>
      </c>
      <c r="C56" s="91">
        <f t="shared" si="21"/>
        <v>5.1167114053147777E-3</v>
      </c>
      <c r="D56" s="207">
        <v>20009093.34</v>
      </c>
      <c r="E56" s="135">
        <f>D56/D64</f>
        <v>4.409957739566546E-3</v>
      </c>
      <c r="F56" s="203">
        <v>605</v>
      </c>
      <c r="G56" s="91">
        <f t="shared" si="22"/>
        <v>5.2557052635236684E-3</v>
      </c>
      <c r="H56" s="203">
        <v>20991429.760000002</v>
      </c>
      <c r="I56" s="120">
        <f>H56/H64</f>
        <v>4.5893255996485539E-3</v>
      </c>
      <c r="J56" s="203">
        <v>618</v>
      </c>
      <c r="K56" s="139">
        <f t="shared" si="24"/>
        <v>5.3095976562164389E-3</v>
      </c>
      <c r="L56" s="204">
        <v>21904187.370000001</v>
      </c>
      <c r="M56" s="139">
        <f t="shared" si="23"/>
        <v>4.4976887018476049E-3</v>
      </c>
      <c r="N56" s="198">
        <v>636</v>
      </c>
      <c r="O56" s="139">
        <f t="shared" si="25"/>
        <v>5.4238907034854468E-3</v>
      </c>
      <c r="P56" s="204">
        <v>22547617.189999998</v>
      </c>
      <c r="Q56" s="120">
        <f t="shared" si="26"/>
        <v>4.5646512596762678E-3</v>
      </c>
      <c r="R56" s="198">
        <f t="shared" si="27"/>
        <v>18</v>
      </c>
      <c r="S56" s="93">
        <f t="shared" si="28"/>
        <v>2.9126213592233011E-2</v>
      </c>
      <c r="T56" s="208">
        <f t="shared" si="29"/>
        <v>643429.81999999657</v>
      </c>
      <c r="U56" s="136">
        <f t="shared" si="30"/>
        <v>2.9374740506522456E-2</v>
      </c>
      <c r="V56" s="152"/>
      <c r="W56" s="152"/>
      <c r="X56" s="152"/>
      <c r="Y56" s="152"/>
      <c r="Z56" s="152"/>
      <c r="AA56" s="152"/>
    </row>
    <row r="57" spans="1:27" x14ac:dyDescent="0.25">
      <c r="A57" s="118" t="s">
        <v>112</v>
      </c>
      <c r="B57" s="198">
        <v>3077</v>
      </c>
      <c r="C57" s="91">
        <f t="shared" si="21"/>
        <v>2.6730256356797235E-2</v>
      </c>
      <c r="D57" s="207">
        <v>118248151.71000001</v>
      </c>
      <c r="E57" s="135">
        <f>D57/D64</f>
        <v>2.606161823337037E-2</v>
      </c>
      <c r="F57" s="203">
        <v>3130</v>
      </c>
      <c r="G57" s="91">
        <f t="shared" si="22"/>
        <v>2.7190673512114183E-2</v>
      </c>
      <c r="H57" s="203">
        <v>120596482.05000001</v>
      </c>
      <c r="I57" s="120">
        <f>H57/H64</f>
        <v>2.6365832562499178E-2</v>
      </c>
      <c r="J57" s="203">
        <v>3164</v>
      </c>
      <c r="K57" s="139">
        <f t="shared" si="24"/>
        <v>2.7183765346713289E-2</v>
      </c>
      <c r="L57" s="204">
        <v>124725720.08</v>
      </c>
      <c r="M57" s="139">
        <f t="shared" si="23"/>
        <v>2.5610512390061926E-2</v>
      </c>
      <c r="N57" s="198">
        <v>3316</v>
      </c>
      <c r="O57" s="139">
        <f t="shared" si="25"/>
        <v>2.827927920244928E-2</v>
      </c>
      <c r="P57" s="204">
        <v>129048458.29000001</v>
      </c>
      <c r="Q57" s="120">
        <f t="shared" si="26"/>
        <v>2.6125208829338338E-2</v>
      </c>
      <c r="R57" s="198">
        <f t="shared" si="27"/>
        <v>152</v>
      </c>
      <c r="S57" s="93">
        <f t="shared" si="28"/>
        <v>4.804045512010114E-2</v>
      </c>
      <c r="T57" s="208">
        <f t="shared" si="29"/>
        <v>4322738.2100000083</v>
      </c>
      <c r="U57" s="136">
        <f t="shared" si="30"/>
        <v>3.4657953525763348E-2</v>
      </c>
      <c r="V57" s="152"/>
      <c r="W57" s="152"/>
      <c r="X57" s="152"/>
      <c r="Y57" s="152"/>
      <c r="Z57" s="152"/>
      <c r="AA57" s="152"/>
    </row>
    <row r="58" spans="1:27" x14ac:dyDescent="0.25">
      <c r="A58" s="118" t="s">
        <v>113</v>
      </c>
      <c r="B58" s="198">
        <v>34793</v>
      </c>
      <c r="C58" s="91">
        <f t="shared" si="21"/>
        <v>0.30225083179137024</v>
      </c>
      <c r="D58" s="207">
        <v>1258662719.05</v>
      </c>
      <c r="E58" s="135">
        <f>D58/D64</f>
        <v>0.27740634245941398</v>
      </c>
      <c r="F58" s="203">
        <v>36116</v>
      </c>
      <c r="G58" s="91">
        <f t="shared" si="22"/>
        <v>0.31374388644201784</v>
      </c>
      <c r="H58" s="203">
        <v>1308301488.6100001</v>
      </c>
      <c r="I58" s="120">
        <f>H58/H64</f>
        <v>0.28603204176103647</v>
      </c>
      <c r="J58" s="203">
        <v>37779</v>
      </c>
      <c r="K58" s="139">
        <f t="shared" si="24"/>
        <v>0.3245813751686098</v>
      </c>
      <c r="L58" s="204">
        <v>1544509419.77</v>
      </c>
      <c r="M58" s="139">
        <f t="shared" si="23"/>
        <v>0.31714130498677928</v>
      </c>
      <c r="N58" s="198">
        <v>39218</v>
      </c>
      <c r="O58" s="139">
        <f t="shared" si="25"/>
        <v>0.33445620378819535</v>
      </c>
      <c r="P58" s="204">
        <v>1615192751.7400002</v>
      </c>
      <c r="Q58" s="120">
        <f t="shared" si="26"/>
        <v>0.32698761765921086</v>
      </c>
      <c r="R58" s="198">
        <f t="shared" si="27"/>
        <v>1439</v>
      </c>
      <c r="S58" s="93">
        <f t="shared" si="28"/>
        <v>3.8089944148865774E-2</v>
      </c>
      <c r="T58" s="208">
        <f t="shared" si="29"/>
        <v>70683331.970000267</v>
      </c>
      <c r="U58" s="136">
        <f t="shared" si="30"/>
        <v>4.5764260848940662E-2</v>
      </c>
      <c r="V58" s="152"/>
      <c r="W58" s="152"/>
      <c r="X58" s="152"/>
      <c r="Y58" s="152"/>
      <c r="Z58" s="152"/>
      <c r="AA58" s="152"/>
    </row>
    <row r="59" spans="1:27" x14ac:dyDescent="0.25">
      <c r="A59" s="118" t="s">
        <v>114</v>
      </c>
      <c r="B59" s="198">
        <v>46288</v>
      </c>
      <c r="C59" s="91">
        <f t="shared" si="21"/>
        <v>0.40210923179831992</v>
      </c>
      <c r="D59" s="207">
        <v>1929558341.4400001</v>
      </c>
      <c r="E59" s="135">
        <f>D59/D64</f>
        <v>0.42527018077164486</v>
      </c>
      <c r="F59" s="203">
        <v>46247</v>
      </c>
      <c r="G59" s="91">
        <f t="shared" si="22"/>
        <v>0.40175306003665961</v>
      </c>
      <c r="H59" s="203">
        <v>1938025601.8400002</v>
      </c>
      <c r="I59" s="120">
        <f>H59/H64</f>
        <v>0.42370770400055907</v>
      </c>
      <c r="J59" s="203">
        <v>46369</v>
      </c>
      <c r="K59" s="139">
        <f t="shared" si="24"/>
        <v>0.39838306427362469</v>
      </c>
      <c r="L59" s="204">
        <v>2007921726.29</v>
      </c>
      <c r="M59" s="139">
        <f t="shared" si="23"/>
        <v>0.4122959099088857</v>
      </c>
      <c r="N59" s="198">
        <v>46403</v>
      </c>
      <c r="O59" s="139">
        <f t="shared" si="25"/>
        <v>0.39573081810351446</v>
      </c>
      <c r="P59" s="204">
        <v>2023884023.1300001</v>
      </c>
      <c r="Q59" s="120">
        <f t="shared" si="26"/>
        <v>0.40972510211483809</v>
      </c>
      <c r="R59" s="198">
        <f t="shared" si="27"/>
        <v>34</v>
      </c>
      <c r="S59" s="93">
        <f t="shared" si="28"/>
        <v>7.3324850654532124E-4</v>
      </c>
      <c r="T59" s="208">
        <f t="shared" si="29"/>
        <v>15962296.840000153</v>
      </c>
      <c r="U59" s="136">
        <f t="shared" si="30"/>
        <v>7.9496609011215757E-3</v>
      </c>
      <c r="V59" s="152"/>
      <c r="W59" s="152"/>
      <c r="X59" s="152"/>
      <c r="Y59" s="152"/>
      <c r="Z59" s="152"/>
      <c r="AA59" s="152"/>
    </row>
    <row r="60" spans="1:27" x14ac:dyDescent="0.25">
      <c r="A60" s="118" t="s">
        <v>115</v>
      </c>
      <c r="B60" s="198">
        <v>23828</v>
      </c>
      <c r="C60" s="91">
        <f t="shared" si="21"/>
        <v>0.20699660333759001</v>
      </c>
      <c r="D60" s="207">
        <v>960599435.4000001</v>
      </c>
      <c r="E60" s="135">
        <f>D60/D64</f>
        <v>0.21171388642067698</v>
      </c>
      <c r="F60" s="203">
        <v>23342</v>
      </c>
      <c r="G60" s="91">
        <f t="shared" si="22"/>
        <v>0.20277466489449497</v>
      </c>
      <c r="H60" s="203">
        <v>947241481.60000002</v>
      </c>
      <c r="I60" s="120">
        <f>H60/H64</f>
        <v>0.20709402028630108</v>
      </c>
      <c r="J60" s="203">
        <v>23085</v>
      </c>
      <c r="K60" s="139">
        <f t="shared" si="24"/>
        <v>0.19833666973099756</v>
      </c>
      <c r="L60" s="204">
        <v>942921972.11000013</v>
      </c>
      <c r="M60" s="139">
        <f t="shared" si="23"/>
        <v>0.19361455547497036</v>
      </c>
      <c r="N60" s="198">
        <v>22574</v>
      </c>
      <c r="O60" s="139">
        <f t="shared" si="25"/>
        <v>0.19251400745358566</v>
      </c>
      <c r="P60" s="204">
        <v>930478047.13000011</v>
      </c>
      <c r="Q60" s="120">
        <f t="shared" si="26"/>
        <v>0.1883705827601497</v>
      </c>
      <c r="R60" s="198">
        <f t="shared" si="27"/>
        <v>-511</v>
      </c>
      <c r="S60" s="93">
        <f t="shared" si="28"/>
        <v>-2.2135585878275937E-2</v>
      </c>
      <c r="T60" s="208">
        <f t="shared" si="29"/>
        <v>-12443924.980000019</v>
      </c>
      <c r="U60" s="136">
        <f t="shared" si="30"/>
        <v>-1.3197194834853552E-2</v>
      </c>
      <c r="V60" s="152"/>
      <c r="W60" s="152"/>
      <c r="X60" s="152"/>
      <c r="Y60" s="152"/>
      <c r="Z60" s="152"/>
      <c r="AA60" s="152"/>
    </row>
    <row r="61" spans="1:27" x14ac:dyDescent="0.25">
      <c r="A61" s="118" t="s">
        <v>116</v>
      </c>
      <c r="B61" s="198">
        <v>5471</v>
      </c>
      <c r="C61" s="91">
        <f t="shared" si="21"/>
        <v>4.7527212391302462E-2</v>
      </c>
      <c r="D61" s="207">
        <v>229201609.84</v>
      </c>
      <c r="E61" s="135">
        <f>D61/D64</f>
        <v>5.0515502929580507E-2</v>
      </c>
      <c r="F61" s="203">
        <v>5205</v>
      </c>
      <c r="G61" s="91">
        <f t="shared" si="22"/>
        <v>4.5216439498579654E-2</v>
      </c>
      <c r="H61" s="203">
        <v>219514634.68000001</v>
      </c>
      <c r="I61" s="120">
        <f>H61/H64</f>
        <v>4.7992163656908719E-2</v>
      </c>
      <c r="J61" s="203">
        <v>4959</v>
      </c>
      <c r="K61" s="139">
        <f t="shared" si="24"/>
        <v>4.2605654979251333E-2</v>
      </c>
      <c r="L61" s="204">
        <v>210285458.66000003</v>
      </c>
      <c r="M61" s="139">
        <f t="shared" si="23"/>
        <v>4.3178891579118354E-2</v>
      </c>
      <c r="N61" s="198">
        <v>4724</v>
      </c>
      <c r="O61" s="139">
        <f t="shared" si="25"/>
        <v>4.0286886294442215E-2</v>
      </c>
      <c r="P61" s="204">
        <v>201937558.72000003</v>
      </c>
      <c r="Q61" s="120">
        <f t="shared" si="26"/>
        <v>4.0881239202340672E-2</v>
      </c>
      <c r="R61" s="198">
        <f t="shared" si="27"/>
        <v>-235</v>
      </c>
      <c r="S61" s="93">
        <f t="shared" si="28"/>
        <v>-4.7388586408550114E-2</v>
      </c>
      <c r="T61" s="208">
        <f t="shared" si="29"/>
        <v>-8347899.9399999976</v>
      </c>
      <c r="U61" s="136">
        <f t="shared" si="30"/>
        <v>-3.9697941993684392E-2</v>
      </c>
      <c r="V61" s="152"/>
      <c r="W61" s="152"/>
      <c r="X61" s="152"/>
      <c r="Y61" s="152"/>
      <c r="Z61" s="152"/>
      <c r="AA61" s="152"/>
    </row>
    <row r="62" spans="1:27" x14ac:dyDescent="0.25">
      <c r="A62" s="125">
        <v>100</v>
      </c>
      <c r="B62" s="198">
        <v>331</v>
      </c>
      <c r="C62" s="91">
        <f t="shared" si="21"/>
        <v>2.8754354416964199E-3</v>
      </c>
      <c r="D62" s="207">
        <v>14324499.039999999</v>
      </c>
      <c r="E62" s="135">
        <f>D62/D64</f>
        <v>3.1570863473647801E-3</v>
      </c>
      <c r="F62" s="203">
        <v>311</v>
      </c>
      <c r="G62" s="91">
        <f t="shared" si="22"/>
        <v>2.7016931189353072E-3</v>
      </c>
      <c r="H62" s="203">
        <v>13782468.100000001</v>
      </c>
      <c r="I62" s="120">
        <f>H62/H64</f>
        <v>3.0132408511877166E-3</v>
      </c>
      <c r="J62" s="203">
        <v>286</v>
      </c>
      <c r="K62" s="139">
        <f t="shared" si="24"/>
        <v>2.4571924428445011E-3</v>
      </c>
      <c r="L62" s="204">
        <v>13047052.699999999</v>
      </c>
      <c r="M62" s="139">
        <f t="shared" si="23"/>
        <v>2.6790120322642348E-3</v>
      </c>
      <c r="N62" s="198">
        <v>256</v>
      </c>
      <c r="O62" s="139">
        <f t="shared" si="25"/>
        <v>2.1832012894532618E-3</v>
      </c>
      <c r="P62" s="204">
        <v>11868734.600000001</v>
      </c>
      <c r="Q62" s="120">
        <f t="shared" si="26"/>
        <v>2.4027653958344198E-3</v>
      </c>
      <c r="R62" s="198">
        <f t="shared" si="27"/>
        <v>-30</v>
      </c>
      <c r="S62" s="93">
        <f t="shared" si="28"/>
        <v>-0.1048951048951049</v>
      </c>
      <c r="T62" s="208">
        <f t="shared" si="29"/>
        <v>-1178318.0999999978</v>
      </c>
      <c r="U62" s="136">
        <f t="shared" si="30"/>
        <v>-9.0312971603157377E-2</v>
      </c>
      <c r="V62" s="152"/>
      <c r="W62" s="152"/>
      <c r="X62" s="152"/>
      <c r="Y62" s="152"/>
      <c r="Z62" s="152"/>
      <c r="AA62" s="152"/>
    </row>
    <row r="63" spans="1:27" x14ac:dyDescent="0.25">
      <c r="A63" s="125" t="s">
        <v>179</v>
      </c>
      <c r="B63" s="198">
        <v>141</v>
      </c>
      <c r="C63" s="91">
        <f t="shared" si="21"/>
        <v>1.2248833754658465E-3</v>
      </c>
      <c r="D63" s="207">
        <v>3104600.6399999997</v>
      </c>
      <c r="E63" s="135">
        <f>D63/D64</f>
        <v>6.8424677660238506E-4</v>
      </c>
      <c r="F63" s="203">
        <v>60</v>
      </c>
      <c r="G63" s="91">
        <f t="shared" si="22"/>
        <v>5.2122696828333899E-4</v>
      </c>
      <c r="H63" s="203">
        <v>1864600.6400000001</v>
      </c>
      <c r="I63" s="120">
        <f>H63/H64</f>
        <v>4.0765491193836035E-4</v>
      </c>
      <c r="J63" s="203">
        <v>40</v>
      </c>
      <c r="K63" s="139">
        <f t="shared" si="24"/>
        <v>3.436632787195106E-4</v>
      </c>
      <c r="L63" s="204">
        <v>1141733.76</v>
      </c>
      <c r="M63" s="139">
        <f t="shared" si="23"/>
        <v>2.3443750485366603E-4</v>
      </c>
      <c r="N63" s="198">
        <v>37</v>
      </c>
      <c r="O63" s="139">
        <f t="shared" si="25"/>
        <v>3.155408113662917E-4</v>
      </c>
      <c r="P63" s="204">
        <v>968000</v>
      </c>
      <c r="Q63" s="120">
        <f t="shared" si="26"/>
        <v>1.9596671267446808E-4</v>
      </c>
      <c r="R63" s="198">
        <f t="shared" si="27"/>
        <v>-3</v>
      </c>
      <c r="S63" s="93">
        <f t="shared" si="28"/>
        <v>-7.4999999999999997E-2</v>
      </c>
      <c r="T63" s="208">
        <f t="shared" si="29"/>
        <v>-173733.76000000001</v>
      </c>
      <c r="U63" s="136">
        <f t="shared" si="30"/>
        <v>-0.15216661369459725</v>
      </c>
      <c r="V63" s="152"/>
      <c r="W63" s="152"/>
      <c r="X63" s="152"/>
      <c r="Y63" s="152"/>
      <c r="Z63" s="152"/>
      <c r="AA63" s="152"/>
    </row>
    <row r="64" spans="1:27" ht="15.75" thickBot="1" x14ac:dyDescent="0.3">
      <c r="A64" s="113" t="s">
        <v>47</v>
      </c>
      <c r="B64" s="107">
        <f t="shared" ref="B64:I64" si="31">SUM(B53:B63)</f>
        <v>114612</v>
      </c>
      <c r="C64" s="108">
        <f t="shared" si="31"/>
        <v>0.99564775481483425</v>
      </c>
      <c r="D64" s="109">
        <f>SUM(D53:D63)</f>
        <v>4537252854.0300007</v>
      </c>
      <c r="E64" s="110">
        <f t="shared" si="31"/>
        <v>0.99999999999999978</v>
      </c>
      <c r="F64" s="109">
        <f t="shared" si="31"/>
        <v>115113</v>
      </c>
      <c r="G64" s="108">
        <f t="shared" si="31"/>
        <v>1</v>
      </c>
      <c r="H64" s="109">
        <f t="shared" si="31"/>
        <v>4573968288.8500013</v>
      </c>
      <c r="I64" s="110">
        <f t="shared" si="31"/>
        <v>0.99999999999999978</v>
      </c>
      <c r="J64" s="148">
        <f t="shared" ref="J64:Q64" si="32">SUM(J54:J63)</f>
        <v>116393</v>
      </c>
      <c r="K64" s="108">
        <f t="shared" si="32"/>
        <v>1</v>
      </c>
      <c r="L64" s="148">
        <f t="shared" si="32"/>
        <v>4870098582.1899996</v>
      </c>
      <c r="M64" s="108">
        <f t="shared" si="32"/>
        <v>1.0000000000000002</v>
      </c>
      <c r="N64" s="148">
        <f t="shared" si="32"/>
        <v>117259</v>
      </c>
      <c r="O64" s="108">
        <f t="shared" si="32"/>
        <v>0.99999999999999989</v>
      </c>
      <c r="P64" s="148">
        <f t="shared" si="32"/>
        <v>4939614421.1900015</v>
      </c>
      <c r="Q64" s="110">
        <f t="shared" si="32"/>
        <v>0.99999999999999989</v>
      </c>
      <c r="R64" s="107">
        <f t="shared" ref="R64" si="33">SUM(R53:R63)</f>
        <v>866</v>
      </c>
      <c r="S64" s="133">
        <f>+(N64-J64)/J64</f>
        <v>7.4403099842774052E-3</v>
      </c>
      <c r="T64" s="253">
        <f>+(P64-L64)</f>
        <v>69515839.000001907</v>
      </c>
      <c r="U64" s="252">
        <f>+(P64-L64)/L64</f>
        <v>1.4274010644101137E-2</v>
      </c>
      <c r="V64" s="152"/>
      <c r="W64" s="152"/>
      <c r="X64" s="152"/>
      <c r="Y64" s="152"/>
      <c r="Z64" s="152"/>
      <c r="AA64" s="152"/>
    </row>
    <row r="65" spans="1:27" x14ac:dyDescent="0.25">
      <c r="A65" s="209" t="s">
        <v>158</v>
      </c>
      <c r="B65" s="157"/>
      <c r="C65" s="157"/>
      <c r="D65" s="157"/>
      <c r="E65" s="152"/>
      <c r="F65" s="157"/>
      <c r="G65" s="157"/>
      <c r="H65" s="157"/>
      <c r="I65" s="152"/>
      <c r="J65" s="152"/>
      <c r="K65" s="152"/>
      <c r="L65" s="152"/>
      <c r="M65" s="152"/>
      <c r="N65" s="152"/>
      <c r="O65" s="152"/>
      <c r="P65" s="152"/>
      <c r="Q65" s="152"/>
      <c r="R65" s="157"/>
      <c r="S65" s="157"/>
      <c r="T65" s="157"/>
      <c r="U65" s="152"/>
      <c r="V65" s="152"/>
      <c r="W65" s="152"/>
      <c r="X65" s="152"/>
      <c r="Y65" s="152"/>
      <c r="Z65" s="152"/>
      <c r="AA65" s="152"/>
    </row>
    <row r="66" spans="1:27" x14ac:dyDescent="0.25">
      <c r="A66" s="161" t="s">
        <v>154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</row>
    <row r="67" spans="1:27" x14ac:dyDescent="0.25">
      <c r="A67" s="152"/>
      <c r="B67" s="162"/>
      <c r="C67" s="152"/>
      <c r="D67" s="210"/>
      <c r="E67" s="152"/>
      <c r="F67" s="162"/>
      <c r="G67" s="152"/>
      <c r="H67" s="210"/>
      <c r="I67" s="152"/>
      <c r="J67" s="152"/>
      <c r="K67" s="152"/>
      <c r="L67" s="152"/>
      <c r="M67" s="152"/>
      <c r="N67" s="152"/>
      <c r="O67" s="152"/>
      <c r="P67" s="152"/>
      <c r="Q67" s="152"/>
      <c r="R67" s="162"/>
      <c r="S67" s="152"/>
      <c r="T67" s="210"/>
      <c r="U67" s="152"/>
      <c r="V67" s="152"/>
      <c r="W67" s="152"/>
      <c r="X67" s="152"/>
      <c r="Y67" s="152"/>
      <c r="Z67" s="152"/>
      <c r="AA67" s="152"/>
    </row>
  </sheetData>
  <mergeCells count="24">
    <mergeCell ref="A1:AA1"/>
    <mergeCell ref="A2:AA2"/>
    <mergeCell ref="A4:AA4"/>
    <mergeCell ref="A3:AA3"/>
    <mergeCell ref="A19:I19"/>
    <mergeCell ref="A5:AA5"/>
    <mergeCell ref="B7:E7"/>
    <mergeCell ref="F7:I7"/>
    <mergeCell ref="R7:U7"/>
    <mergeCell ref="A6:U6"/>
    <mergeCell ref="J7:M7"/>
    <mergeCell ref="N7:Q7"/>
    <mergeCell ref="R30:U30"/>
    <mergeCell ref="R51:U51"/>
    <mergeCell ref="A29:U29"/>
    <mergeCell ref="A50:U50"/>
    <mergeCell ref="B51:E51"/>
    <mergeCell ref="F51:I51"/>
    <mergeCell ref="B30:E30"/>
    <mergeCell ref="F30:I30"/>
    <mergeCell ref="J30:M30"/>
    <mergeCell ref="J51:M51"/>
    <mergeCell ref="N30:Q30"/>
    <mergeCell ref="N51:Q51"/>
  </mergeCells>
  <pageMargins left="0.7" right="0.7" top="0.75" bottom="0.75" header="0.3" footer="0.3"/>
  <pageSetup paperSize="9" scale="18" orientation="portrait" r:id="rId1"/>
  <rowBreaks count="1" manualBreakCount="1">
    <brk id="46" max="17" man="1"/>
  </row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5:H72"/>
  <sheetViews>
    <sheetView topLeftCell="A10" workbookViewId="0">
      <selection activeCell="H23" sqref="H23"/>
    </sheetView>
  </sheetViews>
  <sheetFormatPr baseColWidth="10" defaultColWidth="11.42578125" defaultRowHeight="15" x14ac:dyDescent="0.25"/>
  <cols>
    <col min="1" max="1" width="18.42578125" customWidth="1"/>
    <col min="3" max="3" width="18.140625" customWidth="1"/>
    <col min="6" max="6" width="13.7109375" bestFit="1" customWidth="1"/>
  </cols>
  <sheetData>
    <row r="5" spans="1:8" x14ac:dyDescent="0.25">
      <c r="A5" t="s">
        <v>186</v>
      </c>
    </row>
    <row r="6" spans="1:8" x14ac:dyDescent="0.25">
      <c r="A6" t="s">
        <v>187</v>
      </c>
      <c r="B6" t="s">
        <v>188</v>
      </c>
      <c r="C6" s="79">
        <v>31310</v>
      </c>
      <c r="D6" s="114">
        <v>0.2</v>
      </c>
      <c r="E6" s="79">
        <v>391848281</v>
      </c>
      <c r="F6" s="114">
        <v>0.19</v>
      </c>
    </row>
    <row r="7" spans="1:8" x14ac:dyDescent="0.25">
      <c r="A7" t="s">
        <v>42</v>
      </c>
      <c r="B7" s="79">
        <v>58606</v>
      </c>
      <c r="C7" s="114">
        <v>0.37</v>
      </c>
      <c r="D7" s="79">
        <v>502596251</v>
      </c>
      <c r="E7" s="114">
        <v>0.25</v>
      </c>
    </row>
    <row r="8" spans="1:8" x14ac:dyDescent="0.25">
      <c r="A8" t="s">
        <v>189</v>
      </c>
      <c r="B8" t="s">
        <v>190</v>
      </c>
      <c r="C8" t="s">
        <v>191</v>
      </c>
      <c r="D8">
        <v>280</v>
      </c>
      <c r="E8" s="115">
        <v>2E-3</v>
      </c>
      <c r="F8" s="79">
        <v>4723136</v>
      </c>
      <c r="G8" s="115">
        <v>2E-3</v>
      </c>
    </row>
    <row r="9" spans="1:8" x14ac:dyDescent="0.25">
      <c r="A9" t="s">
        <v>192</v>
      </c>
      <c r="B9" t="s">
        <v>193</v>
      </c>
      <c r="C9" t="s">
        <v>194</v>
      </c>
      <c r="D9" t="s">
        <v>195</v>
      </c>
      <c r="E9">
        <v>164</v>
      </c>
      <c r="F9" s="115">
        <v>1E-3</v>
      </c>
      <c r="G9" s="79">
        <v>4627394</v>
      </c>
      <c r="H9" s="115">
        <v>2E-3</v>
      </c>
    </row>
    <row r="10" spans="1:8" x14ac:dyDescent="0.25">
      <c r="A10" t="s">
        <v>196</v>
      </c>
      <c r="B10" t="s">
        <v>197</v>
      </c>
      <c r="C10">
        <v>311</v>
      </c>
      <c r="D10" s="115">
        <v>2E-3</v>
      </c>
      <c r="E10" s="79">
        <v>8307901</v>
      </c>
      <c r="F10" s="115">
        <v>4.0000000000000001E-3</v>
      </c>
    </row>
    <row r="11" spans="1:8" x14ac:dyDescent="0.25">
      <c r="A11" t="s">
        <v>196</v>
      </c>
      <c r="B11" t="s">
        <v>198</v>
      </c>
      <c r="C11" s="79">
        <v>19019</v>
      </c>
      <c r="D11" s="114">
        <v>0.12</v>
      </c>
      <c r="E11" s="79">
        <v>425653300</v>
      </c>
      <c r="F11" s="114">
        <v>0.21</v>
      </c>
    </row>
    <row r="12" spans="1:8" x14ac:dyDescent="0.25">
      <c r="A12" t="s">
        <v>199</v>
      </c>
      <c r="B12" t="s">
        <v>200</v>
      </c>
      <c r="C12" s="79">
        <v>21131</v>
      </c>
      <c r="D12" s="114">
        <v>0.13</v>
      </c>
      <c r="E12" s="79">
        <v>448771667</v>
      </c>
      <c r="F12" s="114">
        <v>0.22</v>
      </c>
    </row>
    <row r="13" spans="1:8" x14ac:dyDescent="0.25">
      <c r="A13" t="s">
        <v>187</v>
      </c>
      <c r="B13" t="s">
        <v>201</v>
      </c>
      <c r="C13" s="79">
        <v>10163</v>
      </c>
      <c r="D13" s="114">
        <v>0.06</v>
      </c>
      <c r="E13" s="79">
        <v>60978000</v>
      </c>
      <c r="F13" s="114">
        <v>0.03</v>
      </c>
    </row>
    <row r="14" spans="1:8" x14ac:dyDescent="0.25">
      <c r="A14" t="s">
        <v>202</v>
      </c>
      <c r="B14" t="s">
        <v>203</v>
      </c>
      <c r="C14" t="s">
        <v>204</v>
      </c>
      <c r="D14" s="79">
        <v>16719</v>
      </c>
      <c r="E14" s="114">
        <v>0.11</v>
      </c>
      <c r="F14" s="79">
        <v>171659274</v>
      </c>
      <c r="G14" s="114">
        <v>0.09</v>
      </c>
    </row>
    <row r="17" spans="1:7" x14ac:dyDescent="0.25">
      <c r="A17" t="s">
        <v>57</v>
      </c>
      <c r="B17" t="s">
        <v>205</v>
      </c>
      <c r="C17" t="s">
        <v>40</v>
      </c>
      <c r="D17" t="s">
        <v>148</v>
      </c>
      <c r="E17" t="s">
        <v>40</v>
      </c>
    </row>
    <row r="18" spans="1:7" x14ac:dyDescent="0.25">
      <c r="A18" t="s">
        <v>206</v>
      </c>
      <c r="B18" t="s">
        <v>207</v>
      </c>
      <c r="C18" t="s">
        <v>208</v>
      </c>
      <c r="D18">
        <v>42</v>
      </c>
      <c r="E18" s="115">
        <v>2.9999999999999997E-4</v>
      </c>
      <c r="F18" s="116">
        <v>167356.85</v>
      </c>
      <c r="G18" s="114">
        <v>0</v>
      </c>
    </row>
    <row r="19" spans="1:7" x14ac:dyDescent="0.25">
      <c r="A19" t="s">
        <v>209</v>
      </c>
      <c r="B19" t="s">
        <v>210</v>
      </c>
      <c r="C19" t="s">
        <v>211</v>
      </c>
      <c r="D19">
        <v>1</v>
      </c>
      <c r="E19" s="115">
        <v>0</v>
      </c>
      <c r="F19" s="116">
        <v>5117.5</v>
      </c>
      <c r="G19" s="114">
        <v>0</v>
      </c>
    </row>
    <row r="20" spans="1:7" x14ac:dyDescent="0.25">
      <c r="A20" s="116">
        <v>5117.5</v>
      </c>
      <c r="B20" t="s">
        <v>212</v>
      </c>
      <c r="C20" s="116">
        <v>10000</v>
      </c>
      <c r="D20" s="79">
        <v>93522</v>
      </c>
      <c r="E20" s="115">
        <v>0.73980000000000001</v>
      </c>
      <c r="F20" s="116">
        <v>750253033.45000005</v>
      </c>
      <c r="G20" s="114">
        <v>0.5</v>
      </c>
    </row>
    <row r="21" spans="1:7" x14ac:dyDescent="0.25">
      <c r="A21" s="116">
        <v>10000</v>
      </c>
      <c r="B21" t="s">
        <v>212</v>
      </c>
      <c r="C21" s="116">
        <v>20000</v>
      </c>
      <c r="D21" s="79">
        <v>18138</v>
      </c>
      <c r="E21" s="115">
        <v>0.14349999999999999</v>
      </c>
      <c r="F21" s="116">
        <v>227429836.90000001</v>
      </c>
      <c r="G21" s="114">
        <v>0.15</v>
      </c>
    </row>
    <row r="22" spans="1:7" x14ac:dyDescent="0.25">
      <c r="A22" s="116">
        <v>20000</v>
      </c>
      <c r="B22" t="s">
        <v>212</v>
      </c>
      <c r="C22" s="116">
        <v>30000</v>
      </c>
      <c r="D22" s="79">
        <v>6578</v>
      </c>
      <c r="E22" s="115">
        <v>5.1999999999999998E-2</v>
      </c>
      <c r="F22" s="116">
        <v>161421192.27000001</v>
      </c>
      <c r="G22" s="114">
        <v>0.11</v>
      </c>
    </row>
    <row r="23" spans="1:7" x14ac:dyDescent="0.25">
      <c r="A23" s="116">
        <v>30000</v>
      </c>
      <c r="B23" t="s">
        <v>212</v>
      </c>
      <c r="C23" s="116">
        <v>40000</v>
      </c>
      <c r="D23" s="79">
        <v>3651</v>
      </c>
      <c r="E23" s="115">
        <v>2.8899999999999999E-2</v>
      </c>
      <c r="F23" s="116">
        <v>122505219.92</v>
      </c>
      <c r="G23" s="114">
        <v>0.08</v>
      </c>
    </row>
    <row r="24" spans="1:7" x14ac:dyDescent="0.25">
      <c r="A24" s="116">
        <v>40000</v>
      </c>
      <c r="B24" t="s">
        <v>212</v>
      </c>
      <c r="C24" s="116">
        <v>50000</v>
      </c>
      <c r="D24" s="79">
        <v>2228</v>
      </c>
      <c r="E24" s="115">
        <v>1.7600000000000001E-2</v>
      </c>
      <c r="F24" s="116">
        <v>96897867.079999998</v>
      </c>
      <c r="G24" s="114">
        <v>0.06</v>
      </c>
    </row>
    <row r="25" spans="1:7" x14ac:dyDescent="0.25">
      <c r="A25" s="116">
        <v>50000</v>
      </c>
      <c r="B25" t="s">
        <v>212</v>
      </c>
      <c r="C25" s="116">
        <v>60000</v>
      </c>
      <c r="D25" s="79">
        <v>1212</v>
      </c>
      <c r="E25" s="115">
        <v>9.5999999999999992E-3</v>
      </c>
      <c r="F25" s="116">
        <v>63870772.049999997</v>
      </c>
      <c r="G25" s="114">
        <v>0.04</v>
      </c>
    </row>
    <row r="26" spans="1:7" x14ac:dyDescent="0.25">
      <c r="A26" s="116">
        <v>60000</v>
      </c>
      <c r="B26" t="s">
        <v>212</v>
      </c>
      <c r="C26" s="116">
        <v>70000</v>
      </c>
      <c r="D26">
        <v>256</v>
      </c>
      <c r="E26" s="115">
        <v>2E-3</v>
      </c>
      <c r="F26" s="116">
        <v>15987935.460000001</v>
      </c>
      <c r="G26" s="114">
        <v>0.01</v>
      </c>
    </row>
    <row r="27" spans="1:7" x14ac:dyDescent="0.25">
      <c r="A27" s="116">
        <v>70000</v>
      </c>
      <c r="B27" t="s">
        <v>212</v>
      </c>
      <c r="C27" s="116">
        <v>80000</v>
      </c>
      <c r="D27">
        <v>185</v>
      </c>
      <c r="E27" s="115">
        <v>1.5E-3</v>
      </c>
      <c r="F27" s="116">
        <v>13603340.310000001</v>
      </c>
      <c r="G27" s="114">
        <v>0.01</v>
      </c>
    </row>
    <row r="28" spans="1:7" x14ac:dyDescent="0.25">
      <c r="A28" s="116">
        <v>80000</v>
      </c>
      <c r="B28" t="s">
        <v>212</v>
      </c>
      <c r="C28" s="116">
        <v>90000</v>
      </c>
      <c r="D28">
        <v>246</v>
      </c>
      <c r="E28" s="115">
        <v>1.9E-3</v>
      </c>
      <c r="F28" s="116">
        <v>20637258.829999998</v>
      </c>
      <c r="G28" s="114">
        <v>0.01</v>
      </c>
    </row>
    <row r="29" spans="1:7" x14ac:dyDescent="0.25">
      <c r="A29" s="116">
        <v>90000</v>
      </c>
      <c r="B29" t="s">
        <v>212</v>
      </c>
      <c r="C29" s="116">
        <v>100000</v>
      </c>
      <c r="D29">
        <v>300</v>
      </c>
      <c r="E29" s="115">
        <v>2.3999999999999998E-3</v>
      </c>
      <c r="F29" s="116">
        <v>28790914.350000001</v>
      </c>
      <c r="G29" s="114">
        <v>0.02</v>
      </c>
    </row>
    <row r="30" spans="1:7" x14ac:dyDescent="0.25">
      <c r="A30" t="s">
        <v>61</v>
      </c>
      <c r="B30">
        <v>50</v>
      </c>
      <c r="C30" s="115">
        <v>4.0000000000000002E-4</v>
      </c>
      <c r="D30" s="116">
        <v>7845693.5999999996</v>
      </c>
      <c r="E30" s="114">
        <v>0.01</v>
      </c>
    </row>
    <row r="32" spans="1:7" x14ac:dyDescent="0.25">
      <c r="A32" t="s">
        <v>57</v>
      </c>
      <c r="B32" t="s">
        <v>205</v>
      </c>
      <c r="C32" t="s">
        <v>40</v>
      </c>
      <c r="D32" t="s">
        <v>148</v>
      </c>
      <c r="E32" t="s">
        <v>40</v>
      </c>
    </row>
    <row r="33" spans="1:7" x14ac:dyDescent="0.25">
      <c r="A33" t="s">
        <v>109</v>
      </c>
      <c r="B33">
        <v>8</v>
      </c>
      <c r="C33" s="115">
        <v>1E-4</v>
      </c>
      <c r="D33" s="79">
        <v>120807</v>
      </c>
      <c r="E33" s="115">
        <v>1E-4</v>
      </c>
    </row>
    <row r="34" spans="1:7" x14ac:dyDescent="0.25">
      <c r="A34" t="s">
        <v>110</v>
      </c>
      <c r="B34">
        <v>105</v>
      </c>
      <c r="C34" s="115">
        <v>8.9999999999999998E-4</v>
      </c>
      <c r="D34" s="79">
        <v>1623898</v>
      </c>
      <c r="E34" s="115">
        <v>1.1000000000000001E-3</v>
      </c>
    </row>
    <row r="35" spans="1:7" x14ac:dyDescent="0.25">
      <c r="A35" t="s">
        <v>111</v>
      </c>
      <c r="B35">
        <v>662</v>
      </c>
      <c r="C35" s="115">
        <v>5.7999999999999996E-3</v>
      </c>
      <c r="D35" s="79">
        <v>8844351</v>
      </c>
      <c r="E35" s="115">
        <v>5.8999999999999999E-3</v>
      </c>
    </row>
    <row r="36" spans="1:7" x14ac:dyDescent="0.25">
      <c r="A36" t="s">
        <v>112</v>
      </c>
      <c r="B36" s="79">
        <v>3613</v>
      </c>
      <c r="C36" s="115">
        <v>3.1699999999999999E-2</v>
      </c>
      <c r="D36" s="79">
        <v>58835635</v>
      </c>
      <c r="E36" s="115">
        <v>3.9E-2</v>
      </c>
    </row>
    <row r="37" spans="1:7" x14ac:dyDescent="0.25">
      <c r="A37" t="s">
        <v>113</v>
      </c>
      <c r="B37" s="79">
        <v>37680</v>
      </c>
      <c r="C37" s="115">
        <v>0.3306</v>
      </c>
      <c r="D37" s="79">
        <v>525796423</v>
      </c>
      <c r="E37" s="115">
        <v>0.3483</v>
      </c>
    </row>
    <row r="38" spans="1:7" x14ac:dyDescent="0.25">
      <c r="A38" t="s">
        <v>114</v>
      </c>
      <c r="B38" s="79">
        <v>44491</v>
      </c>
      <c r="C38" s="115">
        <v>0.39040000000000002</v>
      </c>
      <c r="D38" s="79">
        <v>593494378</v>
      </c>
      <c r="E38" s="115">
        <v>0.39319999999999999</v>
      </c>
    </row>
    <row r="39" spans="1:7" x14ac:dyDescent="0.25">
      <c r="A39" t="s">
        <v>115</v>
      </c>
      <c r="B39" s="79">
        <v>22199</v>
      </c>
      <c r="C39" s="115">
        <v>0.1948</v>
      </c>
      <c r="D39" s="79">
        <v>263071212</v>
      </c>
      <c r="E39" s="115">
        <v>0.17430000000000001</v>
      </c>
    </row>
    <row r="40" spans="1:7" x14ac:dyDescent="0.25">
      <c r="A40" t="s">
        <v>116</v>
      </c>
      <c r="B40" s="79">
        <v>4787</v>
      </c>
      <c r="C40" s="115">
        <v>4.2000000000000003E-2</v>
      </c>
      <c r="D40" s="79">
        <v>53293459</v>
      </c>
      <c r="E40" s="115">
        <v>3.5299999999999998E-2</v>
      </c>
    </row>
    <row r="41" spans="1:7" x14ac:dyDescent="0.25">
      <c r="A41">
        <v>100</v>
      </c>
      <c r="B41">
        <v>273</v>
      </c>
      <c r="C41" s="115">
        <v>2.3999999999999998E-3</v>
      </c>
      <c r="D41" s="79">
        <v>3036509</v>
      </c>
      <c r="E41" s="115">
        <v>2E-3</v>
      </c>
    </row>
    <row r="42" spans="1:7" x14ac:dyDescent="0.25">
      <c r="A42">
        <v>0</v>
      </c>
      <c r="B42">
        <v>148</v>
      </c>
      <c r="C42" s="115">
        <v>1.2999999999999999E-3</v>
      </c>
      <c r="D42" s="79">
        <v>1202867</v>
      </c>
      <c r="E42" s="115">
        <v>8.0000000000000004E-4</v>
      </c>
    </row>
    <row r="43" spans="1:7" x14ac:dyDescent="0.25">
      <c r="A43" t="s">
        <v>213</v>
      </c>
      <c r="B43" t="s">
        <v>214</v>
      </c>
      <c r="C43" s="122">
        <v>1</v>
      </c>
      <c r="D43">
        <v>11</v>
      </c>
      <c r="E43" s="115">
        <v>1E-4</v>
      </c>
      <c r="F43" s="79">
        <v>96000</v>
      </c>
      <c r="G43" s="115">
        <v>1E-4</v>
      </c>
    </row>
    <row r="60" spans="1:4" ht="1.5" customHeight="1" thickBot="1" x14ac:dyDescent="0.3"/>
    <row r="61" spans="1:4" ht="31.5" customHeight="1" x14ac:dyDescent="0.25">
      <c r="A61" s="310" t="s">
        <v>218</v>
      </c>
      <c r="B61" s="311"/>
      <c r="C61" s="311"/>
      <c r="D61" s="312"/>
    </row>
    <row r="62" spans="1:4" x14ac:dyDescent="0.25">
      <c r="A62" s="128" t="s">
        <v>58</v>
      </c>
      <c r="B62" s="129" t="s">
        <v>40</v>
      </c>
      <c r="C62" s="130" t="s">
        <v>19</v>
      </c>
      <c r="D62" s="131" t="s">
        <v>40</v>
      </c>
    </row>
    <row r="63" spans="1:4" x14ac:dyDescent="0.25">
      <c r="A63" s="104">
        <v>31137</v>
      </c>
      <c r="B63" s="82">
        <f>A63/$F$18</f>
        <v>0.18605154195959114</v>
      </c>
      <c r="C63" s="56">
        <v>395798200.03000003</v>
      </c>
      <c r="D63" s="105">
        <f>C63/C72</f>
        <v>0.19391687100775967</v>
      </c>
    </row>
    <row r="64" spans="1:4" x14ac:dyDescent="0.25">
      <c r="A64" s="104">
        <v>59538</v>
      </c>
      <c r="B64" s="82">
        <f t="shared" ref="B64:B71" si="0">A64/$F$18</f>
        <v>0.35575478386453857</v>
      </c>
      <c r="C64" s="56">
        <v>514655292.12</v>
      </c>
      <c r="D64" s="105">
        <f>C64/C72</f>
        <v>0.25214956482351464</v>
      </c>
    </row>
    <row r="65" spans="1:4" x14ac:dyDescent="0.25">
      <c r="A65" s="104">
        <v>272</v>
      </c>
      <c r="B65" s="84">
        <f t="shared" si="0"/>
        <v>1.6252695960756909E-3</v>
      </c>
      <c r="C65" s="56">
        <v>4588034.25</v>
      </c>
      <c r="D65" s="106">
        <f>C65/C72</f>
        <v>2.2478557147783836E-3</v>
      </c>
    </row>
    <row r="66" spans="1:4" x14ac:dyDescent="0.25">
      <c r="A66" s="104">
        <v>165</v>
      </c>
      <c r="B66" s="84">
        <f t="shared" si="0"/>
        <v>9.8591721820768022E-4</v>
      </c>
      <c r="C66" s="56">
        <v>4769926.3500000006</v>
      </c>
      <c r="D66" s="106">
        <f>C66/C72</f>
        <v>2.3369717008802837E-3</v>
      </c>
    </row>
    <row r="67" spans="1:4" x14ac:dyDescent="0.25">
      <c r="A67" s="104">
        <v>291</v>
      </c>
      <c r="B67" s="84">
        <f t="shared" si="0"/>
        <v>1.7387994575662723E-3</v>
      </c>
      <c r="C67" s="56">
        <v>7859081.6799999997</v>
      </c>
      <c r="D67" s="106">
        <f>C67/C72</f>
        <v>3.8504685677309622E-3</v>
      </c>
    </row>
    <row r="68" spans="1:4" x14ac:dyDescent="0.25">
      <c r="A68" s="104">
        <v>18719</v>
      </c>
      <c r="B68" s="82">
        <f t="shared" si="0"/>
        <v>0.11185081459169433</v>
      </c>
      <c r="C68" s="56">
        <v>422264407.25999999</v>
      </c>
      <c r="D68" s="105">
        <f>C68/C72</f>
        <v>0.20688369120324193</v>
      </c>
    </row>
    <row r="69" spans="1:4" x14ac:dyDescent="0.25">
      <c r="A69" s="104">
        <v>21144</v>
      </c>
      <c r="B69" s="82">
        <f t="shared" si="0"/>
        <v>0.12634081007141326</v>
      </c>
      <c r="C69" s="56">
        <v>451598843.05000001</v>
      </c>
      <c r="D69" s="105">
        <f>C69/C72</f>
        <v>0.22125576768247726</v>
      </c>
    </row>
    <row r="70" spans="1:4" x14ac:dyDescent="0.25">
      <c r="A70" s="104">
        <v>9753</v>
      </c>
      <c r="B70" s="82">
        <f t="shared" si="0"/>
        <v>5.8276670479875788E-2</v>
      </c>
      <c r="C70" s="56">
        <v>58518000</v>
      </c>
      <c r="D70" s="105">
        <f>C70/C72</f>
        <v>2.8670235126819606E-2</v>
      </c>
    </row>
    <row r="71" spans="1:4" x14ac:dyDescent="0.25">
      <c r="A71" s="104">
        <v>17481</v>
      </c>
      <c r="B71" s="82">
        <f t="shared" si="0"/>
        <v>0.10445344782720277</v>
      </c>
      <c r="C71" s="56">
        <v>181019721.69</v>
      </c>
      <c r="D71" s="105">
        <f>C71/C72</f>
        <v>8.8688574172797213E-2</v>
      </c>
    </row>
    <row r="72" spans="1:4" ht="15.75" thickBot="1" x14ac:dyDescent="0.3">
      <c r="A72" s="107">
        <f t="shared" ref="A72:D72" si="1">SUM(A63:A71)</f>
        <v>158500</v>
      </c>
      <c r="B72" s="108">
        <f t="shared" si="1"/>
        <v>0.9470780550661656</v>
      </c>
      <c r="C72" s="109">
        <f t="shared" si="1"/>
        <v>2041071506.4300001</v>
      </c>
      <c r="D72" s="110">
        <f t="shared" si="1"/>
        <v>0.99999999999999989</v>
      </c>
    </row>
  </sheetData>
  <mergeCells count="1">
    <mergeCell ref="A61:D6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R50"/>
  <sheetViews>
    <sheetView showGridLines="0" zoomScale="85" zoomScaleNormal="85" workbookViewId="0">
      <selection activeCell="P13" sqref="P13"/>
    </sheetView>
  </sheetViews>
  <sheetFormatPr baseColWidth="10" defaultColWidth="11.42578125" defaultRowHeight="15" x14ac:dyDescent="0.25"/>
  <cols>
    <col min="1" max="1" width="11.42578125" style="1"/>
    <col min="2" max="2" width="10.140625" style="1" customWidth="1"/>
    <col min="3" max="3" width="16.28515625" style="1" bestFit="1" customWidth="1"/>
    <col min="4" max="4" width="8.7109375" style="1" customWidth="1"/>
    <col min="5" max="5" width="13.42578125" style="1" bestFit="1" customWidth="1"/>
    <col min="6" max="6" width="11.42578125" style="1"/>
    <col min="7" max="7" width="14.140625" style="1" bestFit="1" customWidth="1"/>
    <col min="8" max="8" width="8.7109375" style="1" customWidth="1"/>
    <col min="9" max="9" width="14.7109375" style="1" customWidth="1"/>
    <col min="10" max="10" width="11.42578125" style="1"/>
    <col min="11" max="11" width="15.28515625" style="1" customWidth="1"/>
    <col min="12" max="12" width="9" style="1" customWidth="1"/>
    <col min="13" max="13" width="13.42578125" style="1" customWidth="1"/>
    <col min="14" max="14" width="11.140625" style="1" customWidth="1"/>
    <col min="15" max="15" width="15" style="1" customWidth="1"/>
    <col min="16" max="16" width="7.7109375" style="1" customWidth="1"/>
    <col min="17" max="17" width="15.7109375" style="1" customWidth="1"/>
    <col min="18" max="18" width="20.42578125" style="1" customWidth="1"/>
    <col min="19" max="16384" width="11.42578125" style="1"/>
  </cols>
  <sheetData>
    <row r="1" spans="1:18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8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</row>
    <row r="3" spans="1:18" x14ac:dyDescent="0.25">
      <c r="A3" s="283" t="s">
        <v>161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</row>
    <row r="4" spans="1:18" x14ac:dyDescent="0.25">
      <c r="A4" s="283" t="s">
        <v>232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</row>
    <row r="5" spans="1:18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</row>
    <row r="6" spans="1:18" x14ac:dyDescent="0.25">
      <c r="A6" s="100"/>
      <c r="B6" s="313" t="s">
        <v>231</v>
      </c>
      <c r="C6" s="313"/>
      <c r="D6" s="313"/>
      <c r="E6" s="313"/>
      <c r="F6" s="314" t="s">
        <v>140</v>
      </c>
      <c r="G6" s="314"/>
      <c r="H6" s="314"/>
      <c r="I6" s="314"/>
      <c r="J6" s="317" t="s">
        <v>15</v>
      </c>
      <c r="K6" s="317"/>
      <c r="L6" s="317"/>
      <c r="M6" s="317"/>
      <c r="N6" s="316" t="s">
        <v>16</v>
      </c>
      <c r="O6" s="316"/>
      <c r="P6" s="316"/>
      <c r="Q6" s="316"/>
    </row>
    <row r="7" spans="1:18" x14ac:dyDescent="0.25">
      <c r="A7" s="191"/>
      <c r="B7" s="315" t="s">
        <v>25</v>
      </c>
      <c r="C7" s="315"/>
      <c r="D7" s="315" t="s">
        <v>26</v>
      </c>
      <c r="E7" s="315"/>
      <c r="F7" s="315" t="s">
        <v>25</v>
      </c>
      <c r="G7" s="315"/>
      <c r="H7" s="315" t="s">
        <v>26</v>
      </c>
      <c r="I7" s="315"/>
      <c r="J7" s="315" t="s">
        <v>25</v>
      </c>
      <c r="K7" s="315"/>
      <c r="L7" s="315" t="s">
        <v>26</v>
      </c>
      <c r="M7" s="315"/>
      <c r="N7" s="315" t="s">
        <v>118</v>
      </c>
      <c r="O7" s="315"/>
      <c r="P7" s="315" t="s">
        <v>26</v>
      </c>
      <c r="Q7" s="315"/>
    </row>
    <row r="8" spans="1:18" ht="32.25" customHeight="1" x14ac:dyDescent="0.25">
      <c r="A8" s="167" t="s">
        <v>1</v>
      </c>
      <c r="B8" s="151" t="s">
        <v>27</v>
      </c>
      <c r="C8" s="151" t="s">
        <v>19</v>
      </c>
      <c r="D8" s="151" t="s">
        <v>18</v>
      </c>
      <c r="E8" s="168" t="s">
        <v>19</v>
      </c>
      <c r="F8" s="151" t="s">
        <v>28</v>
      </c>
      <c r="G8" s="151" t="s">
        <v>19</v>
      </c>
      <c r="H8" s="151" t="s">
        <v>18</v>
      </c>
      <c r="I8" s="168" t="s">
        <v>19</v>
      </c>
      <c r="J8" s="151" t="s">
        <v>28</v>
      </c>
      <c r="K8" s="151" t="s">
        <v>19</v>
      </c>
      <c r="L8" s="151" t="s">
        <v>18</v>
      </c>
      <c r="M8" s="211" t="s">
        <v>19</v>
      </c>
      <c r="N8" s="151" t="s">
        <v>29</v>
      </c>
      <c r="O8" s="151" t="s">
        <v>19</v>
      </c>
      <c r="P8" s="151" t="s">
        <v>30</v>
      </c>
      <c r="Q8" s="168" t="s">
        <v>19</v>
      </c>
    </row>
    <row r="9" spans="1:18" ht="15" customHeight="1" x14ac:dyDescent="0.25">
      <c r="A9" s="259" t="s">
        <v>127</v>
      </c>
      <c r="B9" s="254">
        <v>128224</v>
      </c>
      <c r="C9" s="254">
        <v>1532209247.1500001</v>
      </c>
      <c r="D9" s="254">
        <v>1071</v>
      </c>
      <c r="E9" s="267">
        <v>10506203.23</v>
      </c>
      <c r="F9" s="254">
        <v>9733</v>
      </c>
      <c r="G9" s="254">
        <v>57729500</v>
      </c>
      <c r="H9" s="254">
        <v>0</v>
      </c>
      <c r="I9" s="213">
        <v>0</v>
      </c>
      <c r="J9" s="254">
        <v>21332</v>
      </c>
      <c r="K9" s="255">
        <v>452182354.77999997</v>
      </c>
      <c r="L9" s="186">
        <v>53</v>
      </c>
      <c r="M9" s="256">
        <v>469301.34</v>
      </c>
      <c r="N9" s="211">
        <f>+B9+J9+F9</f>
        <v>159289</v>
      </c>
      <c r="O9" s="41">
        <f>+C9+K9+G9</f>
        <v>2042121101.9300001</v>
      </c>
      <c r="P9" s="260">
        <f>+D9+L9+H9</f>
        <v>1124</v>
      </c>
      <c r="Q9" s="211">
        <f>+E9+M9+I9</f>
        <v>10975504.57</v>
      </c>
    </row>
    <row r="10" spans="1:18" x14ac:dyDescent="0.25">
      <c r="A10" s="48" t="s">
        <v>91</v>
      </c>
      <c r="B10" s="254">
        <v>127933</v>
      </c>
      <c r="C10" s="254">
        <v>1635925259.2</v>
      </c>
      <c r="D10" s="254">
        <v>1693</v>
      </c>
      <c r="E10" s="254">
        <v>16551181.48</v>
      </c>
      <c r="F10" s="254">
        <v>13839</v>
      </c>
      <c r="G10" s="254">
        <v>83034000</v>
      </c>
      <c r="H10" s="254">
        <v>2273</v>
      </c>
      <c r="I10" s="255">
        <v>13638000</v>
      </c>
      <c r="J10" s="254">
        <v>21324</v>
      </c>
      <c r="K10" s="255">
        <v>479361985.08999997</v>
      </c>
      <c r="L10" s="186">
        <v>95</v>
      </c>
      <c r="M10" s="256">
        <v>2093995.23</v>
      </c>
      <c r="N10" s="41">
        <f t="shared" ref="N10" si="0">+B10+J10+F10</f>
        <v>163096</v>
      </c>
      <c r="O10" s="41">
        <f t="shared" ref="O10" si="1">+C10+K10+G10</f>
        <v>2198321244.29</v>
      </c>
      <c r="P10" s="41">
        <f t="shared" ref="P10" si="2">+D10+L10+H10</f>
        <v>4061</v>
      </c>
      <c r="Q10" s="41">
        <f t="shared" ref="Q10" si="3">+E10+M10+I10</f>
        <v>32283176.710000001</v>
      </c>
      <c r="R10" s="38"/>
    </row>
    <row r="11" spans="1:18" x14ac:dyDescent="0.25">
      <c r="A11" s="48" t="s">
        <v>90</v>
      </c>
      <c r="B11" s="254">
        <v>128240</v>
      </c>
      <c r="C11" s="255">
        <v>1635367799.46</v>
      </c>
      <c r="D11" s="254">
        <v>1485</v>
      </c>
      <c r="E11" s="256">
        <v>14470756.92</v>
      </c>
      <c r="F11" s="254">
        <v>13283</v>
      </c>
      <c r="G11" s="255">
        <v>79698000</v>
      </c>
      <c r="H11" s="254">
        <v>2387</v>
      </c>
      <c r="I11" s="256">
        <v>14322000</v>
      </c>
      <c r="J11" s="254">
        <v>21374</v>
      </c>
      <c r="K11" s="255">
        <v>468740915.44</v>
      </c>
      <c r="L11" s="186">
        <v>55</v>
      </c>
      <c r="M11" s="256">
        <v>1156698.6499999999</v>
      </c>
      <c r="N11" s="41">
        <f t="shared" ref="N11:Q12" si="4">+B11+J11+F11</f>
        <v>162897</v>
      </c>
      <c r="O11" s="41">
        <f t="shared" si="4"/>
        <v>2183806714.9000001</v>
      </c>
      <c r="P11" s="41">
        <f t="shared" si="4"/>
        <v>3927</v>
      </c>
      <c r="Q11" s="41">
        <f t="shared" si="4"/>
        <v>29949455.57</v>
      </c>
    </row>
    <row r="12" spans="1:18" x14ac:dyDescent="0.25">
      <c r="A12" s="48" t="s">
        <v>89</v>
      </c>
      <c r="B12" s="254">
        <v>127357</v>
      </c>
      <c r="C12" s="255">
        <v>1616330835.0999999</v>
      </c>
      <c r="D12" s="254">
        <v>1699</v>
      </c>
      <c r="E12" s="256">
        <v>20968589.030000001</v>
      </c>
      <c r="F12" s="254">
        <v>9806</v>
      </c>
      <c r="G12" s="255">
        <v>58836000</v>
      </c>
      <c r="H12" s="186">
        <v>0</v>
      </c>
      <c r="I12" s="213">
        <v>0</v>
      </c>
      <c r="J12" s="254">
        <v>21353</v>
      </c>
      <c r="K12" s="255">
        <v>465369980.79000002</v>
      </c>
      <c r="L12" s="186">
        <v>98</v>
      </c>
      <c r="M12" s="256">
        <v>2419042.6</v>
      </c>
      <c r="N12" s="41">
        <f t="shared" si="4"/>
        <v>158516</v>
      </c>
      <c r="O12" s="41">
        <f t="shared" si="4"/>
        <v>2140536815.8899999</v>
      </c>
      <c r="P12" s="41">
        <f t="shared" si="4"/>
        <v>1797</v>
      </c>
      <c r="Q12" s="41">
        <f>+E12+M12+I12</f>
        <v>23387631.630000003</v>
      </c>
    </row>
    <row r="13" spans="1:18" x14ac:dyDescent="0.25">
      <c r="A13" s="50" t="s">
        <v>94</v>
      </c>
      <c r="B13" s="60">
        <f>+B10</f>
        <v>127933</v>
      </c>
      <c r="C13" s="60">
        <f>SUM(C9:C12)</f>
        <v>6419833140.9099998</v>
      </c>
      <c r="D13" s="60">
        <f>SUM(D9:D12)</f>
        <v>5948</v>
      </c>
      <c r="E13" s="60">
        <f>SUM(E9:E12)</f>
        <v>62496730.660000004</v>
      </c>
      <c r="F13" s="60">
        <f>+F10</f>
        <v>13839</v>
      </c>
      <c r="G13" s="61">
        <f>SUM(G9:G12)</f>
        <v>279297500</v>
      </c>
      <c r="H13" s="60">
        <f>SUM(H9:H12)</f>
        <v>4660</v>
      </c>
      <c r="I13" s="60">
        <f>SUM(I9:I12)</f>
        <v>27960000</v>
      </c>
      <c r="J13" s="60">
        <f>+J10</f>
        <v>21324</v>
      </c>
      <c r="K13" s="60">
        <f>SUM(K9:K12)</f>
        <v>1865655236.0999999</v>
      </c>
      <c r="L13" s="60">
        <f>SUM(L9:L12)</f>
        <v>301</v>
      </c>
      <c r="M13" s="60">
        <f>SUM(M9:M12)</f>
        <v>6139037.8200000003</v>
      </c>
      <c r="N13" s="60">
        <f>+N10</f>
        <v>163096</v>
      </c>
      <c r="O13" s="60">
        <f>SUM(O9:O12)</f>
        <v>8564785877.0100002</v>
      </c>
      <c r="P13" s="60">
        <f>SUM(P9:P12)</f>
        <v>10909</v>
      </c>
      <c r="Q13" s="60">
        <f>SUM(Q9:Q12)</f>
        <v>96595768.479999989</v>
      </c>
      <c r="R13" s="268">
        <f>O13+Q13</f>
        <v>8661381645.4899998</v>
      </c>
    </row>
    <row r="14" spans="1:18" hidden="1" x14ac:dyDescent="0.25">
      <c r="A14" s="48" t="s">
        <v>35</v>
      </c>
      <c r="B14" s="186"/>
      <c r="C14" s="212"/>
      <c r="D14" s="186"/>
      <c r="E14" s="213"/>
      <c r="F14" s="186"/>
      <c r="G14" s="212"/>
      <c r="H14" s="186">
        <f>SUM(H10:H12)</f>
        <v>4660</v>
      </c>
      <c r="I14" s="213"/>
      <c r="J14" s="186"/>
      <c r="K14" s="212"/>
      <c r="L14" s="186"/>
      <c r="M14" s="213"/>
      <c r="N14" s="41">
        <f t="shared" ref="N14:Q16" si="5">+B14+J14+F14</f>
        <v>0</v>
      </c>
      <c r="O14" s="62">
        <f t="shared" si="5"/>
        <v>0</v>
      </c>
      <c r="P14" s="41">
        <f t="shared" si="5"/>
        <v>4660</v>
      </c>
      <c r="Q14" s="62">
        <f t="shared" si="5"/>
        <v>0</v>
      </c>
    </row>
    <row r="15" spans="1:18" hidden="1" x14ac:dyDescent="0.25">
      <c r="A15" s="48" t="s">
        <v>36</v>
      </c>
      <c r="B15" s="186"/>
      <c r="C15" s="212"/>
      <c r="D15" s="186"/>
      <c r="E15" s="213"/>
      <c r="F15" s="186"/>
      <c r="G15" s="212"/>
      <c r="H15" s="186"/>
      <c r="I15" s="213"/>
      <c r="J15" s="186"/>
      <c r="K15" s="212"/>
      <c r="L15" s="186"/>
      <c r="M15" s="213"/>
      <c r="N15" s="41">
        <f t="shared" si="5"/>
        <v>0</v>
      </c>
      <c r="O15" s="62">
        <f t="shared" si="5"/>
        <v>0</v>
      </c>
      <c r="P15" s="41">
        <f t="shared" si="5"/>
        <v>0</v>
      </c>
      <c r="Q15" s="62">
        <f t="shared" si="5"/>
        <v>0</v>
      </c>
    </row>
    <row r="16" spans="1:18" hidden="1" x14ac:dyDescent="0.25">
      <c r="A16" s="48" t="s">
        <v>37</v>
      </c>
      <c r="B16" s="186"/>
      <c r="C16" s="212"/>
      <c r="D16" s="186"/>
      <c r="E16" s="213"/>
      <c r="F16" s="186"/>
      <c r="G16" s="212"/>
      <c r="H16" s="186"/>
      <c r="I16" s="213"/>
      <c r="J16" s="186"/>
      <c r="K16" s="212"/>
      <c r="L16" s="186"/>
      <c r="M16" s="213"/>
      <c r="N16" s="41">
        <f t="shared" si="5"/>
        <v>0</v>
      </c>
      <c r="O16" s="62">
        <f t="shared" si="5"/>
        <v>0</v>
      </c>
      <c r="P16" s="41">
        <f t="shared" si="5"/>
        <v>0</v>
      </c>
      <c r="Q16" s="62">
        <f t="shared" si="5"/>
        <v>0</v>
      </c>
    </row>
    <row r="17" spans="1:18" hidden="1" x14ac:dyDescent="0.25">
      <c r="A17" s="50" t="s">
        <v>130</v>
      </c>
      <c r="B17" s="60">
        <f>+B16</f>
        <v>0</v>
      </c>
      <c r="C17" s="61">
        <f>SUM(C14:C16)</f>
        <v>0</v>
      </c>
      <c r="D17" s="60">
        <f>+D16</f>
        <v>0</v>
      </c>
      <c r="E17" s="61">
        <f>SUM(E14:E16)</f>
        <v>0</v>
      </c>
      <c r="F17" s="60">
        <f>+F16</f>
        <v>0</v>
      </c>
      <c r="G17" s="61">
        <f>SUM(G14:G16)</f>
        <v>0</v>
      </c>
      <c r="H17" s="60">
        <f>+H16</f>
        <v>0</v>
      </c>
      <c r="I17" s="61">
        <f>SUM(I14:I16)</f>
        <v>0</v>
      </c>
      <c r="J17" s="60">
        <f>+J16</f>
        <v>0</v>
      </c>
      <c r="K17" s="61">
        <f>SUM(K14:K16)</f>
        <v>0</v>
      </c>
      <c r="L17" s="60">
        <f>+L16</f>
        <v>0</v>
      </c>
      <c r="M17" s="61">
        <f>SUM(M14:M16)</f>
        <v>0</v>
      </c>
      <c r="N17" s="60">
        <f>+N16</f>
        <v>0</v>
      </c>
      <c r="O17" s="61">
        <f>SUM(O14:O16)</f>
        <v>0</v>
      </c>
      <c r="P17" s="60">
        <f>+P16</f>
        <v>0</v>
      </c>
      <c r="Q17" s="61">
        <f>SUM(Q14:Q16)</f>
        <v>0</v>
      </c>
      <c r="R17" s="39"/>
    </row>
    <row r="18" spans="1:18" hidden="1" x14ac:dyDescent="0.25">
      <c r="A18" s="48" t="s">
        <v>86</v>
      </c>
      <c r="B18" s="186"/>
      <c r="C18" s="212"/>
      <c r="D18" s="186"/>
      <c r="E18" s="213"/>
      <c r="F18" s="186"/>
      <c r="G18" s="212"/>
      <c r="H18" s="186"/>
      <c r="I18" s="213"/>
      <c r="J18" s="186"/>
      <c r="K18" s="212"/>
      <c r="L18" s="186"/>
      <c r="M18" s="213"/>
      <c r="N18" s="41">
        <f t="shared" ref="N18:Q20" si="6">+B18+J18+F18</f>
        <v>0</v>
      </c>
      <c r="O18" s="62">
        <f t="shared" si="6"/>
        <v>0</v>
      </c>
      <c r="P18" s="41">
        <f t="shared" si="6"/>
        <v>0</v>
      </c>
      <c r="Q18" s="62">
        <f t="shared" si="6"/>
        <v>0</v>
      </c>
    </row>
    <row r="19" spans="1:18" hidden="1" x14ac:dyDescent="0.25">
      <c r="A19" s="48" t="s">
        <v>87</v>
      </c>
      <c r="B19" s="186"/>
      <c r="C19" s="212"/>
      <c r="D19" s="186"/>
      <c r="E19" s="213"/>
      <c r="F19" s="186"/>
      <c r="G19" s="212"/>
      <c r="H19" s="186"/>
      <c r="I19" s="213"/>
      <c r="J19" s="186"/>
      <c r="K19" s="212"/>
      <c r="L19" s="186"/>
      <c r="M19" s="213"/>
      <c r="N19" s="41">
        <f t="shared" si="6"/>
        <v>0</v>
      </c>
      <c r="O19" s="62">
        <f t="shared" si="6"/>
        <v>0</v>
      </c>
      <c r="P19" s="41">
        <f t="shared" si="6"/>
        <v>0</v>
      </c>
      <c r="Q19" s="62">
        <f t="shared" si="6"/>
        <v>0</v>
      </c>
    </row>
    <row r="20" spans="1:18" hidden="1" x14ac:dyDescent="0.25">
      <c r="A20" s="48" t="s">
        <v>88</v>
      </c>
      <c r="B20" s="186"/>
      <c r="C20" s="212"/>
      <c r="D20" s="186"/>
      <c r="E20" s="213"/>
      <c r="F20" s="186"/>
      <c r="G20" s="212"/>
      <c r="H20" s="186"/>
      <c r="I20" s="213"/>
      <c r="J20" s="186"/>
      <c r="K20" s="212"/>
      <c r="L20" s="186"/>
      <c r="M20" s="213"/>
      <c r="N20" s="41">
        <f t="shared" si="6"/>
        <v>0</v>
      </c>
      <c r="O20" s="62">
        <f t="shared" si="6"/>
        <v>0</v>
      </c>
      <c r="P20" s="41">
        <f t="shared" si="6"/>
        <v>0</v>
      </c>
      <c r="Q20" s="62">
        <f t="shared" si="6"/>
        <v>0</v>
      </c>
    </row>
    <row r="21" spans="1:18" hidden="1" x14ac:dyDescent="0.25">
      <c r="A21" s="50" t="s">
        <v>93</v>
      </c>
      <c r="B21" s="60">
        <f>+B20</f>
        <v>0</v>
      </c>
      <c r="C21" s="61">
        <f>SUM(C18:C20)</f>
        <v>0</v>
      </c>
      <c r="D21" s="60">
        <f>+D20</f>
        <v>0</v>
      </c>
      <c r="E21" s="61">
        <f>SUM(E18:E20)</f>
        <v>0</v>
      </c>
      <c r="F21" s="60">
        <f>+F20</f>
        <v>0</v>
      </c>
      <c r="G21" s="61">
        <f>SUM(G18:G20)</f>
        <v>0</v>
      </c>
      <c r="H21" s="60">
        <f>+H20</f>
        <v>0</v>
      </c>
      <c r="I21" s="61">
        <f>SUM(I18:I20)</f>
        <v>0</v>
      </c>
      <c r="J21" s="60">
        <f>+J20</f>
        <v>0</v>
      </c>
      <c r="K21" s="61">
        <f>SUM(K18:K20)</f>
        <v>0</v>
      </c>
      <c r="L21" s="60">
        <f>+L20</f>
        <v>0</v>
      </c>
      <c r="M21" s="61">
        <f>SUM(M18:M20)</f>
        <v>0</v>
      </c>
      <c r="N21" s="60">
        <f>+N20</f>
        <v>0</v>
      </c>
      <c r="O21" s="61">
        <f>SUM(O18:O20)</f>
        <v>0</v>
      </c>
      <c r="P21" s="60">
        <f>+P20</f>
        <v>0</v>
      </c>
      <c r="Q21" s="61">
        <f>SUM(Q18:Q20)</f>
        <v>0</v>
      </c>
      <c r="R21" s="39"/>
    </row>
    <row r="22" spans="1:18" hidden="1" x14ac:dyDescent="0.25">
      <c r="A22" s="48" t="s">
        <v>89</v>
      </c>
      <c r="B22" s="186"/>
      <c r="C22" s="212"/>
      <c r="D22" s="186"/>
      <c r="E22" s="213"/>
      <c r="F22" s="186"/>
      <c r="G22" s="212"/>
      <c r="H22" s="186"/>
      <c r="I22" s="213"/>
      <c r="J22" s="186"/>
      <c r="K22" s="212"/>
      <c r="L22" s="186"/>
      <c r="M22" s="213"/>
      <c r="N22" s="41">
        <f t="shared" ref="N22:Q25" si="7">+B22+J22+F22</f>
        <v>0</v>
      </c>
      <c r="O22" s="62">
        <f t="shared" si="7"/>
        <v>0</v>
      </c>
      <c r="P22" s="41">
        <f t="shared" si="7"/>
        <v>0</v>
      </c>
      <c r="Q22" s="62">
        <f t="shared" si="7"/>
        <v>0</v>
      </c>
    </row>
    <row r="23" spans="1:18" hidden="1" x14ac:dyDescent="0.25">
      <c r="A23" s="48" t="s">
        <v>90</v>
      </c>
      <c r="B23" s="186"/>
      <c r="C23" s="212"/>
      <c r="D23" s="186"/>
      <c r="E23" s="213"/>
      <c r="F23" s="186"/>
      <c r="G23" s="212"/>
      <c r="H23" s="186"/>
      <c r="I23" s="213"/>
      <c r="J23" s="186"/>
      <c r="K23" s="212"/>
      <c r="L23" s="186"/>
      <c r="M23" s="213"/>
      <c r="N23" s="41">
        <f t="shared" si="7"/>
        <v>0</v>
      </c>
      <c r="O23" s="62">
        <f t="shared" si="7"/>
        <v>0</v>
      </c>
      <c r="P23" s="41">
        <f t="shared" si="7"/>
        <v>0</v>
      </c>
      <c r="Q23" s="62">
        <f t="shared" si="7"/>
        <v>0</v>
      </c>
    </row>
    <row r="24" spans="1:18" hidden="1" x14ac:dyDescent="0.25">
      <c r="A24" s="48" t="s">
        <v>91</v>
      </c>
      <c r="B24" s="186"/>
      <c r="C24" s="212"/>
      <c r="D24" s="186"/>
      <c r="E24" s="213"/>
      <c r="F24" s="186"/>
      <c r="G24" s="212"/>
      <c r="H24" s="186"/>
      <c r="I24" s="213"/>
      <c r="J24" s="186"/>
      <c r="K24" s="212"/>
      <c r="L24" s="186"/>
      <c r="M24" s="213"/>
      <c r="N24" s="41">
        <f t="shared" si="7"/>
        <v>0</v>
      </c>
      <c r="O24" s="62">
        <f t="shared" si="7"/>
        <v>0</v>
      </c>
      <c r="P24" s="41">
        <f t="shared" si="7"/>
        <v>0</v>
      </c>
      <c r="Q24" s="62">
        <f t="shared" si="7"/>
        <v>0</v>
      </c>
    </row>
    <row r="25" spans="1:18" hidden="1" x14ac:dyDescent="0.25">
      <c r="A25" s="48" t="s">
        <v>127</v>
      </c>
      <c r="B25" s="186"/>
      <c r="C25" s="212"/>
      <c r="D25" s="186"/>
      <c r="E25" s="213"/>
      <c r="F25" s="186"/>
      <c r="G25" s="212"/>
      <c r="H25" s="186"/>
      <c r="I25" s="213"/>
      <c r="J25" s="186"/>
      <c r="K25" s="212"/>
      <c r="L25" s="186"/>
      <c r="M25" s="213"/>
      <c r="N25" s="41">
        <f t="shared" si="7"/>
        <v>0</v>
      </c>
      <c r="O25" s="62">
        <f t="shared" si="7"/>
        <v>0</v>
      </c>
      <c r="P25" s="41">
        <f t="shared" si="7"/>
        <v>0</v>
      </c>
      <c r="Q25" s="62">
        <f t="shared" si="7"/>
        <v>0</v>
      </c>
    </row>
    <row r="26" spans="1:18" hidden="1" x14ac:dyDescent="0.25">
      <c r="A26" s="50" t="s">
        <v>94</v>
      </c>
      <c r="B26" s="60">
        <f>+B24</f>
        <v>0</v>
      </c>
      <c r="C26" s="60">
        <f>SUM(C22:C25)</f>
        <v>0</v>
      </c>
      <c r="D26" s="60">
        <f>+D24</f>
        <v>0</v>
      </c>
      <c r="E26" s="61">
        <f>SUM(E22:E25)</f>
        <v>0</v>
      </c>
      <c r="F26" s="60">
        <f>+F24</f>
        <v>0</v>
      </c>
      <c r="G26" s="61">
        <f>SUM(G22:G25)</f>
        <v>0</v>
      </c>
      <c r="H26" s="60">
        <f>+H24</f>
        <v>0</v>
      </c>
      <c r="I26" s="61">
        <f>SUM(I22:I25)</f>
        <v>0</v>
      </c>
      <c r="J26" s="60">
        <f>+J24</f>
        <v>0</v>
      </c>
      <c r="K26" s="61">
        <f>SUM(K22:K25)</f>
        <v>0</v>
      </c>
      <c r="L26" s="60">
        <f>+L24</f>
        <v>0</v>
      </c>
      <c r="M26" s="61">
        <f>SUM(M22:M25)</f>
        <v>0</v>
      </c>
      <c r="N26" s="60">
        <f>+N24</f>
        <v>0</v>
      </c>
      <c r="O26" s="61">
        <f>SUM(O22:O25)</f>
        <v>0</v>
      </c>
      <c r="P26" s="60">
        <f>+P24</f>
        <v>0</v>
      </c>
      <c r="Q26" s="61">
        <f>SUM(Q22:Q25)</f>
        <v>0</v>
      </c>
      <c r="R26" s="39"/>
    </row>
    <row r="27" spans="1:18" hidden="1" x14ac:dyDescent="0.25">
      <c r="A27" s="53" t="s">
        <v>9</v>
      </c>
      <c r="B27" s="63">
        <f>+B26</f>
        <v>0</v>
      </c>
      <c r="C27" s="64">
        <f>+C13+C17+C21+C26</f>
        <v>6419833140.9099998</v>
      </c>
      <c r="D27" s="63">
        <f>+D26</f>
        <v>0</v>
      </c>
      <c r="E27" s="64">
        <f>+E13+E17+E21+E26</f>
        <v>62496730.660000004</v>
      </c>
      <c r="F27" s="63">
        <f>+F26</f>
        <v>0</v>
      </c>
      <c r="G27" s="64">
        <f>+G13+G17+G21+G26</f>
        <v>279297500</v>
      </c>
      <c r="H27" s="63">
        <f>+H26</f>
        <v>0</v>
      </c>
      <c r="I27" s="64">
        <f>+I13+I17+I21+I26</f>
        <v>27960000</v>
      </c>
      <c r="J27" s="63">
        <f>+J26</f>
        <v>0</v>
      </c>
      <c r="K27" s="64">
        <f>+K13+K17+K21+K26</f>
        <v>1865655236.0999999</v>
      </c>
      <c r="L27" s="63">
        <f>+L26</f>
        <v>0</v>
      </c>
      <c r="M27" s="64">
        <f>+M13+M17+M21+M26</f>
        <v>6139037.8200000003</v>
      </c>
      <c r="N27" s="63">
        <f>+N26</f>
        <v>0</v>
      </c>
      <c r="O27" s="64">
        <f>+O13+O17+O21+O26</f>
        <v>8564785877.0100002</v>
      </c>
      <c r="P27" s="63">
        <f>+P26</f>
        <v>0</v>
      </c>
      <c r="Q27" s="64">
        <f>+Q13+Q17+Q21+Q26</f>
        <v>96595768.479999989</v>
      </c>
      <c r="R27" s="39"/>
    </row>
    <row r="28" spans="1:18" x14ac:dyDescent="0.25">
      <c r="A28" s="174" t="s">
        <v>40</v>
      </c>
      <c r="B28" s="27"/>
      <c r="C28" s="27"/>
      <c r="D28" s="28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214">
        <f>O13/R13</f>
        <v>0.98884753351905497</v>
      </c>
      <c r="P28" s="214"/>
      <c r="Q28" s="214">
        <f>Q13/R13</f>
        <v>1.115246648094506E-2</v>
      </c>
      <c r="R28" s="39">
        <f>R13-Nómina!M12</f>
        <v>0</v>
      </c>
    </row>
    <row r="29" spans="1:18" x14ac:dyDescent="0.25">
      <c r="A29" s="161" t="s">
        <v>175</v>
      </c>
      <c r="B29" s="152"/>
      <c r="C29" s="215"/>
      <c r="D29" s="152"/>
      <c r="E29" s="152"/>
      <c r="F29" s="152"/>
      <c r="G29" s="215"/>
      <c r="H29" s="152"/>
      <c r="I29" s="152"/>
      <c r="J29" s="215"/>
      <c r="K29" s="215"/>
      <c r="L29" s="152"/>
      <c r="M29" s="152"/>
      <c r="N29" s="152"/>
      <c r="O29" s="215"/>
      <c r="P29" s="152"/>
      <c r="Q29" s="152"/>
      <c r="R29" s="38"/>
    </row>
    <row r="30" spans="1:18" x14ac:dyDescent="0.25">
      <c r="B30" s="38"/>
    </row>
    <row r="48" spans="1:17" x14ac:dyDescent="0.25">
      <c r="A48" s="48"/>
      <c r="B48" s="186"/>
      <c r="C48" s="212"/>
      <c r="D48" s="186"/>
      <c r="E48" s="213"/>
      <c r="F48" s="186"/>
      <c r="G48" s="212"/>
      <c r="H48" s="186"/>
      <c r="I48" s="213"/>
      <c r="J48" s="186"/>
      <c r="K48" s="212"/>
      <c r="L48" s="186"/>
      <c r="M48" s="213"/>
      <c r="N48" s="41"/>
      <c r="O48" s="41"/>
      <c r="P48" s="41"/>
      <c r="Q48" s="142"/>
    </row>
    <row r="50" spans="1:17" x14ac:dyDescent="0.25">
      <c r="A50" s="48"/>
      <c r="B50" s="186"/>
      <c r="C50" s="212"/>
      <c r="D50" s="186"/>
      <c r="E50" s="213"/>
      <c r="F50" s="186"/>
      <c r="G50" s="212"/>
      <c r="H50" s="186"/>
      <c r="I50" s="213"/>
      <c r="J50" s="186"/>
      <c r="K50" s="212"/>
      <c r="L50" s="186"/>
      <c r="M50" s="213"/>
      <c r="N50" s="41"/>
      <c r="O50" s="41"/>
      <c r="P50" s="41"/>
      <c r="Q50" s="142"/>
    </row>
  </sheetData>
  <mergeCells count="17">
    <mergeCell ref="J6:M6"/>
    <mergeCell ref="B6:E6"/>
    <mergeCell ref="F6:I6"/>
    <mergeCell ref="L7:M7"/>
    <mergeCell ref="A1:Q1"/>
    <mergeCell ref="A2:Q2"/>
    <mergeCell ref="A3:Q3"/>
    <mergeCell ref="A5:Q5"/>
    <mergeCell ref="B7:C7"/>
    <mergeCell ref="D7:E7"/>
    <mergeCell ref="J7:K7"/>
    <mergeCell ref="N6:Q6"/>
    <mergeCell ref="N7:O7"/>
    <mergeCell ref="P7:Q7"/>
    <mergeCell ref="A4:Q4"/>
    <mergeCell ref="F7:G7"/>
    <mergeCell ref="H7:I7"/>
  </mergeCells>
  <pageMargins left="0.7" right="0.7" top="0.75" bottom="0.75" header="0.3" footer="0.3"/>
  <pageSetup paperSize="9" scale="42" orientation="portrait" r:id="rId1"/>
  <colBreaks count="1" manualBreakCount="1">
    <brk id="17" max="1048575" man="1"/>
  </colBreaks>
  <ignoredErrors>
    <ignoredError sqref="C26 E26 F13 N13:Q13" formula="1"/>
    <ignoredError sqref="Q28 O28" unlockedFormula="1"/>
  </ignoredError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T39"/>
  <sheetViews>
    <sheetView showGridLines="0" zoomScaleNormal="100" workbookViewId="0">
      <selection activeCell="L12" sqref="L12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0.7109375" style="1" bestFit="1" customWidth="1"/>
    <col min="4" max="4" width="12.7109375" style="1" customWidth="1"/>
    <col min="5" max="5" width="12.42578125" style="1" hidden="1" customWidth="1"/>
    <col min="6" max="6" width="8.7109375" style="1" hidden="1" customWidth="1"/>
    <col min="7" max="7" width="0.42578125" style="1" hidden="1" customWidth="1"/>
    <col min="8" max="8" width="11.42578125" style="1" customWidth="1"/>
    <col min="9" max="9" width="14" style="1" bestFit="1" customWidth="1"/>
    <col min="10" max="10" width="13.7109375" style="1" customWidth="1"/>
    <col min="11" max="12" width="10.7109375" style="1" customWidth="1"/>
    <col min="13" max="13" width="14.42578125" style="1" customWidth="1"/>
    <col min="14" max="14" width="11.42578125" style="1" customWidth="1"/>
    <col min="15" max="15" width="20.42578125" style="1" customWidth="1"/>
    <col min="16" max="16" width="35.140625" style="1" customWidth="1"/>
    <col min="17" max="17" width="11.7109375" style="1" bestFit="1" customWidth="1"/>
    <col min="18" max="18" width="18.42578125" style="1" customWidth="1"/>
    <col min="19" max="19" width="16" style="1" bestFit="1" customWidth="1"/>
    <col min="20" max="20" width="11.7109375" style="1" bestFit="1" customWidth="1"/>
    <col min="21" max="16384" width="11.42578125" style="1"/>
  </cols>
  <sheetData>
    <row r="1" spans="1:18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8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18" x14ac:dyDescent="0.25">
      <c r="A3" s="283" t="s">
        <v>162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8" x14ac:dyDescent="0.25">
      <c r="A4" s="283" t="s">
        <v>236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8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18" x14ac:dyDescent="0.25">
      <c r="A6" s="100"/>
      <c r="B6" s="313" t="s">
        <v>231</v>
      </c>
      <c r="C6" s="313"/>
      <c r="D6" s="313"/>
      <c r="E6" s="314" t="s">
        <v>140</v>
      </c>
      <c r="F6" s="314"/>
      <c r="G6" s="314"/>
      <c r="H6" s="317" t="s">
        <v>15</v>
      </c>
      <c r="I6" s="317"/>
      <c r="J6" s="317"/>
      <c r="K6" s="316" t="s">
        <v>16</v>
      </c>
      <c r="L6" s="316"/>
      <c r="M6" s="316"/>
      <c r="N6" s="152"/>
      <c r="O6" s="152"/>
      <c r="P6" s="152"/>
      <c r="Q6" s="152"/>
      <c r="R6" s="152"/>
    </row>
    <row r="7" spans="1:18" ht="39.75" customHeight="1" x14ac:dyDescent="0.25">
      <c r="A7" s="101" t="s">
        <v>1</v>
      </c>
      <c r="B7" s="49" t="s">
        <v>48</v>
      </c>
      <c r="C7" s="49" t="s">
        <v>50</v>
      </c>
      <c r="D7" s="49" t="s">
        <v>19</v>
      </c>
      <c r="E7" s="49" t="s">
        <v>48</v>
      </c>
      <c r="F7" s="49" t="s">
        <v>50</v>
      </c>
      <c r="G7" s="49" t="s">
        <v>19</v>
      </c>
      <c r="H7" s="49" t="s">
        <v>48</v>
      </c>
      <c r="I7" s="49" t="s">
        <v>50</v>
      </c>
      <c r="J7" s="49" t="s">
        <v>19</v>
      </c>
      <c r="K7" s="49" t="s">
        <v>17</v>
      </c>
      <c r="L7" s="49" t="s">
        <v>18</v>
      </c>
      <c r="M7" s="49" t="s">
        <v>19</v>
      </c>
      <c r="N7" s="152"/>
      <c r="O7" s="152"/>
      <c r="P7" s="152"/>
      <c r="Q7" s="152"/>
      <c r="R7" s="152"/>
    </row>
    <row r="8" spans="1:18" ht="15" customHeight="1" x14ac:dyDescent="0.25">
      <c r="A8" s="271" t="s">
        <v>241</v>
      </c>
      <c r="B8" s="254">
        <v>262</v>
      </c>
      <c r="C8" s="254">
        <v>277</v>
      </c>
      <c r="D8" s="141">
        <v>2243229</v>
      </c>
      <c r="E8" s="270"/>
      <c r="F8" s="270"/>
      <c r="G8" s="270"/>
      <c r="H8" s="261">
        <v>185</v>
      </c>
      <c r="I8" s="218">
        <v>185</v>
      </c>
      <c r="J8" s="65">
        <v>1279486.81</v>
      </c>
      <c r="K8" s="272">
        <f>+B8+H8</f>
        <v>447</v>
      </c>
      <c r="L8" s="272">
        <f>+C8+I8</f>
        <v>462</v>
      </c>
      <c r="M8" s="273">
        <f>+D8+J8</f>
        <v>3522715.81</v>
      </c>
      <c r="N8" s="152"/>
      <c r="O8" s="152"/>
      <c r="P8" s="152"/>
      <c r="Q8" s="152"/>
      <c r="R8" s="152"/>
    </row>
    <row r="9" spans="1:18" x14ac:dyDescent="0.25">
      <c r="A9" s="48" t="s">
        <v>91</v>
      </c>
      <c r="B9" s="254">
        <v>267</v>
      </c>
      <c r="C9" s="254">
        <v>286</v>
      </c>
      <c r="D9" s="141">
        <f>14795636.51+1460745.06</f>
        <v>16256381.57</v>
      </c>
      <c r="E9" s="141"/>
      <c r="F9" s="141"/>
      <c r="G9" s="216"/>
      <c r="H9" s="261">
        <v>89</v>
      </c>
      <c r="I9" s="218">
        <v>89</v>
      </c>
      <c r="J9" s="65">
        <f>8486679.41+879372.96</f>
        <v>9366052.370000001</v>
      </c>
      <c r="K9" s="41">
        <f t="shared" ref="K9" si="0">+B9+H9+E9</f>
        <v>356</v>
      </c>
      <c r="L9" s="41">
        <f t="shared" ref="L9" si="1">+C9+I9+F9</f>
        <v>375</v>
      </c>
      <c r="M9" s="41">
        <f t="shared" ref="M9" si="2">+D9+J9+G9</f>
        <v>25622433.940000001</v>
      </c>
      <c r="N9" s="152"/>
      <c r="O9" s="152"/>
      <c r="P9" s="152"/>
      <c r="Q9" s="152"/>
      <c r="R9" s="152"/>
    </row>
    <row r="10" spans="1:18" x14ac:dyDescent="0.25">
      <c r="A10" s="48" t="s">
        <v>90</v>
      </c>
      <c r="B10" s="254">
        <v>336</v>
      </c>
      <c r="C10" s="254">
        <v>356</v>
      </c>
      <c r="D10" s="141">
        <v>23340361.829999998</v>
      </c>
      <c r="E10" s="141"/>
      <c r="F10" s="141"/>
      <c r="G10" s="216"/>
      <c r="H10" s="261">
        <v>114</v>
      </c>
      <c r="I10" s="218">
        <v>114</v>
      </c>
      <c r="J10" s="65">
        <v>12836911.560000001</v>
      </c>
      <c r="K10" s="41">
        <f t="shared" ref="K10:M11" si="3">+B10+H10+E10</f>
        <v>450</v>
      </c>
      <c r="L10" s="41">
        <f t="shared" si="3"/>
        <v>470</v>
      </c>
      <c r="M10" s="41">
        <f t="shared" si="3"/>
        <v>36177273.390000001</v>
      </c>
      <c r="N10" s="152"/>
      <c r="O10" s="152"/>
      <c r="P10" s="152"/>
      <c r="Q10" s="152"/>
      <c r="R10" s="152"/>
    </row>
    <row r="11" spans="1:18" x14ac:dyDescent="0.25">
      <c r="A11" s="48" t="s">
        <v>89</v>
      </c>
      <c r="B11" s="254">
        <v>267</v>
      </c>
      <c r="C11" s="254">
        <v>278</v>
      </c>
      <c r="D11" s="141">
        <v>14977174.34</v>
      </c>
      <c r="E11" s="141"/>
      <c r="F11" s="141"/>
      <c r="G11" s="216"/>
      <c r="H11" s="261">
        <v>94</v>
      </c>
      <c r="I11" s="218">
        <v>94</v>
      </c>
      <c r="J11" s="65">
        <v>11185349</v>
      </c>
      <c r="K11" s="41">
        <f t="shared" si="3"/>
        <v>361</v>
      </c>
      <c r="L11" s="41">
        <f t="shared" si="3"/>
        <v>372</v>
      </c>
      <c r="M11" s="41">
        <f t="shared" si="3"/>
        <v>26162523.34</v>
      </c>
      <c r="N11" s="152"/>
      <c r="O11" s="152"/>
      <c r="P11" s="152"/>
      <c r="Q11" s="152"/>
      <c r="R11" s="152"/>
    </row>
    <row r="12" spans="1:18" x14ac:dyDescent="0.25">
      <c r="A12" s="50" t="s">
        <v>94</v>
      </c>
      <c r="B12" s="43">
        <f>SUM(B8:B11)</f>
        <v>1132</v>
      </c>
      <c r="C12" s="43">
        <f>SUM(C8:C11)</f>
        <v>1197</v>
      </c>
      <c r="D12" s="43">
        <f>SUM(D8:D11)</f>
        <v>56817146.739999995</v>
      </c>
      <c r="E12" s="43">
        <f>SUM(E9:E11)</f>
        <v>0</v>
      </c>
      <c r="F12" s="43">
        <f>SUM(F9:F11)</f>
        <v>0</v>
      </c>
      <c r="G12" s="43">
        <f>SUM(G9:G11)</f>
        <v>0</v>
      </c>
      <c r="H12" s="274">
        <f t="shared" ref="H12:M12" si="4">SUM(H8:H11)</f>
        <v>482</v>
      </c>
      <c r="I12" s="143">
        <f t="shared" si="4"/>
        <v>482</v>
      </c>
      <c r="J12" s="43">
        <f t="shared" si="4"/>
        <v>34667799.740000002</v>
      </c>
      <c r="K12" s="43">
        <f t="shared" si="4"/>
        <v>1614</v>
      </c>
      <c r="L12" s="43">
        <f t="shared" si="4"/>
        <v>1679</v>
      </c>
      <c r="M12" s="43">
        <f t="shared" si="4"/>
        <v>91484946.480000004</v>
      </c>
      <c r="N12" s="152"/>
      <c r="O12" s="152"/>
      <c r="P12" s="152"/>
      <c r="Q12" s="152"/>
      <c r="R12" s="152"/>
    </row>
    <row r="13" spans="1:18" hidden="1" x14ac:dyDescent="0.25">
      <c r="A13" s="48" t="s">
        <v>35</v>
      </c>
      <c r="B13" s="141"/>
      <c r="C13" s="141"/>
      <c r="D13" s="216"/>
      <c r="E13" s="141"/>
      <c r="F13" s="141"/>
      <c r="G13" s="216"/>
      <c r="H13" s="141"/>
      <c r="I13" s="141"/>
      <c r="J13" s="216"/>
      <c r="K13" s="40">
        <f t="shared" ref="K13:M15" si="5">+B13+H13+E13</f>
        <v>0</v>
      </c>
      <c r="L13" s="40">
        <f t="shared" si="5"/>
        <v>0</v>
      </c>
      <c r="M13" s="70">
        <f t="shared" si="5"/>
        <v>0</v>
      </c>
      <c r="N13" s="152"/>
      <c r="O13" s="152"/>
      <c r="P13" s="152"/>
      <c r="Q13" s="152"/>
      <c r="R13" s="152"/>
    </row>
    <row r="14" spans="1:18" hidden="1" x14ac:dyDescent="0.25">
      <c r="A14" s="48" t="s">
        <v>36</v>
      </c>
      <c r="B14" s="141"/>
      <c r="C14" s="141"/>
      <c r="D14" s="216"/>
      <c r="E14" s="141"/>
      <c r="F14" s="141"/>
      <c r="G14" s="216"/>
      <c r="H14" s="141"/>
      <c r="I14" s="141"/>
      <c r="J14" s="216"/>
      <c r="K14" s="40">
        <f t="shared" si="5"/>
        <v>0</v>
      </c>
      <c r="L14" s="40">
        <f t="shared" si="5"/>
        <v>0</v>
      </c>
      <c r="M14" s="70">
        <f t="shared" si="5"/>
        <v>0</v>
      </c>
      <c r="N14" s="152"/>
      <c r="O14" s="152"/>
      <c r="P14" s="152"/>
      <c r="Q14" s="152"/>
      <c r="R14" s="152"/>
    </row>
    <row r="15" spans="1:18" hidden="1" x14ac:dyDescent="0.25">
      <c r="A15" s="48" t="s">
        <v>37</v>
      </c>
      <c r="B15" s="141"/>
      <c r="C15" s="141"/>
      <c r="D15" s="216"/>
      <c r="E15" s="141"/>
      <c r="F15" s="141"/>
      <c r="G15" s="216"/>
      <c r="H15" s="141"/>
      <c r="I15" s="141"/>
      <c r="J15" s="216"/>
      <c r="K15" s="40">
        <f t="shared" si="5"/>
        <v>0</v>
      </c>
      <c r="L15" s="40">
        <f t="shared" si="5"/>
        <v>0</v>
      </c>
      <c r="M15" s="70">
        <f t="shared" si="5"/>
        <v>0</v>
      </c>
      <c r="N15" s="152"/>
      <c r="O15" s="152"/>
      <c r="P15" s="152"/>
      <c r="Q15" s="152"/>
      <c r="R15" s="152"/>
    </row>
    <row r="16" spans="1:18" hidden="1" x14ac:dyDescent="0.25">
      <c r="A16" s="30" t="s">
        <v>130</v>
      </c>
      <c r="B16" s="42">
        <f t="shared" ref="B16:M16" si="6">SUM(B13:B15)</f>
        <v>0</v>
      </c>
      <c r="C16" s="42">
        <f t="shared" si="6"/>
        <v>0</v>
      </c>
      <c r="D16" s="42">
        <f t="shared" si="6"/>
        <v>0</v>
      </c>
      <c r="E16" s="42">
        <f t="shared" ref="E16:J16" si="7">SUM(E13:E15)</f>
        <v>0</v>
      </c>
      <c r="F16" s="42">
        <f t="shared" si="7"/>
        <v>0</v>
      </c>
      <c r="G16" s="42">
        <f t="shared" si="7"/>
        <v>0</v>
      </c>
      <c r="H16" s="42">
        <f t="shared" si="7"/>
        <v>0</v>
      </c>
      <c r="I16" s="42">
        <f t="shared" si="7"/>
        <v>0</v>
      </c>
      <c r="J16" s="42">
        <f t="shared" si="7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152"/>
      <c r="O16" s="152"/>
      <c r="P16" s="152"/>
      <c r="Q16" s="152"/>
      <c r="R16" s="152"/>
    </row>
    <row r="17" spans="1:20" hidden="1" x14ac:dyDescent="0.25">
      <c r="A17" s="48" t="s">
        <v>86</v>
      </c>
      <c r="B17" s="141"/>
      <c r="C17" s="141"/>
      <c r="D17" s="216"/>
      <c r="E17" s="141"/>
      <c r="F17" s="141"/>
      <c r="G17" s="216"/>
      <c r="H17" s="141"/>
      <c r="I17" s="141"/>
      <c r="J17" s="216"/>
      <c r="K17" s="40">
        <f t="shared" ref="K17:M19" si="8">+B17+H17+E17</f>
        <v>0</v>
      </c>
      <c r="L17" s="40">
        <f t="shared" si="8"/>
        <v>0</v>
      </c>
      <c r="M17" s="70">
        <f t="shared" si="8"/>
        <v>0</v>
      </c>
      <c r="N17" s="152"/>
      <c r="O17" s="152"/>
      <c r="P17" s="152"/>
      <c r="Q17" s="152"/>
      <c r="R17" s="152"/>
    </row>
    <row r="18" spans="1:20" hidden="1" x14ac:dyDescent="0.25">
      <c r="A18" s="48" t="s">
        <v>87</v>
      </c>
      <c r="B18" s="141"/>
      <c r="C18" s="141"/>
      <c r="D18" s="216"/>
      <c r="E18" s="141"/>
      <c r="F18" s="141"/>
      <c r="G18" s="216"/>
      <c r="H18" s="141"/>
      <c r="I18" s="141"/>
      <c r="J18" s="216"/>
      <c r="K18" s="40">
        <f t="shared" si="8"/>
        <v>0</v>
      </c>
      <c r="L18" s="40">
        <f t="shared" si="8"/>
        <v>0</v>
      </c>
      <c r="M18" s="70">
        <f t="shared" si="8"/>
        <v>0</v>
      </c>
      <c r="N18" s="152"/>
      <c r="O18" s="152"/>
      <c r="P18" s="152"/>
      <c r="Q18" s="152"/>
      <c r="R18" s="152"/>
    </row>
    <row r="19" spans="1:20" hidden="1" x14ac:dyDescent="0.25">
      <c r="A19" s="48" t="s">
        <v>88</v>
      </c>
      <c r="B19" s="141"/>
      <c r="C19" s="141"/>
      <c r="D19" s="216"/>
      <c r="E19" s="141"/>
      <c r="F19" s="141"/>
      <c r="G19" s="216"/>
      <c r="H19" s="141"/>
      <c r="I19" s="141"/>
      <c r="J19" s="216"/>
      <c r="K19" s="40">
        <f t="shared" si="8"/>
        <v>0</v>
      </c>
      <c r="L19" s="40">
        <f t="shared" si="8"/>
        <v>0</v>
      </c>
      <c r="M19" s="70">
        <f t="shared" si="8"/>
        <v>0</v>
      </c>
      <c r="N19" s="152"/>
      <c r="O19" s="152"/>
      <c r="P19" s="152"/>
      <c r="Q19" s="152"/>
      <c r="R19" s="152"/>
    </row>
    <row r="20" spans="1:20" hidden="1" x14ac:dyDescent="0.25">
      <c r="A20" s="30" t="s">
        <v>93</v>
      </c>
      <c r="B20" s="42">
        <f t="shared" ref="B20:D20" si="9">SUM(B17:B19)</f>
        <v>0</v>
      </c>
      <c r="C20" s="42">
        <f t="shared" si="9"/>
        <v>0</v>
      </c>
      <c r="D20" s="42">
        <f t="shared" si="9"/>
        <v>0</v>
      </c>
      <c r="E20" s="42">
        <f t="shared" ref="E20:M20" si="10">SUM(E17:E19)</f>
        <v>0</v>
      </c>
      <c r="F20" s="42">
        <f t="shared" si="10"/>
        <v>0</v>
      </c>
      <c r="G20" s="42">
        <f t="shared" si="10"/>
        <v>0</v>
      </c>
      <c r="H20" s="42">
        <f>SUM(H17:H19)</f>
        <v>0</v>
      </c>
      <c r="I20" s="42">
        <f>SUM(I17:I19)</f>
        <v>0</v>
      </c>
      <c r="J20" s="42">
        <f>SUM(J17:J19)</f>
        <v>0</v>
      </c>
      <c r="K20" s="42">
        <f t="shared" si="10"/>
        <v>0</v>
      </c>
      <c r="L20" s="42">
        <f t="shared" si="10"/>
        <v>0</v>
      </c>
      <c r="M20" s="42">
        <f t="shared" si="10"/>
        <v>0</v>
      </c>
      <c r="N20" s="152"/>
      <c r="O20" s="152"/>
      <c r="P20" s="152"/>
      <c r="Q20" s="152"/>
      <c r="R20" s="152"/>
    </row>
    <row r="21" spans="1:20" hidden="1" x14ac:dyDescent="0.25">
      <c r="A21" s="48" t="s">
        <v>89</v>
      </c>
      <c r="B21" s="141"/>
      <c r="C21" s="141"/>
      <c r="D21" s="216"/>
      <c r="E21" s="141"/>
      <c r="F21" s="141"/>
      <c r="G21" s="216"/>
      <c r="H21" s="141"/>
      <c r="I21" s="141"/>
      <c r="J21" s="216"/>
      <c r="K21" s="40">
        <f t="shared" ref="K21:M23" si="11">+B21+H21+E21</f>
        <v>0</v>
      </c>
      <c r="L21" s="40">
        <f t="shared" si="11"/>
        <v>0</v>
      </c>
      <c r="M21" s="70">
        <f t="shared" si="11"/>
        <v>0</v>
      </c>
      <c r="N21" s="152"/>
      <c r="O21" s="152"/>
      <c r="P21" s="152"/>
      <c r="Q21" s="152"/>
      <c r="R21" s="152"/>
    </row>
    <row r="22" spans="1:20" hidden="1" x14ac:dyDescent="0.25">
      <c r="A22" s="48" t="s">
        <v>90</v>
      </c>
      <c r="B22" s="141"/>
      <c r="C22" s="141"/>
      <c r="D22" s="216"/>
      <c r="E22" s="141"/>
      <c r="F22" s="141"/>
      <c r="G22" s="216"/>
      <c r="H22" s="141"/>
      <c r="I22" s="141"/>
      <c r="J22" s="216"/>
      <c r="K22" s="40">
        <f t="shared" si="11"/>
        <v>0</v>
      </c>
      <c r="L22" s="40">
        <f t="shared" si="11"/>
        <v>0</v>
      </c>
      <c r="M22" s="70">
        <f t="shared" si="11"/>
        <v>0</v>
      </c>
      <c r="N22" s="152"/>
      <c r="O22" s="152"/>
      <c r="P22" s="152"/>
      <c r="Q22" s="152"/>
      <c r="R22" s="152"/>
    </row>
    <row r="23" spans="1:20" hidden="1" x14ac:dyDescent="0.25">
      <c r="A23" s="48" t="s">
        <v>128</v>
      </c>
      <c r="B23" s="141"/>
      <c r="C23" s="141"/>
      <c r="D23" s="216"/>
      <c r="E23" s="141"/>
      <c r="F23" s="141"/>
      <c r="G23" s="216"/>
      <c r="H23" s="141"/>
      <c r="I23" s="141"/>
      <c r="J23" s="216"/>
      <c r="K23" s="40">
        <f t="shared" si="11"/>
        <v>0</v>
      </c>
      <c r="L23" s="40">
        <f t="shared" si="11"/>
        <v>0</v>
      </c>
      <c r="M23" s="70">
        <f t="shared" si="11"/>
        <v>0</v>
      </c>
      <c r="N23" s="152"/>
      <c r="O23" s="152"/>
      <c r="P23" s="152"/>
      <c r="Q23" s="152"/>
      <c r="R23" s="152"/>
    </row>
    <row r="24" spans="1:20" hidden="1" x14ac:dyDescent="0.25">
      <c r="A24" s="30" t="s">
        <v>94</v>
      </c>
      <c r="B24" s="42">
        <f t="shared" ref="B24:M24" si="12">SUM(B21:B23)</f>
        <v>0</v>
      </c>
      <c r="C24" s="42">
        <f t="shared" si="12"/>
        <v>0</v>
      </c>
      <c r="D24" s="42">
        <f t="shared" si="12"/>
        <v>0</v>
      </c>
      <c r="E24" s="42">
        <f t="shared" ref="E24:J24" si="13">SUM(E21:E23)</f>
        <v>0</v>
      </c>
      <c r="F24" s="42">
        <f t="shared" si="13"/>
        <v>0</v>
      </c>
      <c r="G24" s="42">
        <f t="shared" si="13"/>
        <v>0</v>
      </c>
      <c r="H24" s="42">
        <f t="shared" si="13"/>
        <v>0</v>
      </c>
      <c r="I24" s="42">
        <f t="shared" si="13"/>
        <v>0</v>
      </c>
      <c r="J24" s="42">
        <f t="shared" si="13"/>
        <v>0</v>
      </c>
      <c r="K24" s="42">
        <f t="shared" si="12"/>
        <v>0</v>
      </c>
      <c r="L24" s="42">
        <f t="shared" si="12"/>
        <v>0</v>
      </c>
      <c r="M24" s="42">
        <f t="shared" si="12"/>
        <v>0</v>
      </c>
      <c r="N24" s="152"/>
      <c r="O24" s="152"/>
      <c r="P24" s="152"/>
      <c r="Q24" s="152"/>
      <c r="R24" s="152"/>
    </row>
    <row r="25" spans="1:20" hidden="1" x14ac:dyDescent="0.25">
      <c r="A25" s="76" t="s">
        <v>9</v>
      </c>
      <c r="B25" s="44">
        <f t="shared" ref="B25:K25" si="14">+B12+B16+B20+B24</f>
        <v>1132</v>
      </c>
      <c r="C25" s="44">
        <f t="shared" si="14"/>
        <v>1197</v>
      </c>
      <c r="D25" s="44">
        <f t="shared" si="14"/>
        <v>56817146.739999995</v>
      </c>
      <c r="E25" s="44">
        <f t="shared" si="14"/>
        <v>0</v>
      </c>
      <c r="F25" s="44">
        <f t="shared" si="14"/>
        <v>0</v>
      </c>
      <c r="G25" s="44">
        <f t="shared" si="14"/>
        <v>0</v>
      </c>
      <c r="H25" s="44">
        <f t="shared" si="14"/>
        <v>482</v>
      </c>
      <c r="I25" s="44">
        <f t="shared" si="14"/>
        <v>482</v>
      </c>
      <c r="J25" s="44">
        <f t="shared" si="14"/>
        <v>34667799.740000002</v>
      </c>
      <c r="K25" s="44">
        <f t="shared" si="14"/>
        <v>1614</v>
      </c>
      <c r="L25" s="44">
        <f t="shared" ref="L25:M25" si="15">+L12+L16+L20+L24</f>
        <v>1679</v>
      </c>
      <c r="M25" s="44">
        <f t="shared" si="15"/>
        <v>91484946.480000004</v>
      </c>
      <c r="N25" s="152"/>
      <c r="O25" s="152"/>
      <c r="P25" s="152"/>
      <c r="Q25" s="152"/>
      <c r="R25" s="152"/>
    </row>
    <row r="26" spans="1:20" hidden="1" x14ac:dyDescent="0.25">
      <c r="A26" s="219" t="s">
        <v>129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20" x14ac:dyDescent="0.25">
      <c r="A27" s="161" t="s">
        <v>175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</row>
    <row r="28" spans="1:20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20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15"/>
      <c r="O29" s="152"/>
      <c r="P29" s="152"/>
      <c r="Q29" s="152"/>
      <c r="R29" s="152"/>
    </row>
    <row r="30" spans="1:20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215"/>
      <c r="O30" s="152"/>
      <c r="P30" s="152"/>
      <c r="Q30" s="152"/>
      <c r="R30" s="152"/>
    </row>
    <row r="31" spans="1:20" x14ac:dyDescent="0.25">
      <c r="A31" s="48"/>
      <c r="B31" s="186"/>
      <c r="C31" s="186"/>
      <c r="D31" s="141"/>
      <c r="E31" s="141"/>
      <c r="F31" s="141"/>
      <c r="G31" s="216"/>
      <c r="H31" s="217"/>
      <c r="I31" s="218"/>
      <c r="J31" s="141"/>
      <c r="K31" s="41"/>
      <c r="L31" s="41"/>
      <c r="M31" s="41"/>
    </row>
    <row r="32" spans="1:20" x14ac:dyDescent="0.25">
      <c r="N32" s="39"/>
      <c r="Q32" s="56"/>
      <c r="R32" s="68"/>
      <c r="S32" s="57"/>
      <c r="T32" s="69"/>
    </row>
    <row r="33" spans="1:20" x14ac:dyDescent="0.25">
      <c r="A33" s="48"/>
      <c r="B33" s="186"/>
      <c r="C33" s="186"/>
      <c r="D33" s="141"/>
      <c r="E33" s="141"/>
      <c r="F33" s="141"/>
      <c r="G33" s="216"/>
      <c r="H33" s="217"/>
      <c r="I33" s="218"/>
      <c r="J33" s="141"/>
      <c r="K33" s="41"/>
      <c r="L33" s="41"/>
      <c r="M33" s="41"/>
      <c r="Q33" s="56"/>
      <c r="R33" s="68"/>
      <c r="S33" s="57"/>
      <c r="T33" s="69"/>
    </row>
    <row r="34" spans="1:20" x14ac:dyDescent="0.25">
      <c r="Q34" s="56"/>
      <c r="R34" s="68"/>
      <c r="S34" s="57"/>
      <c r="T34" s="69"/>
    </row>
    <row r="35" spans="1:20" x14ac:dyDescent="0.25">
      <c r="Q35" s="56"/>
      <c r="R35" s="68"/>
      <c r="S35" s="57"/>
      <c r="T35" s="69"/>
    </row>
    <row r="36" spans="1:20" x14ac:dyDescent="0.25">
      <c r="Q36" s="56"/>
      <c r="R36" s="68"/>
      <c r="S36" s="57"/>
      <c r="T36" s="69"/>
    </row>
    <row r="37" spans="1:20" x14ac:dyDescent="0.25">
      <c r="Q37" s="56"/>
      <c r="R37" s="68"/>
      <c r="S37" s="57"/>
      <c r="T37" s="69"/>
    </row>
    <row r="38" spans="1:20" x14ac:dyDescent="0.25">
      <c r="Q38" s="56"/>
      <c r="R38" s="68"/>
      <c r="S38" s="57"/>
      <c r="T38" s="69"/>
    </row>
    <row r="39" spans="1:20" x14ac:dyDescent="0.25">
      <c r="Q39" s="56"/>
      <c r="R39" s="68"/>
      <c r="S39" s="57"/>
      <c r="T39" s="69"/>
    </row>
  </sheetData>
  <mergeCells count="9"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73" orientation="portrait" r:id="rId1"/>
  <rowBreaks count="1" manualBreakCount="1">
    <brk id="45" max="9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P39"/>
  <sheetViews>
    <sheetView showGridLines="0" workbookViewId="0">
      <selection activeCell="F8" sqref="F8:G10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83" t="s">
        <v>6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</row>
    <row r="3" spans="1:9" x14ac:dyDescent="0.25">
      <c r="A3" s="283" t="s">
        <v>167</v>
      </c>
      <c r="B3" s="283"/>
      <c r="C3" s="283"/>
      <c r="D3" s="283"/>
      <c r="E3" s="283"/>
      <c r="F3" s="283"/>
      <c r="G3" s="283"/>
      <c r="H3" s="283"/>
      <c r="I3" s="283"/>
    </row>
    <row r="4" spans="1:9" x14ac:dyDescent="0.25">
      <c r="A4" s="283" t="s">
        <v>219</v>
      </c>
      <c r="B4" s="283"/>
      <c r="C4" s="283"/>
      <c r="D4" s="283"/>
      <c r="E4" s="283"/>
      <c r="F4" s="283"/>
      <c r="G4" s="283"/>
      <c r="H4" s="283"/>
      <c r="I4" s="283"/>
    </row>
    <row r="5" spans="1:9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</row>
    <row r="6" spans="1:9" x14ac:dyDescent="0.25">
      <c r="A6" s="100"/>
      <c r="B6" s="313" t="s">
        <v>14</v>
      </c>
      <c r="C6" s="313"/>
      <c r="D6" s="317" t="s">
        <v>15</v>
      </c>
      <c r="E6" s="317"/>
      <c r="F6" s="314" t="s">
        <v>140</v>
      </c>
      <c r="G6" s="314"/>
      <c r="H6" s="316" t="s">
        <v>16</v>
      </c>
      <c r="I6" s="316"/>
    </row>
    <row r="7" spans="1:9" ht="34.5" customHeight="1" x14ac:dyDescent="0.25">
      <c r="A7" s="101" t="s">
        <v>1</v>
      </c>
      <c r="B7" s="49" t="s">
        <v>168</v>
      </c>
      <c r="C7" s="49" t="s">
        <v>19</v>
      </c>
      <c r="D7" s="49" t="s">
        <v>168</v>
      </c>
      <c r="E7" s="49" t="s">
        <v>19</v>
      </c>
      <c r="F7" s="49" t="s">
        <v>168</v>
      </c>
      <c r="G7" s="49" t="s">
        <v>19</v>
      </c>
      <c r="H7" s="49" t="s">
        <v>168</v>
      </c>
      <c r="I7" s="49" t="s">
        <v>19</v>
      </c>
    </row>
    <row r="8" spans="1:9" x14ac:dyDescent="0.25">
      <c r="A8" s="48" t="s">
        <v>35</v>
      </c>
      <c r="B8" s="35">
        <v>0</v>
      </c>
      <c r="C8" s="65">
        <v>0</v>
      </c>
      <c r="D8" s="35">
        <v>0</v>
      </c>
      <c r="E8" s="65">
        <v>0</v>
      </c>
      <c r="F8" s="35">
        <v>0</v>
      </c>
      <c r="G8" s="65">
        <v>0</v>
      </c>
      <c r="H8" s="40">
        <f t="shared" ref="H8:I10" si="0">+B8+D8+F8</f>
        <v>0</v>
      </c>
      <c r="I8" s="70">
        <f t="shared" si="0"/>
        <v>0</v>
      </c>
    </row>
    <row r="9" spans="1:9" x14ac:dyDescent="0.25">
      <c r="A9" s="48" t="s">
        <v>36</v>
      </c>
      <c r="B9" s="35">
        <f>4+28+31</f>
        <v>63</v>
      </c>
      <c r="C9" s="65">
        <f>30992+216880.44+240467.76</f>
        <v>488340.2</v>
      </c>
      <c r="D9" s="35">
        <v>3</v>
      </c>
      <c r="E9" s="65">
        <v>224872.69</v>
      </c>
      <c r="F9" s="35">
        <f>2+12</f>
        <v>14</v>
      </c>
      <c r="G9" s="65">
        <f>12000+72000</f>
        <v>84000</v>
      </c>
      <c r="H9" s="40">
        <f t="shared" si="0"/>
        <v>80</v>
      </c>
      <c r="I9" s="70">
        <f t="shared" si="0"/>
        <v>797212.89</v>
      </c>
    </row>
    <row r="10" spans="1:9" x14ac:dyDescent="0.25">
      <c r="A10" s="48" t="s">
        <v>37</v>
      </c>
      <c r="B10" s="35">
        <v>1413</v>
      </c>
      <c r="C10" s="65">
        <v>11172621.32</v>
      </c>
      <c r="D10" s="35">
        <v>34</v>
      </c>
      <c r="E10" s="65">
        <v>278309.3</v>
      </c>
      <c r="F10" s="35">
        <v>1549</v>
      </c>
      <c r="G10" s="65">
        <v>9294000</v>
      </c>
      <c r="H10" s="40">
        <f t="shared" si="0"/>
        <v>2996</v>
      </c>
      <c r="I10" s="40">
        <f t="shared" si="0"/>
        <v>20744930.620000001</v>
      </c>
    </row>
    <row r="11" spans="1:9" x14ac:dyDescent="0.25">
      <c r="A11" s="30" t="s">
        <v>130</v>
      </c>
      <c r="B11" s="42">
        <f t="shared" ref="B11:I11" si="1">SUM(B8:B10)</f>
        <v>1476</v>
      </c>
      <c r="C11" s="42">
        <f t="shared" si="1"/>
        <v>11660961.52</v>
      </c>
      <c r="D11" s="42">
        <f t="shared" si="1"/>
        <v>37</v>
      </c>
      <c r="E11" s="42">
        <f t="shared" si="1"/>
        <v>503181.99</v>
      </c>
      <c r="F11" s="42">
        <f>SUM(F8:F10)</f>
        <v>1563</v>
      </c>
      <c r="G11" s="42">
        <f t="shared" ref="G11" si="2">SUM(G8:G10)</f>
        <v>9378000</v>
      </c>
      <c r="H11" s="42">
        <f>SUM(H8:H10)</f>
        <v>3076</v>
      </c>
      <c r="I11" s="42">
        <f t="shared" si="1"/>
        <v>21542143.510000002</v>
      </c>
    </row>
    <row r="12" spans="1:9" hidden="1" x14ac:dyDescent="0.25">
      <c r="A12" s="48" t="s">
        <v>35</v>
      </c>
      <c r="B12" s="35"/>
      <c r="C12" s="65"/>
      <c r="D12" s="35"/>
      <c r="E12" s="65"/>
      <c r="F12" s="35"/>
      <c r="G12" s="65"/>
      <c r="H12" s="40">
        <f t="shared" ref="H12:I14" si="3">+B12+D12+F12</f>
        <v>0</v>
      </c>
      <c r="I12" s="70">
        <f t="shared" si="3"/>
        <v>0</v>
      </c>
    </row>
    <row r="13" spans="1:9" hidden="1" x14ac:dyDescent="0.25">
      <c r="A13" s="48" t="s">
        <v>36</v>
      </c>
      <c r="B13" s="35"/>
      <c r="C13" s="65"/>
      <c r="D13" s="35"/>
      <c r="E13" s="65"/>
      <c r="F13" s="35"/>
      <c r="G13" s="65"/>
      <c r="H13" s="40">
        <f t="shared" si="3"/>
        <v>0</v>
      </c>
      <c r="I13" s="70">
        <f t="shared" si="3"/>
        <v>0</v>
      </c>
    </row>
    <row r="14" spans="1:9" hidden="1" x14ac:dyDescent="0.25">
      <c r="A14" s="48" t="s">
        <v>37</v>
      </c>
      <c r="B14" s="35"/>
      <c r="C14" s="65"/>
      <c r="D14" s="35"/>
      <c r="E14" s="65"/>
      <c r="F14" s="35"/>
      <c r="G14" s="65"/>
      <c r="H14" s="40">
        <f t="shared" si="3"/>
        <v>0</v>
      </c>
      <c r="I14" s="70">
        <f t="shared" si="3"/>
        <v>0</v>
      </c>
    </row>
    <row r="15" spans="1:9" hidden="1" x14ac:dyDescent="0.25">
      <c r="A15" s="30" t="s">
        <v>130</v>
      </c>
      <c r="B15" s="42">
        <f t="shared" ref="B15:I15" si="4">SUM(B12:B14)</f>
        <v>0</v>
      </c>
      <c r="C15" s="42">
        <f t="shared" si="4"/>
        <v>0</v>
      </c>
      <c r="D15" s="42">
        <f t="shared" si="4"/>
        <v>0</v>
      </c>
      <c r="E15" s="42">
        <f t="shared" si="4"/>
        <v>0</v>
      </c>
      <c r="F15" s="42">
        <f t="shared" ref="F15:G15" si="5">SUM(F12:F14)</f>
        <v>0</v>
      </c>
      <c r="G15" s="42">
        <f t="shared" si="5"/>
        <v>0</v>
      </c>
      <c r="H15" s="42">
        <f t="shared" si="4"/>
        <v>0</v>
      </c>
      <c r="I15" s="42">
        <f t="shared" si="4"/>
        <v>0</v>
      </c>
    </row>
    <row r="16" spans="1:9" hidden="1" x14ac:dyDescent="0.25">
      <c r="A16" s="48" t="s">
        <v>86</v>
      </c>
      <c r="B16" s="35"/>
      <c r="C16" s="65"/>
      <c r="D16" s="35"/>
      <c r="E16" s="65"/>
      <c r="F16" s="35"/>
      <c r="G16" s="65"/>
      <c r="H16" s="40">
        <f t="shared" ref="H16:I18" si="6">+B16+D16+F16</f>
        <v>0</v>
      </c>
      <c r="I16" s="70">
        <f t="shared" si="6"/>
        <v>0</v>
      </c>
    </row>
    <row r="17" spans="1:16" hidden="1" x14ac:dyDescent="0.25">
      <c r="A17" s="48" t="s">
        <v>87</v>
      </c>
      <c r="B17" s="35"/>
      <c r="C17" s="65"/>
      <c r="D17" s="35"/>
      <c r="E17" s="65"/>
      <c r="F17" s="35"/>
      <c r="G17" s="65"/>
      <c r="H17" s="40">
        <f t="shared" si="6"/>
        <v>0</v>
      </c>
      <c r="I17" s="70">
        <f t="shared" si="6"/>
        <v>0</v>
      </c>
    </row>
    <row r="18" spans="1:16" hidden="1" x14ac:dyDescent="0.25">
      <c r="A18" s="48" t="s">
        <v>88</v>
      </c>
      <c r="B18" s="35"/>
      <c r="C18" s="65"/>
      <c r="D18" s="35"/>
      <c r="E18" s="65"/>
      <c r="F18" s="35"/>
      <c r="G18" s="65"/>
      <c r="H18" s="40">
        <f t="shared" si="6"/>
        <v>0</v>
      </c>
      <c r="I18" s="70">
        <f t="shared" si="6"/>
        <v>0</v>
      </c>
    </row>
    <row r="19" spans="1:16" hidden="1" x14ac:dyDescent="0.25">
      <c r="A19" s="30" t="s">
        <v>93</v>
      </c>
      <c r="B19" s="42">
        <f t="shared" ref="B19:E19" si="7">SUM(B16:B18)</f>
        <v>0</v>
      </c>
      <c r="C19" s="42">
        <f t="shared" si="7"/>
        <v>0</v>
      </c>
      <c r="D19" s="42">
        <f t="shared" si="7"/>
        <v>0</v>
      </c>
      <c r="E19" s="42">
        <f t="shared" si="7"/>
        <v>0</v>
      </c>
      <c r="F19" s="42">
        <f t="shared" ref="F19:G19" si="8">SUM(F16:F18)</f>
        <v>0</v>
      </c>
      <c r="G19" s="42">
        <f t="shared" si="8"/>
        <v>0</v>
      </c>
      <c r="H19" s="42">
        <f>SUM(H16:H18)</f>
        <v>0</v>
      </c>
      <c r="I19" s="42">
        <f>SUM(I16:I18)</f>
        <v>0</v>
      </c>
    </row>
    <row r="20" spans="1:16" hidden="1" x14ac:dyDescent="0.25">
      <c r="A20" s="34" t="s">
        <v>89</v>
      </c>
      <c r="B20" s="35"/>
      <c r="C20" s="65"/>
      <c r="D20" s="35"/>
      <c r="E20" s="65"/>
      <c r="F20" s="35"/>
      <c r="G20" s="65"/>
      <c r="H20" s="40">
        <f t="shared" ref="H20:I22" si="9">+B20+D20+F20</f>
        <v>0</v>
      </c>
      <c r="I20" s="70">
        <f t="shared" si="9"/>
        <v>0</v>
      </c>
    </row>
    <row r="21" spans="1:16" hidden="1" x14ac:dyDescent="0.25">
      <c r="A21" s="34" t="s">
        <v>90</v>
      </c>
      <c r="B21" s="35"/>
      <c r="C21" s="65"/>
      <c r="D21" s="35"/>
      <c r="E21" s="65"/>
      <c r="F21" s="35"/>
      <c r="G21" s="65"/>
      <c r="H21" s="40">
        <f t="shared" si="9"/>
        <v>0</v>
      </c>
      <c r="I21" s="70">
        <f t="shared" si="9"/>
        <v>0</v>
      </c>
    </row>
    <row r="22" spans="1:16" hidden="1" x14ac:dyDescent="0.25">
      <c r="A22" s="34" t="s">
        <v>91</v>
      </c>
      <c r="B22" s="35"/>
      <c r="C22" s="65"/>
      <c r="D22" s="35"/>
      <c r="E22" s="65"/>
      <c r="F22" s="35"/>
      <c r="G22" s="65"/>
      <c r="H22" s="40">
        <f t="shared" si="9"/>
        <v>0</v>
      </c>
      <c r="I22" s="70">
        <f t="shared" si="9"/>
        <v>0</v>
      </c>
    </row>
    <row r="23" spans="1:16" hidden="1" x14ac:dyDescent="0.25">
      <c r="A23" s="12" t="s">
        <v>94</v>
      </c>
      <c r="B23" s="42">
        <f t="shared" ref="B23:I23" si="10">SUM(B20:B22)</f>
        <v>0</v>
      </c>
      <c r="C23" s="42">
        <f t="shared" si="10"/>
        <v>0</v>
      </c>
      <c r="D23" s="42">
        <f t="shared" si="10"/>
        <v>0</v>
      </c>
      <c r="E23" s="42">
        <f t="shared" si="10"/>
        <v>0</v>
      </c>
      <c r="F23" s="42">
        <f t="shared" ref="F23:G23" si="11">SUM(F20:F22)</f>
        <v>0</v>
      </c>
      <c r="G23" s="42">
        <f t="shared" si="11"/>
        <v>0</v>
      </c>
      <c r="H23" s="42">
        <f t="shared" si="10"/>
        <v>0</v>
      </c>
      <c r="I23" s="42">
        <f t="shared" si="10"/>
        <v>0</v>
      </c>
    </row>
    <row r="24" spans="1:16" hidden="1" x14ac:dyDescent="0.25">
      <c r="A24" s="66" t="s">
        <v>9</v>
      </c>
      <c r="B24" s="44">
        <f>+B11+B15+B19+B23</f>
        <v>1476</v>
      </c>
      <c r="C24" s="44">
        <f>+C11+C15+C19+C23</f>
        <v>11660961.52</v>
      </c>
      <c r="D24" s="44">
        <f t="shared" ref="D24:I24" si="12">+D11+D15+D19+D23</f>
        <v>37</v>
      </c>
      <c r="E24" s="44">
        <f t="shared" si="12"/>
        <v>503181.99</v>
      </c>
      <c r="F24" s="44">
        <f t="shared" si="12"/>
        <v>1563</v>
      </c>
      <c r="G24" s="44">
        <f t="shared" si="12"/>
        <v>9378000</v>
      </c>
      <c r="H24" s="44">
        <f>+H11+H15+H19+H23</f>
        <v>3076</v>
      </c>
      <c r="I24" s="44">
        <f t="shared" si="12"/>
        <v>21542143.510000002</v>
      </c>
    </row>
    <row r="25" spans="1:16" hidden="1" x14ac:dyDescent="0.25">
      <c r="A25" s="67" t="s">
        <v>169</v>
      </c>
    </row>
    <row r="26" spans="1:16" x14ac:dyDescent="0.25">
      <c r="A26" s="15" t="s">
        <v>175</v>
      </c>
      <c r="E26" s="39"/>
      <c r="G26" s="39"/>
    </row>
    <row r="32" spans="1:16" x14ac:dyDescent="0.25">
      <c r="M32" s="56">
        <v>32154</v>
      </c>
      <c r="N32" s="68" t="e">
        <f t="shared" ref="N32:N39" si="13">M32/$B$29*100</f>
        <v>#DIV/0!</v>
      </c>
      <c r="O32" s="57">
        <v>386810064.19999999</v>
      </c>
      <c r="P32" s="69" t="e">
        <f>O32/O40*100</f>
        <v>#DIV/0!</v>
      </c>
    </row>
    <row r="33" spans="13:16" x14ac:dyDescent="0.25">
      <c r="M33" s="56">
        <v>56199</v>
      </c>
      <c r="N33" s="68" t="e">
        <f t="shared" si="13"/>
        <v>#DIV/0!</v>
      </c>
      <c r="O33" s="57">
        <v>471111842.94</v>
      </c>
      <c r="P33" s="69" t="e">
        <f>O33/O40*100</f>
        <v>#DIV/0!</v>
      </c>
    </row>
    <row r="34" spans="13:16" x14ac:dyDescent="0.25">
      <c r="M34" s="56">
        <v>297</v>
      </c>
      <c r="N34" s="68" t="e">
        <f t="shared" si="13"/>
        <v>#DIV/0!</v>
      </c>
      <c r="O34" s="57">
        <v>5010228</v>
      </c>
      <c r="P34" s="69" t="e">
        <f>O34/O40*100</f>
        <v>#DIV/0!</v>
      </c>
    </row>
    <row r="35" spans="13:16" x14ac:dyDescent="0.25">
      <c r="M35" s="56">
        <v>163</v>
      </c>
      <c r="N35" s="68" t="e">
        <f t="shared" si="13"/>
        <v>#DIV/0!</v>
      </c>
      <c r="O35" s="57">
        <v>4392328.91</v>
      </c>
      <c r="P35" s="69" t="e">
        <f>O35/O40*100</f>
        <v>#DIV/0!</v>
      </c>
    </row>
    <row r="36" spans="13:16" x14ac:dyDescent="0.25">
      <c r="M36" s="56">
        <v>366</v>
      </c>
      <c r="N36" s="68" t="e">
        <f t="shared" si="13"/>
        <v>#DIV/0!</v>
      </c>
      <c r="O36" s="57">
        <v>9034522.6500000004</v>
      </c>
      <c r="P36" s="69" t="e">
        <f>O36/O40*100</f>
        <v>#DIV/0!</v>
      </c>
    </row>
    <row r="37" spans="13:16" x14ac:dyDescent="0.25">
      <c r="M37" s="56">
        <v>17249</v>
      </c>
      <c r="N37" s="68" t="e">
        <f t="shared" si="13"/>
        <v>#DIV/0!</v>
      </c>
      <c r="O37" s="57">
        <v>405400068.69</v>
      </c>
      <c r="P37" s="69" t="e">
        <f>O37/O40*100</f>
        <v>#DIV/0!</v>
      </c>
    </row>
    <row r="38" spans="13:16" x14ac:dyDescent="0.25">
      <c r="M38" s="56">
        <v>18745</v>
      </c>
      <c r="N38" s="68" t="e">
        <f t="shared" si="13"/>
        <v>#DIV/0!</v>
      </c>
      <c r="O38" s="57">
        <v>369724631.60000002</v>
      </c>
      <c r="P38" s="69" t="e">
        <f>O38/O40*100</f>
        <v>#DIV/0!</v>
      </c>
    </row>
    <row r="39" spans="13:16" x14ac:dyDescent="0.25">
      <c r="M39" s="56">
        <v>15130</v>
      </c>
      <c r="N39" s="68" t="e">
        <f t="shared" si="13"/>
        <v>#DIV/0!</v>
      </c>
      <c r="O39" s="57">
        <v>151015428.50999999</v>
      </c>
      <c r="P39" s="69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P39"/>
  <sheetViews>
    <sheetView showGridLines="0" workbookViewId="0">
      <selection activeCell="B27" sqref="B27"/>
    </sheetView>
  </sheetViews>
  <sheetFormatPr baseColWidth="10" defaultColWidth="11.42578125" defaultRowHeight="15" x14ac:dyDescent="0.25"/>
  <cols>
    <col min="1" max="1" width="11.42578125" style="1"/>
    <col min="2" max="2" width="11" style="1" customWidth="1"/>
    <col min="3" max="3" width="14.140625" style="1" customWidth="1"/>
    <col min="4" max="4" width="12.42578125" style="1" customWidth="1"/>
    <col min="5" max="5" width="17.7109375" style="1" bestFit="1" customWidth="1"/>
    <col min="6" max="6" width="12.42578125" style="1" customWidth="1"/>
    <col min="7" max="7" width="16.140625" style="1" bestFit="1" customWidth="1"/>
    <col min="8" max="8" width="10.7109375" style="1" customWidth="1"/>
    <col min="9" max="9" width="15.28515625" style="1" bestFit="1" customWidth="1"/>
    <col min="10" max="10" width="11.42578125" style="1" customWidth="1"/>
    <col min="11" max="12" width="11.42578125" style="1"/>
    <col min="13" max="14" width="11.7109375" style="1" bestFit="1" customWidth="1"/>
    <col min="15" max="15" width="16" style="1" bestFit="1" customWidth="1"/>
    <col min="16" max="16" width="11.7109375" style="1" bestFit="1" customWidth="1"/>
    <col min="17" max="16384" width="11.42578125" style="1"/>
  </cols>
  <sheetData>
    <row r="1" spans="1:9" x14ac:dyDescent="0.25">
      <c r="A1" s="283" t="s">
        <v>6</v>
      </c>
      <c r="B1" s="283"/>
      <c r="C1" s="283"/>
      <c r="D1" s="283"/>
      <c r="E1" s="283"/>
      <c r="F1" s="283"/>
      <c r="G1" s="283"/>
      <c r="H1" s="283"/>
      <c r="I1" s="283"/>
    </row>
    <row r="2" spans="1:9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</row>
    <row r="3" spans="1:9" x14ac:dyDescent="0.25">
      <c r="A3" s="283" t="s">
        <v>170</v>
      </c>
      <c r="B3" s="283"/>
      <c r="C3" s="283"/>
      <c r="D3" s="283"/>
      <c r="E3" s="283"/>
      <c r="F3" s="283"/>
      <c r="G3" s="283"/>
      <c r="H3" s="283"/>
      <c r="I3" s="283"/>
    </row>
    <row r="4" spans="1:9" x14ac:dyDescent="0.25">
      <c r="A4" s="283" t="s">
        <v>166</v>
      </c>
      <c r="B4" s="283"/>
      <c r="C4" s="283"/>
      <c r="D4" s="283"/>
      <c r="E4" s="283"/>
      <c r="F4" s="283"/>
      <c r="G4" s="283"/>
      <c r="H4" s="283"/>
      <c r="I4" s="283"/>
    </row>
    <row r="5" spans="1:9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</row>
    <row r="6" spans="1:9" x14ac:dyDescent="0.25">
      <c r="A6" s="100"/>
      <c r="B6" s="313" t="s">
        <v>14</v>
      </c>
      <c r="C6" s="313"/>
      <c r="D6" s="317" t="s">
        <v>15</v>
      </c>
      <c r="E6" s="317"/>
      <c r="F6" s="314" t="s">
        <v>140</v>
      </c>
      <c r="G6" s="314"/>
      <c r="H6" s="316" t="s">
        <v>16</v>
      </c>
      <c r="I6" s="316"/>
    </row>
    <row r="7" spans="1:9" ht="34.5" customHeight="1" x14ac:dyDescent="0.25">
      <c r="A7" s="101" t="s">
        <v>1</v>
      </c>
      <c r="B7" s="49" t="s">
        <v>171</v>
      </c>
      <c r="C7" s="49" t="s">
        <v>19</v>
      </c>
      <c r="D7" s="49" t="s">
        <v>171</v>
      </c>
      <c r="E7" s="49" t="s">
        <v>19</v>
      </c>
      <c r="F7" s="49" t="s">
        <v>171</v>
      </c>
      <c r="G7" s="49" t="s">
        <v>19</v>
      </c>
      <c r="H7" s="49" t="s">
        <v>171</v>
      </c>
      <c r="I7" s="49" t="s">
        <v>19</v>
      </c>
    </row>
    <row r="8" spans="1:9" x14ac:dyDescent="0.25">
      <c r="A8" s="48" t="s">
        <v>35</v>
      </c>
      <c r="B8" s="35">
        <v>0</v>
      </c>
      <c r="C8" s="65">
        <v>0</v>
      </c>
      <c r="D8" s="35">
        <v>0</v>
      </c>
      <c r="E8" s="65">
        <v>0</v>
      </c>
      <c r="F8" s="35">
        <v>0</v>
      </c>
      <c r="G8" s="65">
        <v>0</v>
      </c>
      <c r="H8" s="40">
        <f t="shared" ref="H8:I10" si="0">+B8+D8+F8</f>
        <v>0</v>
      </c>
      <c r="I8" s="70">
        <f t="shared" si="0"/>
        <v>0</v>
      </c>
    </row>
    <row r="9" spans="1:9" x14ac:dyDescent="0.25">
      <c r="A9" s="48" t="s">
        <v>36</v>
      </c>
      <c r="B9" s="35">
        <v>36</v>
      </c>
      <c r="C9" s="65">
        <v>386001.61</v>
      </c>
      <c r="D9" s="35">
        <v>2</v>
      </c>
      <c r="E9" s="65">
        <v>16030.61</v>
      </c>
      <c r="F9" s="35">
        <v>2</v>
      </c>
      <c r="G9" s="65">
        <v>12000</v>
      </c>
      <c r="H9" s="40">
        <f t="shared" si="0"/>
        <v>40</v>
      </c>
      <c r="I9" s="70">
        <f t="shared" si="0"/>
        <v>414032.22</v>
      </c>
    </row>
    <row r="10" spans="1:9" x14ac:dyDescent="0.25">
      <c r="A10" s="48" t="s">
        <v>37</v>
      </c>
      <c r="B10" s="35">
        <v>131</v>
      </c>
      <c r="C10" s="65">
        <v>1444844.33</v>
      </c>
      <c r="D10" s="35">
        <v>5</v>
      </c>
      <c r="E10" s="65">
        <v>110598.45</v>
      </c>
      <c r="F10" s="35">
        <v>6</v>
      </c>
      <c r="G10" s="65">
        <v>36000</v>
      </c>
      <c r="H10" s="40">
        <f t="shared" si="0"/>
        <v>142</v>
      </c>
      <c r="I10" s="40">
        <f t="shared" si="0"/>
        <v>1591442.78</v>
      </c>
    </row>
    <row r="11" spans="1:9" x14ac:dyDescent="0.25">
      <c r="A11" s="30" t="s">
        <v>130</v>
      </c>
      <c r="B11" s="42">
        <f t="shared" ref="B11:I11" si="1">SUM(B8:B10)</f>
        <v>167</v>
      </c>
      <c r="C11" s="42">
        <f t="shared" si="1"/>
        <v>1830845.94</v>
      </c>
      <c r="D11" s="42">
        <f t="shared" si="1"/>
        <v>7</v>
      </c>
      <c r="E11" s="42">
        <f t="shared" si="1"/>
        <v>126629.06</v>
      </c>
      <c r="F11" s="42">
        <f>SUM(F8:F10)</f>
        <v>8</v>
      </c>
      <c r="G11" s="42">
        <f t="shared" ref="G11" si="2">SUM(G8:G10)</f>
        <v>48000</v>
      </c>
      <c r="H11" s="42">
        <f t="shared" si="1"/>
        <v>182</v>
      </c>
      <c r="I11" s="42">
        <f t="shared" si="1"/>
        <v>2005475</v>
      </c>
    </row>
    <row r="12" spans="1:9" hidden="1" x14ac:dyDescent="0.25">
      <c r="A12" s="48" t="s">
        <v>35</v>
      </c>
      <c r="B12" s="35">
        <v>52</v>
      </c>
      <c r="C12" s="65">
        <v>621254.41</v>
      </c>
      <c r="D12" s="35">
        <v>2</v>
      </c>
      <c r="E12" s="65">
        <v>15128.119999999999</v>
      </c>
      <c r="F12" s="35"/>
      <c r="G12" s="65"/>
      <c r="H12" s="40">
        <f t="shared" ref="H12:I14" si="3">+B12+D12+F12</f>
        <v>54</v>
      </c>
      <c r="I12" s="70">
        <f t="shared" si="3"/>
        <v>636382.53</v>
      </c>
    </row>
    <row r="13" spans="1:9" hidden="1" x14ac:dyDescent="0.25">
      <c r="A13" s="48" t="s">
        <v>36</v>
      </c>
      <c r="B13" s="35"/>
      <c r="C13" s="65"/>
      <c r="D13" s="35"/>
      <c r="E13" s="65"/>
      <c r="F13" s="35"/>
      <c r="G13" s="65"/>
      <c r="H13" s="40">
        <f t="shared" si="3"/>
        <v>0</v>
      </c>
      <c r="I13" s="70">
        <f t="shared" si="3"/>
        <v>0</v>
      </c>
    </row>
    <row r="14" spans="1:9" hidden="1" x14ac:dyDescent="0.25">
      <c r="A14" s="48" t="s">
        <v>37</v>
      </c>
      <c r="B14" s="35"/>
      <c r="C14" s="65"/>
      <c r="D14" s="35"/>
      <c r="E14" s="65"/>
      <c r="F14" s="35"/>
      <c r="G14" s="65"/>
      <c r="H14" s="40">
        <f t="shared" si="3"/>
        <v>0</v>
      </c>
      <c r="I14" s="70">
        <f t="shared" si="3"/>
        <v>0</v>
      </c>
    </row>
    <row r="15" spans="1:9" hidden="1" x14ac:dyDescent="0.25">
      <c r="A15" s="30" t="s">
        <v>130</v>
      </c>
      <c r="B15" s="42">
        <f t="shared" ref="B15:I15" si="4">SUM(B12:B14)</f>
        <v>52</v>
      </c>
      <c r="C15" s="42">
        <f t="shared" si="4"/>
        <v>621254.41</v>
      </c>
      <c r="D15" s="42">
        <f t="shared" si="4"/>
        <v>2</v>
      </c>
      <c r="E15" s="42">
        <f t="shared" si="4"/>
        <v>15128.119999999999</v>
      </c>
      <c r="F15" s="42">
        <f t="shared" ref="F15:G15" si="5">SUM(F12:F14)</f>
        <v>0</v>
      </c>
      <c r="G15" s="42">
        <f t="shared" si="5"/>
        <v>0</v>
      </c>
      <c r="H15" s="42">
        <f t="shared" si="4"/>
        <v>54</v>
      </c>
      <c r="I15" s="42">
        <f t="shared" si="4"/>
        <v>636382.53</v>
      </c>
    </row>
    <row r="16" spans="1:9" hidden="1" x14ac:dyDescent="0.25">
      <c r="A16" s="48" t="s">
        <v>86</v>
      </c>
      <c r="B16" s="35"/>
      <c r="C16" s="65"/>
      <c r="D16" s="35"/>
      <c r="E16" s="65"/>
      <c r="F16" s="35"/>
      <c r="G16" s="65"/>
      <c r="H16" s="40">
        <f t="shared" ref="H16:I18" si="6">+B16+D16+F16</f>
        <v>0</v>
      </c>
      <c r="I16" s="70">
        <f t="shared" si="6"/>
        <v>0</v>
      </c>
    </row>
    <row r="17" spans="1:16" hidden="1" x14ac:dyDescent="0.25">
      <c r="A17" s="48" t="s">
        <v>87</v>
      </c>
      <c r="B17" s="35"/>
      <c r="C17" s="65"/>
      <c r="D17" s="35"/>
      <c r="E17" s="65"/>
      <c r="F17" s="35"/>
      <c r="G17" s="65"/>
      <c r="H17" s="40">
        <f t="shared" si="6"/>
        <v>0</v>
      </c>
      <c r="I17" s="70">
        <f t="shared" si="6"/>
        <v>0</v>
      </c>
    </row>
    <row r="18" spans="1:16" hidden="1" x14ac:dyDescent="0.25">
      <c r="A18" s="48" t="s">
        <v>88</v>
      </c>
      <c r="B18" s="35"/>
      <c r="C18" s="65"/>
      <c r="D18" s="35"/>
      <c r="E18" s="65"/>
      <c r="F18" s="35"/>
      <c r="G18" s="65"/>
      <c r="H18" s="40">
        <f t="shared" si="6"/>
        <v>0</v>
      </c>
      <c r="I18" s="70">
        <f t="shared" si="6"/>
        <v>0</v>
      </c>
    </row>
    <row r="19" spans="1:16" hidden="1" x14ac:dyDescent="0.25">
      <c r="A19" s="30" t="s">
        <v>93</v>
      </c>
      <c r="B19" s="42">
        <f t="shared" ref="B19:E19" si="7">SUM(B16:B18)</f>
        <v>0</v>
      </c>
      <c r="C19" s="42">
        <f t="shared" si="7"/>
        <v>0</v>
      </c>
      <c r="D19" s="42">
        <f t="shared" si="7"/>
        <v>0</v>
      </c>
      <c r="E19" s="42">
        <f t="shared" si="7"/>
        <v>0</v>
      </c>
      <c r="F19" s="42">
        <f t="shared" ref="F19:G19" si="8">SUM(F16:F18)</f>
        <v>0</v>
      </c>
      <c r="G19" s="42">
        <f t="shared" si="8"/>
        <v>0</v>
      </c>
      <c r="H19" s="42">
        <f>SUM(H16:H18)</f>
        <v>0</v>
      </c>
      <c r="I19" s="42">
        <f>SUM(I16:I18)</f>
        <v>0</v>
      </c>
    </row>
    <row r="20" spans="1:16" hidden="1" x14ac:dyDescent="0.25">
      <c r="A20" s="34" t="s">
        <v>89</v>
      </c>
      <c r="B20" s="35"/>
      <c r="C20" s="65"/>
      <c r="D20" s="35"/>
      <c r="E20" s="65"/>
      <c r="F20" s="35"/>
      <c r="G20" s="65"/>
      <c r="H20" s="40">
        <f t="shared" ref="H20:I22" si="9">+B20+D20+F20</f>
        <v>0</v>
      </c>
      <c r="I20" s="70">
        <f t="shared" si="9"/>
        <v>0</v>
      </c>
    </row>
    <row r="21" spans="1:16" hidden="1" x14ac:dyDescent="0.25">
      <c r="A21" s="34" t="s">
        <v>90</v>
      </c>
      <c r="B21" s="35"/>
      <c r="C21" s="65"/>
      <c r="D21" s="35"/>
      <c r="E21" s="65"/>
      <c r="F21" s="35"/>
      <c r="G21" s="65"/>
      <c r="H21" s="40">
        <f t="shared" si="9"/>
        <v>0</v>
      </c>
      <c r="I21" s="70">
        <f t="shared" si="9"/>
        <v>0</v>
      </c>
    </row>
    <row r="22" spans="1:16" hidden="1" x14ac:dyDescent="0.25">
      <c r="A22" s="34" t="s">
        <v>91</v>
      </c>
      <c r="B22" s="35"/>
      <c r="C22" s="65"/>
      <c r="D22" s="35"/>
      <c r="E22" s="65"/>
      <c r="F22" s="35"/>
      <c r="G22" s="65"/>
      <c r="H22" s="40">
        <f t="shared" si="9"/>
        <v>0</v>
      </c>
      <c r="I22" s="70">
        <f t="shared" si="9"/>
        <v>0</v>
      </c>
    </row>
    <row r="23" spans="1:16" hidden="1" x14ac:dyDescent="0.25">
      <c r="A23" s="12" t="s">
        <v>94</v>
      </c>
      <c r="B23" s="42">
        <f t="shared" ref="B23:I23" si="10">SUM(B20:B22)</f>
        <v>0</v>
      </c>
      <c r="C23" s="42">
        <f t="shared" si="10"/>
        <v>0</v>
      </c>
      <c r="D23" s="42">
        <f t="shared" si="10"/>
        <v>0</v>
      </c>
      <c r="E23" s="42">
        <f t="shared" si="10"/>
        <v>0</v>
      </c>
      <c r="F23" s="42">
        <f t="shared" ref="F23:G23" si="11">SUM(F20:F22)</f>
        <v>0</v>
      </c>
      <c r="G23" s="42">
        <f t="shared" si="11"/>
        <v>0</v>
      </c>
      <c r="H23" s="42">
        <f t="shared" si="10"/>
        <v>0</v>
      </c>
      <c r="I23" s="42">
        <f t="shared" si="10"/>
        <v>0</v>
      </c>
    </row>
    <row r="24" spans="1:16" hidden="1" x14ac:dyDescent="0.25">
      <c r="A24" s="66" t="s">
        <v>9</v>
      </c>
      <c r="B24" s="44">
        <f>+B11+B15+B19+B23</f>
        <v>219</v>
      </c>
      <c r="C24" s="44">
        <f>+C11+C15+C19+C23</f>
        <v>2452100.35</v>
      </c>
      <c r="D24" s="44">
        <f t="shared" ref="D24:I24" si="12">+D11+D15+D19+D23</f>
        <v>9</v>
      </c>
      <c r="E24" s="44">
        <f t="shared" si="12"/>
        <v>141757.18</v>
      </c>
      <c r="F24" s="44">
        <f t="shared" si="12"/>
        <v>8</v>
      </c>
      <c r="G24" s="44">
        <f t="shared" si="12"/>
        <v>48000</v>
      </c>
      <c r="H24" s="44">
        <f>+H11+H15+H19+H23</f>
        <v>236</v>
      </c>
      <c r="I24" s="44">
        <f t="shared" si="12"/>
        <v>2641857.5300000003</v>
      </c>
    </row>
    <row r="25" spans="1:16" x14ac:dyDescent="0.25">
      <c r="A25" s="15" t="s">
        <v>175</v>
      </c>
    </row>
    <row r="26" spans="1:16" x14ac:dyDescent="0.25">
      <c r="E26" s="39"/>
      <c r="G26" s="39"/>
    </row>
    <row r="32" spans="1:16" x14ac:dyDescent="0.25">
      <c r="M32" s="56">
        <v>32154</v>
      </c>
      <c r="N32" s="68" t="e">
        <f t="shared" ref="N32:N39" si="13">M32/$B$29*100</f>
        <v>#DIV/0!</v>
      </c>
      <c r="O32" s="57">
        <v>386810064.19999999</v>
      </c>
      <c r="P32" s="69" t="e">
        <f>O32/O40*100</f>
        <v>#DIV/0!</v>
      </c>
    </row>
    <row r="33" spans="13:16" x14ac:dyDescent="0.25">
      <c r="M33" s="56">
        <v>56199</v>
      </c>
      <c r="N33" s="68" t="e">
        <f t="shared" si="13"/>
        <v>#DIV/0!</v>
      </c>
      <c r="O33" s="57">
        <v>471111842.94</v>
      </c>
      <c r="P33" s="69" t="e">
        <f>O33/O40*100</f>
        <v>#DIV/0!</v>
      </c>
    </row>
    <row r="34" spans="13:16" x14ac:dyDescent="0.25">
      <c r="M34" s="56">
        <v>297</v>
      </c>
      <c r="N34" s="68" t="e">
        <f t="shared" si="13"/>
        <v>#DIV/0!</v>
      </c>
      <c r="O34" s="57">
        <v>5010228</v>
      </c>
      <c r="P34" s="69" t="e">
        <f>O34/O40*100</f>
        <v>#DIV/0!</v>
      </c>
    </row>
    <row r="35" spans="13:16" x14ac:dyDescent="0.25">
      <c r="M35" s="56">
        <v>163</v>
      </c>
      <c r="N35" s="68" t="e">
        <f t="shared" si="13"/>
        <v>#DIV/0!</v>
      </c>
      <c r="O35" s="57">
        <v>4392328.91</v>
      </c>
      <c r="P35" s="69" t="e">
        <f>O35/O40*100</f>
        <v>#DIV/0!</v>
      </c>
    </row>
    <row r="36" spans="13:16" x14ac:dyDescent="0.25">
      <c r="M36" s="56">
        <v>366</v>
      </c>
      <c r="N36" s="68" t="e">
        <f t="shared" si="13"/>
        <v>#DIV/0!</v>
      </c>
      <c r="O36" s="57">
        <v>9034522.6500000004</v>
      </c>
      <c r="P36" s="69" t="e">
        <f>O36/O40*100</f>
        <v>#DIV/0!</v>
      </c>
    </row>
    <row r="37" spans="13:16" x14ac:dyDescent="0.25">
      <c r="M37" s="56">
        <v>17249</v>
      </c>
      <c r="N37" s="68" t="e">
        <f t="shared" si="13"/>
        <v>#DIV/0!</v>
      </c>
      <c r="O37" s="57">
        <v>405400068.69</v>
      </c>
      <c r="P37" s="69" t="e">
        <f>O37/O40*100</f>
        <v>#DIV/0!</v>
      </c>
    </row>
    <row r="38" spans="13:16" x14ac:dyDescent="0.25">
      <c r="M38" s="56">
        <v>18745</v>
      </c>
      <c r="N38" s="68" t="e">
        <f t="shared" si="13"/>
        <v>#DIV/0!</v>
      </c>
      <c r="O38" s="57">
        <v>369724631.60000002</v>
      </c>
      <c r="P38" s="69" t="e">
        <f>O38/O40*100</f>
        <v>#DIV/0!</v>
      </c>
    </row>
    <row r="39" spans="13:16" x14ac:dyDescent="0.25">
      <c r="M39" s="56">
        <v>15130</v>
      </c>
      <c r="N39" s="68" t="e">
        <f t="shared" si="13"/>
        <v>#DIV/0!</v>
      </c>
      <c r="O39" s="57">
        <v>151015428.50999999</v>
      </c>
      <c r="P39" s="69" t="e">
        <f>O39/O40*100</f>
        <v>#DIV/0!</v>
      </c>
    </row>
  </sheetData>
  <mergeCells count="9">
    <mergeCell ref="B6:C6"/>
    <mergeCell ref="D6:E6"/>
    <mergeCell ref="F6:G6"/>
    <mergeCell ref="H6:I6"/>
    <mergeCell ref="A1:I1"/>
    <mergeCell ref="A2:I2"/>
    <mergeCell ref="A3:I3"/>
    <mergeCell ref="A4:I4"/>
    <mergeCell ref="A5:I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J61"/>
  <sheetViews>
    <sheetView showGridLines="0" topLeftCell="A4" zoomScale="115" zoomScaleNormal="115" workbookViewId="0">
      <selection activeCell="F10" sqref="F10"/>
    </sheetView>
  </sheetViews>
  <sheetFormatPr baseColWidth="10" defaultColWidth="9.140625" defaultRowHeight="15" x14ac:dyDescent="0.25"/>
  <cols>
    <col min="1" max="7" width="13.140625" style="1" customWidth="1"/>
    <col min="8" max="16384" width="9.140625" style="1"/>
  </cols>
  <sheetData>
    <row r="1" spans="1:10" x14ac:dyDescent="0.25">
      <c r="A1" s="283" t="s">
        <v>0</v>
      </c>
      <c r="B1" s="283"/>
      <c r="C1" s="283"/>
      <c r="D1" s="283"/>
      <c r="E1" s="283"/>
      <c r="F1" s="283"/>
      <c r="G1" s="283"/>
      <c r="H1" s="23"/>
      <c r="I1" s="23"/>
      <c r="J1" s="23"/>
    </row>
    <row r="2" spans="1:10" x14ac:dyDescent="0.25">
      <c r="A2" s="283" t="s">
        <v>121</v>
      </c>
      <c r="B2" s="283"/>
      <c r="C2" s="283"/>
      <c r="D2" s="283"/>
      <c r="E2" s="283"/>
      <c r="F2" s="283"/>
      <c r="G2" s="283"/>
      <c r="H2" s="23"/>
      <c r="I2" s="23"/>
      <c r="J2" s="23"/>
    </row>
    <row r="3" spans="1:10" x14ac:dyDescent="0.25">
      <c r="A3" s="283" t="s">
        <v>163</v>
      </c>
      <c r="B3" s="283"/>
      <c r="C3" s="283"/>
      <c r="D3" s="283"/>
      <c r="E3" s="283"/>
      <c r="F3" s="283"/>
      <c r="G3" s="283"/>
      <c r="H3" s="23"/>
      <c r="I3" s="23"/>
      <c r="J3" s="23"/>
    </row>
    <row r="4" spans="1:10" x14ac:dyDescent="0.25">
      <c r="A4" s="283" t="s">
        <v>232</v>
      </c>
      <c r="B4" s="283"/>
      <c r="C4" s="283"/>
      <c r="D4" s="283"/>
      <c r="E4" s="283"/>
      <c r="F4" s="283"/>
      <c r="G4" s="283"/>
      <c r="H4" s="23"/>
      <c r="I4" s="23"/>
      <c r="J4" s="23"/>
    </row>
    <row r="5" spans="1:10" x14ac:dyDescent="0.25">
      <c r="A5" s="284" t="s">
        <v>165</v>
      </c>
      <c r="B5" s="284"/>
      <c r="C5" s="284"/>
      <c r="D5" s="284"/>
      <c r="E5" s="284"/>
      <c r="F5" s="284"/>
      <c r="G5" s="284"/>
      <c r="H5" s="24"/>
      <c r="I5" s="24"/>
      <c r="J5" s="24"/>
    </row>
    <row r="6" spans="1:10" ht="51" x14ac:dyDescent="0.25">
      <c r="A6" s="101" t="s">
        <v>1</v>
      </c>
      <c r="B6" s="49" t="s">
        <v>51</v>
      </c>
      <c r="C6" s="49" t="s">
        <v>52</v>
      </c>
      <c r="D6" s="49" t="s">
        <v>53</v>
      </c>
      <c r="E6" s="49" t="s">
        <v>54</v>
      </c>
      <c r="F6" s="49" t="s">
        <v>55</v>
      </c>
      <c r="G6" s="220" t="s">
        <v>31</v>
      </c>
      <c r="H6" s="152"/>
    </row>
    <row r="7" spans="1:10" x14ac:dyDescent="0.25">
      <c r="A7" s="75" t="s">
        <v>91</v>
      </c>
      <c r="B7" s="224">
        <v>89</v>
      </c>
      <c r="C7" s="262">
        <v>5133639.01</v>
      </c>
      <c r="D7" s="141">
        <v>0</v>
      </c>
      <c r="E7" s="141">
        <v>0</v>
      </c>
      <c r="F7" s="264">
        <v>0</v>
      </c>
      <c r="G7" s="72">
        <f t="shared" ref="G7" si="0">F7/C7</f>
        <v>0</v>
      </c>
      <c r="H7" s="152"/>
    </row>
    <row r="8" spans="1:10" x14ac:dyDescent="0.25">
      <c r="A8" s="75" t="s">
        <v>90</v>
      </c>
      <c r="B8" s="221">
        <v>41</v>
      </c>
      <c r="C8" s="262">
        <v>5109698.8899999997</v>
      </c>
      <c r="D8" s="263">
        <v>1660939.83</v>
      </c>
      <c r="E8" s="263">
        <v>87496.68</v>
      </c>
      <c r="F8" s="264">
        <f>E8+D8</f>
        <v>1748436.51</v>
      </c>
      <c r="G8" s="72">
        <f>F8/C8</f>
        <v>0.34217994986393419</v>
      </c>
      <c r="H8" s="152"/>
    </row>
    <row r="9" spans="1:10" x14ac:dyDescent="0.25">
      <c r="A9" s="75" t="s">
        <v>89</v>
      </c>
      <c r="B9" s="221">
        <v>209</v>
      </c>
      <c r="C9" s="262">
        <v>11796449.66</v>
      </c>
      <c r="D9" s="262">
        <v>2735475.4599999995</v>
      </c>
      <c r="E9" s="262">
        <v>1902407.5100000002</v>
      </c>
      <c r="F9" s="264">
        <f>E9+D9</f>
        <v>4637882.97</v>
      </c>
      <c r="G9" s="72">
        <f>F9/C9</f>
        <v>0.39315922194169728</v>
      </c>
      <c r="H9" s="152"/>
    </row>
    <row r="10" spans="1:10" x14ac:dyDescent="0.25">
      <c r="A10" s="30" t="s">
        <v>94</v>
      </c>
      <c r="B10" s="8">
        <f>SUM(B7:B9)</f>
        <v>339</v>
      </c>
      <c r="C10" s="149">
        <f>SUM(C7:C9)</f>
        <v>22039787.559999999</v>
      </c>
      <c r="D10" s="8">
        <f>SUM(D7:D9)</f>
        <v>4396415.2899999991</v>
      </c>
      <c r="E10" s="8">
        <f>SUM(E7:E9)</f>
        <v>1989904.1900000002</v>
      </c>
      <c r="F10" s="265">
        <f>SUM(F7:F9)</f>
        <v>6386319.4799999995</v>
      </c>
      <c r="G10" s="16">
        <f t="shared" ref="G10:G23" si="1">F10/C10</f>
        <v>0.28976320495895014</v>
      </c>
      <c r="H10" s="152"/>
    </row>
    <row r="11" spans="1:10" hidden="1" x14ac:dyDescent="0.25">
      <c r="A11" s="75" t="s">
        <v>35</v>
      </c>
      <c r="B11" s="221"/>
      <c r="C11" s="223"/>
      <c r="D11" s="223"/>
      <c r="E11" s="223"/>
      <c r="F11" s="71">
        <f>E11+D11</f>
        <v>0</v>
      </c>
      <c r="G11" s="72" t="e">
        <f t="shared" si="1"/>
        <v>#DIV/0!</v>
      </c>
      <c r="H11" s="152"/>
    </row>
    <row r="12" spans="1:10" hidden="1" x14ac:dyDescent="0.25">
      <c r="A12" s="75" t="s">
        <v>36</v>
      </c>
      <c r="B12" s="221"/>
      <c r="C12" s="223"/>
      <c r="D12" s="223"/>
      <c r="E12" s="223"/>
      <c r="F12" s="71">
        <f>E12+D12</f>
        <v>0</v>
      </c>
      <c r="G12" s="72" t="e">
        <f t="shared" si="1"/>
        <v>#DIV/0!</v>
      </c>
      <c r="H12" s="152"/>
    </row>
    <row r="13" spans="1:10" hidden="1" x14ac:dyDescent="0.25">
      <c r="A13" s="75" t="s">
        <v>37</v>
      </c>
      <c r="B13" s="221"/>
      <c r="C13" s="223"/>
      <c r="D13" s="185"/>
      <c r="E13" s="185"/>
      <c r="F13" s="73">
        <f>E13+D13</f>
        <v>0</v>
      </c>
      <c r="G13" s="72" t="e">
        <f t="shared" si="1"/>
        <v>#DIV/0!</v>
      </c>
      <c r="H13" s="152"/>
    </row>
    <row r="14" spans="1:10" hidden="1" x14ac:dyDescent="0.25">
      <c r="A14" s="30" t="s">
        <v>130</v>
      </c>
      <c r="B14" s="8">
        <f>SUM(B11:B13)</f>
        <v>0</v>
      </c>
      <c r="C14" s="74">
        <f>SUM(C11:C13)</f>
        <v>0</v>
      </c>
      <c r="D14" s="74">
        <f>SUM(D11:D13)</f>
        <v>0</v>
      </c>
      <c r="E14" s="74">
        <f>SUM(E11:E13)</f>
        <v>0</v>
      </c>
      <c r="F14" s="74">
        <f>SUM(F11:F13)</f>
        <v>0</v>
      </c>
      <c r="G14" s="16" t="e">
        <f t="shared" si="1"/>
        <v>#DIV/0!</v>
      </c>
      <c r="H14" s="152"/>
    </row>
    <row r="15" spans="1:10" hidden="1" x14ac:dyDescent="0.25">
      <c r="A15" s="75" t="s">
        <v>86</v>
      </c>
      <c r="B15" s="221"/>
      <c r="C15" s="223"/>
      <c r="D15" s="223"/>
      <c r="E15" s="223"/>
      <c r="F15" s="71">
        <f>E15+D15</f>
        <v>0</v>
      </c>
      <c r="G15" s="72" t="e">
        <f t="shared" si="1"/>
        <v>#DIV/0!</v>
      </c>
      <c r="H15" s="152"/>
    </row>
    <row r="16" spans="1:10" hidden="1" x14ac:dyDescent="0.25">
      <c r="A16" s="75" t="s">
        <v>87</v>
      </c>
      <c r="B16" s="221"/>
      <c r="C16" s="223"/>
      <c r="D16" s="223"/>
      <c r="E16" s="223"/>
      <c r="F16" s="71">
        <f>E16+D16</f>
        <v>0</v>
      </c>
      <c r="G16" s="72" t="e">
        <f t="shared" si="1"/>
        <v>#DIV/0!</v>
      </c>
      <c r="H16" s="152"/>
    </row>
    <row r="17" spans="1:8" hidden="1" x14ac:dyDescent="0.25">
      <c r="A17" s="75" t="s">
        <v>88</v>
      </c>
      <c r="B17" s="221"/>
      <c r="C17" s="223"/>
      <c r="D17" s="185"/>
      <c r="E17" s="185"/>
      <c r="F17" s="73">
        <f>E17+D17</f>
        <v>0</v>
      </c>
      <c r="G17" s="72" t="e">
        <f t="shared" si="1"/>
        <v>#DIV/0!</v>
      </c>
      <c r="H17" s="152"/>
    </row>
    <row r="18" spans="1:8" hidden="1" x14ac:dyDescent="0.25">
      <c r="A18" s="30" t="s">
        <v>93</v>
      </c>
      <c r="B18" s="8">
        <f>SUM(B15:B17)</f>
        <v>0</v>
      </c>
      <c r="C18" s="74">
        <f>SUM(C15:C17)</f>
        <v>0</v>
      </c>
      <c r="D18" s="74">
        <f>SUM(D15:D17)</f>
        <v>0</v>
      </c>
      <c r="E18" s="74">
        <f>SUM(E15:E17)</f>
        <v>0</v>
      </c>
      <c r="F18" s="74">
        <f>SUM(F15:F17)</f>
        <v>0</v>
      </c>
      <c r="G18" s="16" t="e">
        <f t="shared" si="1"/>
        <v>#DIV/0!</v>
      </c>
      <c r="H18" s="152"/>
    </row>
    <row r="19" spans="1:8" hidden="1" x14ac:dyDescent="0.25">
      <c r="A19" s="75" t="s">
        <v>89</v>
      </c>
      <c r="B19" s="221"/>
      <c r="C19" s="223"/>
      <c r="D19" s="223"/>
      <c r="E19" s="223"/>
      <c r="F19" s="71">
        <f>E19+D19</f>
        <v>0</v>
      </c>
      <c r="G19" s="72" t="e">
        <f t="shared" si="1"/>
        <v>#DIV/0!</v>
      </c>
      <c r="H19" s="152"/>
    </row>
    <row r="20" spans="1:8" hidden="1" x14ac:dyDescent="0.25">
      <c r="A20" s="75" t="s">
        <v>90</v>
      </c>
      <c r="B20" s="221"/>
      <c r="C20" s="223"/>
      <c r="D20" s="223"/>
      <c r="E20" s="223"/>
      <c r="F20" s="71">
        <f>E20+D20</f>
        <v>0</v>
      </c>
      <c r="G20" s="72" t="e">
        <f t="shared" si="1"/>
        <v>#DIV/0!</v>
      </c>
      <c r="H20" s="152"/>
    </row>
    <row r="21" spans="1:8" hidden="1" x14ac:dyDescent="0.25">
      <c r="A21" s="75" t="s">
        <v>91</v>
      </c>
      <c r="B21" s="221"/>
      <c r="C21" s="223"/>
      <c r="D21" s="185"/>
      <c r="E21" s="185"/>
      <c r="F21" s="73">
        <f>E21+D21</f>
        <v>0</v>
      </c>
      <c r="G21" s="72" t="e">
        <f t="shared" si="1"/>
        <v>#DIV/0!</v>
      </c>
      <c r="H21" s="152"/>
    </row>
    <row r="22" spans="1:8" hidden="1" x14ac:dyDescent="0.25">
      <c r="A22" s="30" t="s">
        <v>94</v>
      </c>
      <c r="B22" s="8">
        <f>SUM(B19:B21)</f>
        <v>0</v>
      </c>
      <c r="C22" s="74">
        <f>SUM(C19:C21)</f>
        <v>0</v>
      </c>
      <c r="D22" s="74">
        <f>SUM(D19:D21)</f>
        <v>0</v>
      </c>
      <c r="E22" s="74">
        <f>SUM(E19:E21)</f>
        <v>0</v>
      </c>
      <c r="F22" s="74">
        <f>SUM(F19:F21)</f>
        <v>0</v>
      </c>
      <c r="G22" s="16" t="e">
        <f t="shared" si="1"/>
        <v>#DIV/0!</v>
      </c>
      <c r="H22" s="152"/>
    </row>
    <row r="23" spans="1:8" hidden="1" x14ac:dyDescent="0.25">
      <c r="A23" s="76" t="s">
        <v>9</v>
      </c>
      <c r="B23" s="10">
        <f>+B10+B14+B18+B22</f>
        <v>339</v>
      </c>
      <c r="C23" s="10">
        <f>+C10+C14+C18+C22</f>
        <v>22039787.559999999</v>
      </c>
      <c r="D23" s="10">
        <f>+D10+D14+D18+D22</f>
        <v>4396415.2899999991</v>
      </c>
      <c r="E23" s="10">
        <f>+E10+E14+E18+E22</f>
        <v>1989904.1900000002</v>
      </c>
      <c r="F23" s="10">
        <f>+F10+F14+F18+F22</f>
        <v>6386319.4799999995</v>
      </c>
      <c r="G23" s="10">
        <f t="shared" si="1"/>
        <v>0.28976320495895014</v>
      </c>
      <c r="H23" s="152"/>
    </row>
    <row r="24" spans="1:8" hidden="1" x14ac:dyDescent="0.25">
      <c r="A24" s="152"/>
      <c r="B24" s="152"/>
      <c r="C24" s="152"/>
      <c r="D24" s="152"/>
      <c r="E24" s="152"/>
      <c r="F24" s="152"/>
      <c r="G24" s="152"/>
      <c r="H24" s="152"/>
    </row>
    <row r="25" spans="1:8" hidden="1" x14ac:dyDescent="0.25">
      <c r="A25" s="152"/>
      <c r="B25" s="152"/>
      <c r="C25" s="152"/>
      <c r="D25" s="152"/>
      <c r="E25" s="152"/>
      <c r="F25" s="152"/>
      <c r="G25" s="152"/>
      <c r="H25" s="152"/>
    </row>
    <row r="26" spans="1:8" hidden="1" x14ac:dyDescent="0.25">
      <c r="A26" s="152"/>
      <c r="B26" s="152"/>
      <c r="C26" s="152"/>
      <c r="D26" s="152"/>
      <c r="E26" s="152"/>
      <c r="F26" s="152"/>
      <c r="G26" s="152"/>
      <c r="H26" s="152"/>
    </row>
    <row r="27" spans="1:8" hidden="1" x14ac:dyDescent="0.25">
      <c r="A27" s="152"/>
      <c r="B27" s="152"/>
      <c r="C27" s="152"/>
      <c r="D27" s="152"/>
      <c r="E27" s="152"/>
      <c r="F27" s="152"/>
      <c r="G27" s="152"/>
      <c r="H27" s="152"/>
    </row>
    <row r="28" spans="1:8" hidden="1" x14ac:dyDescent="0.25">
      <c r="A28" s="152"/>
      <c r="B28" s="152"/>
      <c r="C28" s="152"/>
      <c r="D28" s="152"/>
      <c r="E28" s="152"/>
      <c r="F28" s="152"/>
      <c r="G28" s="152"/>
      <c r="H28" s="152"/>
    </row>
    <row r="29" spans="1:8" hidden="1" x14ac:dyDescent="0.25">
      <c r="A29" s="152"/>
      <c r="B29" s="152"/>
      <c r="C29" s="152"/>
      <c r="D29" s="152"/>
      <c r="E29" s="152"/>
      <c r="F29" s="152"/>
      <c r="G29" s="152"/>
      <c r="H29" s="152"/>
    </row>
    <row r="30" spans="1:8" hidden="1" x14ac:dyDescent="0.25">
      <c r="A30" s="152"/>
      <c r="B30" s="152"/>
      <c r="C30" s="152"/>
      <c r="D30" s="152"/>
      <c r="E30" s="152"/>
      <c r="F30" s="152"/>
      <c r="G30" s="152"/>
      <c r="H30" s="152"/>
    </row>
    <row r="31" spans="1:8" hidden="1" x14ac:dyDescent="0.25">
      <c r="A31" s="152"/>
      <c r="B31" s="152"/>
      <c r="C31" s="152"/>
      <c r="D31" s="152"/>
      <c r="E31" s="152"/>
      <c r="F31" s="152"/>
      <c r="G31" s="152"/>
      <c r="H31" s="152"/>
    </row>
    <row r="32" spans="1:8" hidden="1" x14ac:dyDescent="0.25">
      <c r="A32" s="152"/>
      <c r="B32" s="152"/>
      <c r="C32" s="152"/>
      <c r="D32" s="152"/>
      <c r="E32" s="152"/>
      <c r="F32" s="152"/>
      <c r="G32" s="152"/>
      <c r="H32" s="152"/>
    </row>
    <row r="33" spans="1:8" hidden="1" x14ac:dyDescent="0.25">
      <c r="A33" s="152"/>
      <c r="B33" s="152"/>
      <c r="C33" s="152"/>
      <c r="D33" s="152"/>
      <c r="E33" s="152"/>
      <c r="F33" s="152"/>
      <c r="G33" s="152"/>
      <c r="H33" s="152"/>
    </row>
    <row r="34" spans="1:8" x14ac:dyDescent="0.25">
      <c r="A34" s="161" t="s">
        <v>175</v>
      </c>
      <c r="B34" s="152"/>
      <c r="C34" s="152"/>
      <c r="D34" s="152"/>
      <c r="E34" s="152"/>
      <c r="F34" s="152"/>
      <c r="G34" s="152"/>
      <c r="H34" s="152"/>
    </row>
    <row r="35" spans="1:8" x14ac:dyDescent="0.25">
      <c r="A35" s="160"/>
      <c r="B35" s="152"/>
      <c r="C35" s="152"/>
      <c r="D35" s="152"/>
      <c r="E35" s="152"/>
      <c r="F35" s="152"/>
      <c r="G35" s="152"/>
      <c r="H35" s="152"/>
    </row>
    <row r="36" spans="1:8" x14ac:dyDescent="0.25">
      <c r="A36" s="152"/>
      <c r="B36" s="152"/>
      <c r="C36" s="152"/>
      <c r="D36" s="152"/>
      <c r="E36" s="152"/>
      <c r="F36" s="152"/>
      <c r="G36" s="152"/>
      <c r="H36" s="152"/>
    </row>
    <row r="37" spans="1:8" x14ac:dyDescent="0.25">
      <c r="A37" s="152"/>
      <c r="B37" s="152"/>
      <c r="C37" s="152"/>
      <c r="D37" s="152"/>
      <c r="E37" s="152"/>
      <c r="F37" s="152"/>
      <c r="G37" s="152"/>
      <c r="H37" s="152"/>
    </row>
    <row r="38" spans="1:8" x14ac:dyDescent="0.25">
      <c r="A38" s="152"/>
      <c r="B38" s="152"/>
      <c r="C38" s="152"/>
      <c r="D38" s="152"/>
      <c r="E38" s="152"/>
      <c r="F38" s="152"/>
      <c r="G38" s="152"/>
      <c r="H38" s="152"/>
    </row>
    <row r="39" spans="1:8" x14ac:dyDescent="0.25">
      <c r="A39" s="152"/>
      <c r="B39" s="152"/>
      <c r="C39" s="152"/>
      <c r="D39" s="152"/>
      <c r="E39" s="152"/>
      <c r="F39" s="152"/>
      <c r="G39" s="152"/>
      <c r="H39" s="152"/>
    </row>
    <row r="40" spans="1:8" x14ac:dyDescent="0.25">
      <c r="A40" s="152"/>
      <c r="B40" s="152"/>
      <c r="C40" s="152"/>
      <c r="D40" s="152"/>
      <c r="E40" s="152"/>
      <c r="F40" s="152"/>
      <c r="G40" s="152"/>
      <c r="H40" s="152"/>
    </row>
    <row r="41" spans="1:8" x14ac:dyDescent="0.25">
      <c r="A41" s="152"/>
      <c r="B41" s="152"/>
      <c r="C41" s="152"/>
      <c r="D41" s="152"/>
      <c r="E41" s="152"/>
      <c r="F41" s="152"/>
      <c r="G41" s="152"/>
      <c r="H41" s="152"/>
    </row>
    <row r="42" spans="1:8" x14ac:dyDescent="0.25">
      <c r="A42" s="152"/>
      <c r="B42" s="152"/>
      <c r="C42" s="152"/>
      <c r="D42" s="152"/>
      <c r="E42" s="152"/>
      <c r="F42" s="152"/>
      <c r="G42" s="152"/>
      <c r="H42" s="152"/>
    </row>
    <row r="43" spans="1:8" x14ac:dyDescent="0.25">
      <c r="A43" s="152"/>
      <c r="B43" s="152"/>
      <c r="C43" s="152"/>
      <c r="D43" s="152"/>
      <c r="E43" s="152"/>
      <c r="F43" s="152"/>
      <c r="G43" s="152"/>
      <c r="H43" s="152"/>
    </row>
    <row r="44" spans="1:8" x14ac:dyDescent="0.25">
      <c r="A44" s="152"/>
      <c r="B44" s="152"/>
      <c r="C44" s="152"/>
      <c r="D44" s="152"/>
      <c r="E44" s="152"/>
      <c r="F44" s="152"/>
      <c r="G44" s="152"/>
      <c r="H44" s="152"/>
    </row>
    <row r="45" spans="1:8" x14ac:dyDescent="0.25">
      <c r="A45" s="152"/>
      <c r="B45" s="152"/>
      <c r="C45" s="152"/>
      <c r="D45" s="152"/>
      <c r="E45" s="152"/>
      <c r="F45" s="152"/>
      <c r="G45" s="152"/>
      <c r="H45" s="152"/>
    </row>
    <row r="46" spans="1:8" x14ac:dyDescent="0.25">
      <c r="A46" s="152"/>
      <c r="B46" s="152"/>
      <c r="C46" s="152"/>
      <c r="D46" s="152"/>
      <c r="E46" s="152"/>
      <c r="F46" s="152"/>
      <c r="G46" s="152"/>
      <c r="H46" s="152"/>
    </row>
    <row r="47" spans="1:8" x14ac:dyDescent="0.25">
      <c r="A47" s="152"/>
      <c r="B47" s="152"/>
      <c r="C47" s="152"/>
      <c r="D47" s="152"/>
      <c r="E47" s="152"/>
      <c r="F47" s="152"/>
      <c r="G47" s="152"/>
      <c r="H47" s="152"/>
    </row>
    <row r="48" spans="1:8" x14ac:dyDescent="0.25">
      <c r="A48" s="152"/>
      <c r="B48" s="152"/>
      <c r="C48" s="152"/>
      <c r="D48" s="152"/>
      <c r="E48" s="152"/>
      <c r="F48" s="152"/>
      <c r="G48" s="152"/>
      <c r="H48" s="152"/>
    </row>
    <row r="49" spans="1:8" x14ac:dyDescent="0.25">
      <c r="A49" s="152"/>
      <c r="B49" s="152"/>
      <c r="C49" s="152"/>
      <c r="D49" s="152"/>
      <c r="E49" s="152"/>
      <c r="F49" s="152"/>
      <c r="G49" s="152"/>
      <c r="H49" s="152"/>
    </row>
    <row r="50" spans="1:8" x14ac:dyDescent="0.25">
      <c r="A50" s="152"/>
      <c r="B50" s="152"/>
      <c r="C50" s="152"/>
      <c r="D50" s="152"/>
      <c r="E50" s="152"/>
      <c r="F50" s="152"/>
      <c r="G50" s="152"/>
      <c r="H50" s="152"/>
    </row>
    <row r="51" spans="1:8" x14ac:dyDescent="0.25">
      <c r="A51" s="152"/>
      <c r="B51" s="152"/>
      <c r="C51" s="152"/>
      <c r="D51" s="152"/>
      <c r="E51" s="152"/>
      <c r="F51" s="152"/>
      <c r="G51" s="152"/>
      <c r="H51" s="152"/>
    </row>
    <row r="52" spans="1:8" x14ac:dyDescent="0.25">
      <c r="A52" s="152"/>
      <c r="B52" s="152"/>
      <c r="C52" s="152"/>
      <c r="D52" s="152"/>
      <c r="E52" s="152"/>
      <c r="F52" s="152"/>
      <c r="G52" s="152"/>
      <c r="H52" s="152"/>
    </row>
    <row r="53" spans="1:8" x14ac:dyDescent="0.25">
      <c r="A53" s="152"/>
      <c r="B53" s="152"/>
      <c r="C53" s="152"/>
      <c r="D53" s="152"/>
      <c r="E53" s="152"/>
      <c r="F53" s="152"/>
      <c r="G53" s="152"/>
      <c r="H53" s="152"/>
    </row>
    <row r="54" spans="1:8" x14ac:dyDescent="0.25">
      <c r="A54" s="152"/>
      <c r="B54" s="152"/>
      <c r="C54" s="152"/>
      <c r="D54" s="152"/>
      <c r="E54" s="152"/>
      <c r="F54" s="152"/>
      <c r="G54" s="152"/>
      <c r="H54" s="152"/>
    </row>
    <row r="55" spans="1:8" x14ac:dyDescent="0.25">
      <c r="A55" s="152"/>
      <c r="B55" s="152"/>
      <c r="C55" s="152"/>
      <c r="D55" s="152"/>
      <c r="E55" s="152"/>
      <c r="F55" s="152"/>
      <c r="G55" s="152"/>
      <c r="H55" s="152"/>
    </row>
    <row r="56" spans="1:8" x14ac:dyDescent="0.25">
      <c r="A56" s="152"/>
      <c r="B56" s="152"/>
      <c r="C56" s="152"/>
      <c r="D56" s="152"/>
      <c r="E56" s="152"/>
      <c r="F56" s="152"/>
      <c r="G56" s="152"/>
      <c r="H56" s="152"/>
    </row>
    <row r="57" spans="1:8" x14ac:dyDescent="0.25">
      <c r="A57" s="152"/>
      <c r="B57" s="152"/>
      <c r="C57" s="152"/>
      <c r="D57" s="152"/>
      <c r="E57" s="152"/>
      <c r="F57" s="152"/>
      <c r="G57" s="152"/>
      <c r="H57" s="152"/>
    </row>
    <row r="59" spans="1:8" x14ac:dyDescent="0.25">
      <c r="A59" s="75"/>
      <c r="B59" s="224"/>
      <c r="C59" s="222"/>
      <c r="D59" s="185"/>
      <c r="E59" s="185"/>
      <c r="F59" s="73"/>
      <c r="G59" s="72"/>
    </row>
    <row r="61" spans="1:8" x14ac:dyDescent="0.25">
      <c r="A61" s="75"/>
      <c r="B61" s="221"/>
      <c r="C61" s="222"/>
      <c r="D61" s="223"/>
      <c r="E61" s="223"/>
      <c r="F61" s="73"/>
      <c r="G61" s="72"/>
    </row>
  </sheetData>
  <mergeCells count="5">
    <mergeCell ref="A1:G1"/>
    <mergeCell ref="A2:G2"/>
    <mergeCell ref="A3:G3"/>
    <mergeCell ref="A5:G5"/>
    <mergeCell ref="A4:G4"/>
  </mergeCells>
  <pageMargins left="0.7" right="0.7" top="0.75" bottom="0.75" header="0.3" footer="0.3"/>
  <pageSetup paperSize="9" scale="54" orientation="portrait" r:id="rId1"/>
  <ignoredErrors>
    <ignoredError sqref="F10" 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A1:BF55"/>
  <sheetViews>
    <sheetView showGridLines="0" zoomScaleNormal="100" workbookViewId="0">
      <pane xSplit="2" ySplit="10" topLeftCell="X29" activePane="bottomRight" state="frozen"/>
      <selection activeCell="A34" activeCellId="1" sqref="B52 A34"/>
      <selection pane="topRight" activeCell="A34" activeCellId="1" sqref="B52 A34"/>
      <selection pane="bottomLeft" activeCell="A34" activeCellId="1" sqref="B52 A34"/>
      <selection pane="bottomRight" activeCell="B36" sqref="B36:AX51"/>
    </sheetView>
  </sheetViews>
  <sheetFormatPr baseColWidth="10" defaultColWidth="11.42578125" defaultRowHeight="15" x14ac:dyDescent="0.25"/>
  <cols>
    <col min="1" max="1" width="11.42578125" style="1"/>
    <col min="2" max="2" width="45.42578125" style="1" bestFit="1" customWidth="1"/>
    <col min="3" max="14" width="0" style="1" hidden="1" customWidth="1"/>
    <col min="15" max="23" width="11.42578125" style="1" hidden="1" customWidth="1"/>
    <col min="24" max="26" width="11.42578125" style="1"/>
    <col min="27" max="50" width="0" style="1" hidden="1" customWidth="1"/>
    <col min="51" max="16384" width="11.42578125" style="1"/>
  </cols>
  <sheetData>
    <row r="1" spans="1:58" x14ac:dyDescent="0.25">
      <c r="A1" s="23"/>
      <c r="B1" s="283" t="s">
        <v>6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</row>
    <row r="2" spans="1:58" x14ac:dyDescent="0.25">
      <c r="A2" s="23"/>
      <c r="B2" s="283" t="s">
        <v>124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</row>
    <row r="3" spans="1:58" x14ac:dyDescent="0.25">
      <c r="A3" s="23"/>
      <c r="B3" s="283" t="s">
        <v>123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</row>
    <row r="4" spans="1:58" x14ac:dyDescent="0.25">
      <c r="A4" s="23"/>
      <c r="B4" s="283" t="s">
        <v>232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</row>
    <row r="5" spans="1:58" x14ac:dyDescent="0.25">
      <c r="A5" s="24"/>
      <c r="B5" s="284" t="s">
        <v>165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8" spans="1:58" ht="15.75" x14ac:dyDescent="0.25">
      <c r="B8" s="318" t="s">
        <v>95</v>
      </c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</row>
    <row r="9" spans="1:58" x14ac:dyDescent="0.25">
      <c r="B9" s="225"/>
      <c r="C9" s="300" t="s">
        <v>83</v>
      </c>
      <c r="D9" s="300"/>
      <c r="E9" s="300"/>
      <c r="F9" s="300" t="s">
        <v>84</v>
      </c>
      <c r="G9" s="300"/>
      <c r="H9" s="300"/>
      <c r="I9" s="300" t="s">
        <v>85</v>
      </c>
      <c r="J9" s="300"/>
      <c r="K9" s="300"/>
      <c r="L9" s="300" t="s">
        <v>92</v>
      </c>
      <c r="M9" s="300"/>
      <c r="N9" s="300"/>
      <c r="O9" s="300" t="s">
        <v>35</v>
      </c>
      <c r="P9" s="300"/>
      <c r="Q9" s="300"/>
      <c r="R9" s="300" t="s">
        <v>36</v>
      </c>
      <c r="S9" s="300"/>
      <c r="T9" s="300"/>
      <c r="U9" s="300" t="s">
        <v>37</v>
      </c>
      <c r="V9" s="300"/>
      <c r="W9" s="300"/>
      <c r="X9" s="300" t="s">
        <v>237</v>
      </c>
      <c r="Y9" s="300"/>
      <c r="Z9" s="300"/>
      <c r="AA9" s="300" t="s">
        <v>86</v>
      </c>
      <c r="AB9" s="300"/>
      <c r="AC9" s="300"/>
      <c r="AD9" s="300" t="s">
        <v>87</v>
      </c>
      <c r="AE9" s="300"/>
      <c r="AF9" s="300"/>
      <c r="AG9" s="300" t="s">
        <v>88</v>
      </c>
      <c r="AH9" s="300"/>
      <c r="AI9" s="300"/>
      <c r="AJ9" s="300" t="s">
        <v>93</v>
      </c>
      <c r="AK9" s="300"/>
      <c r="AL9" s="300"/>
      <c r="AM9" s="300" t="s">
        <v>89</v>
      </c>
      <c r="AN9" s="300"/>
      <c r="AO9" s="300"/>
      <c r="AP9" s="300" t="s">
        <v>90</v>
      </c>
      <c r="AQ9" s="300"/>
      <c r="AR9" s="300"/>
      <c r="AS9" s="300" t="s">
        <v>91</v>
      </c>
      <c r="AT9" s="300"/>
      <c r="AU9" s="300"/>
      <c r="AV9" s="300" t="s">
        <v>94</v>
      </c>
      <c r="AW9" s="300"/>
      <c r="AX9" s="300"/>
      <c r="AY9" s="152"/>
      <c r="AZ9" s="152"/>
      <c r="BA9" s="152"/>
      <c r="BB9" s="152"/>
      <c r="BC9" s="152"/>
      <c r="BD9" s="152"/>
      <c r="BE9" s="152"/>
      <c r="BF9" s="152"/>
    </row>
    <row r="10" spans="1:58" x14ac:dyDescent="0.25">
      <c r="B10" s="59" t="s">
        <v>63</v>
      </c>
      <c r="C10" s="59" t="s">
        <v>64</v>
      </c>
      <c r="D10" s="59" t="s">
        <v>65</v>
      </c>
      <c r="E10" s="59" t="s">
        <v>66</v>
      </c>
      <c r="F10" s="59" t="s">
        <v>64</v>
      </c>
      <c r="G10" s="59" t="s">
        <v>65</v>
      </c>
      <c r="H10" s="59" t="s">
        <v>66</v>
      </c>
      <c r="I10" s="59" t="s">
        <v>64</v>
      </c>
      <c r="J10" s="59" t="s">
        <v>65</v>
      </c>
      <c r="K10" s="59" t="s">
        <v>66</v>
      </c>
      <c r="L10" s="59" t="s">
        <v>64</v>
      </c>
      <c r="M10" s="59" t="s">
        <v>65</v>
      </c>
      <c r="N10" s="59" t="s">
        <v>66</v>
      </c>
      <c r="O10" s="59" t="s">
        <v>64</v>
      </c>
      <c r="P10" s="59" t="s">
        <v>65</v>
      </c>
      <c r="Q10" s="59" t="s">
        <v>66</v>
      </c>
      <c r="R10" s="59" t="s">
        <v>64</v>
      </c>
      <c r="S10" s="59" t="s">
        <v>65</v>
      </c>
      <c r="T10" s="59" t="s">
        <v>66</v>
      </c>
      <c r="U10" s="59" t="s">
        <v>64</v>
      </c>
      <c r="V10" s="59" t="s">
        <v>65</v>
      </c>
      <c r="W10" s="59" t="s">
        <v>66</v>
      </c>
      <c r="X10" s="59" t="s">
        <v>64</v>
      </c>
      <c r="Y10" s="59" t="s">
        <v>65</v>
      </c>
      <c r="Z10" s="59" t="s">
        <v>66</v>
      </c>
      <c r="AA10" s="59" t="s">
        <v>64</v>
      </c>
      <c r="AB10" s="59" t="s">
        <v>65</v>
      </c>
      <c r="AC10" s="59" t="s">
        <v>66</v>
      </c>
      <c r="AD10" s="59" t="s">
        <v>64</v>
      </c>
      <c r="AE10" s="59" t="s">
        <v>65</v>
      </c>
      <c r="AF10" s="59" t="s">
        <v>66</v>
      </c>
      <c r="AG10" s="59" t="s">
        <v>64</v>
      </c>
      <c r="AH10" s="59" t="s">
        <v>65</v>
      </c>
      <c r="AI10" s="59" t="s">
        <v>66</v>
      </c>
      <c r="AJ10" s="59" t="s">
        <v>64</v>
      </c>
      <c r="AK10" s="59" t="s">
        <v>65</v>
      </c>
      <c r="AL10" s="59" t="s">
        <v>66</v>
      </c>
      <c r="AM10" s="59" t="s">
        <v>64</v>
      </c>
      <c r="AN10" s="59" t="s">
        <v>65</v>
      </c>
      <c r="AO10" s="59" t="s">
        <v>66</v>
      </c>
      <c r="AP10" s="59" t="s">
        <v>64</v>
      </c>
      <c r="AQ10" s="59" t="s">
        <v>65</v>
      </c>
      <c r="AR10" s="59" t="s">
        <v>66</v>
      </c>
      <c r="AS10" s="59" t="s">
        <v>64</v>
      </c>
      <c r="AT10" s="59" t="s">
        <v>65</v>
      </c>
      <c r="AU10" s="59" t="s">
        <v>66</v>
      </c>
      <c r="AV10" s="59" t="s">
        <v>64</v>
      </c>
      <c r="AW10" s="59" t="s">
        <v>65</v>
      </c>
      <c r="AX10" s="59" t="s">
        <v>66</v>
      </c>
      <c r="AY10" s="152"/>
      <c r="AZ10" s="152"/>
      <c r="BA10" s="152"/>
      <c r="BB10" s="152"/>
      <c r="BC10" s="152"/>
      <c r="BD10" s="152"/>
      <c r="BE10" s="152"/>
      <c r="BF10" s="152"/>
    </row>
    <row r="11" spans="1:58" x14ac:dyDescent="0.25">
      <c r="B11" s="58" t="s">
        <v>67</v>
      </c>
      <c r="C11" s="226">
        <v>9</v>
      </c>
      <c r="D11" s="226">
        <v>9</v>
      </c>
      <c r="E11" s="138">
        <f>IFERROR(D11/C11,"-")</f>
        <v>1</v>
      </c>
      <c r="F11" s="226">
        <v>12</v>
      </c>
      <c r="G11" s="226">
        <v>11</v>
      </c>
      <c r="H11" s="138">
        <f>IFERROR(G11/F11,"-")</f>
        <v>0.91666666666666663</v>
      </c>
      <c r="I11" s="226">
        <v>13</v>
      </c>
      <c r="J11" s="226">
        <v>13</v>
      </c>
      <c r="K11" s="138">
        <f>IFERROR(J11/I11,"-")</f>
        <v>1</v>
      </c>
      <c r="L11" s="226">
        <f>+C11+F11+I11</f>
        <v>34</v>
      </c>
      <c r="M11" s="226">
        <f>+D11+G11+J11</f>
        <v>33</v>
      </c>
      <c r="N11" s="138">
        <f>IFERROR(M11/L11,"-")</f>
        <v>0.97058823529411764</v>
      </c>
      <c r="O11" s="226">
        <v>7</v>
      </c>
      <c r="P11" s="226">
        <v>7</v>
      </c>
      <c r="Q11" s="138">
        <f>IFERROR(P11/O11,"-")</f>
        <v>1</v>
      </c>
      <c r="R11" s="226">
        <v>9</v>
      </c>
      <c r="S11" s="226">
        <v>8</v>
      </c>
      <c r="T11" s="138">
        <f>IFERROR(S11/R11,"-")</f>
        <v>0.88888888888888884</v>
      </c>
      <c r="U11" s="226">
        <v>12</v>
      </c>
      <c r="V11" s="226">
        <v>9</v>
      </c>
      <c r="W11" s="138">
        <f>IFERROR(V11/U11,"-")</f>
        <v>0.75</v>
      </c>
      <c r="X11" s="176">
        <v>45</v>
      </c>
      <c r="Y11" s="176">
        <v>32</v>
      </c>
      <c r="Z11" s="83">
        <f>IFERROR(Y11/X11,"-")</f>
        <v>0.71111111111111114</v>
      </c>
      <c r="AA11" s="180"/>
      <c r="AB11" s="180"/>
      <c r="AC11" s="138" t="str">
        <f>IFERROR(AB11/AA11,"-")</f>
        <v>-</v>
      </c>
      <c r="AD11" s="180"/>
      <c r="AE11" s="180"/>
      <c r="AF11" s="138" t="str">
        <f>IFERROR(AE11/AD11,"-")</f>
        <v>-</v>
      </c>
      <c r="AG11" s="180"/>
      <c r="AH11" s="180"/>
      <c r="AI11" s="138" t="str">
        <f>IFERROR(AH11/AG11,"-")</f>
        <v>-</v>
      </c>
      <c r="AJ11" s="180"/>
      <c r="AK11" s="180"/>
      <c r="AL11" s="138" t="str">
        <f>IFERROR(AK11/AJ11,"-")</f>
        <v>-</v>
      </c>
      <c r="AM11" s="180"/>
      <c r="AN11" s="180"/>
      <c r="AO11" s="138" t="str">
        <f>IFERROR(AN11/AM11,"-")</f>
        <v>-</v>
      </c>
      <c r="AP11" s="180"/>
      <c r="AQ11" s="180"/>
      <c r="AR11" s="138" t="str">
        <f>IFERROR(AQ11/AP11,"-")</f>
        <v>-</v>
      </c>
      <c r="AS11" s="180"/>
      <c r="AT11" s="180"/>
      <c r="AU11" s="138" t="str">
        <f>IFERROR(AT11/AS11,"-")</f>
        <v>-</v>
      </c>
      <c r="AV11" s="180"/>
      <c r="AW11" s="180"/>
      <c r="AX11" s="138" t="str">
        <f>IFERROR(AW11/AV11,"-")</f>
        <v>-</v>
      </c>
      <c r="AY11" s="152"/>
      <c r="AZ11" s="152"/>
      <c r="BA11" s="152"/>
      <c r="BB11" s="152"/>
      <c r="BC11" s="152"/>
      <c r="BD11" s="152"/>
      <c r="BE11" s="152"/>
      <c r="BF11" s="152"/>
    </row>
    <row r="12" spans="1:58" x14ac:dyDescent="0.25">
      <c r="B12" s="58" t="s">
        <v>68</v>
      </c>
      <c r="C12" s="226">
        <v>2563</v>
      </c>
      <c r="D12" s="226">
        <v>2563</v>
      </c>
      <c r="E12" s="138">
        <f t="shared" ref="E12:E30" si="0">IFERROR(D12/C12,"-")</f>
        <v>1</v>
      </c>
      <c r="F12" s="226">
        <v>2224</v>
      </c>
      <c r="G12" s="226">
        <v>2224</v>
      </c>
      <c r="H12" s="138">
        <f t="shared" ref="H12:H20" si="1">IFERROR(G12/F12,"-")</f>
        <v>1</v>
      </c>
      <c r="I12" s="226">
        <v>2944</v>
      </c>
      <c r="J12" s="226">
        <v>2944</v>
      </c>
      <c r="K12" s="138">
        <f t="shared" ref="K12:K20" si="2">IFERROR(J12/I12,"-")</f>
        <v>1</v>
      </c>
      <c r="L12" s="226">
        <f t="shared" ref="L12:L29" si="3">+C12+F12+I12</f>
        <v>7731</v>
      </c>
      <c r="M12" s="226">
        <f t="shared" ref="M12:M29" si="4">+D12+G12+J12</f>
        <v>7731</v>
      </c>
      <c r="N12" s="138">
        <f t="shared" ref="N12:N30" si="5">IFERROR(M12/L12,"-")</f>
        <v>1</v>
      </c>
      <c r="O12" s="226">
        <v>3076</v>
      </c>
      <c r="P12" s="226">
        <v>3076</v>
      </c>
      <c r="Q12" s="138">
        <f t="shared" ref="Q12:Q20" si="6">IFERROR(P12/O12,"-")</f>
        <v>1</v>
      </c>
      <c r="R12" s="226">
        <v>3639</v>
      </c>
      <c r="S12" s="226">
        <v>3639</v>
      </c>
      <c r="T12" s="138">
        <f t="shared" ref="T12:T20" si="7">IFERROR(S12/R12,"-")</f>
        <v>1</v>
      </c>
      <c r="U12" s="226">
        <v>2780</v>
      </c>
      <c r="V12" s="226">
        <v>2780</v>
      </c>
      <c r="W12" s="138">
        <f t="shared" ref="W12:W20" si="8">IFERROR(V12/U12,"-")</f>
        <v>1</v>
      </c>
      <c r="X12" s="176">
        <v>7073</v>
      </c>
      <c r="Y12" s="176">
        <v>7073</v>
      </c>
      <c r="Z12" s="83">
        <f t="shared" ref="Z12:Z21" si="9">IFERROR(Y12/X12,"-")</f>
        <v>1</v>
      </c>
      <c r="AA12" s="180"/>
      <c r="AB12" s="180"/>
      <c r="AC12" s="138" t="str">
        <f t="shared" ref="AC12:AC18" si="10">IFERROR(AB12/AA12,"-")</f>
        <v>-</v>
      </c>
      <c r="AD12" s="180"/>
      <c r="AE12" s="180"/>
      <c r="AF12" s="138" t="str">
        <f t="shared" ref="AF12:AF18" si="11">IFERROR(AE12/AD12,"-")</f>
        <v>-</v>
      </c>
      <c r="AG12" s="180"/>
      <c r="AH12" s="180"/>
      <c r="AI12" s="138" t="str">
        <f t="shared" ref="AI12:AI18" si="12">IFERROR(AH12/AG12,"-")</f>
        <v>-</v>
      </c>
      <c r="AJ12" s="180"/>
      <c r="AK12" s="180"/>
      <c r="AL12" s="138" t="str">
        <f t="shared" ref="AL12:AL18" si="13">IFERROR(AK12/AJ12,"-")</f>
        <v>-</v>
      </c>
      <c r="AM12" s="180"/>
      <c r="AN12" s="180"/>
      <c r="AO12" s="138" t="str">
        <f t="shared" ref="AO12:AO18" si="14">IFERROR(AN12/AM12,"-")</f>
        <v>-</v>
      </c>
      <c r="AP12" s="180"/>
      <c r="AQ12" s="180"/>
      <c r="AR12" s="138" t="str">
        <f t="shared" ref="AR12:AR18" si="15">IFERROR(AQ12/AP12,"-")</f>
        <v>-</v>
      </c>
      <c r="AS12" s="180"/>
      <c r="AT12" s="180"/>
      <c r="AU12" s="138" t="str">
        <f t="shared" ref="AU12:AU18" si="16">IFERROR(AT12/AS12,"-")</f>
        <v>-</v>
      </c>
      <c r="AV12" s="180"/>
      <c r="AW12" s="180"/>
      <c r="AX12" s="138" t="str">
        <f t="shared" ref="AX12:AX18" si="17">IFERROR(AW12/AV12,"-")</f>
        <v>-</v>
      </c>
      <c r="AY12" s="152"/>
      <c r="AZ12" s="152"/>
      <c r="BA12" s="152"/>
      <c r="BB12" s="152"/>
      <c r="BC12" s="152"/>
      <c r="BD12" s="152"/>
      <c r="BE12" s="152"/>
      <c r="BF12" s="152"/>
    </row>
    <row r="13" spans="1:58" x14ac:dyDescent="0.25">
      <c r="B13" s="58" t="s">
        <v>21</v>
      </c>
      <c r="C13" s="226">
        <v>401</v>
      </c>
      <c r="D13" s="226">
        <v>397</v>
      </c>
      <c r="E13" s="138">
        <f t="shared" si="0"/>
        <v>0.9900249376558603</v>
      </c>
      <c r="F13" s="226">
        <v>411</v>
      </c>
      <c r="G13" s="226">
        <v>396</v>
      </c>
      <c r="H13" s="138">
        <f t="shared" si="1"/>
        <v>0.96350364963503654</v>
      </c>
      <c r="I13" s="226">
        <v>405</v>
      </c>
      <c r="J13" s="226">
        <v>404</v>
      </c>
      <c r="K13" s="138">
        <f t="shared" si="2"/>
        <v>0.9975308641975309</v>
      </c>
      <c r="L13" s="226">
        <f t="shared" si="3"/>
        <v>1217</v>
      </c>
      <c r="M13" s="226">
        <f t="shared" si="4"/>
        <v>1197</v>
      </c>
      <c r="N13" s="138">
        <f t="shared" si="5"/>
        <v>0.98356614626129824</v>
      </c>
      <c r="O13" s="226">
        <v>349</v>
      </c>
      <c r="P13" s="226">
        <v>338</v>
      </c>
      <c r="Q13" s="138">
        <f t="shared" si="6"/>
        <v>0.96848137535816614</v>
      </c>
      <c r="R13" s="226">
        <v>439</v>
      </c>
      <c r="S13" s="226">
        <v>396</v>
      </c>
      <c r="T13" s="138">
        <f t="shared" si="7"/>
        <v>0.90205011389521639</v>
      </c>
      <c r="U13" s="226">
        <v>297</v>
      </c>
      <c r="V13" s="226">
        <v>295</v>
      </c>
      <c r="W13" s="138">
        <f t="shared" si="8"/>
        <v>0.9932659932659933</v>
      </c>
      <c r="X13" s="269">
        <v>629</v>
      </c>
      <c r="Y13" s="269">
        <v>533</v>
      </c>
      <c r="Z13" s="83">
        <f t="shared" si="9"/>
        <v>0.84737678855325915</v>
      </c>
      <c r="AA13" s="180"/>
      <c r="AB13" s="180"/>
      <c r="AC13" s="138" t="str">
        <f t="shared" si="10"/>
        <v>-</v>
      </c>
      <c r="AD13" s="180"/>
      <c r="AE13" s="180"/>
      <c r="AF13" s="138" t="str">
        <f t="shared" si="11"/>
        <v>-</v>
      </c>
      <c r="AG13" s="180"/>
      <c r="AH13" s="180"/>
      <c r="AI13" s="138" t="str">
        <f t="shared" si="12"/>
        <v>-</v>
      </c>
      <c r="AJ13" s="180"/>
      <c r="AK13" s="180"/>
      <c r="AL13" s="138" t="str">
        <f t="shared" si="13"/>
        <v>-</v>
      </c>
      <c r="AM13" s="180"/>
      <c r="AN13" s="180"/>
      <c r="AO13" s="138" t="str">
        <f t="shared" si="14"/>
        <v>-</v>
      </c>
      <c r="AP13" s="180"/>
      <c r="AQ13" s="180"/>
      <c r="AR13" s="138" t="str">
        <f t="shared" si="15"/>
        <v>-</v>
      </c>
      <c r="AS13" s="180"/>
      <c r="AT13" s="180"/>
      <c r="AU13" s="138" t="str">
        <f t="shared" si="16"/>
        <v>-</v>
      </c>
      <c r="AV13" s="180"/>
      <c r="AW13" s="180"/>
      <c r="AX13" s="138" t="str">
        <f t="shared" si="17"/>
        <v>-</v>
      </c>
      <c r="AY13" s="152"/>
      <c r="AZ13" s="152"/>
      <c r="BA13" s="152"/>
      <c r="BB13" s="152"/>
      <c r="BC13" s="152"/>
      <c r="BD13" s="152"/>
      <c r="BE13" s="152"/>
      <c r="BF13" s="152"/>
    </row>
    <row r="14" spans="1:58" x14ac:dyDescent="0.25">
      <c r="B14" s="58" t="s">
        <v>69</v>
      </c>
      <c r="C14" s="226">
        <v>764</v>
      </c>
      <c r="D14" s="226">
        <v>755</v>
      </c>
      <c r="E14" s="138">
        <f t="shared" si="0"/>
        <v>0.98821989528795806</v>
      </c>
      <c r="F14" s="226">
        <v>1016</v>
      </c>
      <c r="G14" s="226">
        <v>1009</v>
      </c>
      <c r="H14" s="138">
        <f t="shared" si="1"/>
        <v>0.99311023622047245</v>
      </c>
      <c r="I14" s="226">
        <v>1202</v>
      </c>
      <c r="J14" s="226">
        <v>1179</v>
      </c>
      <c r="K14" s="138">
        <f t="shared" si="2"/>
        <v>0.98086522462562398</v>
      </c>
      <c r="L14" s="226">
        <f t="shared" si="3"/>
        <v>2982</v>
      </c>
      <c r="M14" s="226">
        <f t="shared" si="4"/>
        <v>2943</v>
      </c>
      <c r="N14" s="138">
        <f t="shared" si="5"/>
        <v>0.98692152917505027</v>
      </c>
      <c r="O14" s="226">
        <v>1120</v>
      </c>
      <c r="P14" s="226">
        <v>1098</v>
      </c>
      <c r="Q14" s="138">
        <f t="shared" si="6"/>
        <v>0.98035714285714282</v>
      </c>
      <c r="R14" s="226">
        <v>2695</v>
      </c>
      <c r="S14" s="226">
        <v>2670</v>
      </c>
      <c r="T14" s="138">
        <f t="shared" si="7"/>
        <v>0.99072356215213353</v>
      </c>
      <c r="U14" s="226">
        <v>2066</v>
      </c>
      <c r="V14" s="226">
        <v>2052</v>
      </c>
      <c r="W14" s="138">
        <f t="shared" si="8"/>
        <v>0.99322362052274926</v>
      </c>
      <c r="X14" s="176">
        <v>6737</v>
      </c>
      <c r="Y14" s="176">
        <v>6581</v>
      </c>
      <c r="Z14" s="83">
        <f t="shared" si="9"/>
        <v>0.97684429271188955</v>
      </c>
      <c r="AA14" s="180"/>
      <c r="AB14" s="180"/>
      <c r="AC14" s="138" t="str">
        <f t="shared" si="10"/>
        <v>-</v>
      </c>
      <c r="AD14" s="180"/>
      <c r="AE14" s="180"/>
      <c r="AF14" s="138" t="str">
        <f t="shared" si="11"/>
        <v>-</v>
      </c>
      <c r="AG14" s="180"/>
      <c r="AH14" s="180"/>
      <c r="AI14" s="138" t="str">
        <f t="shared" si="12"/>
        <v>-</v>
      </c>
      <c r="AJ14" s="180"/>
      <c r="AK14" s="180"/>
      <c r="AL14" s="138" t="str">
        <f t="shared" si="13"/>
        <v>-</v>
      </c>
      <c r="AM14" s="180"/>
      <c r="AN14" s="180"/>
      <c r="AO14" s="138" t="str">
        <f t="shared" si="14"/>
        <v>-</v>
      </c>
      <c r="AP14" s="180"/>
      <c r="AQ14" s="180"/>
      <c r="AR14" s="138" t="str">
        <f t="shared" si="15"/>
        <v>-</v>
      </c>
      <c r="AS14" s="180"/>
      <c r="AT14" s="180"/>
      <c r="AU14" s="138" t="str">
        <f t="shared" si="16"/>
        <v>-</v>
      </c>
      <c r="AV14" s="180"/>
      <c r="AW14" s="180"/>
      <c r="AX14" s="138" t="str">
        <f t="shared" si="17"/>
        <v>-</v>
      </c>
      <c r="AY14" s="152"/>
      <c r="AZ14" s="152"/>
      <c r="BA14" s="152"/>
      <c r="BB14" s="152"/>
      <c r="BC14" s="152"/>
      <c r="BD14" s="152"/>
      <c r="BE14" s="152"/>
      <c r="BF14" s="152"/>
    </row>
    <row r="15" spans="1:58" x14ac:dyDescent="0.25">
      <c r="B15" s="58" t="s">
        <v>177</v>
      </c>
      <c r="C15" s="226"/>
      <c r="D15" s="226"/>
      <c r="E15" s="138"/>
      <c r="F15" s="226"/>
      <c r="G15" s="226"/>
      <c r="H15" s="138"/>
      <c r="I15" s="226"/>
      <c r="J15" s="226"/>
      <c r="K15" s="138"/>
      <c r="L15" s="226"/>
      <c r="M15" s="226"/>
      <c r="N15" s="138"/>
      <c r="O15" s="226"/>
      <c r="P15" s="226"/>
      <c r="Q15" s="138"/>
      <c r="R15" s="226"/>
      <c r="S15" s="226"/>
      <c r="T15" s="138"/>
      <c r="U15" s="226"/>
      <c r="V15" s="226"/>
      <c r="W15" s="138"/>
      <c r="X15" s="176">
        <v>88</v>
      </c>
      <c r="Y15" s="176">
        <v>71</v>
      </c>
      <c r="Z15" s="83">
        <f t="shared" si="9"/>
        <v>0.80681818181818177</v>
      </c>
      <c r="AA15" s="180"/>
      <c r="AB15" s="180"/>
      <c r="AC15" s="138"/>
      <c r="AD15" s="180"/>
      <c r="AE15" s="180"/>
      <c r="AF15" s="138"/>
      <c r="AG15" s="180"/>
      <c r="AH15" s="180"/>
      <c r="AI15" s="138"/>
      <c r="AJ15" s="180"/>
      <c r="AK15" s="180"/>
      <c r="AL15" s="138"/>
      <c r="AM15" s="180"/>
      <c r="AN15" s="180"/>
      <c r="AO15" s="138"/>
      <c r="AP15" s="180"/>
      <c r="AQ15" s="180"/>
      <c r="AR15" s="138"/>
      <c r="AS15" s="180"/>
      <c r="AT15" s="180"/>
      <c r="AU15" s="138"/>
      <c r="AV15" s="180"/>
      <c r="AW15" s="180"/>
      <c r="AX15" s="138"/>
      <c r="AY15" s="152"/>
      <c r="AZ15" s="152"/>
      <c r="BA15" s="152"/>
      <c r="BB15" s="152"/>
      <c r="BC15" s="152"/>
      <c r="BD15" s="152"/>
      <c r="BE15" s="152"/>
      <c r="BF15" s="152"/>
    </row>
    <row r="16" spans="1:58" x14ac:dyDescent="0.25">
      <c r="B16" s="58" t="s">
        <v>119</v>
      </c>
      <c r="C16" s="226">
        <v>26</v>
      </c>
      <c r="D16" s="226">
        <v>26</v>
      </c>
      <c r="E16" s="138">
        <f t="shared" si="0"/>
        <v>1</v>
      </c>
      <c r="F16" s="226">
        <v>13</v>
      </c>
      <c r="G16" s="226">
        <v>12</v>
      </c>
      <c r="H16" s="138">
        <f t="shared" si="1"/>
        <v>0.92307692307692313</v>
      </c>
      <c r="I16" s="226">
        <v>35</v>
      </c>
      <c r="J16" s="226">
        <v>35</v>
      </c>
      <c r="K16" s="138">
        <f t="shared" si="2"/>
        <v>1</v>
      </c>
      <c r="L16" s="226">
        <f t="shared" si="3"/>
        <v>74</v>
      </c>
      <c r="M16" s="226">
        <f t="shared" si="4"/>
        <v>73</v>
      </c>
      <c r="N16" s="138">
        <f t="shared" si="5"/>
        <v>0.98648648648648651</v>
      </c>
      <c r="O16" s="226">
        <v>14</v>
      </c>
      <c r="P16" s="226">
        <v>10</v>
      </c>
      <c r="Q16" s="138">
        <f t="shared" si="6"/>
        <v>0.7142857142857143</v>
      </c>
      <c r="R16" s="226">
        <v>29</v>
      </c>
      <c r="S16" s="226">
        <v>24</v>
      </c>
      <c r="T16" s="138">
        <f t="shared" si="7"/>
        <v>0.82758620689655171</v>
      </c>
      <c r="U16" s="226">
        <v>12</v>
      </c>
      <c r="V16" s="226">
        <v>9</v>
      </c>
      <c r="W16" s="138">
        <f t="shared" si="8"/>
        <v>0.75</v>
      </c>
      <c r="X16" s="176">
        <v>62</v>
      </c>
      <c r="Y16" s="176">
        <v>52</v>
      </c>
      <c r="Z16" s="83">
        <f t="shared" si="9"/>
        <v>0.83870967741935487</v>
      </c>
      <c r="AA16" s="180"/>
      <c r="AB16" s="180"/>
      <c r="AC16" s="138" t="str">
        <f t="shared" si="10"/>
        <v>-</v>
      </c>
      <c r="AD16" s="180"/>
      <c r="AE16" s="180"/>
      <c r="AF16" s="138" t="str">
        <f t="shared" si="11"/>
        <v>-</v>
      </c>
      <c r="AG16" s="180"/>
      <c r="AH16" s="180"/>
      <c r="AI16" s="138" t="str">
        <f t="shared" si="12"/>
        <v>-</v>
      </c>
      <c r="AJ16" s="180"/>
      <c r="AK16" s="180"/>
      <c r="AL16" s="138" t="str">
        <f t="shared" si="13"/>
        <v>-</v>
      </c>
      <c r="AM16" s="180"/>
      <c r="AN16" s="180"/>
      <c r="AO16" s="138" t="str">
        <f t="shared" si="14"/>
        <v>-</v>
      </c>
      <c r="AP16" s="180"/>
      <c r="AQ16" s="180"/>
      <c r="AR16" s="138" t="str">
        <f t="shared" si="15"/>
        <v>-</v>
      </c>
      <c r="AS16" s="180"/>
      <c r="AT16" s="180"/>
      <c r="AU16" s="138" t="str">
        <f t="shared" si="16"/>
        <v>-</v>
      </c>
      <c r="AV16" s="180"/>
      <c r="AW16" s="180"/>
      <c r="AX16" s="138" t="str">
        <f t="shared" si="17"/>
        <v>-</v>
      </c>
      <c r="AY16" s="152"/>
      <c r="AZ16" s="152"/>
      <c r="BA16" s="152"/>
      <c r="BB16" s="152"/>
      <c r="BC16" s="152"/>
      <c r="BD16" s="152"/>
      <c r="BE16" s="152"/>
      <c r="BF16" s="152"/>
    </row>
    <row r="17" spans="2:58" x14ac:dyDescent="0.25">
      <c r="B17" s="58" t="s">
        <v>71</v>
      </c>
      <c r="C17" s="226">
        <v>144</v>
      </c>
      <c r="D17" s="226">
        <v>131</v>
      </c>
      <c r="E17" s="138">
        <f t="shared" si="0"/>
        <v>0.90972222222222221</v>
      </c>
      <c r="F17" s="226">
        <v>119</v>
      </c>
      <c r="G17" s="226">
        <v>100</v>
      </c>
      <c r="H17" s="138">
        <f t="shared" si="1"/>
        <v>0.84033613445378152</v>
      </c>
      <c r="I17" s="226">
        <v>150</v>
      </c>
      <c r="J17" s="226">
        <v>133</v>
      </c>
      <c r="K17" s="138">
        <f t="shared" si="2"/>
        <v>0.88666666666666671</v>
      </c>
      <c r="L17" s="226">
        <f t="shared" si="3"/>
        <v>413</v>
      </c>
      <c r="M17" s="226">
        <f t="shared" si="4"/>
        <v>364</v>
      </c>
      <c r="N17" s="138">
        <f t="shared" si="5"/>
        <v>0.88135593220338981</v>
      </c>
      <c r="O17" s="226">
        <v>109</v>
      </c>
      <c r="P17" s="226">
        <v>87</v>
      </c>
      <c r="Q17" s="138">
        <f t="shared" si="6"/>
        <v>0.79816513761467889</v>
      </c>
      <c r="R17" s="226">
        <v>149</v>
      </c>
      <c r="S17" s="226">
        <v>133</v>
      </c>
      <c r="T17" s="138">
        <f t="shared" si="7"/>
        <v>0.89261744966442957</v>
      </c>
      <c r="U17" s="226">
        <v>115</v>
      </c>
      <c r="V17" s="226">
        <v>96</v>
      </c>
      <c r="W17" s="138">
        <f t="shared" si="8"/>
        <v>0.83478260869565213</v>
      </c>
      <c r="X17" s="176">
        <v>410</v>
      </c>
      <c r="Y17" s="176">
        <v>304</v>
      </c>
      <c r="Z17" s="83">
        <f t="shared" si="9"/>
        <v>0.74146341463414633</v>
      </c>
      <c r="AA17" s="180"/>
      <c r="AB17" s="180"/>
      <c r="AC17" s="138" t="str">
        <f t="shared" si="10"/>
        <v>-</v>
      </c>
      <c r="AD17" s="180"/>
      <c r="AE17" s="180"/>
      <c r="AF17" s="138" t="str">
        <f t="shared" si="11"/>
        <v>-</v>
      </c>
      <c r="AG17" s="180"/>
      <c r="AH17" s="180"/>
      <c r="AI17" s="138" t="str">
        <f t="shared" si="12"/>
        <v>-</v>
      </c>
      <c r="AJ17" s="180"/>
      <c r="AK17" s="180"/>
      <c r="AL17" s="138" t="str">
        <f t="shared" si="13"/>
        <v>-</v>
      </c>
      <c r="AM17" s="180"/>
      <c r="AN17" s="180"/>
      <c r="AO17" s="138" t="str">
        <f t="shared" si="14"/>
        <v>-</v>
      </c>
      <c r="AP17" s="180"/>
      <c r="AQ17" s="180"/>
      <c r="AR17" s="138" t="str">
        <f t="shared" si="15"/>
        <v>-</v>
      </c>
      <c r="AS17" s="180"/>
      <c r="AT17" s="180"/>
      <c r="AU17" s="138" t="str">
        <f t="shared" si="16"/>
        <v>-</v>
      </c>
      <c r="AV17" s="180"/>
      <c r="AW17" s="180"/>
      <c r="AX17" s="138" t="str">
        <f t="shared" si="17"/>
        <v>-</v>
      </c>
      <c r="AY17" s="152"/>
      <c r="AZ17" s="152"/>
      <c r="BA17" s="152"/>
      <c r="BB17" s="152"/>
      <c r="BC17" s="152"/>
      <c r="BD17" s="152"/>
      <c r="BE17" s="152"/>
      <c r="BF17" s="152"/>
    </row>
    <row r="18" spans="2:58" x14ac:dyDescent="0.25">
      <c r="B18" s="58" t="s">
        <v>81</v>
      </c>
      <c r="C18" s="226">
        <v>2</v>
      </c>
      <c r="D18" s="226">
        <v>2</v>
      </c>
      <c r="E18" s="138">
        <f t="shared" si="0"/>
        <v>1</v>
      </c>
      <c r="F18" s="226">
        <v>2</v>
      </c>
      <c r="G18" s="226">
        <v>2</v>
      </c>
      <c r="H18" s="138">
        <f t="shared" si="1"/>
        <v>1</v>
      </c>
      <c r="I18" s="226">
        <v>8</v>
      </c>
      <c r="J18" s="226">
        <v>8</v>
      </c>
      <c r="K18" s="138">
        <f t="shared" si="2"/>
        <v>1</v>
      </c>
      <c r="L18" s="226">
        <f t="shared" si="3"/>
        <v>12</v>
      </c>
      <c r="M18" s="226">
        <f t="shared" si="4"/>
        <v>12</v>
      </c>
      <c r="N18" s="138">
        <f t="shared" si="5"/>
        <v>1</v>
      </c>
      <c r="O18" s="226">
        <v>1</v>
      </c>
      <c r="P18" s="226">
        <v>1</v>
      </c>
      <c r="Q18" s="138">
        <f t="shared" si="6"/>
        <v>1</v>
      </c>
      <c r="R18" s="226">
        <v>5</v>
      </c>
      <c r="S18" s="226">
        <v>3</v>
      </c>
      <c r="T18" s="138">
        <f t="shared" si="7"/>
        <v>0.6</v>
      </c>
      <c r="U18" s="226">
        <v>7</v>
      </c>
      <c r="V18" s="226">
        <v>5</v>
      </c>
      <c r="W18" s="138">
        <f t="shared" si="8"/>
        <v>0.7142857142857143</v>
      </c>
      <c r="X18" s="176">
        <v>5</v>
      </c>
      <c r="Y18" s="176">
        <v>4</v>
      </c>
      <c r="Z18" s="83">
        <f t="shared" si="9"/>
        <v>0.8</v>
      </c>
      <c r="AA18" s="180"/>
      <c r="AB18" s="180"/>
      <c r="AC18" s="138" t="str">
        <f t="shared" si="10"/>
        <v>-</v>
      </c>
      <c r="AD18" s="180"/>
      <c r="AE18" s="180"/>
      <c r="AF18" s="138" t="str">
        <f t="shared" si="11"/>
        <v>-</v>
      </c>
      <c r="AG18" s="180"/>
      <c r="AH18" s="180"/>
      <c r="AI18" s="138" t="str">
        <f t="shared" si="12"/>
        <v>-</v>
      </c>
      <c r="AJ18" s="180"/>
      <c r="AK18" s="180"/>
      <c r="AL18" s="138" t="str">
        <f t="shared" si="13"/>
        <v>-</v>
      </c>
      <c r="AM18" s="180"/>
      <c r="AN18" s="180"/>
      <c r="AO18" s="138" t="str">
        <f t="shared" si="14"/>
        <v>-</v>
      </c>
      <c r="AP18" s="180"/>
      <c r="AQ18" s="180"/>
      <c r="AR18" s="138" t="str">
        <f t="shared" si="15"/>
        <v>-</v>
      </c>
      <c r="AS18" s="180"/>
      <c r="AT18" s="180"/>
      <c r="AU18" s="138" t="str">
        <f t="shared" si="16"/>
        <v>-</v>
      </c>
      <c r="AV18" s="180"/>
      <c r="AW18" s="180"/>
      <c r="AX18" s="138" t="str">
        <f t="shared" si="17"/>
        <v>-</v>
      </c>
      <c r="AY18" s="152"/>
      <c r="AZ18" s="152"/>
      <c r="BA18" s="152"/>
      <c r="BB18" s="152"/>
      <c r="BC18" s="152"/>
      <c r="BD18" s="152"/>
      <c r="BE18" s="152"/>
      <c r="BF18" s="152"/>
    </row>
    <row r="19" spans="2:58" x14ac:dyDescent="0.25">
      <c r="B19" s="58" t="s">
        <v>178</v>
      </c>
      <c r="C19" s="226"/>
      <c r="D19" s="226"/>
      <c r="E19" s="138"/>
      <c r="F19" s="226"/>
      <c r="G19" s="226"/>
      <c r="H19" s="138"/>
      <c r="I19" s="226"/>
      <c r="J19" s="226"/>
      <c r="K19" s="138"/>
      <c r="L19" s="226"/>
      <c r="M19" s="226"/>
      <c r="N19" s="138"/>
      <c r="O19" s="226"/>
      <c r="P19" s="226"/>
      <c r="Q19" s="138"/>
      <c r="R19" s="226"/>
      <c r="S19" s="226"/>
      <c r="T19" s="138"/>
      <c r="U19" s="226"/>
      <c r="V19" s="226"/>
      <c r="W19" s="138"/>
      <c r="X19" s="269">
        <v>1</v>
      </c>
      <c r="Y19" s="269">
        <v>1</v>
      </c>
      <c r="Z19" s="83">
        <f t="shared" si="9"/>
        <v>1</v>
      </c>
      <c r="AA19" s="180"/>
      <c r="AB19" s="180"/>
      <c r="AC19" s="138"/>
      <c r="AD19" s="180"/>
      <c r="AE19" s="180"/>
      <c r="AF19" s="138"/>
      <c r="AG19" s="180"/>
      <c r="AH19" s="180"/>
      <c r="AI19" s="138"/>
      <c r="AJ19" s="180"/>
      <c r="AK19" s="180"/>
      <c r="AL19" s="138"/>
      <c r="AM19" s="180"/>
      <c r="AN19" s="180"/>
      <c r="AO19" s="138"/>
      <c r="AP19" s="180"/>
      <c r="AQ19" s="180"/>
      <c r="AR19" s="138"/>
      <c r="AS19" s="180"/>
      <c r="AT19" s="180"/>
      <c r="AU19" s="138"/>
      <c r="AV19" s="180"/>
      <c r="AW19" s="180"/>
      <c r="AX19" s="138"/>
      <c r="AY19" s="152"/>
      <c r="AZ19" s="152"/>
      <c r="BA19" s="152"/>
      <c r="BB19" s="152"/>
      <c r="BC19" s="152"/>
      <c r="BD19" s="152"/>
      <c r="BE19" s="152"/>
      <c r="BF19" s="152"/>
    </row>
    <row r="20" spans="2:58" x14ac:dyDescent="0.25">
      <c r="B20" s="58" t="s">
        <v>82</v>
      </c>
      <c r="C20" s="226">
        <v>0</v>
      </c>
      <c r="D20" s="226">
        <v>0</v>
      </c>
      <c r="E20" s="138" t="str">
        <f t="shared" si="0"/>
        <v>-</v>
      </c>
      <c r="F20" s="226">
        <v>3</v>
      </c>
      <c r="G20" s="226">
        <v>3</v>
      </c>
      <c r="H20" s="138">
        <f t="shared" si="1"/>
        <v>1</v>
      </c>
      <c r="I20" s="226">
        <v>6</v>
      </c>
      <c r="J20" s="226">
        <v>5</v>
      </c>
      <c r="K20" s="138">
        <f t="shared" si="2"/>
        <v>0.83333333333333337</v>
      </c>
      <c r="L20" s="226">
        <f t="shared" si="3"/>
        <v>9</v>
      </c>
      <c r="M20" s="226">
        <f t="shared" si="4"/>
        <v>8</v>
      </c>
      <c r="N20" s="138">
        <f t="shared" si="5"/>
        <v>0.88888888888888884</v>
      </c>
      <c r="O20" s="226">
        <v>4</v>
      </c>
      <c r="P20" s="226">
        <v>4</v>
      </c>
      <c r="Q20" s="138">
        <f t="shared" si="6"/>
        <v>1</v>
      </c>
      <c r="R20" s="226">
        <v>5</v>
      </c>
      <c r="S20" s="226">
        <v>5</v>
      </c>
      <c r="T20" s="138">
        <f t="shared" si="7"/>
        <v>1</v>
      </c>
      <c r="U20" s="226">
        <v>7</v>
      </c>
      <c r="V20" s="226">
        <v>6</v>
      </c>
      <c r="W20" s="138">
        <f t="shared" si="8"/>
        <v>0.8571428571428571</v>
      </c>
      <c r="X20" s="156">
        <v>29</v>
      </c>
      <c r="Y20" s="156">
        <v>21</v>
      </c>
      <c r="Z20" s="83">
        <f>IFERROR(Y20/X20,"-")</f>
        <v>0.72413793103448276</v>
      </c>
      <c r="AA20" s="180"/>
      <c r="AB20" s="180"/>
      <c r="AC20" s="138"/>
      <c r="AD20" s="180"/>
      <c r="AE20" s="180"/>
      <c r="AF20" s="138"/>
      <c r="AG20" s="180"/>
      <c r="AH20" s="180"/>
      <c r="AI20" s="138"/>
      <c r="AJ20" s="180"/>
      <c r="AK20" s="180"/>
      <c r="AL20" s="138"/>
      <c r="AM20" s="180"/>
      <c r="AN20" s="180"/>
      <c r="AO20" s="138"/>
      <c r="AP20" s="180"/>
      <c r="AQ20" s="180"/>
      <c r="AR20" s="138"/>
      <c r="AS20" s="180"/>
      <c r="AT20" s="180"/>
      <c r="AU20" s="138"/>
      <c r="AV20" s="180"/>
      <c r="AW20" s="180"/>
      <c r="AX20" s="138"/>
      <c r="AY20" s="152"/>
      <c r="AZ20" s="152"/>
      <c r="BA20" s="152"/>
      <c r="BB20" s="152"/>
      <c r="BC20" s="152"/>
      <c r="BD20" s="152"/>
      <c r="BE20" s="152"/>
      <c r="BF20" s="152"/>
    </row>
    <row r="21" spans="2:58" x14ac:dyDescent="0.25">
      <c r="B21" s="58" t="s">
        <v>72</v>
      </c>
      <c r="C21" s="226">
        <v>16</v>
      </c>
      <c r="D21" s="226">
        <v>15</v>
      </c>
      <c r="E21" s="138">
        <f t="shared" si="0"/>
        <v>0.9375</v>
      </c>
      <c r="F21" s="226">
        <v>10</v>
      </c>
      <c r="G21" s="226">
        <v>7</v>
      </c>
      <c r="H21" s="138">
        <f t="shared" ref="H21:H30" si="18">IFERROR(G21/F21,"-")</f>
        <v>0.7</v>
      </c>
      <c r="I21" s="226">
        <v>32</v>
      </c>
      <c r="J21" s="226">
        <v>29</v>
      </c>
      <c r="K21" s="138">
        <f t="shared" ref="K21:K30" si="19">IFERROR(J21/I21,"-")</f>
        <v>0.90625</v>
      </c>
      <c r="L21" s="226">
        <f t="shared" si="3"/>
        <v>58</v>
      </c>
      <c r="M21" s="226">
        <f t="shared" si="4"/>
        <v>51</v>
      </c>
      <c r="N21" s="138">
        <f t="shared" si="5"/>
        <v>0.87931034482758619</v>
      </c>
      <c r="O21" s="226">
        <v>18</v>
      </c>
      <c r="P21" s="226">
        <v>17</v>
      </c>
      <c r="Q21" s="138">
        <f t="shared" ref="Q21:Q30" si="20">IFERROR(P21/O21,"-")</f>
        <v>0.94444444444444442</v>
      </c>
      <c r="R21" s="226">
        <v>17</v>
      </c>
      <c r="S21" s="226">
        <v>15</v>
      </c>
      <c r="T21" s="138">
        <f t="shared" ref="T21:T30" si="21">IFERROR(S21/R21,"-")</f>
        <v>0.88235294117647056</v>
      </c>
      <c r="U21" s="226">
        <v>456</v>
      </c>
      <c r="V21" s="226">
        <v>376</v>
      </c>
      <c r="W21" s="138">
        <f t="shared" ref="W21:W30" si="22">IFERROR(V21/U21,"-")</f>
        <v>0.82456140350877194</v>
      </c>
      <c r="X21" s="176">
        <v>296</v>
      </c>
      <c r="Y21" s="176">
        <v>235</v>
      </c>
      <c r="Z21" s="83">
        <f t="shared" si="9"/>
        <v>0.79391891891891897</v>
      </c>
      <c r="AA21" s="180"/>
      <c r="AB21" s="180"/>
      <c r="AC21" s="138" t="str">
        <f t="shared" ref="AC21:AC30" si="23">IFERROR(AB21/AA21,"-")</f>
        <v>-</v>
      </c>
      <c r="AD21" s="180"/>
      <c r="AE21" s="180"/>
      <c r="AF21" s="138" t="str">
        <f t="shared" ref="AF21:AF30" si="24">IFERROR(AE21/AD21,"-")</f>
        <v>-</v>
      </c>
      <c r="AG21" s="180"/>
      <c r="AH21" s="180"/>
      <c r="AI21" s="138" t="str">
        <f t="shared" ref="AI21:AI30" si="25">IFERROR(AH21/AG21,"-")</f>
        <v>-</v>
      </c>
      <c r="AJ21" s="180"/>
      <c r="AK21" s="180"/>
      <c r="AL21" s="138" t="str">
        <f t="shared" ref="AL21:AL30" si="26">IFERROR(AK21/AJ21,"-")</f>
        <v>-</v>
      </c>
      <c r="AM21" s="180"/>
      <c r="AN21" s="180"/>
      <c r="AO21" s="138" t="str">
        <f t="shared" ref="AO21:AO30" si="27">IFERROR(AN21/AM21,"-")</f>
        <v>-</v>
      </c>
      <c r="AP21" s="180"/>
      <c r="AQ21" s="180"/>
      <c r="AR21" s="138" t="str">
        <f t="shared" ref="AR21:AR30" si="28">IFERROR(AQ21/AP21,"-")</f>
        <v>-</v>
      </c>
      <c r="AS21" s="180"/>
      <c r="AT21" s="180"/>
      <c r="AU21" s="138" t="str">
        <f t="shared" ref="AU21:AU30" si="29">IFERROR(AT21/AS21,"-")</f>
        <v>-</v>
      </c>
      <c r="AV21" s="180"/>
      <c r="AW21" s="180"/>
      <c r="AX21" s="138" t="str">
        <f t="shared" ref="AX21:AX30" si="30">IFERROR(AW21/AV21,"-")</f>
        <v>-</v>
      </c>
      <c r="AY21" s="152"/>
      <c r="AZ21" s="152"/>
      <c r="BA21" s="152"/>
      <c r="BB21" s="152"/>
      <c r="BC21" s="152"/>
      <c r="BD21" s="152"/>
      <c r="BE21" s="152"/>
      <c r="BF21" s="152"/>
    </row>
    <row r="22" spans="2:58" x14ac:dyDescent="0.25">
      <c r="B22" s="58" t="s">
        <v>73</v>
      </c>
      <c r="C22" s="226">
        <v>17</v>
      </c>
      <c r="D22" s="226">
        <v>17</v>
      </c>
      <c r="E22" s="138">
        <f t="shared" si="0"/>
        <v>1</v>
      </c>
      <c r="F22" s="226">
        <v>9</v>
      </c>
      <c r="G22" s="226">
        <v>9</v>
      </c>
      <c r="H22" s="138">
        <f t="shared" si="18"/>
        <v>1</v>
      </c>
      <c r="I22" s="226">
        <v>10</v>
      </c>
      <c r="J22" s="226">
        <v>10</v>
      </c>
      <c r="K22" s="138">
        <f t="shared" si="19"/>
        <v>1</v>
      </c>
      <c r="L22" s="226">
        <f t="shared" si="3"/>
        <v>36</v>
      </c>
      <c r="M22" s="226">
        <f t="shared" si="4"/>
        <v>36</v>
      </c>
      <c r="N22" s="138">
        <f t="shared" si="5"/>
        <v>1</v>
      </c>
      <c r="O22" s="226">
        <v>9</v>
      </c>
      <c r="P22" s="226">
        <v>8</v>
      </c>
      <c r="Q22" s="138">
        <f t="shared" si="20"/>
        <v>0.88888888888888884</v>
      </c>
      <c r="R22" s="226">
        <v>7</v>
      </c>
      <c r="S22" s="226">
        <v>7</v>
      </c>
      <c r="T22" s="138">
        <f t="shared" si="21"/>
        <v>1</v>
      </c>
      <c r="U22" s="226">
        <v>10</v>
      </c>
      <c r="V22" s="226">
        <v>9</v>
      </c>
      <c r="W22" s="138">
        <f t="shared" si="22"/>
        <v>0.9</v>
      </c>
      <c r="X22" s="176">
        <v>187</v>
      </c>
      <c r="Y22" s="176">
        <v>150</v>
      </c>
      <c r="Z22" s="83">
        <f t="shared" ref="Z22:Z28" si="31">IFERROR(Y22/X22,"-")</f>
        <v>0.80213903743315507</v>
      </c>
      <c r="AA22" s="180"/>
      <c r="AB22" s="180"/>
      <c r="AC22" s="138" t="str">
        <f t="shared" si="23"/>
        <v>-</v>
      </c>
      <c r="AD22" s="180"/>
      <c r="AE22" s="180"/>
      <c r="AF22" s="138" t="str">
        <f t="shared" si="24"/>
        <v>-</v>
      </c>
      <c r="AG22" s="180"/>
      <c r="AH22" s="180"/>
      <c r="AI22" s="138" t="str">
        <f t="shared" si="25"/>
        <v>-</v>
      </c>
      <c r="AJ22" s="180"/>
      <c r="AK22" s="180"/>
      <c r="AL22" s="138" t="str">
        <f t="shared" si="26"/>
        <v>-</v>
      </c>
      <c r="AM22" s="180"/>
      <c r="AN22" s="180"/>
      <c r="AO22" s="138" t="str">
        <f t="shared" si="27"/>
        <v>-</v>
      </c>
      <c r="AP22" s="180"/>
      <c r="AQ22" s="180"/>
      <c r="AR22" s="138" t="str">
        <f t="shared" si="28"/>
        <v>-</v>
      </c>
      <c r="AS22" s="180"/>
      <c r="AT22" s="180"/>
      <c r="AU22" s="138" t="str">
        <f t="shared" si="29"/>
        <v>-</v>
      </c>
      <c r="AV22" s="180"/>
      <c r="AW22" s="180"/>
      <c r="AX22" s="138" t="str">
        <f t="shared" si="30"/>
        <v>-</v>
      </c>
      <c r="AY22" s="152"/>
      <c r="AZ22" s="152"/>
      <c r="BA22" s="152"/>
      <c r="BB22" s="152"/>
      <c r="BC22" s="152"/>
      <c r="BD22" s="152"/>
      <c r="BE22" s="152"/>
      <c r="BF22" s="152"/>
    </row>
    <row r="23" spans="2:58" x14ac:dyDescent="0.25">
      <c r="B23" s="58" t="s">
        <v>145</v>
      </c>
      <c r="C23" s="226"/>
      <c r="D23" s="226"/>
      <c r="E23" s="138"/>
      <c r="F23" s="226"/>
      <c r="G23" s="226"/>
      <c r="H23" s="138"/>
      <c r="I23" s="226"/>
      <c r="J23" s="226"/>
      <c r="K23" s="138"/>
      <c r="L23" s="226"/>
      <c r="M23" s="226"/>
      <c r="N23" s="138"/>
      <c r="O23" s="226"/>
      <c r="P23" s="226"/>
      <c r="Q23" s="138"/>
      <c r="R23" s="226"/>
      <c r="S23" s="226"/>
      <c r="T23" s="138"/>
      <c r="U23" s="226"/>
      <c r="V23" s="226"/>
      <c r="W23" s="138"/>
      <c r="X23" s="176">
        <v>1237</v>
      </c>
      <c r="Y23" s="176">
        <v>1039</v>
      </c>
      <c r="Z23" s="83">
        <f t="shared" si="31"/>
        <v>0.83993532740501209</v>
      </c>
      <c r="AA23" s="180"/>
      <c r="AB23" s="180"/>
      <c r="AC23" s="138"/>
      <c r="AD23" s="180"/>
      <c r="AE23" s="180"/>
      <c r="AF23" s="138"/>
      <c r="AG23" s="180"/>
      <c r="AH23" s="180"/>
      <c r="AI23" s="138"/>
      <c r="AJ23" s="180"/>
      <c r="AK23" s="180"/>
      <c r="AL23" s="138"/>
      <c r="AM23" s="180"/>
      <c r="AN23" s="180"/>
      <c r="AO23" s="138"/>
      <c r="AP23" s="180"/>
      <c r="AQ23" s="180"/>
      <c r="AR23" s="138"/>
      <c r="AS23" s="180"/>
      <c r="AT23" s="180"/>
      <c r="AU23" s="138"/>
      <c r="AV23" s="180"/>
      <c r="AW23" s="180"/>
      <c r="AX23" s="138"/>
      <c r="AY23" s="152"/>
      <c r="AZ23" s="152"/>
      <c r="BA23" s="152"/>
      <c r="BB23" s="152"/>
      <c r="BC23" s="152"/>
      <c r="BD23" s="152"/>
      <c r="BE23" s="152"/>
      <c r="BF23" s="152"/>
    </row>
    <row r="24" spans="2:58" x14ac:dyDescent="0.25">
      <c r="B24" s="58" t="s">
        <v>74</v>
      </c>
      <c r="C24" s="226">
        <v>4</v>
      </c>
      <c r="D24" s="226">
        <v>4</v>
      </c>
      <c r="E24" s="138">
        <f t="shared" si="0"/>
        <v>1</v>
      </c>
      <c r="F24" s="226">
        <v>2</v>
      </c>
      <c r="G24" s="226">
        <v>1</v>
      </c>
      <c r="H24" s="138">
        <f t="shared" si="18"/>
        <v>0.5</v>
      </c>
      <c r="I24" s="226">
        <v>3</v>
      </c>
      <c r="J24" s="226">
        <v>3</v>
      </c>
      <c r="K24" s="138">
        <f t="shared" si="19"/>
        <v>1</v>
      </c>
      <c r="L24" s="226">
        <f t="shared" si="3"/>
        <v>9</v>
      </c>
      <c r="M24" s="226">
        <f t="shared" si="4"/>
        <v>8</v>
      </c>
      <c r="N24" s="138">
        <f t="shared" si="5"/>
        <v>0.88888888888888884</v>
      </c>
      <c r="O24" s="226">
        <v>16</v>
      </c>
      <c r="P24" s="226">
        <v>16</v>
      </c>
      <c r="Q24" s="138">
        <f t="shared" si="20"/>
        <v>1</v>
      </c>
      <c r="R24" s="226">
        <v>1</v>
      </c>
      <c r="S24" s="226">
        <v>1</v>
      </c>
      <c r="T24" s="138">
        <f t="shared" si="21"/>
        <v>1</v>
      </c>
      <c r="U24" s="226">
        <v>3</v>
      </c>
      <c r="V24" s="226">
        <v>3</v>
      </c>
      <c r="W24" s="138">
        <f t="shared" si="22"/>
        <v>1</v>
      </c>
      <c r="X24" s="176">
        <v>14</v>
      </c>
      <c r="Y24" s="176">
        <v>13</v>
      </c>
      <c r="Z24" s="83">
        <f t="shared" si="31"/>
        <v>0.9285714285714286</v>
      </c>
      <c r="AA24" s="180"/>
      <c r="AB24" s="180"/>
      <c r="AC24" s="138" t="str">
        <f t="shared" si="23"/>
        <v>-</v>
      </c>
      <c r="AD24" s="180"/>
      <c r="AE24" s="180"/>
      <c r="AF24" s="138" t="str">
        <f t="shared" si="24"/>
        <v>-</v>
      </c>
      <c r="AG24" s="180"/>
      <c r="AH24" s="180"/>
      <c r="AI24" s="138" t="str">
        <f t="shared" si="25"/>
        <v>-</v>
      </c>
      <c r="AJ24" s="180"/>
      <c r="AK24" s="180"/>
      <c r="AL24" s="138" t="str">
        <f t="shared" si="26"/>
        <v>-</v>
      </c>
      <c r="AM24" s="180"/>
      <c r="AN24" s="180"/>
      <c r="AO24" s="138" t="str">
        <f t="shared" si="27"/>
        <v>-</v>
      </c>
      <c r="AP24" s="180"/>
      <c r="AQ24" s="180"/>
      <c r="AR24" s="138" t="str">
        <f t="shared" si="28"/>
        <v>-</v>
      </c>
      <c r="AS24" s="180"/>
      <c r="AT24" s="180"/>
      <c r="AU24" s="138" t="str">
        <f t="shared" si="29"/>
        <v>-</v>
      </c>
      <c r="AV24" s="180"/>
      <c r="AW24" s="180"/>
      <c r="AX24" s="138" t="str">
        <f t="shared" si="30"/>
        <v>-</v>
      </c>
      <c r="AY24" s="152"/>
      <c r="AZ24" s="152"/>
      <c r="BA24" s="152"/>
      <c r="BB24" s="152"/>
      <c r="BC24" s="152"/>
      <c r="BD24" s="152"/>
      <c r="BE24" s="152"/>
      <c r="BF24" s="152"/>
    </row>
    <row r="25" spans="2:58" x14ac:dyDescent="0.25">
      <c r="B25" s="58" t="s">
        <v>75</v>
      </c>
      <c r="C25" s="226">
        <v>75</v>
      </c>
      <c r="D25" s="226">
        <v>75</v>
      </c>
      <c r="E25" s="138">
        <f t="shared" si="0"/>
        <v>1</v>
      </c>
      <c r="F25" s="226">
        <v>102</v>
      </c>
      <c r="G25" s="226">
        <v>85</v>
      </c>
      <c r="H25" s="138">
        <f t="shared" si="18"/>
        <v>0.83333333333333337</v>
      </c>
      <c r="I25" s="226">
        <v>126</v>
      </c>
      <c r="J25" s="226">
        <v>126</v>
      </c>
      <c r="K25" s="138">
        <f t="shared" si="19"/>
        <v>1</v>
      </c>
      <c r="L25" s="226">
        <f t="shared" si="3"/>
        <v>303</v>
      </c>
      <c r="M25" s="226">
        <f t="shared" si="4"/>
        <v>286</v>
      </c>
      <c r="N25" s="138">
        <f t="shared" si="5"/>
        <v>0.94389438943894388</v>
      </c>
      <c r="O25" s="226">
        <v>167</v>
      </c>
      <c r="P25" s="226">
        <v>138</v>
      </c>
      <c r="Q25" s="138">
        <f t="shared" si="20"/>
        <v>0.82634730538922152</v>
      </c>
      <c r="R25" s="226">
        <v>5726</v>
      </c>
      <c r="S25" s="226">
        <v>4742</v>
      </c>
      <c r="T25" s="138">
        <f t="shared" si="21"/>
        <v>0.82815228780998951</v>
      </c>
      <c r="U25" s="226">
        <v>557</v>
      </c>
      <c r="V25" s="226">
        <v>548</v>
      </c>
      <c r="W25" s="138">
        <f t="shared" si="22"/>
        <v>0.98384201077199285</v>
      </c>
      <c r="X25" s="176">
        <v>246</v>
      </c>
      <c r="Y25" s="176">
        <v>211</v>
      </c>
      <c r="Z25" s="83">
        <f t="shared" si="31"/>
        <v>0.85772357723577231</v>
      </c>
      <c r="AA25" s="180"/>
      <c r="AB25" s="180"/>
      <c r="AC25" s="138" t="str">
        <f t="shared" si="23"/>
        <v>-</v>
      </c>
      <c r="AD25" s="180"/>
      <c r="AE25" s="180"/>
      <c r="AF25" s="138" t="str">
        <f t="shared" si="24"/>
        <v>-</v>
      </c>
      <c r="AG25" s="180"/>
      <c r="AH25" s="180"/>
      <c r="AI25" s="138" t="str">
        <f t="shared" si="25"/>
        <v>-</v>
      </c>
      <c r="AJ25" s="180"/>
      <c r="AK25" s="180"/>
      <c r="AL25" s="138" t="str">
        <f t="shared" si="26"/>
        <v>-</v>
      </c>
      <c r="AM25" s="180"/>
      <c r="AN25" s="180"/>
      <c r="AO25" s="138" t="str">
        <f t="shared" si="27"/>
        <v>-</v>
      </c>
      <c r="AP25" s="180"/>
      <c r="AQ25" s="180"/>
      <c r="AR25" s="138" t="str">
        <f t="shared" si="28"/>
        <v>-</v>
      </c>
      <c r="AS25" s="180"/>
      <c r="AT25" s="180"/>
      <c r="AU25" s="138" t="str">
        <f t="shared" si="29"/>
        <v>-</v>
      </c>
      <c r="AV25" s="180"/>
      <c r="AW25" s="180"/>
      <c r="AX25" s="138" t="str">
        <f t="shared" si="30"/>
        <v>-</v>
      </c>
      <c r="AY25" s="152"/>
      <c r="AZ25" s="152"/>
      <c r="BA25" s="152"/>
      <c r="BB25" s="152"/>
      <c r="BC25" s="152"/>
      <c r="BD25" s="152"/>
      <c r="BE25" s="152"/>
      <c r="BF25" s="152"/>
    </row>
    <row r="26" spans="2:58" x14ac:dyDescent="0.25">
      <c r="B26" s="58" t="s">
        <v>76</v>
      </c>
      <c r="C26" s="226">
        <v>745</v>
      </c>
      <c r="D26" s="226">
        <v>734</v>
      </c>
      <c r="E26" s="138">
        <f t="shared" si="0"/>
        <v>0.9852348993288591</v>
      </c>
      <c r="F26" s="226">
        <v>1061</v>
      </c>
      <c r="G26" s="226">
        <v>1001</v>
      </c>
      <c r="H26" s="138">
        <f t="shared" si="18"/>
        <v>0.94344957587181899</v>
      </c>
      <c r="I26" s="226">
        <v>704</v>
      </c>
      <c r="J26" s="226">
        <v>702</v>
      </c>
      <c r="K26" s="138">
        <f t="shared" si="19"/>
        <v>0.99715909090909094</v>
      </c>
      <c r="L26" s="226">
        <f t="shared" si="3"/>
        <v>2510</v>
      </c>
      <c r="M26" s="226">
        <f t="shared" si="4"/>
        <v>2437</v>
      </c>
      <c r="N26" s="138">
        <f t="shared" si="5"/>
        <v>0.97091633466135463</v>
      </c>
      <c r="O26" s="226">
        <v>289</v>
      </c>
      <c r="P26" s="226">
        <v>268</v>
      </c>
      <c r="Q26" s="138">
        <f t="shared" si="20"/>
        <v>0.9273356401384083</v>
      </c>
      <c r="R26" s="226">
        <v>185</v>
      </c>
      <c r="S26" s="226">
        <v>176</v>
      </c>
      <c r="T26" s="138">
        <f t="shared" si="21"/>
        <v>0.9513513513513514</v>
      </c>
      <c r="U26" s="226">
        <v>111</v>
      </c>
      <c r="V26" s="226">
        <v>104</v>
      </c>
      <c r="W26" s="138">
        <f t="shared" si="22"/>
        <v>0.93693693693693691</v>
      </c>
      <c r="X26" s="176">
        <v>10557</v>
      </c>
      <c r="Y26" s="176">
        <v>9752</v>
      </c>
      <c r="Z26" s="83">
        <f t="shared" si="31"/>
        <v>0.92374727668845313</v>
      </c>
      <c r="AA26" s="180"/>
      <c r="AB26" s="180"/>
      <c r="AC26" s="138" t="str">
        <f t="shared" si="23"/>
        <v>-</v>
      </c>
      <c r="AD26" s="180"/>
      <c r="AE26" s="180"/>
      <c r="AF26" s="138" t="str">
        <f t="shared" si="24"/>
        <v>-</v>
      </c>
      <c r="AG26" s="180"/>
      <c r="AH26" s="180"/>
      <c r="AI26" s="138" t="str">
        <f t="shared" si="25"/>
        <v>-</v>
      </c>
      <c r="AJ26" s="180"/>
      <c r="AK26" s="180"/>
      <c r="AL26" s="138" t="str">
        <f t="shared" si="26"/>
        <v>-</v>
      </c>
      <c r="AM26" s="180"/>
      <c r="AN26" s="180"/>
      <c r="AO26" s="138" t="str">
        <f t="shared" si="27"/>
        <v>-</v>
      </c>
      <c r="AP26" s="180"/>
      <c r="AQ26" s="180"/>
      <c r="AR26" s="138" t="str">
        <f t="shared" si="28"/>
        <v>-</v>
      </c>
      <c r="AS26" s="180"/>
      <c r="AT26" s="180"/>
      <c r="AU26" s="138" t="str">
        <f t="shared" si="29"/>
        <v>-</v>
      </c>
      <c r="AV26" s="180"/>
      <c r="AW26" s="180"/>
      <c r="AX26" s="138" t="str">
        <f t="shared" si="30"/>
        <v>-</v>
      </c>
      <c r="AY26" s="152"/>
      <c r="AZ26" s="152"/>
      <c r="BA26" s="152"/>
      <c r="BB26" s="152"/>
      <c r="BC26" s="152"/>
      <c r="BD26" s="152"/>
      <c r="BE26" s="152"/>
      <c r="BF26" s="152"/>
    </row>
    <row r="27" spans="2:58" x14ac:dyDescent="0.25">
      <c r="B27" s="58" t="s">
        <v>77</v>
      </c>
      <c r="C27" s="226">
        <v>133</v>
      </c>
      <c r="D27" s="226">
        <v>129</v>
      </c>
      <c r="E27" s="138">
        <f t="shared" si="0"/>
        <v>0.96992481203007519</v>
      </c>
      <c r="F27" s="226">
        <v>138</v>
      </c>
      <c r="G27" s="226">
        <v>114</v>
      </c>
      <c r="H27" s="138">
        <f t="shared" si="18"/>
        <v>0.82608695652173914</v>
      </c>
      <c r="I27" s="226">
        <v>146</v>
      </c>
      <c r="J27" s="226">
        <v>130</v>
      </c>
      <c r="K27" s="138">
        <f t="shared" si="19"/>
        <v>0.8904109589041096</v>
      </c>
      <c r="L27" s="226">
        <f t="shared" si="3"/>
        <v>417</v>
      </c>
      <c r="M27" s="226">
        <f t="shared" si="4"/>
        <v>373</v>
      </c>
      <c r="N27" s="138">
        <f t="shared" si="5"/>
        <v>0.89448441247002397</v>
      </c>
      <c r="O27" s="226">
        <v>164</v>
      </c>
      <c r="P27" s="226">
        <v>153</v>
      </c>
      <c r="Q27" s="138">
        <f t="shared" si="20"/>
        <v>0.93292682926829273</v>
      </c>
      <c r="R27" s="226">
        <v>170</v>
      </c>
      <c r="S27" s="226">
        <v>143</v>
      </c>
      <c r="T27" s="138">
        <f t="shared" si="21"/>
        <v>0.8411764705882353</v>
      </c>
      <c r="U27" s="226">
        <v>146</v>
      </c>
      <c r="V27" s="226">
        <v>123</v>
      </c>
      <c r="W27" s="138">
        <f t="shared" si="22"/>
        <v>0.84246575342465757</v>
      </c>
      <c r="X27" s="176">
        <v>743</v>
      </c>
      <c r="Y27" s="176">
        <v>596</v>
      </c>
      <c r="Z27" s="83">
        <f t="shared" si="31"/>
        <v>0.80215343203230149</v>
      </c>
      <c r="AA27" s="180"/>
      <c r="AB27" s="180"/>
      <c r="AC27" s="138" t="str">
        <f t="shared" si="23"/>
        <v>-</v>
      </c>
      <c r="AD27" s="180"/>
      <c r="AE27" s="180"/>
      <c r="AF27" s="138" t="str">
        <f t="shared" si="24"/>
        <v>-</v>
      </c>
      <c r="AG27" s="180"/>
      <c r="AH27" s="180"/>
      <c r="AI27" s="138" t="str">
        <f t="shared" si="25"/>
        <v>-</v>
      </c>
      <c r="AJ27" s="180"/>
      <c r="AK27" s="180"/>
      <c r="AL27" s="138" t="str">
        <f t="shared" si="26"/>
        <v>-</v>
      </c>
      <c r="AM27" s="180"/>
      <c r="AN27" s="180"/>
      <c r="AO27" s="138" t="str">
        <f t="shared" si="27"/>
        <v>-</v>
      </c>
      <c r="AP27" s="180"/>
      <c r="AQ27" s="180"/>
      <c r="AR27" s="138" t="str">
        <f t="shared" si="28"/>
        <v>-</v>
      </c>
      <c r="AS27" s="180"/>
      <c r="AT27" s="180"/>
      <c r="AU27" s="138" t="str">
        <f t="shared" si="29"/>
        <v>-</v>
      </c>
      <c r="AV27" s="180"/>
      <c r="AW27" s="180"/>
      <c r="AX27" s="138" t="str">
        <f t="shared" si="30"/>
        <v>-</v>
      </c>
      <c r="AY27" s="152"/>
      <c r="AZ27" s="152"/>
      <c r="BA27" s="152"/>
      <c r="BB27" s="152"/>
      <c r="BC27" s="152"/>
      <c r="BD27" s="152"/>
      <c r="BE27" s="152"/>
      <c r="BF27" s="152"/>
    </row>
    <row r="28" spans="2:58" x14ac:dyDescent="0.25">
      <c r="B28" s="58" t="s">
        <v>78</v>
      </c>
      <c r="C28" s="226">
        <v>25</v>
      </c>
      <c r="D28" s="226">
        <v>25</v>
      </c>
      <c r="E28" s="138">
        <f t="shared" si="0"/>
        <v>1</v>
      </c>
      <c r="F28" s="226">
        <v>36</v>
      </c>
      <c r="G28" s="226">
        <v>30</v>
      </c>
      <c r="H28" s="138">
        <f t="shared" si="18"/>
        <v>0.83333333333333337</v>
      </c>
      <c r="I28" s="226">
        <v>50</v>
      </c>
      <c r="J28" s="226">
        <v>48</v>
      </c>
      <c r="K28" s="138">
        <f t="shared" si="19"/>
        <v>0.96</v>
      </c>
      <c r="L28" s="226">
        <f t="shared" si="3"/>
        <v>111</v>
      </c>
      <c r="M28" s="226">
        <f t="shared" si="4"/>
        <v>103</v>
      </c>
      <c r="N28" s="138">
        <f t="shared" si="5"/>
        <v>0.92792792792792789</v>
      </c>
      <c r="O28" s="226">
        <v>44</v>
      </c>
      <c r="P28" s="226">
        <v>42</v>
      </c>
      <c r="Q28" s="138">
        <f t="shared" si="20"/>
        <v>0.95454545454545459</v>
      </c>
      <c r="R28" s="226">
        <v>50</v>
      </c>
      <c r="S28" s="226">
        <v>42</v>
      </c>
      <c r="T28" s="138">
        <f t="shared" si="21"/>
        <v>0.84</v>
      </c>
      <c r="U28" s="226">
        <v>29</v>
      </c>
      <c r="V28" s="226">
        <v>27</v>
      </c>
      <c r="W28" s="138">
        <f t="shared" si="22"/>
        <v>0.93103448275862066</v>
      </c>
      <c r="X28" s="176">
        <v>85</v>
      </c>
      <c r="Y28" s="176">
        <v>68</v>
      </c>
      <c r="Z28" s="83">
        <f t="shared" si="31"/>
        <v>0.8</v>
      </c>
      <c r="AA28" s="180"/>
      <c r="AB28" s="180"/>
      <c r="AC28" s="138" t="str">
        <f t="shared" si="23"/>
        <v>-</v>
      </c>
      <c r="AD28" s="180"/>
      <c r="AE28" s="180"/>
      <c r="AF28" s="138" t="str">
        <f t="shared" si="24"/>
        <v>-</v>
      </c>
      <c r="AG28" s="180"/>
      <c r="AH28" s="180"/>
      <c r="AI28" s="138" t="str">
        <f t="shared" si="25"/>
        <v>-</v>
      </c>
      <c r="AJ28" s="180"/>
      <c r="AK28" s="180"/>
      <c r="AL28" s="138" t="str">
        <f t="shared" si="26"/>
        <v>-</v>
      </c>
      <c r="AM28" s="180"/>
      <c r="AN28" s="180"/>
      <c r="AO28" s="138" t="str">
        <f t="shared" si="27"/>
        <v>-</v>
      </c>
      <c r="AP28" s="180"/>
      <c r="AQ28" s="180"/>
      <c r="AR28" s="138" t="str">
        <f t="shared" si="28"/>
        <v>-</v>
      </c>
      <c r="AS28" s="180"/>
      <c r="AT28" s="180"/>
      <c r="AU28" s="138" t="str">
        <f t="shared" si="29"/>
        <v>-</v>
      </c>
      <c r="AV28" s="180"/>
      <c r="AW28" s="180"/>
      <c r="AX28" s="138" t="str">
        <f t="shared" si="30"/>
        <v>-</v>
      </c>
      <c r="AY28" s="152"/>
      <c r="AZ28" s="152"/>
      <c r="BA28" s="152"/>
      <c r="BB28" s="152"/>
      <c r="BC28" s="152"/>
      <c r="BD28" s="152"/>
      <c r="BE28" s="152"/>
      <c r="BF28" s="152"/>
    </row>
    <row r="29" spans="2:58" x14ac:dyDescent="0.25">
      <c r="B29" s="58" t="s">
        <v>79</v>
      </c>
      <c r="C29" s="226">
        <v>5</v>
      </c>
      <c r="D29" s="226">
        <v>5</v>
      </c>
      <c r="E29" s="138">
        <f t="shared" si="0"/>
        <v>1</v>
      </c>
      <c r="F29" s="226">
        <v>1</v>
      </c>
      <c r="G29" s="226">
        <v>1</v>
      </c>
      <c r="H29" s="138">
        <f t="shared" si="18"/>
        <v>1</v>
      </c>
      <c r="I29" s="226">
        <v>1</v>
      </c>
      <c r="J29" s="226">
        <v>1</v>
      </c>
      <c r="K29" s="138">
        <f t="shared" si="19"/>
        <v>1</v>
      </c>
      <c r="L29" s="226">
        <f t="shared" si="3"/>
        <v>7</v>
      </c>
      <c r="M29" s="226">
        <f t="shared" si="4"/>
        <v>7</v>
      </c>
      <c r="N29" s="138">
        <f t="shared" si="5"/>
        <v>1</v>
      </c>
      <c r="O29" s="226">
        <v>9</v>
      </c>
      <c r="P29" s="226">
        <v>9</v>
      </c>
      <c r="Q29" s="138">
        <f t="shared" si="20"/>
        <v>1</v>
      </c>
      <c r="R29" s="226">
        <v>3</v>
      </c>
      <c r="S29" s="226">
        <v>1</v>
      </c>
      <c r="T29" s="138">
        <f t="shared" si="21"/>
        <v>0.33333333333333331</v>
      </c>
      <c r="U29" s="226">
        <v>8</v>
      </c>
      <c r="V29" s="226">
        <v>8</v>
      </c>
      <c r="W29" s="138">
        <f t="shared" si="22"/>
        <v>1</v>
      </c>
      <c r="X29" s="227">
        <v>82</v>
      </c>
      <c r="Y29" s="227">
        <v>76</v>
      </c>
      <c r="Z29" s="83">
        <f>IFERROR(Y29/X29,"-")</f>
        <v>0.92682926829268297</v>
      </c>
      <c r="AA29" s="180"/>
      <c r="AB29" s="180"/>
      <c r="AC29" s="138" t="str">
        <f t="shared" si="23"/>
        <v>-</v>
      </c>
      <c r="AD29" s="180"/>
      <c r="AE29" s="180"/>
      <c r="AF29" s="138" t="str">
        <f t="shared" si="24"/>
        <v>-</v>
      </c>
      <c r="AG29" s="180"/>
      <c r="AH29" s="180"/>
      <c r="AI29" s="138" t="str">
        <f t="shared" si="25"/>
        <v>-</v>
      </c>
      <c r="AJ29" s="180"/>
      <c r="AK29" s="180"/>
      <c r="AL29" s="138" t="str">
        <f t="shared" si="26"/>
        <v>-</v>
      </c>
      <c r="AM29" s="180"/>
      <c r="AN29" s="180"/>
      <c r="AO29" s="138" t="str">
        <f t="shared" si="27"/>
        <v>-</v>
      </c>
      <c r="AP29" s="180"/>
      <c r="AQ29" s="180"/>
      <c r="AR29" s="138" t="str">
        <f t="shared" si="28"/>
        <v>-</v>
      </c>
      <c r="AS29" s="180"/>
      <c r="AT29" s="180"/>
      <c r="AU29" s="138" t="str">
        <f t="shared" si="29"/>
        <v>-</v>
      </c>
      <c r="AV29" s="180"/>
      <c r="AW29" s="180"/>
      <c r="AX29" s="138" t="str">
        <f t="shared" si="30"/>
        <v>-</v>
      </c>
      <c r="AY29" s="152"/>
      <c r="AZ29" s="152"/>
      <c r="BA29" s="152"/>
      <c r="BB29" s="152"/>
      <c r="BC29" s="152"/>
      <c r="BD29" s="152"/>
      <c r="BE29" s="152"/>
      <c r="BF29" s="152"/>
    </row>
    <row r="30" spans="2:58" x14ac:dyDescent="0.25">
      <c r="B30" s="50" t="s">
        <v>80</v>
      </c>
      <c r="C30" s="8">
        <f>SUM(C11:C29)</f>
        <v>4929</v>
      </c>
      <c r="D30" s="8">
        <f>SUM(D11:D29)</f>
        <v>4887</v>
      </c>
      <c r="E30" s="8">
        <f t="shared" si="0"/>
        <v>0.99147900182592819</v>
      </c>
      <c r="F30" s="8">
        <f>SUM(F11:F29)</f>
        <v>5159</v>
      </c>
      <c r="G30" s="8">
        <f>SUM(G11:G29)</f>
        <v>5005</v>
      </c>
      <c r="H30" s="8">
        <f t="shared" si="18"/>
        <v>0.97014925373134331</v>
      </c>
      <c r="I30" s="8">
        <f>SUM(I11:I29)</f>
        <v>5835</v>
      </c>
      <c r="J30" s="8">
        <f>SUM(J11:J29)</f>
        <v>5770</v>
      </c>
      <c r="K30" s="8">
        <f t="shared" si="19"/>
        <v>0.98886032562125104</v>
      </c>
      <c r="L30" s="8">
        <f>SUM(L11:L29)</f>
        <v>15923</v>
      </c>
      <c r="M30" s="8">
        <f>SUM(M11:M29)</f>
        <v>15662</v>
      </c>
      <c r="N30" s="8">
        <f t="shared" si="5"/>
        <v>0.98360861646674624</v>
      </c>
      <c r="O30" s="8">
        <f>SUM(O11:O29)</f>
        <v>5396</v>
      </c>
      <c r="P30" s="8">
        <f>SUM(P11:P29)</f>
        <v>5272</v>
      </c>
      <c r="Q30" s="8">
        <f t="shared" si="20"/>
        <v>0.97702001482579692</v>
      </c>
      <c r="R30" s="8">
        <f>SUM(R11:R29)</f>
        <v>13129</v>
      </c>
      <c r="S30" s="8">
        <f>SUM(S11:S29)</f>
        <v>12005</v>
      </c>
      <c r="T30" s="8">
        <f t="shared" si="21"/>
        <v>0.91438799603930232</v>
      </c>
      <c r="U30" s="8">
        <f>SUM(U11:U29)</f>
        <v>6616</v>
      </c>
      <c r="V30" s="8">
        <f>SUM(V11:V29)</f>
        <v>6450</v>
      </c>
      <c r="W30" s="8">
        <f t="shared" si="22"/>
        <v>0.97490931076178955</v>
      </c>
      <c r="X30" s="8">
        <f>SUM(X11:X29)</f>
        <v>28526</v>
      </c>
      <c r="Y30" s="8">
        <f>SUM(Y11:Y29)</f>
        <v>26812</v>
      </c>
      <c r="Z30" s="102">
        <f>+Y30/X30</f>
        <v>0.93991446399775647</v>
      </c>
      <c r="AA30" s="8">
        <f>SUM(AA11:AA29)</f>
        <v>0</v>
      </c>
      <c r="AB30" s="8">
        <f>SUM(AB11:AB29)</f>
        <v>0</v>
      </c>
      <c r="AC30" s="8" t="str">
        <f t="shared" si="23"/>
        <v>-</v>
      </c>
      <c r="AD30" s="8">
        <f>SUM(AD11:AD29)</f>
        <v>0</v>
      </c>
      <c r="AE30" s="8">
        <f>SUM(AE11:AE29)</f>
        <v>0</v>
      </c>
      <c r="AF30" s="8" t="str">
        <f t="shared" si="24"/>
        <v>-</v>
      </c>
      <c r="AG30" s="8">
        <f>SUM(AG11:AG29)</f>
        <v>0</v>
      </c>
      <c r="AH30" s="8">
        <f>SUM(AH11:AH29)</f>
        <v>0</v>
      </c>
      <c r="AI30" s="8" t="str">
        <f t="shared" si="25"/>
        <v>-</v>
      </c>
      <c r="AJ30" s="8">
        <f>SUM(AJ11:AJ29)</f>
        <v>0</v>
      </c>
      <c r="AK30" s="8">
        <f>SUM(AK11:AK29)</f>
        <v>0</v>
      </c>
      <c r="AL30" s="8" t="str">
        <f t="shared" si="26"/>
        <v>-</v>
      </c>
      <c r="AM30" s="8">
        <f>SUM(AM11:AM29)</f>
        <v>0</v>
      </c>
      <c r="AN30" s="8">
        <f>SUM(AN11:AN29)</f>
        <v>0</v>
      </c>
      <c r="AO30" s="8" t="str">
        <f t="shared" si="27"/>
        <v>-</v>
      </c>
      <c r="AP30" s="8">
        <f>SUM(AP11:AP29)</f>
        <v>0</v>
      </c>
      <c r="AQ30" s="8">
        <f>SUM(AQ11:AQ29)</f>
        <v>0</v>
      </c>
      <c r="AR30" s="8" t="str">
        <f t="shared" si="28"/>
        <v>-</v>
      </c>
      <c r="AS30" s="8">
        <f>SUM(AS11:AS29)</f>
        <v>0</v>
      </c>
      <c r="AT30" s="8">
        <f>SUM(AT11:AT29)</f>
        <v>0</v>
      </c>
      <c r="AU30" s="8" t="str">
        <f t="shared" si="29"/>
        <v>-</v>
      </c>
      <c r="AV30" s="8">
        <f>SUM(AV11:AV29)</f>
        <v>0</v>
      </c>
      <c r="AW30" s="8">
        <f>SUM(AW11:AW29)</f>
        <v>0</v>
      </c>
      <c r="AX30" s="8" t="str">
        <f t="shared" si="30"/>
        <v>-</v>
      </c>
      <c r="AY30" s="152"/>
      <c r="AZ30" s="152"/>
      <c r="BA30" s="152"/>
      <c r="BB30" s="152"/>
      <c r="BC30" s="152"/>
      <c r="BD30" s="152"/>
      <c r="BE30" s="152"/>
      <c r="BF30" s="152"/>
    </row>
    <row r="31" spans="2:58" x14ac:dyDescent="0.25">
      <c r="B31" s="166" t="s">
        <v>240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pans="2:58" x14ac:dyDescent="0.25"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</row>
    <row r="33" spans="2:58" x14ac:dyDescent="0.25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</row>
    <row r="34" spans="2:58" x14ac:dyDescent="0.25"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</row>
    <row r="35" spans="2:58" x14ac:dyDescent="0.25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</row>
    <row r="36" spans="2:58" ht="15.75" x14ac:dyDescent="0.25">
      <c r="B36" s="319" t="s">
        <v>96</v>
      </c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19"/>
      <c r="AV36" s="319"/>
      <c r="AW36" s="319"/>
      <c r="AX36" s="319"/>
      <c r="AY36" s="152"/>
      <c r="AZ36" s="152"/>
      <c r="BA36" s="152"/>
      <c r="BB36" s="152"/>
      <c r="BC36" s="152"/>
      <c r="BD36" s="152"/>
      <c r="BE36" s="152"/>
      <c r="BF36" s="152"/>
    </row>
    <row r="37" spans="2:58" x14ac:dyDescent="0.25">
      <c r="B37" s="225"/>
      <c r="C37" s="300" t="s">
        <v>83</v>
      </c>
      <c r="D37" s="300"/>
      <c r="E37" s="300"/>
      <c r="F37" s="300" t="s">
        <v>84</v>
      </c>
      <c r="G37" s="300"/>
      <c r="H37" s="300"/>
      <c r="I37" s="300" t="s">
        <v>85</v>
      </c>
      <c r="J37" s="300"/>
      <c r="K37" s="300"/>
      <c r="L37" s="300" t="s">
        <v>92</v>
      </c>
      <c r="M37" s="300"/>
      <c r="N37" s="300"/>
      <c r="O37" s="300" t="s">
        <v>35</v>
      </c>
      <c r="P37" s="300"/>
      <c r="Q37" s="300"/>
      <c r="R37" s="300" t="s">
        <v>36</v>
      </c>
      <c r="S37" s="300"/>
      <c r="T37" s="300"/>
      <c r="U37" s="300" t="s">
        <v>37</v>
      </c>
      <c r="V37" s="300"/>
      <c r="W37" s="300"/>
      <c r="X37" s="300" t="s">
        <v>237</v>
      </c>
      <c r="Y37" s="300"/>
      <c r="Z37" s="300"/>
      <c r="AA37" s="300" t="s">
        <v>86</v>
      </c>
      <c r="AB37" s="300"/>
      <c r="AC37" s="300"/>
      <c r="AD37" s="300" t="s">
        <v>87</v>
      </c>
      <c r="AE37" s="300"/>
      <c r="AF37" s="300"/>
      <c r="AG37" s="300" t="s">
        <v>88</v>
      </c>
      <c r="AH37" s="300"/>
      <c r="AI37" s="300"/>
      <c r="AJ37" s="300" t="s">
        <v>93</v>
      </c>
      <c r="AK37" s="300"/>
      <c r="AL37" s="300"/>
      <c r="AM37" s="300" t="s">
        <v>89</v>
      </c>
      <c r="AN37" s="300"/>
      <c r="AO37" s="300"/>
      <c r="AP37" s="300" t="s">
        <v>90</v>
      </c>
      <c r="AQ37" s="300"/>
      <c r="AR37" s="300"/>
      <c r="AS37" s="300" t="s">
        <v>91</v>
      </c>
      <c r="AT37" s="300"/>
      <c r="AU37" s="300"/>
      <c r="AV37" s="300" t="s">
        <v>94</v>
      </c>
      <c r="AW37" s="300"/>
      <c r="AX37" s="300"/>
      <c r="AY37" s="152"/>
      <c r="AZ37" s="152"/>
      <c r="BA37" s="152"/>
      <c r="BB37" s="152"/>
      <c r="BC37" s="152"/>
      <c r="BD37" s="152"/>
      <c r="BE37" s="152"/>
      <c r="BF37" s="152"/>
    </row>
    <row r="38" spans="2:58" x14ac:dyDescent="0.25">
      <c r="B38" s="58"/>
      <c r="C38" s="59" t="s">
        <v>64</v>
      </c>
      <c r="D38" s="59" t="s">
        <v>65</v>
      </c>
      <c r="E38" s="59" t="s">
        <v>40</v>
      </c>
      <c r="F38" s="59" t="s">
        <v>64</v>
      </c>
      <c r="G38" s="59" t="s">
        <v>65</v>
      </c>
      <c r="H38" s="59" t="s">
        <v>66</v>
      </c>
      <c r="I38" s="59" t="s">
        <v>64</v>
      </c>
      <c r="J38" s="59" t="s">
        <v>65</v>
      </c>
      <c r="K38" s="59" t="s">
        <v>66</v>
      </c>
      <c r="L38" s="59" t="s">
        <v>64</v>
      </c>
      <c r="M38" s="59" t="s">
        <v>65</v>
      </c>
      <c r="N38" s="59" t="s">
        <v>66</v>
      </c>
      <c r="O38" s="59" t="s">
        <v>64</v>
      </c>
      <c r="P38" s="59" t="s">
        <v>65</v>
      </c>
      <c r="Q38" s="59" t="s">
        <v>66</v>
      </c>
      <c r="R38" s="59" t="s">
        <v>64</v>
      </c>
      <c r="S38" s="59" t="s">
        <v>65</v>
      </c>
      <c r="T38" s="59" t="s">
        <v>66</v>
      </c>
      <c r="U38" s="59" t="s">
        <v>64</v>
      </c>
      <c r="V38" s="59" t="s">
        <v>65</v>
      </c>
      <c r="W38" s="59" t="s">
        <v>66</v>
      </c>
      <c r="X38" s="59" t="s">
        <v>64</v>
      </c>
      <c r="Y38" s="59" t="s">
        <v>65</v>
      </c>
      <c r="Z38" s="59" t="s">
        <v>66</v>
      </c>
      <c r="AA38" s="59" t="s">
        <v>64</v>
      </c>
      <c r="AB38" s="59" t="s">
        <v>65</v>
      </c>
      <c r="AC38" s="59" t="s">
        <v>66</v>
      </c>
      <c r="AD38" s="59" t="s">
        <v>64</v>
      </c>
      <c r="AE38" s="59" t="s">
        <v>65</v>
      </c>
      <c r="AF38" s="59" t="s">
        <v>66</v>
      </c>
      <c r="AG38" s="59" t="s">
        <v>64</v>
      </c>
      <c r="AH38" s="59" t="s">
        <v>65</v>
      </c>
      <c r="AI38" s="59" t="s">
        <v>66</v>
      </c>
      <c r="AJ38" s="59" t="s">
        <v>64</v>
      </c>
      <c r="AK38" s="59" t="s">
        <v>65</v>
      </c>
      <c r="AL38" s="59" t="s">
        <v>66</v>
      </c>
      <c r="AM38" s="59" t="s">
        <v>64</v>
      </c>
      <c r="AN38" s="59" t="s">
        <v>65</v>
      </c>
      <c r="AO38" s="59" t="s">
        <v>66</v>
      </c>
      <c r="AP38" s="59" t="s">
        <v>64</v>
      </c>
      <c r="AQ38" s="59" t="s">
        <v>65</v>
      </c>
      <c r="AR38" s="59" t="s">
        <v>66</v>
      </c>
      <c r="AS38" s="59" t="s">
        <v>64</v>
      </c>
      <c r="AT38" s="59" t="s">
        <v>65</v>
      </c>
      <c r="AU38" s="59" t="s">
        <v>66</v>
      </c>
      <c r="AV38" s="59" t="s">
        <v>64</v>
      </c>
      <c r="AW38" s="59" t="s">
        <v>65</v>
      </c>
      <c r="AX38" s="59" t="s">
        <v>66</v>
      </c>
      <c r="AY38" s="152"/>
      <c r="AZ38" s="152"/>
      <c r="BA38" s="152"/>
      <c r="BB38" s="152"/>
      <c r="BC38" s="152"/>
      <c r="BD38" s="152"/>
      <c r="BE38" s="152"/>
      <c r="BF38" s="152"/>
    </row>
    <row r="39" spans="2:58" x14ac:dyDescent="0.25">
      <c r="B39" s="58" t="s">
        <v>67</v>
      </c>
      <c r="C39" s="226">
        <v>9</v>
      </c>
      <c r="D39" s="226">
        <v>7</v>
      </c>
      <c r="E39" s="138">
        <f>IFERROR(D39/C39,"-")</f>
        <v>0.77777777777777779</v>
      </c>
      <c r="F39" s="226">
        <v>11</v>
      </c>
      <c r="G39" s="226">
        <v>9</v>
      </c>
      <c r="H39" s="138">
        <f t="shared" ref="H39:H50" si="32">IFERROR(G39/F39,"-")</f>
        <v>0.81818181818181823</v>
      </c>
      <c r="I39" s="226">
        <v>14</v>
      </c>
      <c r="J39" s="226">
        <v>11</v>
      </c>
      <c r="K39" s="138">
        <f t="shared" ref="K39:K50" si="33">IFERROR(J39/I39,"-")</f>
        <v>0.7857142857142857</v>
      </c>
      <c r="L39" s="226">
        <f>+C39+F39+I39</f>
        <v>34</v>
      </c>
      <c r="M39" s="226">
        <f>+D39+G39+J39</f>
        <v>27</v>
      </c>
      <c r="N39" s="138">
        <f>IFERROR(M39/L39,"-")</f>
        <v>0.79411764705882348</v>
      </c>
      <c r="O39" s="226">
        <v>7</v>
      </c>
      <c r="P39" s="226">
        <v>6</v>
      </c>
      <c r="Q39" s="138">
        <f t="shared" ref="Q39:Q50" si="34">IFERROR(P39/O39,"-")</f>
        <v>0.8571428571428571</v>
      </c>
      <c r="R39" s="226">
        <v>8</v>
      </c>
      <c r="S39" s="226">
        <v>7</v>
      </c>
      <c r="T39" s="138">
        <f t="shared" ref="T39:T50" si="35">IFERROR(S39/R39,"-")</f>
        <v>0.875</v>
      </c>
      <c r="U39" s="226">
        <v>10</v>
      </c>
      <c r="V39" s="226">
        <v>7</v>
      </c>
      <c r="W39" s="138">
        <f t="shared" ref="W39:W50" si="36">IFERROR(V39/U39,"-")</f>
        <v>0.7</v>
      </c>
      <c r="X39" s="227">
        <v>43</v>
      </c>
      <c r="Y39" s="176">
        <v>39</v>
      </c>
      <c r="Z39" s="83">
        <f>IFERROR(Y39/X39,"-")</f>
        <v>0.90697674418604646</v>
      </c>
      <c r="AA39" s="180"/>
      <c r="AB39" s="180"/>
      <c r="AC39" s="138" t="str">
        <f>IFERROR(AB39/AA39,"-")</f>
        <v>-</v>
      </c>
      <c r="AD39" s="180"/>
      <c r="AE39" s="180"/>
      <c r="AF39" s="138" t="str">
        <f>IFERROR(AE39/AD39,"-")</f>
        <v>-</v>
      </c>
      <c r="AG39" s="180"/>
      <c r="AH39" s="180"/>
      <c r="AI39" s="138" t="str">
        <f>IFERROR(AH39/AG39,"-")</f>
        <v>-</v>
      </c>
      <c r="AJ39" s="180"/>
      <c r="AK39" s="180"/>
      <c r="AL39" s="138" t="str">
        <f>IFERROR(AK39/AJ39,"-")</f>
        <v>-</v>
      </c>
      <c r="AM39" s="180"/>
      <c r="AN39" s="180"/>
      <c r="AO39" s="138" t="str">
        <f>IFERROR(AN39/AM39,"-")</f>
        <v>-</v>
      </c>
      <c r="AP39" s="180"/>
      <c r="AQ39" s="180"/>
      <c r="AR39" s="138" t="str">
        <f>IFERROR(AQ39/AP39,"-")</f>
        <v>-</v>
      </c>
      <c r="AS39" s="180"/>
      <c r="AT39" s="180"/>
      <c r="AU39" s="138" t="str">
        <f>IFERROR(AT39/AS39,"-")</f>
        <v>-</v>
      </c>
      <c r="AV39" s="180"/>
      <c r="AW39" s="180"/>
      <c r="AX39" s="138" t="str">
        <f>IFERROR(AW39/AV39,"-")</f>
        <v>-</v>
      </c>
      <c r="AY39" s="152"/>
      <c r="AZ39" s="152"/>
      <c r="BA39" s="152"/>
      <c r="BB39" s="152"/>
      <c r="BC39" s="152"/>
      <c r="BD39" s="152"/>
      <c r="BE39" s="152"/>
      <c r="BF39" s="152"/>
    </row>
    <row r="40" spans="2:58" x14ac:dyDescent="0.25">
      <c r="B40" s="58" t="s">
        <v>70</v>
      </c>
      <c r="C40" s="226">
        <v>26</v>
      </c>
      <c r="D40" s="226">
        <v>4</v>
      </c>
      <c r="E40" s="138">
        <f t="shared" ref="E40:E49" si="37">IFERROR(D40/C40,"-")</f>
        <v>0.15384615384615385</v>
      </c>
      <c r="F40" s="226">
        <v>12</v>
      </c>
      <c r="G40" s="226">
        <v>1</v>
      </c>
      <c r="H40" s="138">
        <f t="shared" si="32"/>
        <v>8.3333333333333329E-2</v>
      </c>
      <c r="I40" s="226">
        <v>36</v>
      </c>
      <c r="J40" s="226">
        <v>4</v>
      </c>
      <c r="K40" s="138">
        <f t="shared" si="33"/>
        <v>0.1111111111111111</v>
      </c>
      <c r="L40" s="226">
        <f t="shared" ref="L40:L49" si="38">+C40+F40+I40</f>
        <v>74</v>
      </c>
      <c r="M40" s="226">
        <f t="shared" ref="M40:M49" si="39">+D40+G40+J40</f>
        <v>9</v>
      </c>
      <c r="N40" s="138">
        <f t="shared" ref="N40:N50" si="40">IFERROR(M40/L40,"-")</f>
        <v>0.12162162162162163</v>
      </c>
      <c r="O40" s="226">
        <v>10</v>
      </c>
      <c r="P40" s="226">
        <v>1</v>
      </c>
      <c r="Q40" s="138">
        <f t="shared" si="34"/>
        <v>0.1</v>
      </c>
      <c r="R40" s="226">
        <v>28</v>
      </c>
      <c r="S40" s="226">
        <v>1</v>
      </c>
      <c r="T40" s="138">
        <f t="shared" si="35"/>
        <v>3.5714285714285712E-2</v>
      </c>
      <c r="U40" s="226">
        <v>14</v>
      </c>
      <c r="V40" s="226">
        <v>3</v>
      </c>
      <c r="W40" s="138">
        <f t="shared" si="36"/>
        <v>0.21428571428571427</v>
      </c>
      <c r="X40" s="227">
        <v>77</v>
      </c>
      <c r="Y40" s="176">
        <v>33</v>
      </c>
      <c r="Z40" s="83">
        <f t="shared" ref="Z40:Z49" si="41">IFERROR(Y40/X40,"-")</f>
        <v>0.42857142857142855</v>
      </c>
      <c r="AA40" s="180"/>
      <c r="AB40" s="180"/>
      <c r="AC40" s="138" t="str">
        <f>IFERROR(AB40/AA40,"-")</f>
        <v>-</v>
      </c>
      <c r="AD40" s="180"/>
      <c r="AE40" s="180"/>
      <c r="AF40" s="138" t="str">
        <f>IFERROR(AE40/AD40,"-")</f>
        <v>-</v>
      </c>
      <c r="AG40" s="180"/>
      <c r="AH40" s="180"/>
      <c r="AI40" s="138" t="str">
        <f>IFERROR(AH40/AG40,"-")</f>
        <v>-</v>
      </c>
      <c r="AJ40" s="180"/>
      <c r="AK40" s="180"/>
      <c r="AL40" s="138" t="str">
        <f>IFERROR(AK40/AJ40,"-")</f>
        <v>-</v>
      </c>
      <c r="AM40" s="180"/>
      <c r="AN40" s="180"/>
      <c r="AO40" s="138" t="str">
        <f>IFERROR(AN40/AM40,"-")</f>
        <v>-</v>
      </c>
      <c r="AP40" s="180"/>
      <c r="AQ40" s="180"/>
      <c r="AR40" s="138" t="str">
        <f>IFERROR(AQ40/AP40,"-")</f>
        <v>-</v>
      </c>
      <c r="AS40" s="180"/>
      <c r="AT40" s="180"/>
      <c r="AU40" s="138" t="str">
        <f>IFERROR(AT40/AS40,"-")</f>
        <v>-</v>
      </c>
      <c r="AV40" s="180"/>
      <c r="AW40" s="180"/>
      <c r="AX40" s="138" t="str">
        <f>IFERROR(AW40/AV40,"-")</f>
        <v>-</v>
      </c>
      <c r="AY40" s="152"/>
      <c r="AZ40" s="152"/>
      <c r="BA40" s="152"/>
      <c r="BB40" s="152"/>
      <c r="BC40" s="152"/>
      <c r="BD40" s="152"/>
      <c r="BE40" s="152"/>
      <c r="BF40" s="152"/>
    </row>
    <row r="41" spans="2:58" x14ac:dyDescent="0.25">
      <c r="B41" s="58" t="s">
        <v>71</v>
      </c>
      <c r="C41" s="226">
        <v>139</v>
      </c>
      <c r="D41" s="226">
        <v>101</v>
      </c>
      <c r="E41" s="138">
        <f t="shared" si="37"/>
        <v>0.72661870503597126</v>
      </c>
      <c r="F41" s="226">
        <v>113</v>
      </c>
      <c r="G41" s="226">
        <v>66</v>
      </c>
      <c r="H41" s="138">
        <f t="shared" si="32"/>
        <v>0.58407079646017701</v>
      </c>
      <c r="I41" s="226">
        <v>152</v>
      </c>
      <c r="J41" s="226">
        <v>104</v>
      </c>
      <c r="K41" s="138">
        <f t="shared" si="33"/>
        <v>0.68421052631578949</v>
      </c>
      <c r="L41" s="226">
        <f t="shared" si="38"/>
        <v>404</v>
      </c>
      <c r="M41" s="226">
        <f t="shared" si="39"/>
        <v>271</v>
      </c>
      <c r="N41" s="138">
        <f t="shared" si="40"/>
        <v>0.67079207920792083</v>
      </c>
      <c r="O41" s="226">
        <v>104</v>
      </c>
      <c r="P41" s="226">
        <v>71</v>
      </c>
      <c r="Q41" s="138">
        <f t="shared" si="34"/>
        <v>0.68269230769230771</v>
      </c>
      <c r="R41" s="226">
        <v>155</v>
      </c>
      <c r="S41" s="226">
        <v>95</v>
      </c>
      <c r="T41" s="138">
        <f t="shared" si="35"/>
        <v>0.61290322580645162</v>
      </c>
      <c r="U41" s="226">
        <v>112</v>
      </c>
      <c r="V41" s="226">
        <v>70</v>
      </c>
      <c r="W41" s="138">
        <f t="shared" si="36"/>
        <v>0.625</v>
      </c>
      <c r="X41" s="227">
        <v>417</v>
      </c>
      <c r="Y41" s="176">
        <v>326</v>
      </c>
      <c r="Z41" s="83">
        <f t="shared" si="41"/>
        <v>0.78177458033573144</v>
      </c>
      <c r="AA41" s="180"/>
      <c r="AB41" s="180"/>
      <c r="AC41" s="138" t="str">
        <f>IFERROR(AB41/AA41,"-")</f>
        <v>-</v>
      </c>
      <c r="AD41" s="180"/>
      <c r="AE41" s="180"/>
      <c r="AF41" s="138" t="str">
        <f>IFERROR(AE41/AD41,"-")</f>
        <v>-</v>
      </c>
      <c r="AG41" s="180"/>
      <c r="AH41" s="180"/>
      <c r="AI41" s="138" t="str">
        <f>IFERROR(AH41/AG41,"-")</f>
        <v>-</v>
      </c>
      <c r="AJ41" s="180"/>
      <c r="AK41" s="180"/>
      <c r="AL41" s="138" t="str">
        <f>IFERROR(AK41/AJ41,"-")</f>
        <v>-</v>
      </c>
      <c r="AM41" s="180"/>
      <c r="AN41" s="180"/>
      <c r="AO41" s="138" t="str">
        <f>IFERROR(AN41/AM41,"-")</f>
        <v>-</v>
      </c>
      <c r="AP41" s="180"/>
      <c r="AQ41" s="180"/>
      <c r="AR41" s="138" t="str">
        <f>IFERROR(AQ41/AP41,"-")</f>
        <v>-</v>
      </c>
      <c r="AS41" s="180"/>
      <c r="AT41" s="180"/>
      <c r="AU41" s="138" t="str">
        <f>IFERROR(AT41/AS41,"-")</f>
        <v>-</v>
      </c>
      <c r="AV41" s="180"/>
      <c r="AW41" s="180"/>
      <c r="AX41" s="138" t="str">
        <f>IFERROR(AW41/AV41,"-")</f>
        <v>-</v>
      </c>
      <c r="AY41" s="152"/>
      <c r="AZ41" s="152"/>
      <c r="BA41" s="152"/>
      <c r="BB41" s="152"/>
      <c r="BC41" s="152"/>
      <c r="BD41" s="152"/>
      <c r="BE41" s="152"/>
      <c r="BF41" s="152"/>
    </row>
    <row r="42" spans="2:58" x14ac:dyDescent="0.25">
      <c r="B42" s="58" t="s">
        <v>81</v>
      </c>
      <c r="C42" s="226">
        <v>2</v>
      </c>
      <c r="D42" s="226">
        <v>2</v>
      </c>
      <c r="E42" s="138">
        <f t="shared" si="37"/>
        <v>1</v>
      </c>
      <c r="F42" s="226">
        <v>2</v>
      </c>
      <c r="G42" s="226">
        <v>0</v>
      </c>
      <c r="H42" s="138">
        <f t="shared" si="32"/>
        <v>0</v>
      </c>
      <c r="I42" s="226">
        <v>8</v>
      </c>
      <c r="J42" s="226">
        <v>6</v>
      </c>
      <c r="K42" s="138">
        <f t="shared" si="33"/>
        <v>0.75</v>
      </c>
      <c r="L42" s="226">
        <f t="shared" si="38"/>
        <v>12</v>
      </c>
      <c r="M42" s="226">
        <f t="shared" si="39"/>
        <v>8</v>
      </c>
      <c r="N42" s="138">
        <f t="shared" si="40"/>
        <v>0.66666666666666663</v>
      </c>
      <c r="O42" s="226">
        <v>1</v>
      </c>
      <c r="P42" s="226">
        <v>0</v>
      </c>
      <c r="Q42" s="138">
        <f t="shared" si="34"/>
        <v>0</v>
      </c>
      <c r="R42" s="226">
        <v>3</v>
      </c>
      <c r="S42" s="226">
        <v>3</v>
      </c>
      <c r="T42" s="138">
        <f t="shared" si="35"/>
        <v>1</v>
      </c>
      <c r="U42" s="226">
        <v>7</v>
      </c>
      <c r="V42" s="226">
        <v>3</v>
      </c>
      <c r="W42" s="138">
        <f t="shared" si="36"/>
        <v>0.42857142857142855</v>
      </c>
      <c r="X42" s="227">
        <v>4</v>
      </c>
      <c r="Y42" s="176">
        <v>3</v>
      </c>
      <c r="Z42" s="83">
        <f t="shared" si="41"/>
        <v>0.75</v>
      </c>
      <c r="AA42" s="180"/>
      <c r="AB42" s="180"/>
      <c r="AC42" s="138" t="str">
        <f>IFERROR(AB42/AA42,"-")</f>
        <v>-</v>
      </c>
      <c r="AD42" s="180"/>
      <c r="AE42" s="180"/>
      <c r="AF42" s="138" t="str">
        <f>IFERROR(AE42/AD42,"-")</f>
        <v>-</v>
      </c>
      <c r="AG42" s="180"/>
      <c r="AH42" s="180"/>
      <c r="AI42" s="138" t="str">
        <f>IFERROR(AH42/AG42,"-")</f>
        <v>-</v>
      </c>
      <c r="AJ42" s="180"/>
      <c r="AK42" s="180"/>
      <c r="AL42" s="138" t="str">
        <f>IFERROR(AK42/AJ42,"-")</f>
        <v>-</v>
      </c>
      <c r="AM42" s="180"/>
      <c r="AN42" s="180"/>
      <c r="AO42" s="138" t="str">
        <f>IFERROR(AN42/AM42,"-")</f>
        <v>-</v>
      </c>
      <c r="AP42" s="180"/>
      <c r="AQ42" s="180"/>
      <c r="AR42" s="138" t="str">
        <f>IFERROR(AQ42/AP42,"-")</f>
        <v>-</v>
      </c>
      <c r="AS42" s="180"/>
      <c r="AT42" s="180"/>
      <c r="AU42" s="138" t="str">
        <f>IFERROR(AT42/AS42,"-")</f>
        <v>-</v>
      </c>
      <c r="AV42" s="180"/>
      <c r="AW42" s="180"/>
      <c r="AX42" s="138" t="str">
        <f>IFERROR(AW42/AV42,"-")</f>
        <v>-</v>
      </c>
      <c r="AY42" s="152"/>
      <c r="AZ42" s="152"/>
      <c r="BA42" s="152"/>
      <c r="BB42" s="152"/>
      <c r="BC42" s="152"/>
      <c r="BD42" s="152"/>
      <c r="BE42" s="152"/>
      <c r="BF42" s="152"/>
    </row>
    <row r="43" spans="2:58" x14ac:dyDescent="0.25">
      <c r="B43" s="58" t="s">
        <v>176</v>
      </c>
      <c r="C43" s="226"/>
      <c r="D43" s="226"/>
      <c r="E43" s="138"/>
      <c r="F43" s="226"/>
      <c r="G43" s="226"/>
      <c r="H43" s="138"/>
      <c r="I43" s="226"/>
      <c r="J43" s="226"/>
      <c r="K43" s="138"/>
      <c r="L43" s="226"/>
      <c r="M43" s="226"/>
      <c r="N43" s="138"/>
      <c r="O43" s="226"/>
      <c r="P43" s="226"/>
      <c r="Q43" s="138"/>
      <c r="R43" s="226"/>
      <c r="S43" s="226"/>
      <c r="T43" s="138"/>
      <c r="U43" s="226"/>
      <c r="V43" s="226"/>
      <c r="W43" s="138"/>
      <c r="X43" s="227">
        <v>1</v>
      </c>
      <c r="Y43" s="176">
        <v>1</v>
      </c>
      <c r="Z43" s="83">
        <f t="shared" si="41"/>
        <v>1</v>
      </c>
      <c r="AA43" s="180"/>
      <c r="AB43" s="180"/>
      <c r="AC43" s="138"/>
      <c r="AD43" s="180"/>
      <c r="AE43" s="180"/>
      <c r="AF43" s="138"/>
      <c r="AG43" s="180"/>
      <c r="AH43" s="180"/>
      <c r="AI43" s="138"/>
      <c r="AJ43" s="180"/>
      <c r="AK43" s="180"/>
      <c r="AL43" s="138"/>
      <c r="AM43" s="180"/>
      <c r="AN43" s="180"/>
      <c r="AO43" s="138"/>
      <c r="AP43" s="180"/>
      <c r="AQ43" s="180"/>
      <c r="AR43" s="138"/>
      <c r="AS43" s="180"/>
      <c r="AT43" s="180"/>
      <c r="AU43" s="138"/>
      <c r="AV43" s="180"/>
      <c r="AW43" s="180"/>
      <c r="AX43" s="138"/>
      <c r="AY43" s="152"/>
      <c r="AZ43" s="152"/>
      <c r="BA43" s="152"/>
      <c r="BB43" s="152"/>
      <c r="BC43" s="152"/>
      <c r="BD43" s="152"/>
      <c r="BE43" s="152"/>
      <c r="BF43" s="152"/>
    </row>
    <row r="44" spans="2:58" x14ac:dyDescent="0.25">
      <c r="B44" s="58" t="s">
        <v>72</v>
      </c>
      <c r="C44" s="226">
        <v>15</v>
      </c>
      <c r="D44" s="226">
        <v>11</v>
      </c>
      <c r="E44" s="138">
        <f t="shared" si="37"/>
        <v>0.73333333333333328</v>
      </c>
      <c r="F44" s="226">
        <v>8</v>
      </c>
      <c r="G44" s="226">
        <v>5</v>
      </c>
      <c r="H44" s="138">
        <f t="shared" si="32"/>
        <v>0.625</v>
      </c>
      <c r="I44" s="226">
        <v>32</v>
      </c>
      <c r="J44" s="226">
        <v>16</v>
      </c>
      <c r="K44" s="138">
        <f t="shared" si="33"/>
        <v>0.5</v>
      </c>
      <c r="L44" s="226">
        <f t="shared" si="38"/>
        <v>55</v>
      </c>
      <c r="M44" s="226">
        <f t="shared" si="39"/>
        <v>32</v>
      </c>
      <c r="N44" s="138">
        <f t="shared" si="40"/>
        <v>0.58181818181818179</v>
      </c>
      <c r="O44" s="226">
        <v>20</v>
      </c>
      <c r="P44" s="226">
        <v>6</v>
      </c>
      <c r="Q44" s="138">
        <f t="shared" si="34"/>
        <v>0.3</v>
      </c>
      <c r="R44" s="226">
        <v>15</v>
      </c>
      <c r="S44" s="226">
        <v>7</v>
      </c>
      <c r="T44" s="138">
        <f t="shared" si="35"/>
        <v>0.46666666666666667</v>
      </c>
      <c r="U44" s="226">
        <v>378</v>
      </c>
      <c r="V44" s="226">
        <v>2</v>
      </c>
      <c r="W44" s="138">
        <f t="shared" si="36"/>
        <v>5.2910052910052907E-3</v>
      </c>
      <c r="X44" s="227">
        <v>300</v>
      </c>
      <c r="Y44" s="176">
        <v>220</v>
      </c>
      <c r="Z44" s="83">
        <f t="shared" si="41"/>
        <v>0.73333333333333328</v>
      </c>
      <c r="AA44" s="180"/>
      <c r="AB44" s="180"/>
      <c r="AC44" s="138" t="str">
        <f>IFERROR(AB44/AA44,"-")</f>
        <v>-</v>
      </c>
      <c r="AD44" s="180"/>
      <c r="AE44" s="180"/>
      <c r="AF44" s="138" t="str">
        <f>IFERROR(AE44/AD44,"-")</f>
        <v>-</v>
      </c>
      <c r="AG44" s="180"/>
      <c r="AH44" s="180"/>
      <c r="AI44" s="138" t="str">
        <f>IFERROR(AH44/AG44,"-")</f>
        <v>-</v>
      </c>
      <c r="AJ44" s="180"/>
      <c r="AK44" s="180"/>
      <c r="AL44" s="138" t="str">
        <f>IFERROR(AK44/AJ44,"-")</f>
        <v>-</v>
      </c>
      <c r="AM44" s="180"/>
      <c r="AN44" s="180"/>
      <c r="AO44" s="138" t="str">
        <f>IFERROR(AN44/AM44,"-")</f>
        <v>-</v>
      </c>
      <c r="AP44" s="180"/>
      <c r="AQ44" s="180"/>
      <c r="AR44" s="138" t="str">
        <f>IFERROR(AQ44/AP44,"-")</f>
        <v>-</v>
      </c>
      <c r="AS44" s="180"/>
      <c r="AT44" s="180"/>
      <c r="AU44" s="138" t="str">
        <f>IFERROR(AT44/AS44,"-")</f>
        <v>-</v>
      </c>
      <c r="AV44" s="180"/>
      <c r="AW44" s="180"/>
      <c r="AX44" s="138" t="str">
        <f>IFERROR(AW44/AV44,"-")</f>
        <v>-</v>
      </c>
      <c r="AY44" s="152"/>
      <c r="AZ44" s="152"/>
      <c r="BA44" s="152"/>
      <c r="BB44" s="152"/>
      <c r="BC44" s="152"/>
      <c r="BD44" s="152"/>
      <c r="BE44" s="152"/>
      <c r="BF44" s="152"/>
    </row>
    <row r="45" spans="2:58" x14ac:dyDescent="0.25">
      <c r="B45" s="58" t="s">
        <v>73</v>
      </c>
      <c r="C45" s="226">
        <v>17</v>
      </c>
      <c r="D45" s="226">
        <v>1</v>
      </c>
      <c r="E45" s="138">
        <f t="shared" si="37"/>
        <v>5.8823529411764705E-2</v>
      </c>
      <c r="F45" s="226">
        <v>9</v>
      </c>
      <c r="G45" s="226">
        <v>0</v>
      </c>
      <c r="H45" s="138">
        <f t="shared" si="32"/>
        <v>0</v>
      </c>
      <c r="I45" s="226">
        <v>10</v>
      </c>
      <c r="J45" s="226">
        <v>2</v>
      </c>
      <c r="K45" s="138">
        <f t="shared" si="33"/>
        <v>0.2</v>
      </c>
      <c r="L45" s="226">
        <f t="shared" si="38"/>
        <v>36</v>
      </c>
      <c r="M45" s="226">
        <f t="shared" si="39"/>
        <v>3</v>
      </c>
      <c r="N45" s="138">
        <f t="shared" si="40"/>
        <v>8.3333333333333329E-2</v>
      </c>
      <c r="O45" s="226">
        <v>8</v>
      </c>
      <c r="P45" s="226">
        <v>10</v>
      </c>
      <c r="Q45" s="138">
        <f t="shared" si="34"/>
        <v>1.25</v>
      </c>
      <c r="R45" s="226">
        <v>9</v>
      </c>
      <c r="S45" s="226">
        <v>1</v>
      </c>
      <c r="T45" s="138">
        <f t="shared" si="35"/>
        <v>0.1111111111111111</v>
      </c>
      <c r="U45" s="226">
        <v>9</v>
      </c>
      <c r="V45" s="226">
        <v>0</v>
      </c>
      <c r="W45" s="138">
        <f t="shared" si="36"/>
        <v>0</v>
      </c>
      <c r="X45" s="227">
        <v>175</v>
      </c>
      <c r="Y45" s="176">
        <v>122</v>
      </c>
      <c r="Z45" s="83">
        <f t="shared" si="41"/>
        <v>0.69714285714285718</v>
      </c>
      <c r="AA45" s="180"/>
      <c r="AB45" s="180"/>
      <c r="AC45" s="138"/>
      <c r="AD45" s="180"/>
      <c r="AE45" s="180"/>
      <c r="AF45" s="138"/>
      <c r="AG45" s="180"/>
      <c r="AH45" s="180"/>
      <c r="AI45" s="138"/>
      <c r="AJ45" s="180"/>
      <c r="AK45" s="180"/>
      <c r="AL45" s="138"/>
      <c r="AM45" s="180"/>
      <c r="AN45" s="180"/>
      <c r="AO45" s="138"/>
      <c r="AP45" s="180"/>
      <c r="AQ45" s="180"/>
      <c r="AR45" s="138"/>
      <c r="AS45" s="180"/>
      <c r="AT45" s="180"/>
      <c r="AU45" s="138"/>
      <c r="AV45" s="180"/>
      <c r="AW45" s="180"/>
      <c r="AX45" s="138"/>
      <c r="AY45" s="152"/>
      <c r="AZ45" s="152"/>
      <c r="BA45" s="152"/>
      <c r="BB45" s="152"/>
      <c r="BC45" s="152"/>
      <c r="BD45" s="152"/>
      <c r="BE45" s="152"/>
      <c r="BF45" s="152"/>
    </row>
    <row r="46" spans="2:58" x14ac:dyDescent="0.25">
      <c r="B46" s="58" t="s">
        <v>74</v>
      </c>
      <c r="C46" s="226">
        <v>4</v>
      </c>
      <c r="D46" s="226">
        <v>3</v>
      </c>
      <c r="E46" s="138">
        <f t="shared" si="37"/>
        <v>0.75</v>
      </c>
      <c r="F46" s="226">
        <v>1</v>
      </c>
      <c r="G46" s="226">
        <v>0</v>
      </c>
      <c r="H46" s="138">
        <f t="shared" si="32"/>
        <v>0</v>
      </c>
      <c r="I46" s="226">
        <v>4</v>
      </c>
      <c r="J46" s="226">
        <v>0</v>
      </c>
      <c r="K46" s="138">
        <f t="shared" si="33"/>
        <v>0</v>
      </c>
      <c r="L46" s="226">
        <f t="shared" si="38"/>
        <v>9</v>
      </c>
      <c r="M46" s="226">
        <f t="shared" si="39"/>
        <v>3</v>
      </c>
      <c r="N46" s="138">
        <f t="shared" si="40"/>
        <v>0.33333333333333331</v>
      </c>
      <c r="O46" s="226">
        <v>16</v>
      </c>
      <c r="P46" s="226">
        <v>1</v>
      </c>
      <c r="Q46" s="138">
        <f t="shared" si="34"/>
        <v>6.25E-2</v>
      </c>
      <c r="R46" s="226">
        <v>1</v>
      </c>
      <c r="S46" s="226">
        <v>1</v>
      </c>
      <c r="T46" s="138">
        <f t="shared" si="35"/>
        <v>1</v>
      </c>
      <c r="U46" s="226">
        <v>3</v>
      </c>
      <c r="V46" s="226">
        <v>2</v>
      </c>
      <c r="W46" s="138">
        <f t="shared" si="36"/>
        <v>0.66666666666666663</v>
      </c>
      <c r="X46" s="227">
        <v>14</v>
      </c>
      <c r="Y46" s="176">
        <v>11</v>
      </c>
      <c r="Z46" s="83">
        <f t="shared" si="41"/>
        <v>0.7857142857142857</v>
      </c>
      <c r="AA46" s="180"/>
      <c r="AB46" s="180"/>
      <c r="AC46" s="138" t="str">
        <f>IFERROR(AB46/AA46,"-")</f>
        <v>-</v>
      </c>
      <c r="AD46" s="180"/>
      <c r="AE46" s="180"/>
      <c r="AF46" s="138" t="str">
        <f>IFERROR(AE46/AD46,"-")</f>
        <v>-</v>
      </c>
      <c r="AG46" s="180"/>
      <c r="AH46" s="180"/>
      <c r="AI46" s="138" t="str">
        <f>IFERROR(AH46/AG46,"-")</f>
        <v>-</v>
      </c>
      <c r="AJ46" s="180"/>
      <c r="AK46" s="180"/>
      <c r="AL46" s="138" t="str">
        <f>IFERROR(AK46/AJ46,"-")</f>
        <v>-</v>
      </c>
      <c r="AM46" s="180"/>
      <c r="AN46" s="180"/>
      <c r="AO46" s="138" t="str">
        <f>IFERROR(AN46/AM46,"-")</f>
        <v>-</v>
      </c>
      <c r="AP46" s="180"/>
      <c r="AQ46" s="180"/>
      <c r="AR46" s="138" t="str">
        <f>IFERROR(AQ46/AP46,"-")</f>
        <v>-</v>
      </c>
      <c r="AS46" s="180"/>
      <c r="AT46" s="180"/>
      <c r="AU46" s="138" t="str">
        <f>IFERROR(AT46/AS46,"-")</f>
        <v>-</v>
      </c>
      <c r="AV46" s="180"/>
      <c r="AW46" s="180"/>
      <c r="AX46" s="138" t="str">
        <f>IFERROR(AW46/AV46,"-")</f>
        <v>-</v>
      </c>
      <c r="AY46" s="152"/>
      <c r="AZ46" s="152"/>
      <c r="BA46" s="152"/>
      <c r="BB46" s="152"/>
      <c r="BC46" s="152"/>
      <c r="BD46" s="152"/>
      <c r="BE46" s="152"/>
      <c r="BF46" s="152"/>
    </row>
    <row r="47" spans="2:58" x14ac:dyDescent="0.25">
      <c r="B47" s="58" t="s">
        <v>75</v>
      </c>
      <c r="C47" s="226">
        <v>76</v>
      </c>
      <c r="D47" s="226">
        <v>19</v>
      </c>
      <c r="E47" s="138">
        <f t="shared" si="37"/>
        <v>0.25</v>
      </c>
      <c r="F47" s="226">
        <v>85</v>
      </c>
      <c r="G47" s="226">
        <v>1</v>
      </c>
      <c r="H47" s="138">
        <f t="shared" si="32"/>
        <v>1.1764705882352941E-2</v>
      </c>
      <c r="I47" s="226">
        <v>143</v>
      </c>
      <c r="J47" s="226">
        <v>13</v>
      </c>
      <c r="K47" s="138">
        <f t="shared" si="33"/>
        <v>9.0909090909090912E-2</v>
      </c>
      <c r="L47" s="226">
        <f t="shared" si="38"/>
        <v>304</v>
      </c>
      <c r="M47" s="226">
        <f t="shared" si="39"/>
        <v>33</v>
      </c>
      <c r="N47" s="138">
        <f t="shared" si="40"/>
        <v>0.10855263157894737</v>
      </c>
      <c r="O47" s="226">
        <v>138</v>
      </c>
      <c r="P47" s="226">
        <v>4</v>
      </c>
      <c r="Q47" s="138">
        <f t="shared" si="34"/>
        <v>2.8985507246376812E-2</v>
      </c>
      <c r="R47" s="226">
        <v>4771</v>
      </c>
      <c r="S47" s="226">
        <v>2078</v>
      </c>
      <c r="T47" s="138">
        <f t="shared" si="35"/>
        <v>0.43554810312303499</v>
      </c>
      <c r="U47" s="226">
        <v>1542</v>
      </c>
      <c r="V47" s="226">
        <v>445</v>
      </c>
      <c r="W47" s="138">
        <f t="shared" si="36"/>
        <v>0.28858625162127105</v>
      </c>
      <c r="X47" s="227">
        <v>269</v>
      </c>
      <c r="Y47" s="176">
        <v>202</v>
      </c>
      <c r="Z47" s="83">
        <f t="shared" si="41"/>
        <v>0.75092936802973975</v>
      </c>
      <c r="AA47" s="180"/>
      <c r="AB47" s="180"/>
      <c r="AC47" s="138" t="str">
        <f>IFERROR(AB47/AA47,"-")</f>
        <v>-</v>
      </c>
      <c r="AD47" s="180"/>
      <c r="AE47" s="180"/>
      <c r="AF47" s="138" t="str">
        <f>IFERROR(AE47/AD47,"-")</f>
        <v>-</v>
      </c>
      <c r="AG47" s="180"/>
      <c r="AH47" s="180"/>
      <c r="AI47" s="138" t="str">
        <f>IFERROR(AH47/AG47,"-")</f>
        <v>-</v>
      </c>
      <c r="AJ47" s="180"/>
      <c r="AK47" s="180"/>
      <c r="AL47" s="138" t="str">
        <f>IFERROR(AK47/AJ47,"-")</f>
        <v>-</v>
      </c>
      <c r="AM47" s="180"/>
      <c r="AN47" s="180"/>
      <c r="AO47" s="138" t="str">
        <f>IFERROR(AN47/AM47,"-")</f>
        <v>-</v>
      </c>
      <c r="AP47" s="180"/>
      <c r="AQ47" s="180"/>
      <c r="AR47" s="138" t="str">
        <f>IFERROR(AQ47/AP47,"-")</f>
        <v>-</v>
      </c>
      <c r="AS47" s="180"/>
      <c r="AT47" s="180"/>
      <c r="AU47" s="138" t="str">
        <f>IFERROR(AT47/AS47,"-")</f>
        <v>-</v>
      </c>
      <c r="AV47" s="180"/>
      <c r="AW47" s="180"/>
      <c r="AX47" s="138" t="str">
        <f>IFERROR(AW47/AV47,"-")</f>
        <v>-</v>
      </c>
      <c r="AY47" s="152"/>
      <c r="AZ47" s="152"/>
      <c r="BA47" s="152"/>
      <c r="BB47" s="152"/>
      <c r="BC47" s="152"/>
      <c r="BD47" s="152"/>
      <c r="BE47" s="152"/>
      <c r="BF47" s="152"/>
    </row>
    <row r="48" spans="2:58" x14ac:dyDescent="0.25">
      <c r="B48" s="58" t="s">
        <v>76</v>
      </c>
      <c r="C48" s="226">
        <v>748</v>
      </c>
      <c r="D48" s="226">
        <v>323</v>
      </c>
      <c r="E48" s="138">
        <f t="shared" si="37"/>
        <v>0.43181818181818182</v>
      </c>
      <c r="F48" s="226">
        <v>1013</v>
      </c>
      <c r="G48" s="226">
        <v>813</v>
      </c>
      <c r="H48" s="138">
        <f t="shared" si="32"/>
        <v>0.8025666337611056</v>
      </c>
      <c r="I48" s="226">
        <v>762</v>
      </c>
      <c r="J48" s="226">
        <v>566</v>
      </c>
      <c r="K48" s="138">
        <f t="shared" si="33"/>
        <v>0.7427821522309711</v>
      </c>
      <c r="L48" s="226">
        <f t="shared" si="38"/>
        <v>2523</v>
      </c>
      <c r="M48" s="226">
        <f t="shared" si="39"/>
        <v>1702</v>
      </c>
      <c r="N48" s="138">
        <f t="shared" si="40"/>
        <v>0.67459373761395169</v>
      </c>
      <c r="O48" s="226">
        <v>270</v>
      </c>
      <c r="P48" s="226">
        <v>182</v>
      </c>
      <c r="Q48" s="138">
        <f t="shared" si="34"/>
        <v>0.67407407407407405</v>
      </c>
      <c r="R48" s="226">
        <v>198</v>
      </c>
      <c r="S48" s="226">
        <v>137</v>
      </c>
      <c r="T48" s="138">
        <f t="shared" si="35"/>
        <v>0.69191919191919193</v>
      </c>
      <c r="U48" s="226">
        <v>115</v>
      </c>
      <c r="V48" s="226">
        <v>82</v>
      </c>
      <c r="W48" s="138">
        <f t="shared" si="36"/>
        <v>0.71304347826086956</v>
      </c>
      <c r="X48" s="227">
        <v>10528</v>
      </c>
      <c r="Y48" s="176">
        <v>9005</v>
      </c>
      <c r="Z48" s="83">
        <f t="shared" si="41"/>
        <v>0.85533814589665658</v>
      </c>
      <c r="AA48" s="180"/>
      <c r="AB48" s="180"/>
      <c r="AC48" s="138" t="str">
        <f>IFERROR(AB48/AA48,"-")</f>
        <v>-</v>
      </c>
      <c r="AD48" s="180"/>
      <c r="AE48" s="180"/>
      <c r="AF48" s="138" t="str">
        <f>IFERROR(AE48/AD48,"-")</f>
        <v>-</v>
      </c>
      <c r="AG48" s="180"/>
      <c r="AH48" s="180"/>
      <c r="AI48" s="138" t="str">
        <f>IFERROR(AH48/AG48,"-")</f>
        <v>-</v>
      </c>
      <c r="AJ48" s="180"/>
      <c r="AK48" s="180"/>
      <c r="AL48" s="138" t="str">
        <f>IFERROR(AK48/AJ48,"-")</f>
        <v>-</v>
      </c>
      <c r="AM48" s="180"/>
      <c r="AN48" s="180"/>
      <c r="AO48" s="138" t="str">
        <f>IFERROR(AN48/AM48,"-")</f>
        <v>-</v>
      </c>
      <c r="AP48" s="180"/>
      <c r="AQ48" s="180"/>
      <c r="AR48" s="138" t="str">
        <f>IFERROR(AQ48/AP48,"-")</f>
        <v>-</v>
      </c>
      <c r="AS48" s="180"/>
      <c r="AT48" s="180"/>
      <c r="AU48" s="138" t="str">
        <f>IFERROR(AT48/AS48,"-")</f>
        <v>-</v>
      </c>
      <c r="AV48" s="180"/>
      <c r="AW48" s="180"/>
      <c r="AX48" s="138" t="str">
        <f>IFERROR(AW48/AV48,"-")</f>
        <v>-</v>
      </c>
      <c r="AY48" s="152"/>
      <c r="AZ48" s="152"/>
      <c r="BA48" s="152"/>
      <c r="BB48" s="152"/>
      <c r="BC48" s="152"/>
      <c r="BD48" s="152"/>
      <c r="BE48" s="152"/>
      <c r="BF48" s="152"/>
    </row>
    <row r="49" spans="2:58" x14ac:dyDescent="0.25">
      <c r="B49" s="58" t="s">
        <v>78</v>
      </c>
      <c r="C49" s="226">
        <v>27</v>
      </c>
      <c r="D49" s="226">
        <v>24</v>
      </c>
      <c r="E49" s="138">
        <f t="shared" si="37"/>
        <v>0.88888888888888884</v>
      </c>
      <c r="F49" s="226">
        <v>30</v>
      </c>
      <c r="G49" s="226">
        <v>23</v>
      </c>
      <c r="H49" s="138">
        <f t="shared" si="32"/>
        <v>0.76666666666666672</v>
      </c>
      <c r="I49" s="226">
        <v>54</v>
      </c>
      <c r="J49" s="226">
        <v>41</v>
      </c>
      <c r="K49" s="138">
        <f t="shared" si="33"/>
        <v>0.7592592592592593</v>
      </c>
      <c r="L49" s="226">
        <f t="shared" si="38"/>
        <v>111</v>
      </c>
      <c r="M49" s="226">
        <f t="shared" si="39"/>
        <v>88</v>
      </c>
      <c r="N49" s="138">
        <f t="shared" si="40"/>
        <v>0.7927927927927928</v>
      </c>
      <c r="O49" s="226">
        <v>44</v>
      </c>
      <c r="P49" s="226">
        <v>39</v>
      </c>
      <c r="Q49" s="138">
        <f t="shared" si="34"/>
        <v>0.88636363636363635</v>
      </c>
      <c r="R49" s="226">
        <v>44</v>
      </c>
      <c r="S49" s="226">
        <v>35</v>
      </c>
      <c r="T49" s="138">
        <f t="shared" si="35"/>
        <v>0.79545454545454541</v>
      </c>
      <c r="U49" s="226">
        <v>36</v>
      </c>
      <c r="V49" s="226">
        <v>25</v>
      </c>
      <c r="W49" s="138">
        <f t="shared" si="36"/>
        <v>0.69444444444444442</v>
      </c>
      <c r="X49" s="227">
        <v>87</v>
      </c>
      <c r="Y49" s="176">
        <v>74</v>
      </c>
      <c r="Z49" s="83">
        <f t="shared" si="41"/>
        <v>0.85057471264367812</v>
      </c>
      <c r="AA49" s="180"/>
      <c r="AB49" s="180"/>
      <c r="AC49" s="138" t="str">
        <f>IFERROR(AB49/AA49,"-")</f>
        <v>-</v>
      </c>
      <c r="AD49" s="180"/>
      <c r="AE49" s="180"/>
      <c r="AF49" s="138" t="str">
        <f>IFERROR(AE49/AD49,"-")</f>
        <v>-</v>
      </c>
      <c r="AG49" s="180"/>
      <c r="AH49" s="180"/>
      <c r="AI49" s="138" t="str">
        <f>IFERROR(AH49/AG49,"-")</f>
        <v>-</v>
      </c>
      <c r="AJ49" s="180"/>
      <c r="AK49" s="180"/>
      <c r="AL49" s="138" t="str">
        <f>IFERROR(AK49/AJ49,"-")</f>
        <v>-</v>
      </c>
      <c r="AM49" s="180"/>
      <c r="AN49" s="180"/>
      <c r="AO49" s="138" t="str">
        <f>IFERROR(AN49/AM49,"-")</f>
        <v>-</v>
      </c>
      <c r="AP49" s="180"/>
      <c r="AQ49" s="180"/>
      <c r="AR49" s="138" t="str">
        <f>IFERROR(AQ49/AP49,"-")</f>
        <v>-</v>
      </c>
      <c r="AS49" s="180"/>
      <c r="AT49" s="180"/>
      <c r="AU49" s="138" t="str">
        <f>IFERROR(AT49/AS49,"-")</f>
        <v>-</v>
      </c>
      <c r="AV49" s="180"/>
      <c r="AW49" s="180"/>
      <c r="AX49" s="138" t="str">
        <f>IFERROR(AW49/AV49,"-")</f>
        <v>-</v>
      </c>
      <c r="AY49" s="152"/>
      <c r="AZ49" s="152"/>
      <c r="BA49" s="152"/>
      <c r="BB49" s="152"/>
      <c r="BC49" s="152"/>
      <c r="BD49" s="152"/>
      <c r="BE49" s="152"/>
      <c r="BF49" s="152"/>
    </row>
    <row r="50" spans="2:58" x14ac:dyDescent="0.25">
      <c r="B50" s="50" t="s">
        <v>80</v>
      </c>
      <c r="C50" s="8">
        <f>SUM(C39:C49)</f>
        <v>1063</v>
      </c>
      <c r="D50" s="8">
        <f>SUM(D39:D49)</f>
        <v>495</v>
      </c>
      <c r="E50" s="8">
        <f>IFERROR(D50/C50,"-")</f>
        <v>0.46566321730950139</v>
      </c>
      <c r="F50" s="8">
        <f>SUM(F39:F49)</f>
        <v>1284</v>
      </c>
      <c r="G50" s="8">
        <f>SUM(G39:G49)</f>
        <v>918</v>
      </c>
      <c r="H50" s="8">
        <f t="shared" si="32"/>
        <v>0.71495327102803741</v>
      </c>
      <c r="I50" s="8">
        <f>SUM(I39:I49)</f>
        <v>1215</v>
      </c>
      <c r="J50" s="8">
        <f>SUM(J39:J49)</f>
        <v>763</v>
      </c>
      <c r="K50" s="8">
        <f t="shared" si="33"/>
        <v>0.62798353909465021</v>
      </c>
      <c r="L50" s="8">
        <f>SUM(L39:L49)</f>
        <v>3562</v>
      </c>
      <c r="M50" s="8">
        <f>SUM(M39:M49)</f>
        <v>2176</v>
      </c>
      <c r="N50" s="8">
        <f t="shared" si="40"/>
        <v>0.61089275687815836</v>
      </c>
      <c r="O50" s="8">
        <f>SUM(O39:O49)</f>
        <v>618</v>
      </c>
      <c r="P50" s="8">
        <f>SUM(P39:P49)</f>
        <v>320</v>
      </c>
      <c r="Q50" s="8">
        <f t="shared" si="34"/>
        <v>0.51779935275080902</v>
      </c>
      <c r="R50" s="8">
        <f>SUM(R39:R49)</f>
        <v>5232</v>
      </c>
      <c r="S50" s="8">
        <f>SUM(S39:S49)</f>
        <v>2365</v>
      </c>
      <c r="T50" s="8">
        <f t="shared" si="35"/>
        <v>0.45202599388379205</v>
      </c>
      <c r="U50" s="8">
        <f>SUM(U39:U49)</f>
        <v>2226</v>
      </c>
      <c r="V50" s="8">
        <f>SUM(V39:V49)</f>
        <v>639</v>
      </c>
      <c r="W50" s="8">
        <f t="shared" si="36"/>
        <v>0.28706199460916443</v>
      </c>
      <c r="X50" s="8">
        <f>SUM(X39:X49)</f>
        <v>11915</v>
      </c>
      <c r="Y50" s="8">
        <f>SUM(Y39:Y49)</f>
        <v>10036</v>
      </c>
      <c r="Z50" s="16">
        <f>+Y50/X50</f>
        <v>0.84229962232480071</v>
      </c>
      <c r="AA50" s="8">
        <f>SUM(AA39:AA49)</f>
        <v>0</v>
      </c>
      <c r="AB50" s="8">
        <f>SUM(AB39:AB49)</f>
        <v>0</v>
      </c>
      <c r="AC50" s="8" t="str">
        <f>IFERROR(AB50/AA50,"-")</f>
        <v>-</v>
      </c>
      <c r="AD50" s="8">
        <f>SUM(AD39:AD49)</f>
        <v>0</v>
      </c>
      <c r="AE50" s="8">
        <f>SUM(AE39:AE49)</f>
        <v>0</v>
      </c>
      <c r="AF50" s="8" t="str">
        <f>IFERROR(AE50/AD50,"-")</f>
        <v>-</v>
      </c>
      <c r="AG50" s="8">
        <f>SUM(AG39:AG49)</f>
        <v>0</v>
      </c>
      <c r="AH50" s="8">
        <f>SUM(AH39:AH49)</f>
        <v>0</v>
      </c>
      <c r="AI50" s="8" t="str">
        <f>IFERROR(AH50/AG50,"-")</f>
        <v>-</v>
      </c>
      <c r="AJ50" s="8">
        <f>SUM(AJ39:AJ49)</f>
        <v>0</v>
      </c>
      <c r="AK50" s="8">
        <f>SUM(AK39:AK49)</f>
        <v>0</v>
      </c>
      <c r="AL50" s="8" t="str">
        <f>IFERROR(AK50/AJ50,"-")</f>
        <v>-</v>
      </c>
      <c r="AM50" s="8">
        <f>SUM(AM39:AM49)</f>
        <v>0</v>
      </c>
      <c r="AN50" s="8">
        <f>SUM(AN39:AN49)</f>
        <v>0</v>
      </c>
      <c r="AO50" s="8" t="str">
        <f>IFERROR(AN50/AM50,"-")</f>
        <v>-</v>
      </c>
      <c r="AP50" s="8">
        <f>SUM(AP39:AP49)</f>
        <v>0</v>
      </c>
      <c r="AQ50" s="8">
        <f>SUM(AQ39:AQ49)</f>
        <v>0</v>
      </c>
      <c r="AR50" s="8" t="str">
        <f>IFERROR(AQ50/AP50,"-")</f>
        <v>-</v>
      </c>
      <c r="AS50" s="8">
        <f>SUM(AS39:AS49)</f>
        <v>0</v>
      </c>
      <c r="AT50" s="8">
        <f>SUM(AT39:AT49)</f>
        <v>0</v>
      </c>
      <c r="AU50" s="8" t="str">
        <f>IFERROR(AT50/AS50,"-")</f>
        <v>-</v>
      </c>
      <c r="AV50" s="8">
        <f>SUM(AV39:AV49)</f>
        <v>0</v>
      </c>
      <c r="AW50" s="8">
        <f>SUM(AW39:AW49)</f>
        <v>0</v>
      </c>
      <c r="AX50" s="8" t="str">
        <f>IFERROR(AW50/AV50,"-")</f>
        <v>-</v>
      </c>
      <c r="AY50" s="152"/>
      <c r="AZ50" s="152"/>
      <c r="BA50" s="152"/>
      <c r="BB50" s="152"/>
      <c r="BC50" s="152"/>
      <c r="BD50" s="152"/>
      <c r="BE50" s="152"/>
      <c r="BF50" s="152"/>
    </row>
    <row r="51" spans="2:58" x14ac:dyDescent="0.25">
      <c r="B51" s="161" t="s">
        <v>240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</row>
    <row r="52" spans="2:58" x14ac:dyDescent="0.25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</row>
    <row r="53" spans="2:58" x14ac:dyDescent="0.2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</row>
    <row r="54" spans="2:58" x14ac:dyDescent="0.25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</row>
    <row r="55" spans="2:58" x14ac:dyDescent="0.25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</row>
  </sheetData>
  <mergeCells count="39">
    <mergeCell ref="AV9:AX9"/>
    <mergeCell ref="AV37:AX37"/>
    <mergeCell ref="B8:AX8"/>
    <mergeCell ref="B36:AX36"/>
    <mergeCell ref="AP9:AR9"/>
    <mergeCell ref="AP37:AR37"/>
    <mergeCell ref="AS9:AU9"/>
    <mergeCell ref="AS37:AU37"/>
    <mergeCell ref="L9:N9"/>
    <mergeCell ref="L37:N37"/>
    <mergeCell ref="X9:Z9"/>
    <mergeCell ref="X37:Z37"/>
    <mergeCell ref="AJ9:AL9"/>
    <mergeCell ref="AJ37:AL37"/>
    <mergeCell ref="AD9:AF9"/>
    <mergeCell ref="AD37:AF37"/>
    <mergeCell ref="O37:Q37"/>
    <mergeCell ref="AG9:AI9"/>
    <mergeCell ref="AG37:AI37"/>
    <mergeCell ref="AM9:AO9"/>
    <mergeCell ref="AM37:AO37"/>
    <mergeCell ref="R9:T9"/>
    <mergeCell ref="R37:T37"/>
    <mergeCell ref="U9:W9"/>
    <mergeCell ref="U37:W37"/>
    <mergeCell ref="AA9:AC9"/>
    <mergeCell ref="AA37:AC37"/>
    <mergeCell ref="C37:E37"/>
    <mergeCell ref="F9:H9"/>
    <mergeCell ref="F37:H37"/>
    <mergeCell ref="I9:K9"/>
    <mergeCell ref="I37:K37"/>
    <mergeCell ref="B5:Z5"/>
    <mergeCell ref="B1:Z1"/>
    <mergeCell ref="B2:Z2"/>
    <mergeCell ref="B3:Z3"/>
    <mergeCell ref="C9:E9"/>
    <mergeCell ref="O9:Q9"/>
    <mergeCell ref="B4:Z4"/>
  </mergeCells>
  <pageMargins left="0.7" right="0.7" top="0.75" bottom="0.75" header="0.3" footer="0.3"/>
  <pageSetup paperSize="9" scale="46" orientation="portrait" r:id="rId1"/>
  <colBreaks count="1" manualBreakCount="1">
    <brk id="59" max="1048575" man="1"/>
  </colBreaks>
  <ignoredErrors>
    <ignoredError sqref="Z50 Z3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46"/>
  <sheetViews>
    <sheetView showGridLines="0" topLeftCell="A4" zoomScaleNormal="100" zoomScaleSheetLayoutView="100" workbookViewId="0">
      <selection activeCell="G46" sqref="G46"/>
    </sheetView>
  </sheetViews>
  <sheetFormatPr baseColWidth="10" defaultColWidth="11.42578125" defaultRowHeight="15" x14ac:dyDescent="0.25"/>
  <cols>
    <col min="1" max="1" width="12.140625" style="1" customWidth="1"/>
    <col min="2" max="3" width="11.42578125" style="1"/>
    <col min="4" max="4" width="12.140625" style="1" customWidth="1"/>
    <col min="5" max="5" width="13.42578125" style="1" customWidth="1"/>
    <col min="6" max="6" width="15.42578125" style="1" customWidth="1"/>
    <col min="7" max="16384" width="11.42578125" style="1"/>
  </cols>
  <sheetData>
    <row r="1" spans="1:15" x14ac:dyDescent="0.25">
      <c r="A1" s="285" t="s">
        <v>0</v>
      </c>
      <c r="B1" s="285"/>
      <c r="C1" s="285"/>
      <c r="D1" s="285"/>
      <c r="E1" s="285"/>
      <c r="F1" s="285"/>
    </row>
    <row r="2" spans="1:15" x14ac:dyDescent="0.25">
      <c r="A2" s="285" t="s">
        <v>122</v>
      </c>
      <c r="B2" s="285"/>
      <c r="C2" s="285"/>
      <c r="D2" s="285"/>
      <c r="E2" s="285"/>
      <c r="F2" s="285"/>
    </row>
    <row r="3" spans="1:15" x14ac:dyDescent="0.25">
      <c r="A3" s="285" t="s">
        <v>221</v>
      </c>
      <c r="B3" s="285"/>
      <c r="C3" s="285"/>
      <c r="D3" s="285"/>
      <c r="E3" s="285"/>
      <c r="F3" s="285"/>
    </row>
    <row r="4" spans="1:15" x14ac:dyDescent="0.25">
      <c r="A4" s="285" t="s">
        <v>232</v>
      </c>
      <c r="B4" s="285"/>
      <c r="C4" s="285"/>
      <c r="D4" s="285"/>
      <c r="E4" s="285"/>
      <c r="F4" s="285"/>
    </row>
    <row r="5" spans="1:15" x14ac:dyDescent="0.25">
      <c r="A5" s="285" t="s">
        <v>165</v>
      </c>
      <c r="B5" s="285"/>
      <c r="C5" s="285"/>
      <c r="D5" s="285"/>
      <c r="E5" s="285"/>
      <c r="F5" s="285"/>
      <c r="O5" s="19"/>
    </row>
    <row r="6" spans="1:15" ht="40.5" customHeight="1" x14ac:dyDescent="0.25">
      <c r="A6" s="47" t="s">
        <v>1</v>
      </c>
      <c r="B6" s="49" t="s">
        <v>220</v>
      </c>
      <c r="C6" s="49" t="s">
        <v>2</v>
      </c>
      <c r="D6" s="49" t="s">
        <v>3</v>
      </c>
      <c r="E6" s="49" t="s">
        <v>4</v>
      </c>
      <c r="F6" s="49" t="s">
        <v>5</v>
      </c>
      <c r="G6" s="152"/>
      <c r="H6" s="152"/>
      <c r="I6" s="152"/>
      <c r="J6" s="152"/>
      <c r="K6" s="152"/>
      <c r="L6" s="152"/>
      <c r="M6" s="152"/>
      <c r="N6" s="152"/>
    </row>
    <row r="7" spans="1:15" x14ac:dyDescent="0.25">
      <c r="A7" s="97" t="s">
        <v>91</v>
      </c>
      <c r="B7" s="98">
        <v>93979</v>
      </c>
      <c r="C7" s="98">
        <v>31974</v>
      </c>
      <c r="D7" s="17">
        <f t="shared" ref="D7" si="0">+C7/B7</f>
        <v>0.34022494387043917</v>
      </c>
      <c r="E7" s="163">
        <v>62005</v>
      </c>
      <c r="F7" s="17">
        <f t="shared" ref="F7" si="1">+E7/B7</f>
        <v>0.65977505612956089</v>
      </c>
      <c r="G7" s="152"/>
      <c r="H7" s="152"/>
      <c r="I7" s="152"/>
      <c r="J7" s="162"/>
      <c r="K7" s="162"/>
      <c r="L7" s="152"/>
      <c r="M7" s="152"/>
      <c r="N7" s="152"/>
    </row>
    <row r="8" spans="1:15" x14ac:dyDescent="0.25">
      <c r="A8" s="97" t="s">
        <v>90</v>
      </c>
      <c r="B8" s="98">
        <v>93855</v>
      </c>
      <c r="C8" s="98">
        <v>30662</v>
      </c>
      <c r="D8" s="17">
        <f t="shared" ref="D8:D23" si="2">+C8/B8</f>
        <v>0.32669543444675297</v>
      </c>
      <c r="E8" s="98">
        <v>63193</v>
      </c>
      <c r="F8" s="17">
        <f t="shared" ref="F8:F23" si="3">+E8/B8</f>
        <v>0.67330456555324703</v>
      </c>
      <c r="G8" s="152"/>
      <c r="H8" s="152"/>
      <c r="I8" s="152"/>
      <c r="J8" s="152"/>
      <c r="K8" s="162"/>
      <c r="L8" s="152"/>
      <c r="M8" s="152"/>
      <c r="N8" s="152"/>
    </row>
    <row r="9" spans="1:15" x14ac:dyDescent="0.25">
      <c r="A9" s="96" t="s">
        <v>89</v>
      </c>
      <c r="B9" s="98">
        <v>94075</v>
      </c>
      <c r="C9" s="98">
        <v>31296</v>
      </c>
      <c r="D9" s="17">
        <f>+C9/B9</f>
        <v>0.33267074142971031</v>
      </c>
      <c r="E9" s="98">
        <v>62779</v>
      </c>
      <c r="F9" s="17">
        <f>+E9/B9</f>
        <v>0.66732925857028969</v>
      </c>
      <c r="G9" s="152"/>
      <c r="H9" s="152"/>
      <c r="I9" s="152"/>
      <c r="J9" s="152"/>
      <c r="K9" s="152"/>
      <c r="L9" s="152"/>
      <c r="M9" s="152"/>
      <c r="N9" s="152"/>
    </row>
    <row r="10" spans="1:15" ht="24" customHeight="1" x14ac:dyDescent="0.25">
      <c r="A10" s="164" t="s">
        <v>233</v>
      </c>
      <c r="B10" s="8">
        <f>+AVERAGE(B7:B9)</f>
        <v>93969.666666666672</v>
      </c>
      <c r="C10" s="8">
        <f>+AVERAGE(C7:C9)</f>
        <v>31310.666666666668</v>
      </c>
      <c r="D10" s="16">
        <f>+C10/B10</f>
        <v>0.33319972047717528</v>
      </c>
      <c r="E10" s="8">
        <f>+AVERAGE(E7:E9)</f>
        <v>62659</v>
      </c>
      <c r="F10" s="16">
        <f>+E10/B10</f>
        <v>0.66680027952282472</v>
      </c>
      <c r="G10" s="152"/>
      <c r="H10" s="152"/>
      <c r="I10" s="152"/>
      <c r="J10" s="152"/>
      <c r="K10" s="165"/>
      <c r="L10" s="152"/>
      <c r="M10" s="152"/>
      <c r="N10" s="152"/>
    </row>
    <row r="11" spans="1:15" hidden="1" x14ac:dyDescent="0.25">
      <c r="A11" s="96" t="s">
        <v>35</v>
      </c>
      <c r="B11" s="98"/>
      <c r="C11" s="98"/>
      <c r="D11" s="17" t="e">
        <f t="shared" si="2"/>
        <v>#DIV/0!</v>
      </c>
      <c r="E11" s="98"/>
      <c r="F11" s="17" t="e">
        <f t="shared" si="3"/>
        <v>#DIV/0!</v>
      </c>
      <c r="G11" s="152"/>
      <c r="H11" s="152"/>
      <c r="I11" s="152"/>
      <c r="J11" s="162"/>
      <c r="K11" s="162"/>
      <c r="L11" s="152"/>
      <c r="M11" s="152"/>
      <c r="N11" s="152"/>
    </row>
    <row r="12" spans="1:15" hidden="1" x14ac:dyDescent="0.25">
      <c r="A12" s="97" t="s">
        <v>36</v>
      </c>
      <c r="B12" s="98"/>
      <c r="C12" s="98"/>
      <c r="D12" s="17" t="e">
        <f t="shared" si="2"/>
        <v>#DIV/0!</v>
      </c>
      <c r="E12" s="98"/>
      <c r="F12" s="17" t="e">
        <f t="shared" si="3"/>
        <v>#DIV/0!</v>
      </c>
      <c r="G12" s="152"/>
      <c r="H12" s="152"/>
      <c r="I12" s="152"/>
      <c r="J12" s="152"/>
      <c r="K12" s="162"/>
      <c r="L12" s="152"/>
      <c r="M12" s="152"/>
      <c r="N12" s="152"/>
    </row>
    <row r="13" spans="1:15" hidden="1" x14ac:dyDescent="0.25">
      <c r="A13" s="97" t="s">
        <v>37</v>
      </c>
      <c r="B13" s="98"/>
      <c r="C13" s="98"/>
      <c r="D13" s="17" t="e">
        <f t="shared" si="2"/>
        <v>#DIV/0!</v>
      </c>
      <c r="E13" s="98"/>
      <c r="F13" s="17" t="e">
        <f t="shared" si="3"/>
        <v>#DIV/0!</v>
      </c>
      <c r="G13" s="152"/>
      <c r="H13" s="152"/>
      <c r="I13" s="152"/>
      <c r="J13" s="152"/>
      <c r="K13" s="152"/>
      <c r="L13" s="152"/>
      <c r="M13" s="152"/>
      <c r="N13" s="152"/>
    </row>
    <row r="14" spans="1:15" ht="24" hidden="1" customHeight="1" x14ac:dyDescent="0.25">
      <c r="A14" s="164" t="s">
        <v>132</v>
      </c>
      <c r="B14" s="8" t="e">
        <f>+AVERAGE(B11:B13)</f>
        <v>#DIV/0!</v>
      </c>
      <c r="C14" s="8" t="e">
        <f>+AVERAGE(C11:C13)</f>
        <v>#DIV/0!</v>
      </c>
      <c r="D14" s="16" t="e">
        <f t="shared" si="2"/>
        <v>#DIV/0!</v>
      </c>
      <c r="E14" s="8" t="e">
        <f>+AVERAGE(E11:E13)</f>
        <v>#DIV/0!</v>
      </c>
      <c r="F14" s="16" t="e">
        <f t="shared" si="3"/>
        <v>#DIV/0!</v>
      </c>
      <c r="G14" s="152"/>
      <c r="H14" s="152"/>
      <c r="I14" s="152"/>
      <c r="J14" s="152"/>
      <c r="K14" s="165"/>
      <c r="L14" s="152"/>
      <c r="M14" s="152"/>
      <c r="N14" s="152"/>
    </row>
    <row r="15" spans="1:15" hidden="1" x14ac:dyDescent="0.25">
      <c r="A15" s="96" t="s">
        <v>86</v>
      </c>
      <c r="B15" s="98"/>
      <c r="C15" s="98"/>
      <c r="D15" s="17" t="e">
        <f t="shared" si="2"/>
        <v>#DIV/0!</v>
      </c>
      <c r="E15" s="98"/>
      <c r="F15" s="17" t="e">
        <f t="shared" si="3"/>
        <v>#DIV/0!</v>
      </c>
      <c r="G15" s="152"/>
      <c r="H15" s="152"/>
      <c r="I15" s="152"/>
      <c r="J15" s="162"/>
      <c r="K15" s="162"/>
      <c r="L15" s="152"/>
      <c r="M15" s="152"/>
      <c r="N15" s="152"/>
    </row>
    <row r="16" spans="1:15" hidden="1" x14ac:dyDescent="0.25">
      <c r="A16" s="97" t="s">
        <v>87</v>
      </c>
      <c r="B16" s="98"/>
      <c r="C16" s="98"/>
      <c r="D16" s="17" t="e">
        <f t="shared" si="2"/>
        <v>#DIV/0!</v>
      </c>
      <c r="E16" s="98"/>
      <c r="F16" s="17" t="e">
        <f t="shared" si="3"/>
        <v>#DIV/0!</v>
      </c>
      <c r="G16" s="152"/>
      <c r="H16" s="152"/>
      <c r="I16" s="152"/>
      <c r="J16" s="152"/>
      <c r="K16" s="162"/>
      <c r="L16" s="152"/>
      <c r="M16" s="152"/>
      <c r="N16" s="152"/>
    </row>
    <row r="17" spans="1:14" hidden="1" x14ac:dyDescent="0.25">
      <c r="A17" s="97" t="s">
        <v>88</v>
      </c>
      <c r="B17" s="98"/>
      <c r="C17" s="98"/>
      <c r="D17" s="17" t="e">
        <f t="shared" si="2"/>
        <v>#DIV/0!</v>
      </c>
      <c r="E17" s="98"/>
      <c r="F17" s="17" t="e">
        <f t="shared" si="3"/>
        <v>#DIV/0!</v>
      </c>
      <c r="G17" s="152"/>
      <c r="H17" s="152"/>
      <c r="I17" s="152"/>
      <c r="J17" s="152"/>
      <c r="K17" s="152"/>
      <c r="L17" s="152"/>
      <c r="M17" s="152"/>
      <c r="N17" s="152"/>
    </row>
    <row r="18" spans="1:14" ht="24" hidden="1" customHeight="1" x14ac:dyDescent="0.25">
      <c r="A18" s="164" t="s">
        <v>133</v>
      </c>
      <c r="B18" s="8" t="e">
        <f>+AVERAGE(B15:B17)</f>
        <v>#DIV/0!</v>
      </c>
      <c r="C18" s="8" t="e">
        <f>+AVERAGE(C15:C17)</f>
        <v>#DIV/0!</v>
      </c>
      <c r="D18" s="16" t="e">
        <f t="shared" si="2"/>
        <v>#DIV/0!</v>
      </c>
      <c r="E18" s="8" t="e">
        <f>+AVERAGE(E15:E17)</f>
        <v>#DIV/0!</v>
      </c>
      <c r="F18" s="16" t="e">
        <f t="shared" si="3"/>
        <v>#DIV/0!</v>
      </c>
      <c r="G18" s="152"/>
      <c r="H18" s="152"/>
      <c r="I18" s="152"/>
      <c r="J18" s="152"/>
      <c r="K18" s="165"/>
      <c r="L18" s="152"/>
      <c r="M18" s="152"/>
      <c r="N18" s="152"/>
    </row>
    <row r="19" spans="1:14" hidden="1" x14ac:dyDescent="0.25">
      <c r="A19" s="96" t="s">
        <v>89</v>
      </c>
      <c r="B19" s="98"/>
      <c r="C19" s="98"/>
      <c r="D19" s="17" t="e">
        <f t="shared" si="2"/>
        <v>#DIV/0!</v>
      </c>
      <c r="E19" s="98"/>
      <c r="F19" s="17" t="e">
        <f t="shared" si="3"/>
        <v>#DIV/0!</v>
      </c>
      <c r="G19" s="152"/>
      <c r="H19" s="152"/>
      <c r="I19" s="152"/>
      <c r="J19" s="162"/>
      <c r="K19" s="162"/>
      <c r="L19" s="152"/>
      <c r="M19" s="152"/>
      <c r="N19" s="152"/>
    </row>
    <row r="20" spans="1:14" hidden="1" x14ac:dyDescent="0.25">
      <c r="A20" s="97" t="s">
        <v>90</v>
      </c>
      <c r="B20" s="98"/>
      <c r="C20" s="98"/>
      <c r="D20" s="17" t="e">
        <f t="shared" si="2"/>
        <v>#DIV/0!</v>
      </c>
      <c r="E20" s="98"/>
      <c r="F20" s="17" t="e">
        <f t="shared" si="3"/>
        <v>#DIV/0!</v>
      </c>
      <c r="G20" s="152"/>
      <c r="H20" s="152"/>
      <c r="I20" s="152"/>
      <c r="J20" s="152"/>
      <c r="K20" s="162"/>
      <c r="L20" s="152"/>
      <c r="M20" s="152"/>
      <c r="N20" s="152"/>
    </row>
    <row r="21" spans="1:14" hidden="1" x14ac:dyDescent="0.25">
      <c r="A21" s="97" t="s">
        <v>91</v>
      </c>
      <c r="B21" s="98"/>
      <c r="C21" s="98"/>
      <c r="D21" s="17" t="e">
        <f t="shared" si="2"/>
        <v>#DIV/0!</v>
      </c>
      <c r="E21" s="98"/>
      <c r="F21" s="17" t="e">
        <f t="shared" si="3"/>
        <v>#DIV/0!</v>
      </c>
      <c r="G21" s="152"/>
      <c r="H21" s="152"/>
      <c r="I21" s="152"/>
      <c r="J21" s="152"/>
      <c r="K21" s="152"/>
      <c r="L21" s="152"/>
      <c r="M21" s="152"/>
      <c r="N21" s="152"/>
    </row>
    <row r="22" spans="1:14" ht="24" hidden="1" customHeight="1" x14ac:dyDescent="0.25">
      <c r="A22" s="164" t="s">
        <v>134</v>
      </c>
      <c r="B22" s="8" t="e">
        <f>+AVERAGE(B19:B21)</f>
        <v>#DIV/0!</v>
      </c>
      <c r="C22" s="8" t="e">
        <f>+AVERAGE(C19:C21)</f>
        <v>#DIV/0!</v>
      </c>
      <c r="D22" s="16" t="e">
        <f t="shared" si="2"/>
        <v>#DIV/0!</v>
      </c>
      <c r="E22" s="8" t="e">
        <f>+AVERAGE(E19:E21)</f>
        <v>#DIV/0!</v>
      </c>
      <c r="F22" s="16" t="e">
        <f t="shared" si="3"/>
        <v>#DIV/0!</v>
      </c>
      <c r="G22" s="152"/>
      <c r="H22" s="152"/>
      <c r="I22" s="152"/>
      <c r="J22" s="152"/>
      <c r="K22" s="165"/>
      <c r="L22" s="152"/>
      <c r="M22" s="152"/>
      <c r="N22" s="152"/>
    </row>
    <row r="23" spans="1:14" hidden="1" x14ac:dyDescent="0.25">
      <c r="A23" s="31" t="s">
        <v>9</v>
      </c>
      <c r="B23" s="10" t="e">
        <f>+AVERAGE(B10,B14,B18,B22)</f>
        <v>#DIV/0!</v>
      </c>
      <c r="C23" s="10" t="e">
        <f>+AVERAGE(C10,C14,C18,C22)</f>
        <v>#DIV/0!</v>
      </c>
      <c r="D23" s="18" t="e">
        <f t="shared" si="2"/>
        <v>#DIV/0!</v>
      </c>
      <c r="E23" s="10" t="e">
        <f>+AVERAGE(E10,E14,E18,E22,)</f>
        <v>#DIV/0!</v>
      </c>
      <c r="F23" s="18" t="e">
        <f t="shared" si="3"/>
        <v>#DIV/0!</v>
      </c>
      <c r="G23" s="152"/>
      <c r="H23" s="152"/>
      <c r="I23" s="152"/>
      <c r="J23" s="152"/>
      <c r="K23" s="165"/>
      <c r="L23" s="152"/>
      <c r="M23" s="152"/>
      <c r="N23" s="152"/>
    </row>
    <row r="24" spans="1:14" ht="12" customHeight="1" x14ac:dyDescent="0.25">
      <c r="A24" s="161" t="s">
        <v>173</v>
      </c>
      <c r="B24" s="161"/>
      <c r="C24" s="161"/>
      <c r="D24" s="161"/>
      <c r="E24" s="161"/>
      <c r="F24" s="161"/>
      <c r="G24" s="152"/>
      <c r="H24" s="152"/>
      <c r="I24" s="152"/>
      <c r="J24" s="152"/>
      <c r="K24" s="165"/>
      <c r="L24" s="152"/>
      <c r="M24" s="152"/>
      <c r="N24" s="152"/>
    </row>
    <row r="25" spans="1:14" ht="11.25" customHeight="1" x14ac:dyDescent="0.25">
      <c r="A25" s="166"/>
      <c r="B25" s="152"/>
      <c r="C25" s="152"/>
      <c r="D25" s="165"/>
      <c r="E25" s="152"/>
      <c r="F25" s="165"/>
      <c r="G25" s="152"/>
      <c r="H25" s="152"/>
      <c r="I25" s="152"/>
      <c r="J25" s="152"/>
      <c r="K25" s="165"/>
      <c r="L25" s="152"/>
      <c r="M25" s="152"/>
      <c r="N25" s="152"/>
    </row>
    <row r="26" spans="1:14" x14ac:dyDescent="0.25">
      <c r="A26" s="97"/>
      <c r="B26" s="98"/>
      <c r="C26" s="98"/>
      <c r="D26" s="17"/>
      <c r="E26" s="163"/>
      <c r="F26" s="17"/>
      <c r="G26" s="152"/>
      <c r="H26" s="152"/>
      <c r="I26" s="152"/>
      <c r="J26" s="152"/>
      <c r="K26" s="165"/>
      <c r="L26" s="152"/>
      <c r="M26" s="152"/>
      <c r="N26" s="152"/>
    </row>
    <row r="27" spans="1:14" x14ac:dyDescent="0.25">
      <c r="A27" s="96"/>
      <c r="B27" s="98"/>
      <c r="C27" s="98"/>
      <c r="D27" s="17"/>
      <c r="E27" s="98"/>
      <c r="F27" s="17"/>
      <c r="G27" s="152"/>
      <c r="H27" s="152"/>
      <c r="I27" s="152"/>
      <c r="J27" s="152"/>
      <c r="K27" s="152"/>
      <c r="L27" s="152"/>
      <c r="M27" s="152"/>
      <c r="N27" s="152"/>
    </row>
    <row r="28" spans="1:14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</row>
    <row r="29" spans="1:14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</row>
    <row r="30" spans="1:14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1:14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1:14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</row>
    <row r="33" spans="1:14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</row>
    <row r="34" spans="1:14" x14ac:dyDescent="0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</row>
    <row r="35" spans="1:14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</row>
    <row r="36" spans="1:14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</row>
    <row r="37" spans="1:14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</row>
    <row r="38" spans="1:14" x14ac:dyDescent="0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</row>
    <row r="39" spans="1:14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</row>
    <row r="40" spans="1:14" x14ac:dyDescent="0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</row>
    <row r="41" spans="1:14" x14ac:dyDescent="0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</row>
    <row r="42" spans="1:14" x14ac:dyDescent="0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spans="1:14" x14ac:dyDescent="0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</row>
    <row r="44" spans="1:14" x14ac:dyDescent="0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</row>
    <row r="45" spans="1:14" x14ac:dyDescent="0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</row>
    <row r="46" spans="1:14" x14ac:dyDescent="0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</row>
  </sheetData>
  <mergeCells count="5">
    <mergeCell ref="A2:F2"/>
    <mergeCell ref="A3:F3"/>
    <mergeCell ref="A5:F5"/>
    <mergeCell ref="A1:F1"/>
    <mergeCell ref="A4:F4"/>
  </mergeCells>
  <pageMargins left="0.7" right="0.7" top="0.75" bottom="0.75" header="0.3" footer="0.3"/>
  <pageSetup paperSize="9" scale="57" orientation="portrait" r:id="rId1"/>
  <ignoredErrors>
    <ignoredError sqref="D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O46"/>
  <sheetViews>
    <sheetView showGridLines="0" zoomScaleNormal="100" workbookViewId="0">
      <selection activeCell="D27" sqref="D27"/>
    </sheetView>
  </sheetViews>
  <sheetFormatPr baseColWidth="10" defaultColWidth="11.42578125" defaultRowHeight="15" x14ac:dyDescent="0.25"/>
  <cols>
    <col min="1" max="1" width="21.7109375" style="1" bestFit="1" customWidth="1"/>
    <col min="2" max="2" width="14.42578125" style="1" customWidth="1"/>
    <col min="3" max="11" width="11.42578125" style="1"/>
    <col min="12" max="12" width="0" style="1" hidden="1" customWidth="1"/>
    <col min="13" max="13" width="12.7109375" style="1" hidden="1" customWidth="1"/>
    <col min="14" max="15" width="0" style="1" hidden="1" customWidth="1"/>
    <col min="16" max="16384" width="11.42578125" style="1"/>
  </cols>
  <sheetData>
    <row r="1" spans="1:15" x14ac:dyDescent="0.25">
      <c r="A1" s="285" t="s">
        <v>0</v>
      </c>
      <c r="B1" s="285"/>
      <c r="C1" s="285"/>
      <c r="D1" s="285"/>
      <c r="E1" s="285"/>
      <c r="F1" s="285"/>
    </row>
    <row r="2" spans="1:15" x14ac:dyDescent="0.25">
      <c r="A2" s="285" t="s">
        <v>122</v>
      </c>
      <c r="B2" s="285"/>
      <c r="C2" s="285"/>
      <c r="D2" s="285"/>
      <c r="E2" s="285"/>
      <c r="F2" s="285"/>
    </row>
    <row r="3" spans="1:15" x14ac:dyDescent="0.25">
      <c r="A3" s="285" t="s">
        <v>7</v>
      </c>
      <c r="B3" s="285"/>
      <c r="C3" s="285"/>
      <c r="D3" s="285"/>
      <c r="E3" s="285"/>
      <c r="F3" s="285"/>
    </row>
    <row r="4" spans="1:15" x14ac:dyDescent="0.25">
      <c r="A4" s="285" t="s">
        <v>232</v>
      </c>
      <c r="B4" s="285"/>
      <c r="C4" s="285"/>
      <c r="D4" s="285"/>
      <c r="E4" s="285"/>
      <c r="F4" s="285"/>
    </row>
    <row r="5" spans="1:15" x14ac:dyDescent="0.25">
      <c r="A5" s="287" t="s">
        <v>165</v>
      </c>
      <c r="B5" s="287"/>
      <c r="C5" s="287"/>
      <c r="D5" s="287"/>
      <c r="E5" s="287"/>
      <c r="F5" s="287"/>
    </row>
    <row r="6" spans="1:15" ht="30.75" customHeight="1" x14ac:dyDescent="0.25">
      <c r="A6" s="286" t="s">
        <v>164</v>
      </c>
      <c r="B6" s="286"/>
      <c r="C6" s="286"/>
      <c r="D6" s="286"/>
      <c r="E6" s="286"/>
      <c r="F6" s="286"/>
      <c r="G6" s="152"/>
      <c r="H6" s="152"/>
      <c r="I6" s="152"/>
      <c r="J6" s="152"/>
      <c r="K6" s="152"/>
    </row>
    <row r="7" spans="1:15" ht="15" customHeight="1" x14ac:dyDescent="0.25">
      <c r="A7" s="167"/>
      <c r="B7" s="168" t="s">
        <v>49</v>
      </c>
      <c r="C7" s="168" t="s">
        <v>8</v>
      </c>
      <c r="D7" s="168" t="s">
        <v>9</v>
      </c>
      <c r="E7" s="168" t="s">
        <v>98</v>
      </c>
      <c r="F7" s="168" t="s">
        <v>97</v>
      </c>
      <c r="G7" s="152"/>
      <c r="H7" s="152"/>
      <c r="I7" s="152"/>
      <c r="J7" s="152"/>
      <c r="K7" s="152"/>
      <c r="L7" s="1" t="s">
        <v>222</v>
      </c>
    </row>
    <row r="8" spans="1:15" x14ac:dyDescent="0.25">
      <c r="A8" s="58" t="s">
        <v>91</v>
      </c>
      <c r="B8" s="276">
        <v>26040</v>
      </c>
      <c r="C8" s="276">
        <v>5934</v>
      </c>
      <c r="D8" s="20">
        <f>+B8+C8</f>
        <v>31974</v>
      </c>
      <c r="E8" s="21">
        <f>B8/D8</f>
        <v>0.81441170951398012</v>
      </c>
      <c r="F8" s="21">
        <f>+C8/D8</f>
        <v>0.18558829048601988</v>
      </c>
      <c r="G8" s="152"/>
      <c r="H8" s="152"/>
      <c r="I8" s="152"/>
      <c r="J8" s="152"/>
      <c r="K8" s="152"/>
      <c r="L8" s="14">
        <v>29288</v>
      </c>
    </row>
    <row r="9" spans="1:15" x14ac:dyDescent="0.25">
      <c r="A9" s="58" t="s">
        <v>90</v>
      </c>
      <c r="B9" s="163">
        <v>24837</v>
      </c>
      <c r="C9" s="163">
        <v>5825</v>
      </c>
      <c r="D9" s="20">
        <f t="shared" ref="D9:D22" si="0">+B9+C9</f>
        <v>30662</v>
      </c>
      <c r="E9" s="21">
        <f>B9/D9</f>
        <v>0.81002543865370813</v>
      </c>
      <c r="F9" s="21">
        <f>+C9/D9</f>
        <v>0.18997456134629181</v>
      </c>
      <c r="G9" s="152"/>
      <c r="H9" s="152"/>
      <c r="I9" s="152"/>
      <c r="J9" s="152"/>
      <c r="K9" s="152"/>
      <c r="L9" s="14">
        <v>29900</v>
      </c>
      <c r="O9" s="14">
        <f>+D9-D8</f>
        <v>-1312</v>
      </c>
    </row>
    <row r="10" spans="1:15" x14ac:dyDescent="0.25">
      <c r="A10" s="58" t="s">
        <v>89</v>
      </c>
      <c r="B10" s="163">
        <v>25350</v>
      </c>
      <c r="C10" s="163">
        <v>5946</v>
      </c>
      <c r="D10" s="20">
        <f>+B10+C10</f>
        <v>31296</v>
      </c>
      <c r="E10" s="21">
        <f>B10/D10</f>
        <v>0.81000766871165641</v>
      </c>
      <c r="F10" s="21">
        <f>+C10/D10</f>
        <v>0.18999233128834356</v>
      </c>
      <c r="G10" s="152"/>
      <c r="H10" s="152"/>
      <c r="I10" s="152"/>
      <c r="J10" s="152"/>
      <c r="K10" s="152"/>
      <c r="L10" s="14">
        <v>30160</v>
      </c>
      <c r="O10" s="14">
        <f>+D10-D9</f>
        <v>634</v>
      </c>
    </row>
    <row r="11" spans="1:15" ht="25.5" x14ac:dyDescent="0.25">
      <c r="A11" s="164" t="s">
        <v>134</v>
      </c>
      <c r="B11" s="8">
        <f>AVERAGE(B8:B10)</f>
        <v>25409</v>
      </c>
      <c r="C11" s="8">
        <f>AVERAGE(C8:C10)</f>
        <v>5901.666666666667</v>
      </c>
      <c r="D11" s="8">
        <f>AVERAGE(D8:D10)</f>
        <v>31310.666666666668</v>
      </c>
      <c r="E11" s="16">
        <f>+AVERAGE(E8:E10)</f>
        <v>0.81148160562644822</v>
      </c>
      <c r="F11" s="16">
        <f>+AVERAGE(F8:F10)</f>
        <v>0.18851839437355175</v>
      </c>
      <c r="G11" s="152"/>
      <c r="H11" s="152"/>
      <c r="I11" s="152"/>
      <c r="J11" s="152"/>
      <c r="K11" s="152"/>
      <c r="L11" s="14">
        <v>29782.666666666668</v>
      </c>
      <c r="M11" s="80">
        <f>+(D11-L11)/D11*100</f>
        <v>4.8801260486309239</v>
      </c>
      <c r="O11" s="14">
        <f>+D11-L11</f>
        <v>1528</v>
      </c>
    </row>
    <row r="12" spans="1:15" hidden="1" x14ac:dyDescent="0.25">
      <c r="A12" s="58" t="s">
        <v>35</v>
      </c>
      <c r="B12" s="169"/>
      <c r="C12" s="169"/>
      <c r="D12" s="20">
        <f>+B12+C12</f>
        <v>0</v>
      </c>
      <c r="E12" s="21" t="e">
        <f>+B12/D12</f>
        <v>#DIV/0!</v>
      </c>
      <c r="F12" s="21" t="e">
        <f>+C12/D12</f>
        <v>#DIV/0!</v>
      </c>
      <c r="G12" s="152"/>
      <c r="H12" s="152"/>
      <c r="I12" s="152"/>
      <c r="J12" s="152"/>
      <c r="K12" s="152"/>
    </row>
    <row r="13" spans="1:15" hidden="1" x14ac:dyDescent="0.25">
      <c r="A13" s="58" t="s">
        <v>36</v>
      </c>
      <c r="B13" s="169"/>
      <c r="C13" s="169"/>
      <c r="D13" s="20">
        <f t="shared" si="0"/>
        <v>0</v>
      </c>
      <c r="E13" s="21" t="e">
        <f>+B13/D13</f>
        <v>#DIV/0!</v>
      </c>
      <c r="F13" s="21" t="e">
        <f>+C13/D13</f>
        <v>#DIV/0!</v>
      </c>
      <c r="G13" s="152"/>
      <c r="H13" s="152"/>
      <c r="I13" s="152"/>
      <c r="J13" s="152"/>
      <c r="K13" s="152"/>
    </row>
    <row r="14" spans="1:15" hidden="1" x14ac:dyDescent="0.25">
      <c r="A14" s="58" t="s">
        <v>37</v>
      </c>
      <c r="B14" s="169"/>
      <c r="C14" s="169"/>
      <c r="D14" s="20">
        <f t="shared" si="0"/>
        <v>0</v>
      </c>
      <c r="E14" s="21" t="e">
        <f>+B14/D14</f>
        <v>#DIV/0!</v>
      </c>
      <c r="F14" s="21" t="e">
        <f>+C14/D14</f>
        <v>#DIV/0!</v>
      </c>
      <c r="G14" s="152"/>
      <c r="H14" s="152"/>
      <c r="I14" s="152"/>
      <c r="J14" s="152"/>
      <c r="K14" s="152"/>
    </row>
    <row r="15" spans="1:15" ht="25.5" hidden="1" x14ac:dyDescent="0.25">
      <c r="A15" s="164" t="s">
        <v>132</v>
      </c>
      <c r="B15" s="8" t="e">
        <f>AVERAGE(B12:B14)</f>
        <v>#DIV/0!</v>
      </c>
      <c r="C15" s="8" t="e">
        <f>AVERAGE(C12:C14)</f>
        <v>#DIV/0!</v>
      </c>
      <c r="D15" s="8">
        <f>AVERAGE(D12:D14)</f>
        <v>0</v>
      </c>
      <c r="E15" s="16" t="e">
        <f>+AVERAGE(E12:E14)</f>
        <v>#DIV/0!</v>
      </c>
      <c r="F15" s="16" t="e">
        <f>+AVERAGE(F12:F14)</f>
        <v>#DIV/0!</v>
      </c>
      <c r="G15" s="152"/>
      <c r="H15" s="152"/>
      <c r="I15" s="152"/>
      <c r="J15" s="152"/>
      <c r="K15" s="152"/>
    </row>
    <row r="16" spans="1:15" hidden="1" x14ac:dyDescent="0.25">
      <c r="A16" s="58" t="s">
        <v>86</v>
      </c>
      <c r="B16" s="169"/>
      <c r="C16" s="169"/>
      <c r="D16" s="20">
        <f t="shared" si="0"/>
        <v>0</v>
      </c>
      <c r="E16" s="21" t="e">
        <f>+B16/D16</f>
        <v>#DIV/0!</v>
      </c>
      <c r="F16" s="21" t="e">
        <f>+C16/D16</f>
        <v>#DIV/0!</v>
      </c>
      <c r="G16" s="152"/>
      <c r="H16" s="152"/>
      <c r="I16" s="152"/>
      <c r="J16" s="152"/>
      <c r="K16" s="152"/>
    </row>
    <row r="17" spans="1:13" hidden="1" x14ac:dyDescent="0.25">
      <c r="A17" s="58" t="s">
        <v>87</v>
      </c>
      <c r="B17" s="169"/>
      <c r="C17" s="169"/>
      <c r="D17" s="20">
        <f t="shared" si="0"/>
        <v>0</v>
      </c>
      <c r="E17" s="21" t="e">
        <f>+B17/D17</f>
        <v>#DIV/0!</v>
      </c>
      <c r="F17" s="21" t="e">
        <f>+C17/D17</f>
        <v>#DIV/0!</v>
      </c>
      <c r="G17" s="152"/>
      <c r="H17" s="152"/>
      <c r="I17" s="152"/>
      <c r="J17" s="152"/>
      <c r="K17" s="152"/>
    </row>
    <row r="18" spans="1:13" hidden="1" x14ac:dyDescent="0.25">
      <c r="A18" s="58" t="s">
        <v>88</v>
      </c>
      <c r="B18" s="169"/>
      <c r="C18" s="169"/>
      <c r="D18" s="20">
        <f t="shared" si="0"/>
        <v>0</v>
      </c>
      <c r="E18" s="21" t="e">
        <f>+B18/D18</f>
        <v>#DIV/0!</v>
      </c>
      <c r="F18" s="21" t="e">
        <f>+C18/D18</f>
        <v>#DIV/0!</v>
      </c>
      <c r="G18" s="152"/>
      <c r="H18" s="152"/>
      <c r="I18" s="152"/>
      <c r="J18" s="152"/>
      <c r="K18" s="152"/>
    </row>
    <row r="19" spans="1:13" ht="25.5" hidden="1" x14ac:dyDescent="0.25">
      <c r="A19" s="164" t="s">
        <v>133</v>
      </c>
      <c r="B19" s="8" t="e">
        <f>AVERAGE(B16:B18)</f>
        <v>#DIV/0!</v>
      </c>
      <c r="C19" s="8" t="e">
        <f>AVERAGE(C16:C18)</f>
        <v>#DIV/0!</v>
      </c>
      <c r="D19" s="8">
        <f>AVERAGE(D16:D18)</f>
        <v>0</v>
      </c>
      <c r="E19" s="16" t="e">
        <f>+AVERAGE(E16:E18)</f>
        <v>#DIV/0!</v>
      </c>
      <c r="F19" s="16" t="e">
        <f>+AVERAGE(F16:F18)</f>
        <v>#DIV/0!</v>
      </c>
      <c r="G19" s="152"/>
      <c r="H19" s="152"/>
      <c r="I19" s="152"/>
      <c r="J19" s="152"/>
      <c r="K19" s="152"/>
    </row>
    <row r="20" spans="1:13" hidden="1" x14ac:dyDescent="0.25">
      <c r="A20" s="58" t="s">
        <v>89</v>
      </c>
      <c r="B20" s="169"/>
      <c r="C20" s="169"/>
      <c r="D20" s="20">
        <f t="shared" si="0"/>
        <v>0</v>
      </c>
      <c r="E20" s="21" t="e">
        <f>+B20/D20</f>
        <v>#DIV/0!</v>
      </c>
      <c r="F20" s="21" t="e">
        <f>+C20/D20</f>
        <v>#DIV/0!</v>
      </c>
      <c r="G20" s="152"/>
      <c r="H20" s="152"/>
      <c r="I20" s="152"/>
      <c r="J20" s="152"/>
      <c r="K20" s="152"/>
    </row>
    <row r="21" spans="1:13" hidden="1" x14ac:dyDescent="0.25">
      <c r="A21" s="58" t="s">
        <v>90</v>
      </c>
      <c r="B21" s="169"/>
      <c r="C21" s="169"/>
      <c r="D21" s="20">
        <f t="shared" si="0"/>
        <v>0</v>
      </c>
      <c r="E21" s="21" t="e">
        <f>+B21/D21</f>
        <v>#DIV/0!</v>
      </c>
      <c r="F21" s="21" t="e">
        <f>+C21/D21</f>
        <v>#DIV/0!</v>
      </c>
      <c r="G21" s="152"/>
      <c r="H21" s="152"/>
      <c r="I21" s="152"/>
      <c r="J21" s="152"/>
      <c r="K21" s="152"/>
    </row>
    <row r="22" spans="1:13" hidden="1" x14ac:dyDescent="0.25">
      <c r="A22" s="58" t="s">
        <v>91</v>
      </c>
      <c r="B22" s="169"/>
      <c r="C22" s="169"/>
      <c r="D22" s="20">
        <f t="shared" si="0"/>
        <v>0</v>
      </c>
      <c r="E22" s="21" t="e">
        <f>+B22/D22</f>
        <v>#DIV/0!</v>
      </c>
      <c r="F22" s="21" t="e">
        <f>+C22/D22</f>
        <v>#DIV/0!</v>
      </c>
      <c r="G22" s="152"/>
      <c r="H22" s="152"/>
      <c r="I22" s="152"/>
      <c r="J22" s="152"/>
      <c r="K22" s="152"/>
    </row>
    <row r="23" spans="1:13" ht="25.5" hidden="1" x14ac:dyDescent="0.25">
      <c r="A23" s="164" t="s">
        <v>134</v>
      </c>
      <c r="B23" s="8" t="e">
        <f t="shared" ref="B23:D24" si="1">AVERAGE(B20:B22)</f>
        <v>#DIV/0!</v>
      </c>
      <c r="C23" s="8" t="e">
        <f t="shared" si="1"/>
        <v>#DIV/0!</v>
      </c>
      <c r="D23" s="8">
        <f t="shared" si="1"/>
        <v>0</v>
      </c>
      <c r="E23" s="16" t="e">
        <f>+AVERAGE(E20:E22)</f>
        <v>#DIV/0!</v>
      </c>
      <c r="F23" s="16" t="e">
        <f>+AVERAGE(F20:F22)</f>
        <v>#DIV/0!</v>
      </c>
      <c r="G23" s="152"/>
      <c r="H23" s="152"/>
      <c r="I23" s="152"/>
      <c r="J23" s="152"/>
      <c r="K23" s="152"/>
    </row>
    <row r="24" spans="1:13" hidden="1" x14ac:dyDescent="0.25">
      <c r="A24" s="31" t="s">
        <v>9</v>
      </c>
      <c r="B24" s="10" t="e">
        <f t="shared" si="1"/>
        <v>#DIV/0!</v>
      </c>
      <c r="C24" s="10" t="e">
        <f t="shared" si="1"/>
        <v>#DIV/0!</v>
      </c>
      <c r="D24" s="18">
        <f t="shared" si="1"/>
        <v>0</v>
      </c>
      <c r="E24" s="10" t="e">
        <f>+AVERAGE(E21:E23)</f>
        <v>#DIV/0!</v>
      </c>
      <c r="F24" s="18" t="e">
        <f>+AVERAGE(F21:F23)</f>
        <v>#DIV/0!</v>
      </c>
      <c r="G24" s="152"/>
      <c r="H24" s="152"/>
      <c r="I24" s="162"/>
      <c r="J24" s="162"/>
      <c r="K24" s="162"/>
    </row>
    <row r="25" spans="1:13" x14ac:dyDescent="0.25">
      <c r="A25" s="161" t="s">
        <v>243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M25" s="14">
        <f>+D11-L11</f>
        <v>1528</v>
      </c>
    </row>
    <row r="26" spans="1:13" x14ac:dyDescent="0.25">
      <c r="A26" s="1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9"/>
    </row>
    <row r="27" spans="1:13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3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3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3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3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3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x14ac:dyDescent="0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</row>
    <row r="35" spans="1:11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x14ac:dyDescent="0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5" spans="1:11" x14ac:dyDescent="0.25">
      <c r="A45" s="58"/>
      <c r="B45" s="163"/>
      <c r="C45" s="163"/>
      <c r="D45" s="20"/>
      <c r="E45" s="21"/>
      <c r="F45" s="21"/>
    </row>
    <row r="46" spans="1:11" x14ac:dyDescent="0.25">
      <c r="A46" s="58"/>
      <c r="B46" s="163"/>
      <c r="C46" s="163"/>
      <c r="D46" s="20"/>
      <c r="E46" s="21"/>
      <c r="F46" s="21"/>
    </row>
  </sheetData>
  <mergeCells count="6">
    <mergeCell ref="A6:F6"/>
    <mergeCell ref="A1:F1"/>
    <mergeCell ref="A2:F2"/>
    <mergeCell ref="A3:F3"/>
    <mergeCell ref="A5:F5"/>
    <mergeCell ref="A4:F4"/>
  </mergeCells>
  <pageMargins left="0.7" right="0.7" top="0.75" bottom="0.75" header="0.3" footer="0.3"/>
  <pageSetup paperSize="9" scale="64" orientation="portrait" r:id="rId1"/>
  <ignoredErrors>
    <ignoredError sqref="F11 D1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K42"/>
  <sheetViews>
    <sheetView showGridLines="0" zoomScale="115" zoomScaleNormal="115" workbookViewId="0">
      <selection activeCell="B11" sqref="B11"/>
    </sheetView>
  </sheetViews>
  <sheetFormatPr baseColWidth="10" defaultColWidth="11.42578125" defaultRowHeight="15" x14ac:dyDescent="0.25"/>
  <cols>
    <col min="1" max="1" width="11.42578125" style="1"/>
    <col min="2" max="2" width="13.42578125" style="1" customWidth="1"/>
    <col min="3" max="3" width="14" style="1" customWidth="1"/>
    <col min="4" max="4" width="14.7109375" style="1" bestFit="1" customWidth="1"/>
    <col min="5" max="16384" width="11.42578125" style="1"/>
  </cols>
  <sheetData>
    <row r="1" spans="1:11" x14ac:dyDescent="0.25">
      <c r="A1" s="285" t="s">
        <v>0</v>
      </c>
      <c r="B1" s="285"/>
      <c r="C1" s="285"/>
      <c r="D1" s="285"/>
      <c r="E1" s="22"/>
      <c r="F1" s="22"/>
    </row>
    <row r="2" spans="1:11" x14ac:dyDescent="0.25">
      <c r="A2" s="285" t="s">
        <v>122</v>
      </c>
      <c r="B2" s="285"/>
      <c r="C2" s="285"/>
      <c r="D2" s="285"/>
      <c r="E2" s="23"/>
      <c r="F2" s="23"/>
    </row>
    <row r="3" spans="1:11" x14ac:dyDescent="0.25">
      <c r="A3" s="285" t="s">
        <v>13</v>
      </c>
      <c r="B3" s="285"/>
      <c r="C3" s="285"/>
      <c r="D3" s="285"/>
      <c r="E3" s="23"/>
      <c r="F3" s="23"/>
    </row>
    <row r="4" spans="1:11" x14ac:dyDescent="0.25">
      <c r="A4" s="285" t="s">
        <v>232</v>
      </c>
      <c r="B4" s="285"/>
      <c r="C4" s="285"/>
      <c r="D4" s="285"/>
      <c r="E4" s="22"/>
      <c r="F4" s="22"/>
    </row>
    <row r="5" spans="1:11" x14ac:dyDescent="0.25">
      <c r="A5" s="287" t="s">
        <v>165</v>
      </c>
      <c r="B5" s="287"/>
      <c r="C5" s="287"/>
      <c r="D5" s="287"/>
      <c r="E5" s="24"/>
      <c r="F5" s="24"/>
    </row>
    <row r="6" spans="1:11" x14ac:dyDescent="0.25">
      <c r="A6" s="286" t="s">
        <v>172</v>
      </c>
      <c r="B6" s="286"/>
      <c r="C6" s="286"/>
      <c r="D6" s="286"/>
      <c r="E6" s="46"/>
      <c r="F6" s="152"/>
      <c r="G6" s="152"/>
      <c r="H6" s="152"/>
      <c r="I6" s="152"/>
      <c r="J6" s="152"/>
      <c r="K6" s="152"/>
    </row>
    <row r="7" spans="1:11" x14ac:dyDescent="0.25">
      <c r="A7" s="167"/>
      <c r="B7" s="151" t="s">
        <v>137</v>
      </c>
      <c r="C7" s="168" t="s">
        <v>138</v>
      </c>
      <c r="D7" s="168" t="s">
        <v>139</v>
      </c>
      <c r="E7" s="152"/>
      <c r="F7" s="152"/>
      <c r="G7" s="152"/>
      <c r="H7" s="152"/>
      <c r="I7" s="152"/>
      <c r="J7" s="152"/>
      <c r="K7" s="152"/>
    </row>
    <row r="8" spans="1:11" x14ac:dyDescent="0.25">
      <c r="A8" s="58" t="s">
        <v>91</v>
      </c>
      <c r="B8" s="233">
        <v>99438086</v>
      </c>
      <c r="C8" s="233">
        <v>15892563.41</v>
      </c>
      <c r="D8" s="29">
        <f>+B8+C8</f>
        <v>115330649.41</v>
      </c>
      <c r="E8" s="152"/>
      <c r="F8" s="171"/>
      <c r="G8" s="171"/>
      <c r="H8" s="152"/>
      <c r="I8" s="152"/>
      <c r="J8" s="152"/>
      <c r="K8" s="152"/>
    </row>
    <row r="9" spans="1:11" x14ac:dyDescent="0.25">
      <c r="A9" s="58" t="s">
        <v>90</v>
      </c>
      <c r="B9" s="233">
        <v>94108687.260000005</v>
      </c>
      <c r="C9" s="233">
        <v>13522440.119999999</v>
      </c>
      <c r="D9" s="29">
        <f>+B9+C9</f>
        <v>107631127.38000001</v>
      </c>
      <c r="E9" s="152"/>
      <c r="F9" s="152"/>
      <c r="G9" s="152"/>
      <c r="H9" s="152"/>
      <c r="I9" s="152"/>
      <c r="J9" s="152"/>
      <c r="K9" s="152"/>
    </row>
    <row r="10" spans="1:11" x14ac:dyDescent="0.25">
      <c r="A10" s="58" t="s">
        <v>89</v>
      </c>
      <c r="B10" s="233">
        <v>94818405.890000001</v>
      </c>
      <c r="C10" s="233">
        <v>13624419.310000001</v>
      </c>
      <c r="D10" s="29">
        <f>+B10+C10</f>
        <v>108442825.2</v>
      </c>
      <c r="E10" s="152"/>
      <c r="F10" s="152"/>
      <c r="G10" s="152"/>
      <c r="H10" s="152"/>
      <c r="I10" s="152"/>
      <c r="J10" s="152"/>
      <c r="K10" s="152"/>
    </row>
    <row r="11" spans="1:11" x14ac:dyDescent="0.25">
      <c r="A11" s="30" t="s">
        <v>94</v>
      </c>
      <c r="B11" s="8">
        <f>SUM(B8:B10)</f>
        <v>288365179.14999998</v>
      </c>
      <c r="C11" s="8">
        <f>SUM(C8:C10)</f>
        <v>43039422.840000004</v>
      </c>
      <c r="D11" s="8">
        <f>SUM(D8:D10)</f>
        <v>331404601.99000001</v>
      </c>
      <c r="E11" s="152"/>
      <c r="F11" s="152"/>
      <c r="G11" s="152"/>
      <c r="H11" s="152"/>
      <c r="I11" s="152"/>
      <c r="J11" s="152"/>
      <c r="K11" s="152"/>
    </row>
    <row r="12" spans="1:11" hidden="1" x14ac:dyDescent="0.25">
      <c r="A12" s="58" t="s">
        <v>35</v>
      </c>
      <c r="B12" s="173"/>
      <c r="C12" s="173"/>
      <c r="D12" s="29">
        <f>+B12+C12</f>
        <v>0</v>
      </c>
      <c r="E12" s="152"/>
      <c r="F12" s="171"/>
      <c r="G12" s="171"/>
      <c r="H12" s="152"/>
      <c r="I12" s="152"/>
      <c r="J12" s="152"/>
      <c r="K12" s="152"/>
    </row>
    <row r="13" spans="1:11" hidden="1" x14ac:dyDescent="0.25">
      <c r="A13" s="58" t="s">
        <v>36</v>
      </c>
      <c r="B13" s="173"/>
      <c r="C13" s="173"/>
      <c r="D13" s="29">
        <f>+B13+C13</f>
        <v>0</v>
      </c>
      <c r="E13" s="152"/>
      <c r="F13" s="152"/>
      <c r="G13" s="152"/>
      <c r="H13" s="152"/>
      <c r="I13" s="152"/>
      <c r="J13" s="152"/>
      <c r="K13" s="152"/>
    </row>
    <row r="14" spans="1:11" hidden="1" x14ac:dyDescent="0.25">
      <c r="A14" s="58" t="s">
        <v>37</v>
      </c>
      <c r="B14" s="173"/>
      <c r="C14" s="172"/>
      <c r="D14" s="29">
        <f>+B14+C14</f>
        <v>0</v>
      </c>
      <c r="E14" s="152"/>
      <c r="F14" s="152"/>
      <c r="G14" s="152"/>
      <c r="H14" s="152"/>
      <c r="I14" s="152"/>
      <c r="J14" s="152"/>
      <c r="K14" s="152"/>
    </row>
    <row r="15" spans="1:11" hidden="1" x14ac:dyDescent="0.25">
      <c r="A15" s="30" t="s">
        <v>130</v>
      </c>
      <c r="B15" s="8">
        <f>SUM(B12:B14)</f>
        <v>0</v>
      </c>
      <c r="C15" s="8">
        <f>SUM(C12:C14)</f>
        <v>0</v>
      </c>
      <c r="D15" s="8">
        <f>SUM(D12:D14)</f>
        <v>0</v>
      </c>
      <c r="E15" s="152"/>
      <c r="F15" s="152"/>
      <c r="G15" s="152"/>
      <c r="H15" s="152"/>
      <c r="I15" s="152"/>
      <c r="J15" s="152"/>
      <c r="K15" s="152"/>
    </row>
    <row r="16" spans="1:11" hidden="1" x14ac:dyDescent="0.25">
      <c r="A16" s="58" t="s">
        <v>86</v>
      </c>
      <c r="B16" s="173"/>
      <c r="C16" s="173"/>
      <c r="D16" s="29">
        <f>+B16+C16</f>
        <v>0</v>
      </c>
      <c r="E16" s="152"/>
      <c r="F16" s="171"/>
      <c r="G16" s="171"/>
      <c r="H16" s="152"/>
      <c r="I16" s="152"/>
      <c r="J16" s="152"/>
      <c r="K16" s="152"/>
    </row>
    <row r="17" spans="1:11" hidden="1" x14ac:dyDescent="0.25">
      <c r="A17" s="58" t="s">
        <v>87</v>
      </c>
      <c r="B17" s="173"/>
      <c r="C17" s="173"/>
      <c r="D17" s="29">
        <f>+B17+C17</f>
        <v>0</v>
      </c>
      <c r="E17" s="152"/>
      <c r="F17" s="152"/>
      <c r="G17" s="152"/>
      <c r="H17" s="152"/>
      <c r="I17" s="152"/>
      <c r="J17" s="152"/>
      <c r="K17" s="152"/>
    </row>
    <row r="18" spans="1:11" hidden="1" x14ac:dyDescent="0.25">
      <c r="A18" s="58" t="s">
        <v>88</v>
      </c>
      <c r="B18" s="173"/>
      <c r="C18" s="172"/>
      <c r="D18" s="29">
        <f>+B18+C18</f>
        <v>0</v>
      </c>
      <c r="E18" s="152"/>
      <c r="F18" s="152"/>
      <c r="G18" s="152"/>
      <c r="H18" s="152"/>
      <c r="I18" s="152"/>
      <c r="J18" s="152"/>
      <c r="K18" s="152"/>
    </row>
    <row r="19" spans="1:11" hidden="1" x14ac:dyDescent="0.25">
      <c r="A19" s="30" t="s">
        <v>93</v>
      </c>
      <c r="B19" s="8">
        <f>SUM(B16:B18)</f>
        <v>0</v>
      </c>
      <c r="C19" s="8">
        <f>SUM(C16:C18)</f>
        <v>0</v>
      </c>
      <c r="D19" s="8">
        <f>SUM(D16:D18)</f>
        <v>0</v>
      </c>
      <c r="E19" s="152"/>
      <c r="F19" s="152"/>
      <c r="G19" s="152"/>
      <c r="H19" s="152"/>
      <c r="I19" s="152"/>
      <c r="J19" s="152"/>
      <c r="K19" s="152"/>
    </row>
    <row r="20" spans="1:11" hidden="1" x14ac:dyDescent="0.25">
      <c r="A20" s="58" t="s">
        <v>89</v>
      </c>
      <c r="B20" s="173"/>
      <c r="C20" s="173"/>
      <c r="D20" s="29">
        <f>+B20+C20</f>
        <v>0</v>
      </c>
      <c r="E20" s="152"/>
      <c r="F20" s="171"/>
      <c r="G20" s="171"/>
      <c r="H20" s="152"/>
      <c r="I20" s="152"/>
      <c r="J20" s="152"/>
      <c r="K20" s="152"/>
    </row>
    <row r="21" spans="1:11" hidden="1" x14ac:dyDescent="0.25">
      <c r="A21" s="58" t="s">
        <v>90</v>
      </c>
      <c r="B21" s="173"/>
      <c r="C21" s="173"/>
      <c r="D21" s="29">
        <f>+B21+C21</f>
        <v>0</v>
      </c>
      <c r="E21" s="152"/>
      <c r="F21" s="152"/>
      <c r="G21" s="152"/>
      <c r="H21" s="152"/>
      <c r="I21" s="152"/>
      <c r="J21" s="152"/>
      <c r="K21" s="152"/>
    </row>
    <row r="22" spans="1:11" hidden="1" x14ac:dyDescent="0.25">
      <c r="A22" s="58" t="s">
        <v>91</v>
      </c>
      <c r="B22" s="173"/>
      <c r="C22" s="172"/>
      <c r="D22" s="29">
        <f>+B22+C22</f>
        <v>0</v>
      </c>
      <c r="E22" s="152"/>
      <c r="F22" s="152"/>
      <c r="G22" s="152"/>
      <c r="H22" s="152"/>
      <c r="I22" s="152"/>
      <c r="J22" s="152"/>
      <c r="K22" s="152"/>
    </row>
    <row r="23" spans="1:11" hidden="1" x14ac:dyDescent="0.25">
      <c r="A23" s="30" t="s">
        <v>94</v>
      </c>
      <c r="B23" s="8">
        <f>SUM(B20:B22)</f>
        <v>0</v>
      </c>
      <c r="C23" s="8">
        <f>SUM(C20:C22)</f>
        <v>0</v>
      </c>
      <c r="D23" s="8">
        <f>SUM(D20:D22)</f>
        <v>0</v>
      </c>
      <c r="E23" s="152"/>
      <c r="F23" s="152"/>
      <c r="G23" s="152"/>
      <c r="H23" s="152"/>
      <c r="I23" s="152"/>
      <c r="J23" s="152"/>
      <c r="K23" s="152"/>
    </row>
    <row r="24" spans="1:11" hidden="1" x14ac:dyDescent="0.25">
      <c r="A24" s="31" t="s">
        <v>9</v>
      </c>
      <c r="B24" s="26">
        <f>+B11+B15+B19+B23</f>
        <v>288365179.14999998</v>
      </c>
      <c r="C24" s="26">
        <f>+C11+C15+C19+C23</f>
        <v>43039422.840000004</v>
      </c>
      <c r="D24" s="26">
        <f>+D11+D15+D19+D23</f>
        <v>331404601.99000001</v>
      </c>
      <c r="E24" s="152"/>
      <c r="F24" s="152"/>
      <c r="G24" s="152"/>
      <c r="H24" s="152"/>
      <c r="I24" s="152"/>
      <c r="J24" s="152"/>
      <c r="K24" s="152"/>
    </row>
    <row r="25" spans="1:11" x14ac:dyDescent="0.25">
      <c r="A25" s="174" t="s">
        <v>40</v>
      </c>
      <c r="B25" s="27">
        <f>B11/D11</f>
        <v>0.87013028008193216</v>
      </c>
      <c r="C25" s="27">
        <f>C11/D11</f>
        <v>0.1298697199180677</v>
      </c>
      <c r="D25" s="28"/>
      <c r="E25" s="152"/>
      <c r="F25" s="152"/>
      <c r="G25" s="152"/>
      <c r="H25" s="152"/>
      <c r="I25" s="152"/>
      <c r="J25" s="152"/>
      <c r="K25" s="152"/>
    </row>
    <row r="26" spans="1:11" x14ac:dyDescent="0.25">
      <c r="A26" s="161" t="s">
        <v>243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</row>
    <row r="27" spans="1:11" x14ac:dyDescent="0.25">
      <c r="A27" s="1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</row>
    <row r="28" spans="1:11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</row>
    <row r="29" spans="1:11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</row>
    <row r="32" spans="1:1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</row>
    <row r="33" spans="1:11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</row>
    <row r="34" spans="1:11" x14ac:dyDescent="0.25">
      <c r="A34" s="152"/>
      <c r="B34" s="152"/>
      <c r="C34" s="152"/>
      <c r="D34" s="152"/>
      <c r="E34" s="152"/>
      <c r="F34" s="152"/>
      <c r="G34" s="175"/>
      <c r="H34" s="175"/>
      <c r="I34" s="175"/>
      <c r="J34" s="175"/>
      <c r="K34" s="161"/>
    </row>
    <row r="35" spans="1:11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</row>
    <row r="36" spans="1:11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</row>
    <row r="37" spans="1:11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</row>
    <row r="38" spans="1:11" x14ac:dyDescent="0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</row>
    <row r="39" spans="1:11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</row>
    <row r="40" spans="1:11" x14ac:dyDescent="0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x14ac:dyDescent="0.25">
      <c r="A41" s="58"/>
      <c r="B41" s="170"/>
      <c r="C41" s="172"/>
      <c r="D41" s="29"/>
    </row>
    <row r="42" spans="1:11" x14ac:dyDescent="0.25">
      <c r="A42" s="58"/>
      <c r="B42" s="170"/>
      <c r="C42" s="170"/>
      <c r="D42" s="29"/>
    </row>
  </sheetData>
  <mergeCells count="6">
    <mergeCell ref="A6:D6"/>
    <mergeCell ref="A1:D1"/>
    <mergeCell ref="A2:D2"/>
    <mergeCell ref="A3:D3"/>
    <mergeCell ref="A5:D5"/>
    <mergeCell ref="A4:D4"/>
  </mergeCells>
  <pageMargins left="0.7" right="0.7" top="0.75" bottom="0.75" header="0.3" footer="0.3"/>
  <pageSetup paperSize="9" scale="73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G43"/>
  <sheetViews>
    <sheetView showGridLines="0" zoomScale="115" zoomScaleNormal="115" zoomScaleSheetLayoutView="115" workbookViewId="0">
      <selection activeCell="E40" sqref="E40"/>
    </sheetView>
  </sheetViews>
  <sheetFormatPr baseColWidth="10" defaultColWidth="11.42578125" defaultRowHeight="15" x14ac:dyDescent="0.25"/>
  <cols>
    <col min="1" max="1" width="21.42578125" style="1" customWidth="1"/>
    <col min="2" max="2" width="15.7109375" style="1" customWidth="1"/>
    <col min="3" max="3" width="21.140625" style="1" customWidth="1"/>
    <col min="4" max="4" width="16.7109375" style="1" customWidth="1"/>
    <col min="5" max="16384" width="11.42578125" style="1"/>
  </cols>
  <sheetData>
    <row r="1" spans="1:7" x14ac:dyDescent="0.25">
      <c r="A1" s="285" t="s">
        <v>0</v>
      </c>
      <c r="B1" s="285"/>
      <c r="C1" s="285"/>
      <c r="D1" s="285"/>
    </row>
    <row r="2" spans="1:7" x14ac:dyDescent="0.25">
      <c r="A2" s="285" t="s">
        <v>122</v>
      </c>
      <c r="B2" s="285"/>
      <c r="C2" s="285"/>
      <c r="D2" s="285"/>
    </row>
    <row r="3" spans="1:7" x14ac:dyDescent="0.25">
      <c r="A3" s="285" t="s">
        <v>10</v>
      </c>
      <c r="B3" s="285"/>
      <c r="C3" s="285"/>
      <c r="D3" s="285"/>
    </row>
    <row r="4" spans="1:7" x14ac:dyDescent="0.25">
      <c r="A4" s="285" t="s">
        <v>232</v>
      </c>
      <c r="B4" s="285"/>
      <c r="C4" s="285"/>
      <c r="D4" s="285"/>
    </row>
    <row r="5" spans="1:7" x14ac:dyDescent="0.25">
      <c r="A5" s="287" t="s">
        <v>165</v>
      </c>
      <c r="B5" s="287"/>
      <c r="C5" s="287"/>
      <c r="D5" s="287"/>
    </row>
    <row r="6" spans="1:7" x14ac:dyDescent="0.25">
      <c r="A6" s="286" t="s">
        <v>10</v>
      </c>
      <c r="B6" s="286"/>
      <c r="C6" s="286"/>
      <c r="D6" s="286"/>
      <c r="E6" s="152"/>
      <c r="F6" s="152"/>
      <c r="G6" s="152"/>
    </row>
    <row r="7" spans="1:7" x14ac:dyDescent="0.25">
      <c r="A7" s="167" t="s">
        <v>11</v>
      </c>
      <c r="B7" s="168" t="s">
        <v>12</v>
      </c>
      <c r="C7" s="168" t="s">
        <v>141</v>
      </c>
      <c r="D7" s="168" t="s">
        <v>142</v>
      </c>
      <c r="E7" s="152"/>
      <c r="F7" s="152"/>
      <c r="G7" s="152"/>
    </row>
    <row r="8" spans="1:7" x14ac:dyDescent="0.25">
      <c r="A8" s="58" t="s">
        <v>91</v>
      </c>
      <c r="B8" s="176">
        <v>36251</v>
      </c>
      <c r="C8" s="169">
        <f>+B8-B9</f>
        <v>3244</v>
      </c>
      <c r="D8" s="235">
        <f>+(B8-B9)/B9</f>
        <v>9.8282182567334203E-2</v>
      </c>
      <c r="E8" s="152"/>
      <c r="F8" s="152"/>
      <c r="G8" s="152"/>
    </row>
    <row r="9" spans="1:7" x14ac:dyDescent="0.25">
      <c r="A9" s="58" t="s">
        <v>90</v>
      </c>
      <c r="B9" s="177">
        <v>33007</v>
      </c>
      <c r="C9" s="169">
        <f>+B9-B10</f>
        <v>-197</v>
      </c>
      <c r="D9" s="21">
        <f>+(B9-B10)/B10</f>
        <v>-5.9330201180580657E-3</v>
      </c>
      <c r="E9" s="152"/>
      <c r="F9" s="152"/>
      <c r="G9" s="152"/>
    </row>
    <row r="10" spans="1:7" x14ac:dyDescent="0.25">
      <c r="A10" s="58" t="s">
        <v>89</v>
      </c>
      <c r="B10" s="176">
        <v>33204</v>
      </c>
      <c r="C10" s="169">
        <f>+B10-33952</f>
        <v>-748</v>
      </c>
      <c r="D10" s="21">
        <f>+(B10-33952)/33952</f>
        <v>-2.20311027332705E-2</v>
      </c>
      <c r="E10" s="152"/>
      <c r="F10" s="152"/>
      <c r="G10" s="152"/>
    </row>
    <row r="11" spans="1:7" x14ac:dyDescent="0.25">
      <c r="A11" s="30" t="s">
        <v>94</v>
      </c>
      <c r="B11" s="8">
        <f>SUM(B8:B10)</f>
        <v>102462</v>
      </c>
      <c r="C11" s="8">
        <f>+B11-110057</f>
        <v>-7595</v>
      </c>
      <c r="D11" s="16">
        <f>(B11-110057)/110057</f>
        <v>-6.9009694976239586E-2</v>
      </c>
      <c r="E11" s="152"/>
      <c r="F11" s="162"/>
      <c r="G11" s="171"/>
    </row>
    <row r="12" spans="1:7" hidden="1" x14ac:dyDescent="0.25">
      <c r="A12" s="58" t="s">
        <v>35</v>
      </c>
      <c r="B12" s="176"/>
      <c r="C12" s="179">
        <f>+B12-B10</f>
        <v>-33204</v>
      </c>
      <c r="D12" s="152"/>
      <c r="E12" s="152"/>
      <c r="F12" s="152"/>
      <c r="G12" s="152"/>
    </row>
    <row r="13" spans="1:7" hidden="1" x14ac:dyDescent="0.25">
      <c r="A13" s="58" t="s">
        <v>36</v>
      </c>
      <c r="B13" s="176"/>
      <c r="C13" s="179">
        <f>+B13-B12</f>
        <v>0</v>
      </c>
      <c r="D13" s="152"/>
      <c r="E13" s="152"/>
      <c r="F13" s="152"/>
      <c r="G13" s="152"/>
    </row>
    <row r="14" spans="1:7" hidden="1" x14ac:dyDescent="0.25">
      <c r="A14" s="58" t="s">
        <v>37</v>
      </c>
      <c r="B14" s="176"/>
      <c r="C14" s="179">
        <f>+B14-B13</f>
        <v>0</v>
      </c>
      <c r="D14" s="152"/>
      <c r="E14" s="152"/>
      <c r="F14" s="152"/>
      <c r="G14" s="152"/>
    </row>
    <row r="15" spans="1:7" hidden="1" x14ac:dyDescent="0.25">
      <c r="A15" s="30" t="s">
        <v>130</v>
      </c>
      <c r="B15" s="8">
        <f>SUM(B12:B14)</f>
        <v>0</v>
      </c>
      <c r="C15" s="78">
        <f>+B15-B11</f>
        <v>-102462</v>
      </c>
      <c r="D15" s="16">
        <f>+(B15-B11)/B11</f>
        <v>-1</v>
      </c>
      <c r="E15" s="152"/>
      <c r="F15" s="162"/>
      <c r="G15" s="152"/>
    </row>
    <row r="16" spans="1:7" hidden="1" x14ac:dyDescent="0.25">
      <c r="A16" s="58" t="s">
        <v>86</v>
      </c>
      <c r="B16" s="176"/>
      <c r="C16" s="179">
        <f>+B16-B14</f>
        <v>0</v>
      </c>
      <c r="D16" s="152"/>
      <c r="E16" s="152"/>
      <c r="F16" s="152"/>
      <c r="G16" s="152"/>
    </row>
    <row r="17" spans="1:7" hidden="1" x14ac:dyDescent="0.25">
      <c r="A17" s="58" t="s">
        <v>87</v>
      </c>
      <c r="B17" s="176"/>
      <c r="C17" s="179">
        <f>+B17-B16</f>
        <v>0</v>
      </c>
      <c r="D17" s="152"/>
      <c r="E17" s="152"/>
      <c r="F17" s="152"/>
      <c r="G17" s="152"/>
    </row>
    <row r="18" spans="1:7" hidden="1" x14ac:dyDescent="0.25">
      <c r="A18" s="58" t="s">
        <v>88</v>
      </c>
      <c r="B18" s="176"/>
      <c r="C18" s="179">
        <f>+B18-B17</f>
        <v>0</v>
      </c>
      <c r="D18" s="152"/>
      <c r="E18" s="152"/>
      <c r="F18" s="152"/>
      <c r="G18" s="152"/>
    </row>
    <row r="19" spans="1:7" hidden="1" x14ac:dyDescent="0.25">
      <c r="A19" s="30" t="s">
        <v>93</v>
      </c>
      <c r="B19" s="8">
        <f>SUM(B16:B18)</f>
        <v>0</v>
      </c>
      <c r="C19" s="78">
        <f>+B19-B15</f>
        <v>0</v>
      </c>
      <c r="D19" s="78" t="e">
        <f>+(B19-B15)/B15</f>
        <v>#DIV/0!</v>
      </c>
      <c r="E19" s="152"/>
      <c r="F19" s="162"/>
      <c r="G19" s="152"/>
    </row>
    <row r="20" spans="1:7" hidden="1" x14ac:dyDescent="0.25">
      <c r="A20" s="58" t="s">
        <v>89</v>
      </c>
      <c r="B20" s="176"/>
      <c r="C20" s="179">
        <f>+B20-B18</f>
        <v>0</v>
      </c>
      <c r="D20" s="152"/>
      <c r="E20" s="152"/>
      <c r="F20" s="152"/>
      <c r="G20" s="152"/>
    </row>
    <row r="21" spans="1:7" hidden="1" x14ac:dyDescent="0.25">
      <c r="A21" s="58" t="s">
        <v>90</v>
      </c>
      <c r="B21" s="176"/>
      <c r="C21" s="179">
        <f>+B21-B20</f>
        <v>0</v>
      </c>
      <c r="D21" s="152"/>
      <c r="E21" s="152"/>
      <c r="F21" s="152"/>
      <c r="G21" s="152"/>
    </row>
    <row r="22" spans="1:7" hidden="1" x14ac:dyDescent="0.25">
      <c r="A22" s="58" t="s">
        <v>91</v>
      </c>
      <c r="B22" s="176"/>
      <c r="C22" s="179">
        <f>+B22-B21</f>
        <v>0</v>
      </c>
      <c r="D22" s="152"/>
      <c r="E22" s="152"/>
      <c r="F22" s="152"/>
      <c r="G22" s="152"/>
    </row>
    <row r="23" spans="1:7" hidden="1" x14ac:dyDescent="0.25">
      <c r="A23" s="30" t="s">
        <v>94</v>
      </c>
      <c r="B23" s="8">
        <f>SUM(B20:B22)</f>
        <v>0</v>
      </c>
      <c r="C23" s="78">
        <f>+B23-B19</f>
        <v>0</v>
      </c>
      <c r="D23" s="78" t="e">
        <f>+(B23-B19)/B19</f>
        <v>#DIV/0!</v>
      </c>
      <c r="E23" s="152"/>
      <c r="F23" s="162"/>
      <c r="G23" s="152"/>
    </row>
    <row r="24" spans="1:7" hidden="1" x14ac:dyDescent="0.25">
      <c r="A24" s="31" t="s">
        <v>9</v>
      </c>
      <c r="B24" s="32">
        <f>+B11+B15+B19+B23</f>
        <v>102462</v>
      </c>
      <c r="C24" s="32"/>
      <c r="D24" s="32"/>
      <c r="E24" s="152"/>
      <c r="F24" s="152"/>
      <c r="G24" s="152"/>
    </row>
    <row r="25" spans="1:7" ht="40.5" customHeight="1" x14ac:dyDescent="0.25">
      <c r="A25" s="288" t="s">
        <v>234</v>
      </c>
      <c r="B25" s="288"/>
      <c r="C25" s="288"/>
      <c r="D25" s="288"/>
      <c r="E25" s="152"/>
      <c r="F25" s="162"/>
      <c r="G25" s="152"/>
    </row>
    <row r="26" spans="1:7" x14ac:dyDescent="0.25">
      <c r="A26" s="161" t="s">
        <v>173</v>
      </c>
      <c r="B26" s="234"/>
      <c r="C26" s="234"/>
      <c r="D26" s="234"/>
      <c r="E26" s="152"/>
      <c r="F26" s="152"/>
      <c r="G26" s="152"/>
    </row>
    <row r="27" spans="1:7" x14ac:dyDescent="0.25">
      <c r="A27" s="161"/>
      <c r="B27" s="152"/>
      <c r="C27" s="152"/>
      <c r="D27" s="152"/>
      <c r="E27" s="152"/>
      <c r="F27" s="152"/>
      <c r="G27" s="152"/>
    </row>
    <row r="28" spans="1:7" x14ac:dyDescent="0.25">
      <c r="A28" s="152"/>
      <c r="B28" s="152"/>
      <c r="C28" s="152"/>
      <c r="D28" s="152"/>
      <c r="E28" s="152"/>
      <c r="F28" s="152"/>
      <c r="G28" s="152"/>
    </row>
    <row r="29" spans="1:7" x14ac:dyDescent="0.25">
      <c r="A29" s="152"/>
      <c r="B29" s="152"/>
      <c r="C29" s="152"/>
      <c r="D29" s="152"/>
      <c r="E29" s="152"/>
      <c r="F29" s="152"/>
      <c r="G29" s="152"/>
    </row>
    <row r="30" spans="1:7" x14ac:dyDescent="0.25">
      <c r="A30" s="152"/>
      <c r="B30" s="152"/>
      <c r="C30" s="152"/>
      <c r="D30" s="152"/>
      <c r="E30" s="152"/>
      <c r="F30" s="152"/>
      <c r="G30" s="152"/>
    </row>
    <row r="31" spans="1:7" x14ac:dyDescent="0.25">
      <c r="A31" s="152"/>
      <c r="B31" s="152"/>
      <c r="C31" s="152"/>
      <c r="D31" s="152"/>
      <c r="E31" s="152"/>
      <c r="F31" s="152"/>
      <c r="G31" s="152"/>
    </row>
    <row r="32" spans="1:7" x14ac:dyDescent="0.25">
      <c r="A32" s="152"/>
      <c r="B32" s="152"/>
      <c r="C32" s="152"/>
      <c r="D32" s="152"/>
      <c r="E32" s="152"/>
      <c r="F32" s="152"/>
      <c r="G32" s="152"/>
    </row>
    <row r="33" spans="1:7" x14ac:dyDescent="0.25">
      <c r="A33" s="152"/>
      <c r="B33" s="152"/>
      <c r="C33" s="152"/>
      <c r="D33" s="152"/>
      <c r="E33" s="152"/>
      <c r="F33" s="152"/>
      <c r="G33" s="152"/>
    </row>
    <row r="34" spans="1:7" x14ac:dyDescent="0.25">
      <c r="A34" s="152"/>
      <c r="B34" s="152"/>
      <c r="C34" s="152"/>
      <c r="D34" s="152"/>
      <c r="E34" s="152"/>
      <c r="F34" s="152"/>
      <c r="G34" s="152"/>
    </row>
    <row r="35" spans="1:7" x14ac:dyDescent="0.25">
      <c r="A35" s="152"/>
      <c r="B35" s="152"/>
      <c r="C35" s="152"/>
      <c r="D35" s="152"/>
      <c r="E35" s="152"/>
      <c r="F35" s="152"/>
      <c r="G35" s="152"/>
    </row>
    <row r="36" spans="1:7" x14ac:dyDescent="0.25">
      <c r="A36" s="152"/>
      <c r="B36" s="152"/>
      <c r="C36" s="152"/>
      <c r="D36" s="152"/>
      <c r="E36" s="152"/>
      <c r="F36" s="152"/>
      <c r="G36" s="152"/>
    </row>
    <row r="37" spans="1:7" x14ac:dyDescent="0.25">
      <c r="A37" s="152"/>
      <c r="B37" s="152"/>
      <c r="C37" s="152"/>
      <c r="D37" s="152"/>
      <c r="E37" s="152"/>
      <c r="F37" s="152"/>
      <c r="G37" s="152"/>
    </row>
    <row r="38" spans="1:7" x14ac:dyDescent="0.25">
      <c r="A38" s="152"/>
      <c r="B38" s="152"/>
      <c r="C38" s="152"/>
      <c r="D38" s="152"/>
      <c r="E38" s="152"/>
      <c r="F38" s="152"/>
      <c r="G38" s="152"/>
    </row>
    <row r="39" spans="1:7" x14ac:dyDescent="0.25">
      <c r="A39" s="152"/>
      <c r="B39" s="152"/>
      <c r="C39" s="152"/>
      <c r="D39" s="152"/>
      <c r="E39" s="152"/>
      <c r="F39" s="152"/>
      <c r="G39" s="152"/>
    </row>
    <row r="40" spans="1:7" x14ac:dyDescent="0.25">
      <c r="A40" s="152"/>
      <c r="B40" s="152"/>
      <c r="C40" s="152"/>
      <c r="D40" s="152"/>
      <c r="E40" s="152"/>
      <c r="F40" s="152"/>
      <c r="G40" s="152"/>
    </row>
    <row r="42" spans="1:7" x14ac:dyDescent="0.25">
      <c r="A42" s="58"/>
      <c r="B42" s="177"/>
      <c r="C42" s="169"/>
      <c r="D42" s="178"/>
    </row>
    <row r="43" spans="1:7" x14ac:dyDescent="0.25">
      <c r="A43" s="58"/>
      <c r="B43" s="176"/>
      <c r="C43" s="169"/>
      <c r="D43" s="21"/>
    </row>
  </sheetData>
  <mergeCells count="7">
    <mergeCell ref="A25:D25"/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pageSetUpPr fitToPage="1"/>
  </sheetPr>
  <dimension ref="A1:F44"/>
  <sheetViews>
    <sheetView showGridLines="0" zoomScaleNormal="100" workbookViewId="0">
      <selection activeCell="B11" sqref="B11"/>
    </sheetView>
  </sheetViews>
  <sheetFormatPr baseColWidth="10" defaultColWidth="11.42578125" defaultRowHeight="15" x14ac:dyDescent="0.25"/>
  <cols>
    <col min="1" max="1" width="15" style="1" customWidth="1"/>
    <col min="2" max="2" width="22" style="1" customWidth="1"/>
    <col min="3" max="3" width="20.42578125" style="1" customWidth="1"/>
    <col min="4" max="16384" width="11.42578125" style="1"/>
  </cols>
  <sheetData>
    <row r="1" spans="1:6" x14ac:dyDescent="0.25">
      <c r="A1" s="289" t="s">
        <v>0</v>
      </c>
      <c r="B1" s="289"/>
      <c r="C1" s="289"/>
      <c r="D1" s="23"/>
      <c r="E1" s="23"/>
      <c r="F1" s="23"/>
    </row>
    <row r="2" spans="1:6" x14ac:dyDescent="0.25">
      <c r="A2" s="285" t="s">
        <v>122</v>
      </c>
      <c r="B2" s="285"/>
      <c r="C2" s="285"/>
      <c r="D2" s="23"/>
      <c r="E2" s="23"/>
      <c r="F2" s="23"/>
    </row>
    <row r="3" spans="1:6" x14ac:dyDescent="0.25">
      <c r="A3" s="285" t="s">
        <v>182</v>
      </c>
      <c r="B3" s="285"/>
      <c r="C3" s="285"/>
      <c r="D3" s="23"/>
      <c r="E3" s="23"/>
      <c r="F3" s="23"/>
    </row>
    <row r="4" spans="1:6" x14ac:dyDescent="0.25">
      <c r="A4" s="289" t="s">
        <v>232</v>
      </c>
      <c r="B4" s="289"/>
      <c r="C4" s="289"/>
      <c r="D4" s="22"/>
      <c r="E4" s="23"/>
      <c r="F4" s="23"/>
    </row>
    <row r="5" spans="1:6" x14ac:dyDescent="0.25">
      <c r="A5" s="287" t="s">
        <v>165</v>
      </c>
      <c r="B5" s="287"/>
      <c r="C5" s="287"/>
      <c r="D5" s="24"/>
      <c r="E5" s="24"/>
      <c r="F5" s="24"/>
    </row>
    <row r="6" spans="1:6" ht="15" customHeight="1" x14ac:dyDescent="0.25">
      <c r="A6" s="286" t="s">
        <v>182</v>
      </c>
      <c r="B6" s="286"/>
      <c r="C6" s="286"/>
      <c r="D6" s="46"/>
      <c r="E6" s="46"/>
      <c r="F6" s="25"/>
    </row>
    <row r="7" spans="1:6" x14ac:dyDescent="0.25">
      <c r="A7" s="167" t="s">
        <v>1</v>
      </c>
      <c r="B7" s="151" t="s">
        <v>183</v>
      </c>
      <c r="C7" s="151" t="s">
        <v>184</v>
      </c>
      <c r="D7" s="152"/>
      <c r="E7" s="152"/>
    </row>
    <row r="8" spans="1:6" x14ac:dyDescent="0.25">
      <c r="A8" s="58" t="s">
        <v>91</v>
      </c>
      <c r="B8" s="180">
        <v>329</v>
      </c>
      <c r="C8" s="180">
        <v>6</v>
      </c>
      <c r="D8" s="152"/>
      <c r="E8" s="152"/>
    </row>
    <row r="9" spans="1:6" x14ac:dyDescent="0.25">
      <c r="A9" s="58" t="s">
        <v>90</v>
      </c>
      <c r="B9" s="180">
        <v>17</v>
      </c>
      <c r="C9" s="180">
        <v>4</v>
      </c>
      <c r="D9" s="152"/>
      <c r="E9" s="152"/>
    </row>
    <row r="10" spans="1:6" x14ac:dyDescent="0.25">
      <c r="A10" s="58" t="s">
        <v>89</v>
      </c>
      <c r="B10" s="180">
        <v>0</v>
      </c>
      <c r="C10" s="180">
        <v>12</v>
      </c>
      <c r="D10" s="152"/>
      <c r="E10" s="152"/>
    </row>
    <row r="11" spans="1:6" x14ac:dyDescent="0.25">
      <c r="A11" s="30" t="s">
        <v>126</v>
      </c>
      <c r="B11" s="8">
        <f>SUM(B8:B10)</f>
        <v>346</v>
      </c>
      <c r="C11" s="8">
        <f>SUM(C8:C10)</f>
        <v>22</v>
      </c>
      <c r="D11" s="152"/>
      <c r="E11" s="152"/>
    </row>
    <row r="12" spans="1:6" hidden="1" x14ac:dyDescent="0.25">
      <c r="A12" s="58" t="s">
        <v>35</v>
      </c>
      <c r="B12" s="180"/>
      <c r="C12" s="180"/>
      <c r="D12" s="152"/>
      <c r="E12" s="152"/>
    </row>
    <row r="13" spans="1:6" hidden="1" x14ac:dyDescent="0.25">
      <c r="A13" s="58" t="s">
        <v>36</v>
      </c>
      <c r="B13" s="180"/>
      <c r="C13" s="180"/>
      <c r="D13" s="152"/>
      <c r="E13" s="152"/>
    </row>
    <row r="14" spans="1:6" hidden="1" x14ac:dyDescent="0.25">
      <c r="A14" s="58" t="s">
        <v>37</v>
      </c>
      <c r="B14" s="180"/>
      <c r="C14" s="180"/>
      <c r="D14" s="152"/>
      <c r="E14" s="152"/>
    </row>
    <row r="15" spans="1:6" hidden="1" x14ac:dyDescent="0.25">
      <c r="A15" s="30" t="s">
        <v>135</v>
      </c>
      <c r="B15" s="8">
        <f>SUM(B12:B14)</f>
        <v>0</v>
      </c>
      <c r="C15" s="8">
        <f>SUM(C12:C14)</f>
        <v>0</v>
      </c>
      <c r="D15" s="152"/>
      <c r="E15" s="152"/>
    </row>
    <row r="16" spans="1:6" hidden="1" x14ac:dyDescent="0.25">
      <c r="A16" s="58" t="s">
        <v>86</v>
      </c>
      <c r="B16" s="180"/>
      <c r="C16" s="180"/>
      <c r="D16" s="152"/>
      <c r="E16" s="152"/>
    </row>
    <row r="17" spans="1:5" hidden="1" x14ac:dyDescent="0.25">
      <c r="A17" s="58" t="s">
        <v>87</v>
      </c>
      <c r="B17" s="180"/>
      <c r="C17" s="180"/>
      <c r="D17" s="152"/>
      <c r="E17" s="152"/>
    </row>
    <row r="18" spans="1:5" hidden="1" x14ac:dyDescent="0.25">
      <c r="A18" s="58" t="s">
        <v>88</v>
      </c>
      <c r="B18" s="180"/>
      <c r="C18" s="180"/>
      <c r="D18" s="152"/>
      <c r="E18" s="152"/>
    </row>
    <row r="19" spans="1:5" hidden="1" x14ac:dyDescent="0.25">
      <c r="A19" s="30" t="s">
        <v>136</v>
      </c>
      <c r="B19" s="8">
        <f>SUM(B16:B18)</f>
        <v>0</v>
      </c>
      <c r="C19" s="8">
        <f>SUM(C16:C18)</f>
        <v>0</v>
      </c>
      <c r="D19" s="152"/>
      <c r="E19" s="152"/>
    </row>
    <row r="20" spans="1:5" hidden="1" x14ac:dyDescent="0.25">
      <c r="A20" s="58" t="s">
        <v>89</v>
      </c>
      <c r="B20" s="180"/>
      <c r="C20" s="180"/>
      <c r="D20" s="152"/>
      <c r="E20" s="152"/>
    </row>
    <row r="21" spans="1:5" hidden="1" x14ac:dyDescent="0.25">
      <c r="A21" s="58" t="s">
        <v>90</v>
      </c>
      <c r="B21" s="180"/>
      <c r="C21" s="180"/>
      <c r="D21" s="152"/>
      <c r="E21" s="152"/>
    </row>
    <row r="22" spans="1:5" hidden="1" x14ac:dyDescent="0.25">
      <c r="A22" s="58" t="s">
        <v>91</v>
      </c>
      <c r="B22" s="180"/>
      <c r="C22" s="180"/>
      <c r="D22" s="152"/>
      <c r="E22" s="152"/>
    </row>
    <row r="23" spans="1:5" hidden="1" x14ac:dyDescent="0.25">
      <c r="A23" s="30" t="s">
        <v>126</v>
      </c>
      <c r="B23" s="8">
        <f>SUM(B20:B22)</f>
        <v>0</v>
      </c>
      <c r="C23" s="8">
        <f>SUM(C20:C22)</f>
        <v>0</v>
      </c>
      <c r="D23" s="152"/>
      <c r="E23" s="152"/>
    </row>
    <row r="24" spans="1:5" hidden="1" x14ac:dyDescent="0.25">
      <c r="A24" s="31" t="s">
        <v>9</v>
      </c>
      <c r="B24" s="33"/>
      <c r="C24" s="33"/>
      <c r="D24" s="152"/>
      <c r="E24" s="152"/>
    </row>
    <row r="25" spans="1:5" x14ac:dyDescent="0.25">
      <c r="A25" s="161" t="s">
        <v>173</v>
      </c>
      <c r="B25" s="152"/>
      <c r="C25" s="152"/>
      <c r="D25" s="152"/>
      <c r="E25" s="152"/>
    </row>
    <row r="26" spans="1:5" x14ac:dyDescent="0.25">
      <c r="A26" s="166"/>
      <c r="B26" s="152"/>
      <c r="C26" s="152"/>
      <c r="D26" s="152"/>
      <c r="E26" s="152"/>
    </row>
    <row r="27" spans="1:5" x14ac:dyDescent="0.25">
      <c r="A27" s="152"/>
      <c r="B27" s="152"/>
      <c r="C27" s="152"/>
      <c r="D27" s="152"/>
      <c r="E27" s="152"/>
    </row>
    <row r="28" spans="1:5" x14ac:dyDescent="0.25">
      <c r="A28" s="152"/>
      <c r="B28" s="152"/>
      <c r="C28" s="152"/>
      <c r="D28" s="152"/>
      <c r="E28" s="152"/>
    </row>
    <row r="29" spans="1:5" x14ac:dyDescent="0.25">
      <c r="A29" s="152"/>
      <c r="B29" s="152"/>
      <c r="C29" s="152"/>
      <c r="D29" s="152"/>
      <c r="E29" s="152"/>
    </row>
    <row r="30" spans="1:5" x14ac:dyDescent="0.25">
      <c r="A30" s="152"/>
      <c r="B30" s="152"/>
      <c r="C30" s="152"/>
      <c r="D30" s="152"/>
      <c r="E30" s="152"/>
    </row>
    <row r="31" spans="1:5" x14ac:dyDescent="0.25">
      <c r="A31" s="152"/>
      <c r="B31" s="152"/>
      <c r="C31" s="152"/>
      <c r="D31" s="152"/>
      <c r="E31" s="152"/>
    </row>
    <row r="32" spans="1:5" x14ac:dyDescent="0.25">
      <c r="A32" s="152"/>
      <c r="B32" s="152"/>
      <c r="C32" s="152"/>
      <c r="D32" s="152"/>
      <c r="E32" s="152"/>
    </row>
    <row r="33" spans="1:5" x14ac:dyDescent="0.25">
      <c r="A33" s="152"/>
      <c r="B33" s="152"/>
      <c r="C33" s="152"/>
      <c r="D33" s="152"/>
      <c r="E33" s="152"/>
    </row>
    <row r="34" spans="1:5" x14ac:dyDescent="0.25">
      <c r="A34" s="152"/>
      <c r="B34" s="152"/>
      <c r="C34" s="152"/>
      <c r="D34" s="152"/>
      <c r="E34" s="152"/>
    </row>
    <row r="35" spans="1:5" x14ac:dyDescent="0.25">
      <c r="A35" s="152"/>
      <c r="B35" s="152"/>
      <c r="C35" s="152"/>
      <c r="D35" s="152"/>
      <c r="E35" s="152"/>
    </row>
    <row r="36" spans="1:5" x14ac:dyDescent="0.25">
      <c r="A36" s="152"/>
      <c r="B36" s="152"/>
      <c r="C36" s="152"/>
      <c r="D36" s="152"/>
      <c r="E36" s="152"/>
    </row>
    <row r="37" spans="1:5" x14ac:dyDescent="0.25">
      <c r="A37" s="152"/>
      <c r="B37" s="152"/>
      <c r="C37" s="152"/>
      <c r="D37" s="152"/>
      <c r="E37" s="152"/>
    </row>
    <row r="38" spans="1:5" x14ac:dyDescent="0.25">
      <c r="A38" s="152"/>
      <c r="B38" s="152"/>
      <c r="C38" s="152"/>
      <c r="D38" s="152"/>
      <c r="E38" s="152"/>
    </row>
    <row r="39" spans="1:5" x14ac:dyDescent="0.25">
      <c r="A39" s="152"/>
      <c r="B39" s="152"/>
      <c r="C39" s="152"/>
      <c r="D39" s="152"/>
      <c r="E39" s="152"/>
    </row>
    <row r="40" spans="1:5" x14ac:dyDescent="0.25">
      <c r="A40" s="152"/>
      <c r="B40" s="152"/>
      <c r="C40" s="152"/>
      <c r="D40" s="152"/>
      <c r="E40" s="152"/>
    </row>
    <row r="43" spans="1:5" x14ac:dyDescent="0.25">
      <c r="A43" s="58"/>
      <c r="B43" s="180"/>
      <c r="C43" s="180"/>
    </row>
    <row r="44" spans="1:5" x14ac:dyDescent="0.25">
      <c r="A44" s="58"/>
      <c r="B44" s="180"/>
      <c r="C44" s="180"/>
    </row>
  </sheetData>
  <mergeCells count="6">
    <mergeCell ref="A1:C1"/>
    <mergeCell ref="A6:C6"/>
    <mergeCell ref="A3:C3"/>
    <mergeCell ref="A5:C5"/>
    <mergeCell ref="A2:C2"/>
    <mergeCell ref="A4:C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I56"/>
  <sheetViews>
    <sheetView showGridLines="0" topLeftCell="A7" zoomScaleNormal="100" workbookViewId="0">
      <selection activeCell="G14" sqref="G14"/>
    </sheetView>
  </sheetViews>
  <sheetFormatPr baseColWidth="10" defaultColWidth="11.42578125" defaultRowHeight="15" x14ac:dyDescent="0.25"/>
  <cols>
    <col min="1" max="1" width="12" style="1" customWidth="1"/>
    <col min="2" max="4" width="18.140625" style="1" customWidth="1"/>
    <col min="5" max="5" width="15.28515625" style="1" customWidth="1"/>
    <col min="6" max="6" width="11.42578125" style="1"/>
    <col min="7" max="7" width="15.140625" style="1" bestFit="1" customWidth="1"/>
    <col min="8" max="16384" width="11.42578125" style="1"/>
  </cols>
  <sheetData>
    <row r="1" spans="1:9" x14ac:dyDescent="0.25">
      <c r="A1" s="283" t="s">
        <v>0</v>
      </c>
      <c r="B1" s="283"/>
      <c r="C1" s="283"/>
      <c r="D1" s="283"/>
      <c r="E1" s="283"/>
      <c r="F1" s="283"/>
      <c r="G1" s="283"/>
      <c r="H1" s="283"/>
    </row>
    <row r="2" spans="1:9" x14ac:dyDescent="0.25">
      <c r="A2" s="283" t="s">
        <v>121</v>
      </c>
      <c r="B2" s="283"/>
      <c r="C2" s="283"/>
      <c r="D2" s="283"/>
      <c r="E2" s="283"/>
      <c r="F2" s="283"/>
      <c r="G2" s="283"/>
      <c r="H2" s="283"/>
    </row>
    <row r="3" spans="1:9" x14ac:dyDescent="0.25">
      <c r="A3" s="283" t="s">
        <v>157</v>
      </c>
      <c r="B3" s="283"/>
      <c r="C3" s="283"/>
      <c r="D3" s="283"/>
      <c r="E3" s="283"/>
      <c r="F3" s="283"/>
      <c r="G3" s="283"/>
      <c r="H3" s="283"/>
    </row>
    <row r="4" spans="1:9" x14ac:dyDescent="0.25">
      <c r="A4" s="283" t="s">
        <v>232</v>
      </c>
      <c r="B4" s="283"/>
      <c r="C4" s="283"/>
      <c r="D4" s="283"/>
      <c r="E4" s="283"/>
      <c r="F4" s="283"/>
      <c r="G4" s="283"/>
      <c r="H4" s="283"/>
    </row>
    <row r="5" spans="1:9" x14ac:dyDescent="0.25">
      <c r="A5" s="284" t="s">
        <v>165</v>
      </c>
      <c r="B5" s="284"/>
      <c r="C5" s="284"/>
      <c r="D5" s="284"/>
      <c r="E5" s="284"/>
      <c r="F5" s="284"/>
      <c r="G5" s="284"/>
      <c r="H5" s="284"/>
    </row>
    <row r="6" spans="1:9" x14ac:dyDescent="0.25">
      <c r="A6" s="181"/>
      <c r="B6" s="293" t="s">
        <v>226</v>
      </c>
      <c r="C6" s="293"/>
      <c r="D6" s="293"/>
      <c r="E6" s="293" t="s">
        <v>228</v>
      </c>
      <c r="F6" s="293"/>
      <c r="G6" s="293"/>
      <c r="H6" s="293"/>
    </row>
    <row r="7" spans="1:9" ht="15" customHeight="1" x14ac:dyDescent="0.25">
      <c r="A7" s="292" t="s">
        <v>1</v>
      </c>
      <c r="B7" s="286" t="s">
        <v>227</v>
      </c>
      <c r="C7" s="286" t="s">
        <v>224</v>
      </c>
      <c r="D7" s="286" t="s">
        <v>225</v>
      </c>
      <c r="E7" s="286" t="s">
        <v>229</v>
      </c>
      <c r="F7" s="286"/>
      <c r="G7" s="286" t="s">
        <v>32</v>
      </c>
      <c r="H7" s="286"/>
    </row>
    <row r="8" spans="1:9" x14ac:dyDescent="0.25">
      <c r="A8" s="292"/>
      <c r="B8" s="286"/>
      <c r="C8" s="286"/>
      <c r="D8" s="286"/>
      <c r="E8" s="286"/>
      <c r="F8" s="286"/>
      <c r="G8" s="286"/>
      <c r="H8" s="286"/>
    </row>
    <row r="9" spans="1:9" x14ac:dyDescent="0.25">
      <c r="A9" s="182"/>
      <c r="B9" s="151" t="s">
        <v>19</v>
      </c>
      <c r="C9" s="151" t="s">
        <v>19</v>
      </c>
      <c r="D9" s="151" t="s">
        <v>19</v>
      </c>
      <c r="E9" s="151" t="s">
        <v>33</v>
      </c>
      <c r="F9" s="151" t="s">
        <v>34</v>
      </c>
      <c r="G9" s="151" t="s">
        <v>33</v>
      </c>
      <c r="H9" s="151" t="s">
        <v>34</v>
      </c>
    </row>
    <row r="10" spans="1:9" x14ac:dyDescent="0.25">
      <c r="A10" s="237" t="s">
        <v>127</v>
      </c>
      <c r="B10" s="236">
        <v>2177248632.73</v>
      </c>
      <c r="C10" s="236">
        <v>274364.36</v>
      </c>
      <c r="D10" s="232">
        <f>+B10+C10</f>
        <v>2177522997.0900002</v>
      </c>
      <c r="E10" s="184">
        <v>2053096606.5</v>
      </c>
      <c r="F10" s="231">
        <f>(E10/D10)</f>
        <v>0.9428587478725684</v>
      </c>
      <c r="G10" s="77">
        <f>+D10-E10</f>
        <v>124426390.59000015</v>
      </c>
      <c r="H10" s="231">
        <f>(G10/D10)</f>
        <v>5.7141252127431576E-2</v>
      </c>
    </row>
    <row r="11" spans="1:9" x14ac:dyDescent="0.25">
      <c r="A11" s="99" t="s">
        <v>91</v>
      </c>
      <c r="B11" s="236">
        <v>2508842513.0300002</v>
      </c>
      <c r="C11" s="236">
        <v>255987.55</v>
      </c>
      <c r="D11" s="156">
        <f t="shared" ref="D11" si="0">+B11+C11</f>
        <v>2509098500.5800004</v>
      </c>
      <c r="E11" s="275">
        <v>2256226854.9400001</v>
      </c>
      <c r="F11" s="2">
        <f t="shared" ref="F11" si="1">(E11/D11)</f>
        <v>0.89921812731483164</v>
      </c>
      <c r="G11" s="77">
        <f>+D11-E11</f>
        <v>252871645.64000034</v>
      </c>
      <c r="H11" s="4">
        <f t="shared" ref="H11" si="2">(G11/D11)</f>
        <v>0.10078187268516832</v>
      </c>
      <c r="I11" s="14"/>
    </row>
    <row r="12" spans="1:9" x14ac:dyDescent="0.25">
      <c r="A12" s="99" t="s">
        <v>90</v>
      </c>
      <c r="B12" s="236">
        <v>2239886421.9000001</v>
      </c>
      <c r="C12" s="236">
        <f>597780.15+108000</f>
        <v>705780.15</v>
      </c>
      <c r="D12" s="156">
        <f t="shared" ref="D12" si="3">+B12+C12</f>
        <v>2240592202.0500002</v>
      </c>
      <c r="E12" s="184">
        <v>2249933443.8600001</v>
      </c>
      <c r="F12" s="2">
        <f t="shared" ref="F12" si="4">(E12/D12)</f>
        <v>1.0041690950282935</v>
      </c>
      <c r="G12" s="77">
        <f>+D12-E12</f>
        <v>-9341241.8099999428</v>
      </c>
      <c r="H12" s="4">
        <f t="shared" ref="H12" si="5">(G12/D12)</f>
        <v>-4.1690950282935457E-3</v>
      </c>
    </row>
    <row r="13" spans="1:9" x14ac:dyDescent="0.25">
      <c r="A13" s="99" t="s">
        <v>89</v>
      </c>
      <c r="B13" s="236">
        <v>2218865381.27</v>
      </c>
      <c r="C13" s="236">
        <v>313062.09000000003</v>
      </c>
      <c r="D13" s="156">
        <f>+B13+C13</f>
        <v>2219178443.3600001</v>
      </c>
      <c r="E13" s="229">
        <v>2190086970.8600001</v>
      </c>
      <c r="F13" s="2">
        <f>(E13/D13)</f>
        <v>0.98689088180941709</v>
      </c>
      <c r="G13" s="145">
        <f>+D13-E13</f>
        <v>29091472.5</v>
      </c>
      <c r="H13" s="4">
        <f>(G13/D13)</f>
        <v>1.3109118190582891E-2</v>
      </c>
    </row>
    <row r="14" spans="1:9" x14ac:dyDescent="0.25">
      <c r="A14" s="30" t="s">
        <v>94</v>
      </c>
      <c r="B14" s="86">
        <f>SUM(B10:B13)</f>
        <v>9144842948.9300003</v>
      </c>
      <c r="C14" s="8">
        <f>SUM(C10:C13)</f>
        <v>1549194.1500000001</v>
      </c>
      <c r="D14" s="8">
        <f>SUM(D10:D13)</f>
        <v>9146392143.0799999</v>
      </c>
      <c r="E14" s="8">
        <f>SUM(E10:E13)</f>
        <v>8749343876.1600018</v>
      </c>
      <c r="F14" s="3">
        <f>(E14/D14)</f>
        <v>0.95658963001926411</v>
      </c>
      <c r="G14" s="144">
        <f>SUM(G10:G13)</f>
        <v>397048266.92000055</v>
      </c>
      <c r="H14" s="5">
        <f>(G14/D14)</f>
        <v>4.3410369980736101E-2</v>
      </c>
      <c r="I14" s="19"/>
    </row>
    <row r="15" spans="1:9" hidden="1" x14ac:dyDescent="0.25">
      <c r="A15" s="99" t="s">
        <v>35</v>
      </c>
      <c r="B15" s="156">
        <v>1913412632.9166667</v>
      </c>
      <c r="C15" s="156"/>
      <c r="D15" s="156"/>
      <c r="E15" s="157"/>
      <c r="F15" s="2">
        <f t="shared" ref="F15:F28" si="6">(E15/B15)</f>
        <v>0</v>
      </c>
      <c r="G15" s="77">
        <f>+B15-E15</f>
        <v>1913412632.9166667</v>
      </c>
      <c r="H15" s="4">
        <f t="shared" ref="H15:H27" si="7">(G15/B15)</f>
        <v>1</v>
      </c>
    </row>
    <row r="16" spans="1:9" hidden="1" x14ac:dyDescent="0.25">
      <c r="A16" s="99" t="s">
        <v>36</v>
      </c>
      <c r="B16" s="156">
        <v>1913412632.9166667</v>
      </c>
      <c r="C16" s="156"/>
      <c r="D16" s="156"/>
      <c r="E16" s="157"/>
      <c r="F16" s="2">
        <f t="shared" si="6"/>
        <v>0</v>
      </c>
      <c r="G16" s="77">
        <f>+B16-E16</f>
        <v>1913412632.9166667</v>
      </c>
      <c r="H16" s="4">
        <f t="shared" si="7"/>
        <v>1</v>
      </c>
    </row>
    <row r="17" spans="1:8" hidden="1" x14ac:dyDescent="0.25">
      <c r="A17" s="99" t="s">
        <v>37</v>
      </c>
      <c r="B17" s="156">
        <v>1913412632.9166667</v>
      </c>
      <c r="C17" s="156"/>
      <c r="D17" s="156"/>
      <c r="E17" s="157"/>
      <c r="F17" s="2">
        <f t="shared" si="6"/>
        <v>0</v>
      </c>
      <c r="G17" s="77">
        <f>+B17-E17</f>
        <v>1913412632.9166667</v>
      </c>
      <c r="H17" s="4">
        <f t="shared" si="7"/>
        <v>1</v>
      </c>
    </row>
    <row r="18" spans="1:8" hidden="1" x14ac:dyDescent="0.25">
      <c r="A18" s="30" t="s">
        <v>130</v>
      </c>
      <c r="B18" s="8">
        <f>SUM(B15:B17)</f>
        <v>5740237898.75</v>
      </c>
      <c r="C18" s="8"/>
      <c r="D18" s="8"/>
      <c r="E18" s="8">
        <f>SUM(E15:E17)</f>
        <v>0</v>
      </c>
      <c r="F18" s="3">
        <f t="shared" si="6"/>
        <v>0</v>
      </c>
      <c r="G18" s="13">
        <f>SUM(G15:G17)</f>
        <v>5740237898.75</v>
      </c>
      <c r="H18" s="5">
        <f t="shared" si="7"/>
        <v>1</v>
      </c>
    </row>
    <row r="19" spans="1:8" hidden="1" x14ac:dyDescent="0.25">
      <c r="A19" s="99" t="s">
        <v>131</v>
      </c>
      <c r="B19" s="156">
        <v>1913412632.9166667</v>
      </c>
      <c r="C19" s="156"/>
      <c r="D19" s="156"/>
      <c r="E19" s="157"/>
      <c r="F19" s="2">
        <f t="shared" si="6"/>
        <v>0</v>
      </c>
      <c r="G19" s="77">
        <f>+B19-E19</f>
        <v>1913412632.9166667</v>
      </c>
      <c r="H19" s="4">
        <f t="shared" si="7"/>
        <v>1</v>
      </c>
    </row>
    <row r="20" spans="1:8" hidden="1" x14ac:dyDescent="0.25">
      <c r="A20" s="99" t="s">
        <v>87</v>
      </c>
      <c r="B20" s="156">
        <v>1913412632.9166667</v>
      </c>
      <c r="C20" s="156"/>
      <c r="D20" s="156"/>
      <c r="E20" s="157"/>
      <c r="F20" s="2">
        <f t="shared" si="6"/>
        <v>0</v>
      </c>
      <c r="G20" s="77">
        <f>+B20-E20</f>
        <v>1913412632.9166667</v>
      </c>
      <c r="H20" s="4">
        <f t="shared" si="7"/>
        <v>1</v>
      </c>
    </row>
    <row r="21" spans="1:8" hidden="1" x14ac:dyDescent="0.25">
      <c r="A21" s="99" t="s">
        <v>88</v>
      </c>
      <c r="B21" s="156">
        <v>1913412632.9166667</v>
      </c>
      <c r="C21" s="156"/>
      <c r="D21" s="156"/>
      <c r="E21" s="157"/>
      <c r="F21" s="2">
        <f t="shared" si="6"/>
        <v>0</v>
      </c>
      <c r="G21" s="77">
        <f>+B21-E21</f>
        <v>1913412632.9166667</v>
      </c>
      <c r="H21" s="4">
        <f t="shared" si="7"/>
        <v>1</v>
      </c>
    </row>
    <row r="22" spans="1:8" hidden="1" x14ac:dyDescent="0.25">
      <c r="A22" s="30" t="s">
        <v>93</v>
      </c>
      <c r="B22" s="8">
        <f>SUM(B19:B21)</f>
        <v>5740237898.75</v>
      </c>
      <c r="C22" s="8"/>
      <c r="D22" s="8"/>
      <c r="E22" s="8">
        <f>SUM(E19:E21)</f>
        <v>0</v>
      </c>
      <c r="F22" s="3">
        <f t="shared" si="6"/>
        <v>0</v>
      </c>
      <c r="G22" s="13">
        <f>SUM(G19:G21)</f>
        <v>5740237898.75</v>
      </c>
      <c r="H22" s="5">
        <f t="shared" si="7"/>
        <v>1</v>
      </c>
    </row>
    <row r="23" spans="1:8" hidden="1" x14ac:dyDescent="0.25">
      <c r="A23" s="99" t="s">
        <v>89</v>
      </c>
      <c r="B23" s="156">
        <v>1913412632.9166667</v>
      </c>
      <c r="C23" s="156"/>
      <c r="D23" s="156"/>
      <c r="E23" s="157"/>
      <c r="F23" s="2">
        <f t="shared" si="6"/>
        <v>0</v>
      </c>
      <c r="G23" s="77">
        <f>+B23-E23</f>
        <v>1913412632.9166667</v>
      </c>
      <c r="H23" s="4">
        <f t="shared" si="7"/>
        <v>1</v>
      </c>
    </row>
    <row r="24" spans="1:8" hidden="1" x14ac:dyDescent="0.25">
      <c r="A24" s="99" t="s">
        <v>90</v>
      </c>
      <c r="B24" s="156">
        <v>1913412632.9166667</v>
      </c>
      <c r="C24" s="156"/>
      <c r="D24" s="156"/>
      <c r="E24" s="157"/>
      <c r="F24" s="2">
        <f t="shared" si="6"/>
        <v>0</v>
      </c>
      <c r="G24" s="77">
        <f>+B24-E24</f>
        <v>1913412632.9166667</v>
      </c>
      <c r="H24" s="4">
        <f t="shared" si="7"/>
        <v>1</v>
      </c>
    </row>
    <row r="25" spans="1:8" hidden="1" x14ac:dyDescent="0.25">
      <c r="A25" s="99" t="s">
        <v>91</v>
      </c>
      <c r="B25" s="156">
        <v>1843710155</v>
      </c>
      <c r="C25" s="156"/>
      <c r="D25" s="156"/>
      <c r="E25" s="157"/>
      <c r="F25" s="2">
        <f t="shared" si="6"/>
        <v>0</v>
      </c>
      <c r="G25" s="77">
        <f>+B25-E25</f>
        <v>1843710155</v>
      </c>
      <c r="H25" s="4">
        <f t="shared" si="7"/>
        <v>1</v>
      </c>
    </row>
    <row r="26" spans="1:8" hidden="1" x14ac:dyDescent="0.25">
      <c r="A26" s="99" t="s">
        <v>127</v>
      </c>
      <c r="B26" s="156">
        <v>1913412632.9166667</v>
      </c>
      <c r="C26" s="156"/>
      <c r="D26" s="156"/>
      <c r="E26" s="157"/>
      <c r="F26" s="2">
        <f t="shared" si="6"/>
        <v>0</v>
      </c>
      <c r="G26" s="77">
        <f>+B26-E26</f>
        <v>1913412632.9166667</v>
      </c>
      <c r="H26" s="4">
        <f t="shared" si="7"/>
        <v>1</v>
      </c>
    </row>
    <row r="27" spans="1:8" hidden="1" x14ac:dyDescent="0.25">
      <c r="A27" s="30" t="s">
        <v>94</v>
      </c>
      <c r="B27" s="8">
        <f>SUM(B23:B26)</f>
        <v>7583948053.750001</v>
      </c>
      <c r="C27" s="8"/>
      <c r="D27" s="8"/>
      <c r="E27" s="8">
        <f>SUM(E23:E26)</f>
        <v>0</v>
      </c>
      <c r="F27" s="3">
        <f t="shared" si="6"/>
        <v>0</v>
      </c>
      <c r="G27" s="13">
        <f>SUM(G23:G26)</f>
        <v>7583948053.750001</v>
      </c>
      <c r="H27" s="5">
        <f t="shared" si="7"/>
        <v>1</v>
      </c>
    </row>
    <row r="28" spans="1:8" hidden="1" x14ac:dyDescent="0.25">
      <c r="A28" s="159" t="s">
        <v>9</v>
      </c>
      <c r="B28" s="10">
        <f>+B14+B18+B22+B27</f>
        <v>28209266800.18</v>
      </c>
      <c r="C28" s="10"/>
      <c r="D28" s="10"/>
      <c r="E28" s="10">
        <f>+E14+E18+E22+E27</f>
        <v>8749343876.1600018</v>
      </c>
      <c r="F28" s="18">
        <f t="shared" si="6"/>
        <v>0.31015849997576589</v>
      </c>
      <c r="G28" s="11">
        <f>+G14+G18+G22+G27</f>
        <v>19461472118.170002</v>
      </c>
      <c r="H28" s="18">
        <v>1</v>
      </c>
    </row>
    <row r="29" spans="1:8" ht="12.75" customHeight="1" x14ac:dyDescent="0.25">
      <c r="A29" s="290" t="s">
        <v>238</v>
      </c>
      <c r="B29" s="290"/>
      <c r="C29" s="290"/>
      <c r="D29" s="290"/>
      <c r="E29" s="290"/>
      <c r="F29" s="290"/>
      <c r="G29" s="290"/>
      <c r="H29" s="290"/>
    </row>
    <row r="30" spans="1:8" ht="10.5" customHeight="1" x14ac:dyDescent="0.25">
      <c r="A30" s="291" t="s">
        <v>239</v>
      </c>
      <c r="B30" s="291"/>
      <c r="C30" s="291"/>
      <c r="D30" s="291"/>
      <c r="E30" s="291"/>
      <c r="F30" s="291"/>
      <c r="G30" s="291"/>
      <c r="H30" s="291"/>
    </row>
    <row r="31" spans="1:8" x14ac:dyDescent="0.25">
      <c r="A31" s="290" t="s">
        <v>174</v>
      </c>
      <c r="B31" s="290"/>
      <c r="C31" s="290"/>
      <c r="D31" s="290"/>
      <c r="E31" s="290"/>
      <c r="F31" s="290"/>
      <c r="G31" s="290"/>
      <c r="H31" s="290"/>
    </row>
    <row r="32" spans="1:8" x14ac:dyDescent="0.25">
      <c r="A32" s="152"/>
      <c r="B32" s="152"/>
      <c r="C32" s="152"/>
      <c r="D32" s="152"/>
      <c r="E32" s="152"/>
      <c r="F32" s="152"/>
      <c r="G32" s="152"/>
      <c r="H32" s="152"/>
    </row>
    <row r="33" spans="1:8" x14ac:dyDescent="0.25">
      <c r="A33" s="152"/>
      <c r="B33" s="152"/>
      <c r="C33" s="152"/>
      <c r="D33" s="152"/>
      <c r="E33" s="152"/>
      <c r="F33" s="152"/>
      <c r="G33" s="152"/>
      <c r="H33" s="152"/>
    </row>
    <row r="34" spans="1:8" x14ac:dyDescent="0.25">
      <c r="A34" s="152"/>
      <c r="B34" s="152"/>
      <c r="C34" s="152"/>
      <c r="D34" s="152"/>
      <c r="E34" s="152"/>
      <c r="F34" s="152"/>
      <c r="G34" s="152"/>
      <c r="H34" s="152"/>
    </row>
    <row r="35" spans="1:8" x14ac:dyDescent="0.25">
      <c r="A35" s="152"/>
      <c r="B35" s="152"/>
      <c r="C35" s="152"/>
      <c r="D35" s="152"/>
      <c r="E35" s="152"/>
      <c r="F35" s="152"/>
      <c r="G35" s="152"/>
      <c r="H35" s="152"/>
    </row>
    <row r="36" spans="1:8" x14ac:dyDescent="0.25">
      <c r="A36" s="152"/>
      <c r="B36" s="152"/>
      <c r="C36" s="152"/>
      <c r="D36" s="152"/>
      <c r="E36" s="152"/>
      <c r="F36" s="152"/>
      <c r="G36" s="152"/>
      <c r="H36" s="152"/>
    </row>
    <row r="37" spans="1:8" x14ac:dyDescent="0.25">
      <c r="A37" s="152"/>
      <c r="B37" s="152"/>
      <c r="C37" s="152"/>
      <c r="D37" s="152"/>
      <c r="E37" s="152"/>
      <c r="F37" s="152"/>
      <c r="G37" s="152"/>
      <c r="H37" s="152"/>
    </row>
    <row r="38" spans="1:8" x14ac:dyDescent="0.25">
      <c r="A38" s="152"/>
      <c r="B38" s="152"/>
      <c r="C38" s="152"/>
      <c r="D38" s="152"/>
      <c r="E38" s="152"/>
      <c r="F38" s="152"/>
      <c r="G38" s="152"/>
      <c r="H38" s="152"/>
    </row>
    <row r="39" spans="1:8" x14ac:dyDescent="0.25">
      <c r="A39" s="152"/>
      <c r="B39" s="152"/>
      <c r="C39" s="152"/>
      <c r="D39" s="152"/>
      <c r="E39" s="152"/>
      <c r="F39" s="152"/>
      <c r="G39" s="152"/>
      <c r="H39" s="152"/>
    </row>
    <row r="40" spans="1:8" x14ac:dyDescent="0.25">
      <c r="A40" s="152"/>
      <c r="B40" s="152"/>
      <c r="C40" s="152"/>
      <c r="D40" s="152"/>
      <c r="E40" s="152"/>
      <c r="F40" s="152"/>
      <c r="G40" s="152"/>
      <c r="H40" s="152"/>
    </row>
    <row r="41" spans="1:8" x14ac:dyDescent="0.25">
      <c r="A41" s="152"/>
      <c r="B41" s="152"/>
      <c r="C41" s="152"/>
      <c r="D41" s="152"/>
      <c r="E41" s="152"/>
      <c r="F41" s="152"/>
      <c r="G41" s="152"/>
      <c r="H41" s="152"/>
    </row>
    <row r="42" spans="1:8" x14ac:dyDescent="0.25">
      <c r="A42" s="152"/>
      <c r="B42" s="152"/>
      <c r="C42" s="152"/>
      <c r="D42" s="152"/>
      <c r="E42" s="152"/>
      <c r="F42" s="152"/>
      <c r="G42" s="152"/>
      <c r="H42" s="152"/>
    </row>
    <row r="43" spans="1:8" x14ac:dyDescent="0.25">
      <c r="A43" s="152"/>
      <c r="B43" s="152"/>
      <c r="C43" s="152"/>
      <c r="D43" s="152"/>
      <c r="E43" s="152"/>
      <c r="F43" s="152"/>
      <c r="G43" s="152"/>
      <c r="H43" s="152"/>
    </row>
    <row r="44" spans="1:8" x14ac:dyDescent="0.25">
      <c r="A44" s="152"/>
      <c r="B44" s="152"/>
      <c r="C44" s="152"/>
      <c r="D44" s="152"/>
      <c r="E44" s="152"/>
      <c r="F44" s="152"/>
      <c r="G44" s="152"/>
      <c r="H44" s="152"/>
    </row>
    <row r="45" spans="1:8" x14ac:dyDescent="0.25">
      <c r="A45" s="152"/>
      <c r="B45" s="152"/>
      <c r="C45" s="152"/>
      <c r="D45" s="152"/>
      <c r="E45" s="152"/>
      <c r="F45" s="152"/>
      <c r="G45" s="152"/>
      <c r="H45" s="152"/>
    </row>
    <row r="46" spans="1:8" x14ac:dyDescent="0.25">
      <c r="A46" s="152"/>
      <c r="B46" s="152"/>
      <c r="C46" s="152"/>
      <c r="D46" s="152"/>
      <c r="E46" s="152"/>
      <c r="F46" s="152"/>
      <c r="G46" s="152"/>
      <c r="H46" s="152"/>
    </row>
    <row r="47" spans="1:8" x14ac:dyDescent="0.25">
      <c r="A47" s="152"/>
      <c r="B47" s="152"/>
      <c r="C47" s="152"/>
      <c r="D47" s="152"/>
      <c r="E47" s="152"/>
      <c r="F47" s="152"/>
      <c r="G47" s="152"/>
      <c r="H47" s="152"/>
    </row>
    <row r="48" spans="1:8" x14ac:dyDescent="0.25">
      <c r="A48" s="152"/>
      <c r="B48" s="152"/>
      <c r="C48" s="152"/>
      <c r="D48" s="152"/>
      <c r="E48" s="152"/>
      <c r="F48" s="152"/>
      <c r="G48" s="152"/>
      <c r="H48" s="152"/>
    </row>
    <row r="49" spans="1:9" x14ac:dyDescent="0.25">
      <c r="A49" s="152"/>
      <c r="B49" s="152"/>
      <c r="C49" s="152"/>
      <c r="D49" s="152"/>
      <c r="E49" s="152"/>
      <c r="F49" s="152"/>
      <c r="G49" s="152"/>
      <c r="H49" s="152"/>
    </row>
    <row r="50" spans="1:9" x14ac:dyDescent="0.25">
      <c r="A50" s="152"/>
      <c r="B50" s="152"/>
      <c r="C50" s="152"/>
      <c r="D50" s="152"/>
      <c r="E50" s="152"/>
      <c r="F50" s="152"/>
      <c r="G50" s="152"/>
      <c r="H50" s="152"/>
    </row>
    <row r="51" spans="1:9" x14ac:dyDescent="0.25">
      <c r="A51" s="152"/>
      <c r="B51" s="152"/>
      <c r="C51" s="152"/>
      <c r="D51" s="152"/>
      <c r="E51" s="152"/>
      <c r="F51" s="152"/>
      <c r="G51" s="152"/>
      <c r="H51" s="152"/>
    </row>
    <row r="52" spans="1:9" x14ac:dyDescent="0.25">
      <c r="A52" s="152"/>
      <c r="B52" s="152"/>
      <c r="C52" s="152"/>
      <c r="D52" s="152"/>
      <c r="E52" s="152"/>
      <c r="F52" s="152"/>
      <c r="G52" s="152"/>
      <c r="H52" s="152"/>
    </row>
    <row r="53" spans="1:9" x14ac:dyDescent="0.25">
      <c r="A53" s="152"/>
      <c r="B53" s="152"/>
      <c r="C53" s="152"/>
      <c r="D53" s="152"/>
      <c r="E53" s="152"/>
      <c r="F53" s="152"/>
      <c r="G53" s="152"/>
      <c r="H53" s="152"/>
    </row>
    <row r="54" spans="1:9" x14ac:dyDescent="0.25">
      <c r="B54" s="99"/>
      <c r="C54" s="177"/>
      <c r="D54" s="183"/>
      <c r="E54" s="156"/>
      <c r="F54" s="184"/>
      <c r="G54" s="2"/>
      <c r="H54" s="77"/>
      <c r="I54" s="4"/>
    </row>
    <row r="56" spans="1:9" x14ac:dyDescent="0.25">
      <c r="B56" s="99"/>
      <c r="C56" s="183"/>
      <c r="D56" s="177"/>
      <c r="E56" s="156"/>
      <c r="F56" s="184"/>
      <c r="G56" s="2"/>
      <c r="H56" s="145"/>
      <c r="I56" s="4"/>
    </row>
  </sheetData>
  <mergeCells count="16">
    <mergeCell ref="A31:H31"/>
    <mergeCell ref="A29:H29"/>
    <mergeCell ref="A30:H30"/>
    <mergeCell ref="A1:H1"/>
    <mergeCell ref="A2:H2"/>
    <mergeCell ref="A3:H3"/>
    <mergeCell ref="A5:H5"/>
    <mergeCell ref="E7:F8"/>
    <mergeCell ref="G7:H8"/>
    <mergeCell ref="B7:B8"/>
    <mergeCell ref="A7:A8"/>
    <mergeCell ref="A4:H4"/>
    <mergeCell ref="C7:C8"/>
    <mergeCell ref="D7:D8"/>
    <mergeCell ref="B6:D6"/>
    <mergeCell ref="E6:H6"/>
  </mergeCells>
  <pageMargins left="0.7" right="0.7" top="0.75" bottom="0.75" header="0.3" footer="0.3"/>
  <pageSetup paperSize="9" scale="74" orientation="portrait" r:id="rId1"/>
  <ignoredErrors>
    <ignoredError sqref="C12" unlockedFormula="1"/>
    <ignoredError sqref="F14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7"/>
  <sheetViews>
    <sheetView showGridLines="0" zoomScaleNormal="100" zoomScaleSheetLayoutView="130" workbookViewId="0">
      <selection activeCell="M45" sqref="M45"/>
    </sheetView>
  </sheetViews>
  <sheetFormatPr baseColWidth="10" defaultColWidth="11.42578125" defaultRowHeight="15" x14ac:dyDescent="0.25"/>
  <cols>
    <col min="1" max="1" width="12.28515625" style="1" customWidth="1"/>
    <col min="2" max="2" width="11" style="1" customWidth="1"/>
    <col min="3" max="3" width="11.42578125" style="1" customWidth="1"/>
    <col min="4" max="4" width="13.42578125" style="1" customWidth="1"/>
    <col min="5" max="5" width="11" style="1" customWidth="1"/>
    <col min="6" max="6" width="10.28515625" style="1" customWidth="1"/>
    <col min="7" max="7" width="13" style="1" customWidth="1"/>
    <col min="8" max="8" width="11.28515625" style="1" customWidth="1"/>
    <col min="9" max="9" width="11.7109375" style="1" customWidth="1"/>
    <col min="10" max="10" width="14.140625" style="1" customWidth="1"/>
    <col min="11" max="11" width="10.7109375" style="1" customWidth="1"/>
    <col min="12" max="12" width="10.28515625" style="1" customWidth="1"/>
    <col min="13" max="13" width="13.42578125" style="1" customWidth="1"/>
    <col min="14" max="14" width="11" style="1" customWidth="1"/>
    <col min="15" max="15" width="15.42578125" style="1" hidden="1" customWidth="1"/>
    <col min="16" max="16" width="16.42578125" style="1" hidden="1" customWidth="1"/>
    <col min="17" max="17" width="14.7109375" style="1" hidden="1" customWidth="1"/>
    <col min="18" max="18" width="17.7109375" style="1" hidden="1" customWidth="1"/>
    <col min="19" max="19" width="16.7109375" style="1" hidden="1" customWidth="1"/>
    <col min="20" max="20" width="12.28515625" style="1" hidden="1" customWidth="1"/>
    <col min="21" max="21" width="17.7109375" style="1" hidden="1" customWidth="1"/>
    <col min="22" max="22" width="0" style="1" hidden="1" customWidth="1"/>
    <col min="23" max="16384" width="11.42578125" style="1"/>
  </cols>
  <sheetData>
    <row r="1" spans="1:22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"/>
    </row>
    <row r="2" spans="1:22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</row>
    <row r="3" spans="1:22" x14ac:dyDescent="0.25">
      <c r="A3" s="283" t="s">
        <v>159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22" x14ac:dyDescent="0.25">
      <c r="A4" s="283" t="s">
        <v>232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22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</row>
    <row r="6" spans="1:22" x14ac:dyDescent="0.25">
      <c r="A6" s="46"/>
      <c r="B6" s="295" t="s">
        <v>231</v>
      </c>
      <c r="C6" s="295"/>
      <c r="D6" s="295"/>
      <c r="E6" s="298" t="s">
        <v>140</v>
      </c>
      <c r="F6" s="298"/>
      <c r="G6" s="298"/>
      <c r="H6" s="296" t="s">
        <v>15</v>
      </c>
      <c r="I6" s="296"/>
      <c r="J6" s="296"/>
      <c r="K6" s="297" t="s">
        <v>16</v>
      </c>
      <c r="L6" s="297"/>
      <c r="M6" s="297"/>
    </row>
    <row r="7" spans="1:22" ht="25.5" x14ac:dyDescent="0.25">
      <c r="A7" s="47" t="s">
        <v>1</v>
      </c>
      <c r="B7" s="49" t="s">
        <v>17</v>
      </c>
      <c r="C7" s="49" t="s">
        <v>18</v>
      </c>
      <c r="D7" s="49" t="s">
        <v>19</v>
      </c>
      <c r="E7" s="49" t="s">
        <v>17</v>
      </c>
      <c r="F7" s="49" t="s">
        <v>18</v>
      </c>
      <c r="G7" s="49" t="s">
        <v>19</v>
      </c>
      <c r="H7" s="49" t="s">
        <v>17</v>
      </c>
      <c r="I7" s="49" t="s">
        <v>18</v>
      </c>
      <c r="J7" s="49" t="s">
        <v>19</v>
      </c>
      <c r="K7" s="49" t="s">
        <v>17</v>
      </c>
      <c r="L7" s="49" t="s">
        <v>18</v>
      </c>
      <c r="M7" s="49" t="s">
        <v>19</v>
      </c>
    </row>
    <row r="8" spans="1:22" s="242" customFormat="1" x14ac:dyDescent="0.25">
      <c r="A8" s="243" t="s">
        <v>127</v>
      </c>
      <c r="B8" s="244">
        <v>116890</v>
      </c>
      <c r="C8" s="241">
        <v>129295</v>
      </c>
      <c r="D8" s="241">
        <v>1542715450.3800001</v>
      </c>
      <c r="E8" s="240">
        <v>9733</v>
      </c>
      <c r="F8" s="240">
        <v>9733</v>
      </c>
      <c r="G8" s="240">
        <v>57729500</v>
      </c>
      <c r="H8" s="238">
        <v>21323</v>
      </c>
      <c r="I8" s="240">
        <v>21385</v>
      </c>
      <c r="J8" s="240">
        <v>452651656.12</v>
      </c>
      <c r="K8" s="245">
        <f>+H8+E8+B8</f>
        <v>147946</v>
      </c>
      <c r="L8" s="245">
        <f>+C8+F8+I8</f>
        <v>160413</v>
      </c>
      <c r="M8" s="245">
        <f>+D8+G8+J8</f>
        <v>2053096606.5</v>
      </c>
    </row>
    <row r="9" spans="1:22" x14ac:dyDescent="0.25">
      <c r="A9" s="48" t="s">
        <v>91</v>
      </c>
      <c r="B9" s="238">
        <v>117259</v>
      </c>
      <c r="C9" s="240">
        <v>129626</v>
      </c>
      <c r="D9" s="240">
        <v>1652476440.6800001</v>
      </c>
      <c r="E9" s="240">
        <v>16112</v>
      </c>
      <c r="F9" s="240">
        <v>16112</v>
      </c>
      <c r="G9" s="240">
        <v>96672000</v>
      </c>
      <c r="H9" s="240">
        <v>21355</v>
      </c>
      <c r="I9" s="240">
        <v>21419</v>
      </c>
      <c r="J9" s="240">
        <v>481455980.31999999</v>
      </c>
      <c r="K9" s="40">
        <f>+B9+H9+E9</f>
        <v>154726</v>
      </c>
      <c r="L9" s="41">
        <f t="shared" ref="L9" si="0">+C9+I9+F9</f>
        <v>167157</v>
      </c>
      <c r="M9" s="40">
        <f t="shared" ref="M9" si="1">+D9+J9+G9</f>
        <v>2230604421</v>
      </c>
      <c r="U9" s="127">
        <f>+U31/1000000</f>
        <v>2591.2525068600007</v>
      </c>
    </row>
    <row r="10" spans="1:22" x14ac:dyDescent="0.25">
      <c r="A10" s="48" t="s">
        <v>90</v>
      </c>
      <c r="B10" s="239">
        <v>117272</v>
      </c>
      <c r="C10" s="241">
        <v>129725</v>
      </c>
      <c r="D10" s="35">
        <v>1649838556.3800001</v>
      </c>
      <c r="E10" s="35">
        <v>15670</v>
      </c>
      <c r="F10" s="35">
        <v>15670</v>
      </c>
      <c r="G10" s="35">
        <v>94020000</v>
      </c>
      <c r="H10" s="35">
        <v>21366</v>
      </c>
      <c r="I10" s="35">
        <v>21429</v>
      </c>
      <c r="J10" s="35">
        <v>469897614.08999997</v>
      </c>
      <c r="K10" s="40">
        <f t="shared" ref="K10:M10" si="2">+B10+H10+E10</f>
        <v>154308</v>
      </c>
      <c r="L10" s="41">
        <f t="shared" si="2"/>
        <v>166824</v>
      </c>
      <c r="M10" s="40">
        <f t="shared" si="2"/>
        <v>2213756170.4700003</v>
      </c>
      <c r="Q10" s="38">
        <f>+L11-L10</f>
        <v>-6511</v>
      </c>
    </row>
    <row r="11" spans="1:22" x14ac:dyDescent="0.25">
      <c r="A11" s="48" t="s">
        <v>89</v>
      </c>
      <c r="B11" s="239">
        <v>116619</v>
      </c>
      <c r="C11" s="35">
        <v>129056</v>
      </c>
      <c r="D11" s="35">
        <v>1637299424.1300001</v>
      </c>
      <c r="E11" s="35">
        <v>9806</v>
      </c>
      <c r="F11" s="35">
        <v>9806</v>
      </c>
      <c r="G11" s="35">
        <v>58836000</v>
      </c>
      <c r="H11" s="35">
        <v>21389</v>
      </c>
      <c r="I11" s="35">
        <v>21451</v>
      </c>
      <c r="J11" s="35">
        <v>467789023.38999999</v>
      </c>
      <c r="K11" s="40">
        <f>+B11+H11+E11</f>
        <v>147814</v>
      </c>
      <c r="L11" s="41">
        <f t="shared" ref="L11" si="3">+C11+I11+F11</f>
        <v>160313</v>
      </c>
      <c r="M11" s="147">
        <f t="shared" ref="M11" si="4">+D11+J11+G11</f>
        <v>2163924447.52</v>
      </c>
      <c r="S11" s="36"/>
      <c r="V11" s="1">
        <f>+U31/1000000</f>
        <v>2591.2525068600007</v>
      </c>
    </row>
    <row r="12" spans="1:22" x14ac:dyDescent="0.25">
      <c r="A12" s="30" t="s">
        <v>94</v>
      </c>
      <c r="B12" s="42">
        <f>+B9</f>
        <v>117259</v>
      </c>
      <c r="C12" s="42">
        <f>+C9</f>
        <v>129626</v>
      </c>
      <c r="D12" s="42">
        <f>SUM(D8:D11)</f>
        <v>6482329871.5700006</v>
      </c>
      <c r="E12" s="42">
        <f>+E9</f>
        <v>16112</v>
      </c>
      <c r="F12" s="42">
        <f>+F9</f>
        <v>16112</v>
      </c>
      <c r="G12" s="42">
        <f>SUM(G8:G11)</f>
        <v>307257500</v>
      </c>
      <c r="H12" s="42">
        <f>+H9</f>
        <v>21355</v>
      </c>
      <c r="I12" s="42">
        <f>+I9</f>
        <v>21419</v>
      </c>
      <c r="J12" s="146">
        <f>SUM(J8:J11)</f>
        <v>1871794273.9200001</v>
      </c>
      <c r="K12" s="42">
        <f>+K9</f>
        <v>154726</v>
      </c>
      <c r="L12" s="42">
        <f>+L9</f>
        <v>167157</v>
      </c>
      <c r="M12" s="146">
        <f>SUM(M8:M11)</f>
        <v>8661381645.4899998</v>
      </c>
      <c r="S12" s="294" t="s">
        <v>222</v>
      </c>
      <c r="T12" s="294"/>
      <c r="U12" s="294"/>
    </row>
    <row r="13" spans="1:22" hidden="1" x14ac:dyDescent="0.25">
      <c r="A13" s="48" t="s">
        <v>35</v>
      </c>
      <c r="B13" s="185"/>
      <c r="C13" s="141"/>
      <c r="D13" s="141">
        <f>SUM(D8:D11)</f>
        <v>6482329871.5700006</v>
      </c>
      <c r="E13" s="141"/>
      <c r="F13" s="141"/>
      <c r="G13" s="141">
        <f>SUM(G8:G11)</f>
        <v>307257500</v>
      </c>
      <c r="H13" s="141"/>
      <c r="I13" s="141"/>
      <c r="J13" s="141">
        <f>SUM(J8:J11)</f>
        <v>1871794273.9200001</v>
      </c>
      <c r="K13" s="40">
        <f t="shared" ref="K13:M15" si="5">+B13+H13+E13</f>
        <v>0</v>
      </c>
      <c r="L13" s="41">
        <f t="shared" si="5"/>
        <v>0</v>
      </c>
      <c r="M13" s="40">
        <f t="shared" si="5"/>
        <v>8661381645.4900017</v>
      </c>
    </row>
    <row r="14" spans="1:22" hidden="1" x14ac:dyDescent="0.25">
      <c r="A14" s="48" t="s">
        <v>36</v>
      </c>
      <c r="B14" s="185"/>
      <c r="C14" s="186"/>
      <c r="D14" s="141"/>
      <c r="E14" s="141"/>
      <c r="F14" s="141"/>
      <c r="G14" s="141"/>
      <c r="H14" s="141"/>
      <c r="I14" s="141"/>
      <c r="J14" s="141"/>
      <c r="K14" s="40">
        <f t="shared" si="5"/>
        <v>0</v>
      </c>
      <c r="L14" s="41">
        <f t="shared" si="5"/>
        <v>0</v>
      </c>
      <c r="M14" s="40">
        <f t="shared" si="5"/>
        <v>0</v>
      </c>
    </row>
    <row r="15" spans="1:22" hidden="1" x14ac:dyDescent="0.25">
      <c r="A15" s="48" t="s">
        <v>37</v>
      </c>
      <c r="B15" s="185"/>
      <c r="C15" s="141"/>
      <c r="D15" s="141"/>
      <c r="E15" s="141"/>
      <c r="F15" s="141"/>
      <c r="G15" s="141"/>
      <c r="H15" s="141"/>
      <c r="I15" s="141"/>
      <c r="J15" s="141"/>
      <c r="K15" s="40">
        <f t="shared" si="5"/>
        <v>0</v>
      </c>
      <c r="L15" s="41">
        <f t="shared" si="5"/>
        <v>0</v>
      </c>
      <c r="M15" s="40">
        <f t="shared" si="5"/>
        <v>0</v>
      </c>
      <c r="Q15" s="38">
        <f>+M11-M10</f>
        <v>-49831722.950000286</v>
      </c>
      <c r="S15" s="36"/>
    </row>
    <row r="16" spans="1:22" hidden="1" x14ac:dyDescent="0.25">
      <c r="A16" s="30" t="s">
        <v>130</v>
      </c>
      <c r="B16" s="42">
        <f>+B15</f>
        <v>0</v>
      </c>
      <c r="C16" s="42">
        <f>+C15</f>
        <v>0</v>
      </c>
      <c r="D16" s="42">
        <f>+SUM(D13:D15)</f>
        <v>6482329871.5700006</v>
      </c>
      <c r="E16" s="42">
        <f>+E15</f>
        <v>0</v>
      </c>
      <c r="F16" s="42">
        <f>+F15</f>
        <v>0</v>
      </c>
      <c r="G16" s="42">
        <f>+SUM(G13:G15)</f>
        <v>307257500</v>
      </c>
      <c r="H16" s="42">
        <f>+H15</f>
        <v>0</v>
      </c>
      <c r="I16" s="42">
        <f>+I15</f>
        <v>0</v>
      </c>
      <c r="J16" s="42">
        <f>+SUM(J13:J15)</f>
        <v>1871794273.9200001</v>
      </c>
      <c r="K16" s="42">
        <f>+K15</f>
        <v>0</v>
      </c>
      <c r="L16" s="43">
        <f>+L15</f>
        <v>0</v>
      </c>
      <c r="M16" s="42">
        <f>+SUM(M13:M15)</f>
        <v>8661381645.4900017</v>
      </c>
    </row>
    <row r="17" spans="1:21" hidden="1" x14ac:dyDescent="0.25">
      <c r="A17" s="48" t="s">
        <v>86</v>
      </c>
      <c r="B17" s="185"/>
      <c r="C17" s="141"/>
      <c r="D17" s="141"/>
      <c r="E17" s="141"/>
      <c r="F17" s="141"/>
      <c r="G17" s="141"/>
      <c r="H17" s="141"/>
      <c r="I17" s="141"/>
      <c r="J17" s="141"/>
      <c r="K17" s="40">
        <f t="shared" ref="K17:M19" si="6">+B17+H17+E17</f>
        <v>0</v>
      </c>
      <c r="L17" s="41">
        <f t="shared" si="6"/>
        <v>0</v>
      </c>
      <c r="M17" s="40">
        <f t="shared" si="6"/>
        <v>0</v>
      </c>
    </row>
    <row r="18" spans="1:21" hidden="1" x14ac:dyDescent="0.25">
      <c r="A18" s="48" t="s">
        <v>87</v>
      </c>
      <c r="B18" s="185"/>
      <c r="C18" s="186"/>
      <c r="D18" s="141"/>
      <c r="E18" s="141"/>
      <c r="F18" s="141"/>
      <c r="G18" s="141"/>
      <c r="H18" s="141"/>
      <c r="I18" s="141"/>
      <c r="J18" s="141"/>
      <c r="K18" s="40">
        <f t="shared" si="6"/>
        <v>0</v>
      </c>
      <c r="L18" s="41">
        <f t="shared" si="6"/>
        <v>0</v>
      </c>
      <c r="M18" s="40">
        <f t="shared" si="6"/>
        <v>0</v>
      </c>
    </row>
    <row r="19" spans="1:21" hidden="1" x14ac:dyDescent="0.25">
      <c r="A19" s="48" t="s">
        <v>88</v>
      </c>
      <c r="B19" s="185"/>
      <c r="C19" s="141"/>
      <c r="D19" s="141"/>
      <c r="E19" s="141"/>
      <c r="F19" s="141"/>
      <c r="G19" s="141"/>
      <c r="H19" s="141"/>
      <c r="I19" s="141"/>
      <c r="J19" s="141"/>
      <c r="K19" s="40">
        <f t="shared" si="6"/>
        <v>0</v>
      </c>
      <c r="L19" s="41">
        <f t="shared" si="6"/>
        <v>0</v>
      </c>
      <c r="M19" s="40">
        <f t="shared" si="6"/>
        <v>0</v>
      </c>
      <c r="S19" s="36"/>
    </row>
    <row r="20" spans="1:21" hidden="1" x14ac:dyDescent="0.25">
      <c r="A20" s="30" t="s">
        <v>93</v>
      </c>
      <c r="B20" s="42">
        <f>+B19</f>
        <v>0</v>
      </c>
      <c r="C20" s="42">
        <f>+C19</f>
        <v>0</v>
      </c>
      <c r="D20" s="42">
        <f>+SUM(D17:D19)</f>
        <v>0</v>
      </c>
      <c r="E20" s="42">
        <f>+E19</f>
        <v>0</v>
      </c>
      <c r="F20" s="42">
        <f>+F19</f>
        <v>0</v>
      </c>
      <c r="G20" s="42">
        <f>+SUM(G17:G19)</f>
        <v>0</v>
      </c>
      <c r="H20" s="42">
        <f>+H19</f>
        <v>0</v>
      </c>
      <c r="I20" s="42">
        <f>+I19</f>
        <v>0</v>
      </c>
      <c r="J20" s="42">
        <f>+SUM(J17:J19)</f>
        <v>0</v>
      </c>
      <c r="K20" s="42">
        <f>+K19</f>
        <v>0</v>
      </c>
      <c r="L20" s="43">
        <f>+L19</f>
        <v>0</v>
      </c>
      <c r="M20" s="42">
        <f>+SUM(M17:M19)</f>
        <v>0</v>
      </c>
    </row>
    <row r="21" spans="1:21" hidden="1" x14ac:dyDescent="0.25">
      <c r="A21" s="48" t="s">
        <v>89</v>
      </c>
      <c r="B21" s="185"/>
      <c r="C21" s="141"/>
      <c r="D21" s="141"/>
      <c r="E21" s="141"/>
      <c r="F21" s="141"/>
      <c r="G21" s="141"/>
      <c r="H21" s="141"/>
      <c r="I21" s="141"/>
      <c r="J21" s="141"/>
      <c r="K21" s="40">
        <f t="shared" ref="K21:M24" si="7">+B21+H21+E21</f>
        <v>0</v>
      </c>
      <c r="L21" s="41">
        <f t="shared" si="7"/>
        <v>0</v>
      </c>
      <c r="M21" s="40">
        <f t="shared" si="7"/>
        <v>0</v>
      </c>
    </row>
    <row r="22" spans="1:21" hidden="1" x14ac:dyDescent="0.25">
      <c r="A22" s="48" t="s">
        <v>90</v>
      </c>
      <c r="B22" s="185"/>
      <c r="C22" s="186"/>
      <c r="D22" s="141"/>
      <c r="E22" s="141"/>
      <c r="F22" s="141"/>
      <c r="G22" s="141"/>
      <c r="H22" s="141"/>
      <c r="I22" s="141"/>
      <c r="J22" s="141"/>
      <c r="K22" s="40">
        <f t="shared" si="7"/>
        <v>0</v>
      </c>
      <c r="L22" s="41">
        <f t="shared" si="7"/>
        <v>0</v>
      </c>
      <c r="M22" s="40">
        <f t="shared" si="7"/>
        <v>0</v>
      </c>
    </row>
    <row r="23" spans="1:21" hidden="1" x14ac:dyDescent="0.25">
      <c r="A23" s="48" t="s">
        <v>91</v>
      </c>
      <c r="B23" s="185"/>
      <c r="C23" s="141"/>
      <c r="D23" s="141"/>
      <c r="E23" s="141"/>
      <c r="F23" s="141"/>
      <c r="G23" s="141"/>
      <c r="H23" s="141"/>
      <c r="I23" s="141"/>
      <c r="J23" s="141"/>
      <c r="K23" s="40">
        <f t="shared" si="7"/>
        <v>0</v>
      </c>
      <c r="L23" s="41">
        <f t="shared" si="7"/>
        <v>0</v>
      </c>
      <c r="M23" s="40">
        <f t="shared" si="7"/>
        <v>0</v>
      </c>
      <c r="S23" s="36"/>
    </row>
    <row r="24" spans="1:21" hidden="1" x14ac:dyDescent="0.25">
      <c r="A24" s="48" t="s">
        <v>127</v>
      </c>
      <c r="B24" s="185"/>
      <c r="C24" s="141"/>
      <c r="D24" s="141"/>
      <c r="E24" s="141"/>
      <c r="F24" s="141"/>
      <c r="G24" s="141"/>
      <c r="H24" s="141"/>
      <c r="I24" s="141"/>
      <c r="J24" s="141"/>
      <c r="K24" s="40">
        <f t="shared" si="7"/>
        <v>0</v>
      </c>
      <c r="L24" s="41">
        <f t="shared" si="7"/>
        <v>0</v>
      </c>
      <c r="M24" s="40">
        <f t="shared" si="7"/>
        <v>0</v>
      </c>
    </row>
    <row r="25" spans="1:21" hidden="1" x14ac:dyDescent="0.25">
      <c r="A25" s="30" t="s">
        <v>94</v>
      </c>
      <c r="B25" s="42">
        <f>+B24</f>
        <v>0</v>
      </c>
      <c r="C25" s="42">
        <f>+C24</f>
        <v>0</v>
      </c>
      <c r="D25" s="42">
        <f>+SUM(D21:D24)</f>
        <v>0</v>
      </c>
      <c r="E25" s="42">
        <f>+E24</f>
        <v>0</v>
      </c>
      <c r="F25" s="42">
        <f>+F24</f>
        <v>0</v>
      </c>
      <c r="G25" s="42">
        <f>+SUM(G21:G24)</f>
        <v>0</v>
      </c>
      <c r="H25" s="42">
        <f>+H24</f>
        <v>0</v>
      </c>
      <c r="I25" s="42">
        <f>+I24</f>
        <v>0</v>
      </c>
      <c r="J25" s="42">
        <f>+SUM(J21:J24)</f>
        <v>0</v>
      </c>
      <c r="K25" s="42">
        <f>+K24</f>
        <v>0</v>
      </c>
      <c r="L25" s="43">
        <f>+L24</f>
        <v>0</v>
      </c>
      <c r="M25" s="42">
        <f>+SUM(M21:M24)</f>
        <v>0</v>
      </c>
    </row>
    <row r="26" spans="1:21" hidden="1" x14ac:dyDescent="0.25">
      <c r="A26" s="31" t="s">
        <v>9</v>
      </c>
      <c r="B26" s="44">
        <f>+B25</f>
        <v>0</v>
      </c>
      <c r="C26" s="44">
        <f>+C25</f>
        <v>0</v>
      </c>
      <c r="D26" s="44">
        <f>+D12+D16+D20+D25</f>
        <v>12964659743.140001</v>
      </c>
      <c r="E26" s="44">
        <f>+E25</f>
        <v>0</v>
      </c>
      <c r="F26" s="44">
        <f>+F25</f>
        <v>0</v>
      </c>
      <c r="G26" s="44">
        <f>+G12+G16+G20+G25</f>
        <v>614515000</v>
      </c>
      <c r="H26" s="44">
        <f>+H25</f>
        <v>0</v>
      </c>
      <c r="I26" s="44">
        <f>+I25</f>
        <v>0</v>
      </c>
      <c r="J26" s="44">
        <f>+J12+J16+J20+J25</f>
        <v>3743588547.8400002</v>
      </c>
      <c r="K26" s="44">
        <f>+K25</f>
        <v>0</v>
      </c>
      <c r="L26" s="45">
        <f>+L25</f>
        <v>0</v>
      </c>
      <c r="M26" s="44">
        <f>+M12+M16+M20+M25</f>
        <v>17322763290.980003</v>
      </c>
    </row>
    <row r="27" spans="1:21" hidden="1" x14ac:dyDescent="0.25">
      <c r="A27" s="152" t="s">
        <v>94</v>
      </c>
      <c r="B27" s="187"/>
      <c r="C27" s="187"/>
      <c r="D27" s="188">
        <f>+D12/M12</f>
        <v>0.74841753162387947</v>
      </c>
      <c r="E27" s="189"/>
      <c r="F27" s="189"/>
      <c r="G27" s="188">
        <f>+G12/M12</f>
        <v>3.5474421123099877E-2</v>
      </c>
      <c r="H27" s="189"/>
      <c r="I27" s="189"/>
      <c r="J27" s="188">
        <f>+J12/M12</f>
        <v>0.21610804725302082</v>
      </c>
      <c r="K27" s="187"/>
      <c r="L27" s="187"/>
      <c r="M27" s="187"/>
      <c r="R27" s="38"/>
    </row>
    <row r="28" spans="1:21" x14ac:dyDescent="0.25">
      <c r="A28" s="161" t="s">
        <v>175</v>
      </c>
      <c r="B28" s="152"/>
      <c r="C28" s="152"/>
      <c r="D28" s="266">
        <f>+D12/M12</f>
        <v>0.74841753162387947</v>
      </c>
      <c r="E28" s="152"/>
      <c r="F28" s="152"/>
      <c r="G28" s="266">
        <f>+G12/$M$12</f>
        <v>3.5474421123099877E-2</v>
      </c>
      <c r="H28" s="152"/>
      <c r="I28" s="152"/>
      <c r="J28" s="266">
        <f>+J12/$M$12</f>
        <v>0.21610804725302082</v>
      </c>
      <c r="K28" s="190"/>
      <c r="L28" s="152"/>
      <c r="M28" s="152"/>
      <c r="Q28" s="89" t="s">
        <v>146</v>
      </c>
      <c r="R28" s="89"/>
      <c r="S28" s="90"/>
    </row>
    <row r="29" spans="1:21" x14ac:dyDescent="0.25">
      <c r="A29" s="161"/>
      <c r="B29" s="152"/>
      <c r="C29" s="152"/>
      <c r="D29" s="152"/>
      <c r="E29" s="152"/>
      <c r="F29" s="152"/>
      <c r="G29" s="152"/>
      <c r="H29" s="152"/>
      <c r="I29" s="152"/>
      <c r="J29" s="171"/>
      <c r="K29" s="152"/>
      <c r="L29" s="152"/>
      <c r="M29" s="152"/>
      <c r="P29" s="1" t="s">
        <v>144</v>
      </c>
      <c r="Q29" s="37" t="s">
        <v>143</v>
      </c>
      <c r="R29" s="81" t="s">
        <v>19</v>
      </c>
      <c r="S29" s="88" t="s">
        <v>149</v>
      </c>
      <c r="T29" s="81" t="s">
        <v>143</v>
      </c>
      <c r="U29" s="1" t="s">
        <v>19</v>
      </c>
    </row>
    <row r="30" spans="1:21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Q30" s="79"/>
      <c r="R30" s="39"/>
      <c r="S30" s="80">
        <v>145883</v>
      </c>
      <c r="T30" s="14">
        <v>158341</v>
      </c>
      <c r="U30" s="14">
        <v>6070129138.6299992</v>
      </c>
    </row>
    <row r="31" spans="1:21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Q31" s="87"/>
      <c r="R31" s="87"/>
      <c r="S31" s="38">
        <f>+K12-S30</f>
        <v>8843</v>
      </c>
      <c r="T31" s="38">
        <f>+L12-T30</f>
        <v>8816</v>
      </c>
      <c r="U31" s="38">
        <f>+M12-U30</f>
        <v>2591252506.8600006</v>
      </c>
    </row>
    <row r="32" spans="1:21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R32" s="39"/>
    </row>
    <row r="33" spans="1:21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21" x14ac:dyDescent="0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S34" s="94">
        <f>+(K12-S30)/S30</f>
        <v>6.0617069843641826E-2</v>
      </c>
      <c r="T34" s="94">
        <f>+(L12-T30)/T30</f>
        <v>5.5677304046330388E-2</v>
      </c>
      <c r="U34" s="94">
        <f>+(M12-U30)/U30</f>
        <v>0.42688589446464964</v>
      </c>
    </row>
    <row r="35" spans="1:21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21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21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S37" s="1" t="s">
        <v>223</v>
      </c>
    </row>
    <row r="38" spans="1:21" x14ac:dyDescent="0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S38" s="137" t="s">
        <v>149</v>
      </c>
      <c r="T38" s="137" t="s">
        <v>143</v>
      </c>
      <c r="U38" s="137" t="s">
        <v>19</v>
      </c>
    </row>
    <row r="39" spans="1:21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S39" s="137">
        <v>139458</v>
      </c>
      <c r="T39" s="137">
        <v>151810</v>
      </c>
      <c r="U39" s="137">
        <v>5844095640.5</v>
      </c>
    </row>
    <row r="40" spans="1:21" x14ac:dyDescent="0.25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S40" s="137">
        <f>K12-S39</f>
        <v>15268</v>
      </c>
      <c r="T40" s="137">
        <f t="shared" ref="T40:U40" si="8">L12-T39</f>
        <v>15347</v>
      </c>
      <c r="U40" s="137">
        <f t="shared" si="8"/>
        <v>2817286004.9899998</v>
      </c>
    </row>
    <row r="41" spans="1:21" x14ac:dyDescent="0.25">
      <c r="A41" s="152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S41" s="137"/>
      <c r="T41" s="137"/>
      <c r="U41" s="137"/>
    </row>
    <row r="42" spans="1:21" x14ac:dyDescent="0.25">
      <c r="A42" s="1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S42" s="137"/>
      <c r="T42" s="137"/>
      <c r="U42" s="137"/>
    </row>
    <row r="43" spans="1:21" x14ac:dyDescent="0.25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S43" s="94">
        <f>+(K12-S39)/S39</f>
        <v>0.10948099069253825</v>
      </c>
      <c r="T43" s="94">
        <f t="shared" ref="T43:U43" si="9">+(L12-T39)/T39</f>
        <v>0.10109347210328701</v>
      </c>
      <c r="U43" s="94">
        <f t="shared" si="9"/>
        <v>0.482073904722915</v>
      </c>
    </row>
    <row r="44" spans="1:21" x14ac:dyDescent="0.25">
      <c r="A44" s="152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</row>
    <row r="45" spans="1:21" x14ac:dyDescent="0.25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21" x14ac:dyDescent="0.25">
      <c r="A46" s="152"/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  <row r="47" spans="1:21" x14ac:dyDescent="0.25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</row>
    <row r="48" spans="1:21" x14ac:dyDescent="0.25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</row>
    <row r="49" spans="1:13" x14ac:dyDescent="0.25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</row>
    <row r="50" spans="1:13" x14ac:dyDescent="0.25">
      <c r="A50" s="152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</row>
    <row r="51" spans="1:13" x14ac:dyDescent="0.25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</row>
    <row r="52" spans="1:13" x14ac:dyDescent="0.25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</row>
    <row r="53" spans="1:13" x14ac:dyDescent="0.25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</row>
    <row r="54" spans="1:13" x14ac:dyDescent="0.25">
      <c r="A54" s="152"/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</row>
    <row r="55" spans="1:13" x14ac:dyDescent="0.25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</row>
    <row r="56" spans="1:13" x14ac:dyDescent="0.25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</row>
    <row r="57" spans="1:13" x14ac:dyDescent="0.25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</row>
    <row r="58" spans="1:13" x14ac:dyDescent="0.25">
      <c r="A58" s="152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</row>
    <row r="59" spans="1:13" x14ac:dyDescent="0.25">
      <c r="A59" s="152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</row>
    <row r="65" spans="2:14" x14ac:dyDescent="0.25">
      <c r="B65" s="48"/>
      <c r="C65" s="185"/>
      <c r="D65" s="141"/>
      <c r="E65" s="141"/>
      <c r="F65" s="141"/>
      <c r="G65" s="141"/>
      <c r="H65" s="141"/>
      <c r="I65" s="141"/>
      <c r="J65" s="141"/>
      <c r="K65" s="141"/>
      <c r="L65" s="40"/>
      <c r="M65" s="41"/>
      <c r="N65" s="40"/>
    </row>
    <row r="67" spans="2:14" x14ac:dyDescent="0.25">
      <c r="B67" s="48"/>
      <c r="C67" s="185"/>
      <c r="D67" s="141"/>
      <c r="E67" s="141"/>
      <c r="F67" s="141"/>
      <c r="G67" s="141"/>
      <c r="H67" s="141"/>
      <c r="I67" s="141"/>
      <c r="J67" s="141"/>
      <c r="K67" s="141"/>
      <c r="L67" s="40"/>
      <c r="M67" s="41"/>
      <c r="N67" s="147"/>
    </row>
  </sheetData>
  <mergeCells count="10">
    <mergeCell ref="S12:U12"/>
    <mergeCell ref="A1:M1"/>
    <mergeCell ref="A2:M2"/>
    <mergeCell ref="A3:M3"/>
    <mergeCell ref="A5:M5"/>
    <mergeCell ref="B6:D6"/>
    <mergeCell ref="H6:J6"/>
    <mergeCell ref="K6:M6"/>
    <mergeCell ref="A4:M4"/>
    <mergeCell ref="E6:G6"/>
  </mergeCells>
  <pageMargins left="0.7" right="0.7" top="0.75" bottom="0.75" header="0.3" footer="0.3"/>
  <pageSetup paperSize="9" scale="53" orientation="portrait" r:id="rId1"/>
  <colBreaks count="1" manualBreakCount="1">
    <brk id="14" max="1048575" man="1"/>
  </colBreaks>
  <ignoredErrors>
    <ignoredError sqref="D12 G12 J12:K12 L12:M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M44"/>
  <sheetViews>
    <sheetView showGridLines="0" topLeftCell="A4" zoomScale="160" zoomScaleNormal="160" workbookViewId="0">
      <selection activeCell="K12" sqref="K12"/>
    </sheetView>
  </sheetViews>
  <sheetFormatPr baseColWidth="10" defaultColWidth="11.42578125" defaultRowHeight="15" x14ac:dyDescent="0.25"/>
  <cols>
    <col min="1" max="1" width="11.42578125" style="1"/>
    <col min="2" max="11" width="13.42578125" style="1" customWidth="1"/>
    <col min="12" max="16384" width="11.42578125" style="1"/>
  </cols>
  <sheetData>
    <row r="1" spans="1:13" x14ac:dyDescent="0.25">
      <c r="A1" s="283" t="s">
        <v>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3" x14ac:dyDescent="0.25">
      <c r="A2" s="283" t="s">
        <v>121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3" x14ac:dyDescent="0.25">
      <c r="A3" s="283" t="s">
        <v>160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</row>
    <row r="4" spans="1:13" x14ac:dyDescent="0.25">
      <c r="A4" s="283" t="s">
        <v>232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3"/>
      <c r="M4" s="23"/>
    </row>
    <row r="5" spans="1:13" x14ac:dyDescent="0.25">
      <c r="A5" s="284" t="s">
        <v>165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</row>
    <row r="6" spans="1:13" x14ac:dyDescent="0.25">
      <c r="A6" s="299" t="s">
        <v>24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</row>
    <row r="7" spans="1:13" ht="15" customHeight="1" x14ac:dyDescent="0.25">
      <c r="A7" s="191"/>
      <c r="B7" s="286" t="s">
        <v>20</v>
      </c>
      <c r="C7" s="286"/>
      <c r="D7" s="286" t="s">
        <v>150</v>
      </c>
      <c r="E7" s="286"/>
      <c r="F7" s="286" t="s">
        <v>21</v>
      </c>
      <c r="G7" s="286"/>
      <c r="H7" s="300" t="s">
        <v>22</v>
      </c>
      <c r="I7" s="300"/>
      <c r="J7" s="300" t="s">
        <v>9</v>
      </c>
      <c r="K7" s="300"/>
      <c r="L7" s="152"/>
      <c r="M7" s="152"/>
    </row>
    <row r="8" spans="1:13" x14ac:dyDescent="0.25">
      <c r="A8" s="168" t="s">
        <v>1</v>
      </c>
      <c r="B8" s="168" t="s">
        <v>23</v>
      </c>
      <c r="C8" s="168" t="s">
        <v>19</v>
      </c>
      <c r="D8" s="168" t="s">
        <v>23</v>
      </c>
      <c r="E8" s="168" t="s">
        <v>19</v>
      </c>
      <c r="F8" s="168" t="s">
        <v>23</v>
      </c>
      <c r="G8" s="168" t="s">
        <v>19</v>
      </c>
      <c r="H8" s="168" t="s">
        <v>23</v>
      </c>
      <c r="I8" s="168" t="s">
        <v>19</v>
      </c>
      <c r="J8" s="168" t="s">
        <v>23</v>
      </c>
      <c r="K8" s="168" t="s">
        <v>19</v>
      </c>
      <c r="L8" s="152"/>
      <c r="M8" s="152"/>
    </row>
    <row r="9" spans="1:13" x14ac:dyDescent="0.25">
      <c r="A9" s="75" t="s">
        <v>91</v>
      </c>
      <c r="B9" s="192">
        <v>1322</v>
      </c>
      <c r="C9" s="192">
        <v>14519250.74</v>
      </c>
      <c r="D9" s="192">
        <v>6524</v>
      </c>
      <c r="E9" s="192">
        <v>13308312.51</v>
      </c>
      <c r="F9" s="192">
        <v>639</v>
      </c>
      <c r="G9" s="192">
        <v>7167056.3300000001</v>
      </c>
      <c r="H9" s="192">
        <v>350</v>
      </c>
      <c r="I9" s="192">
        <v>3848755.86</v>
      </c>
      <c r="J9" s="51">
        <f t="shared" ref="J9" si="0">+B9-(F9+H9)</f>
        <v>333</v>
      </c>
      <c r="K9" s="85">
        <f t="shared" ref="K9" si="1">+(E9+C9)-(G9+I9)</f>
        <v>16811751.060000002</v>
      </c>
      <c r="L9" s="152"/>
      <c r="M9" s="152"/>
    </row>
    <row r="10" spans="1:13" x14ac:dyDescent="0.25">
      <c r="A10" s="75" t="s">
        <v>90</v>
      </c>
      <c r="B10" s="192">
        <v>7337</v>
      </c>
      <c r="C10" s="192">
        <v>57019638.060000002</v>
      </c>
      <c r="D10" s="192">
        <v>54</v>
      </c>
      <c r="E10" s="192">
        <v>1701943.41</v>
      </c>
      <c r="F10" s="192">
        <v>420</v>
      </c>
      <c r="G10" s="192">
        <v>4669563.04</v>
      </c>
      <c r="H10" s="192">
        <v>406</v>
      </c>
      <c r="I10" s="192">
        <v>4231362.9800000004</v>
      </c>
      <c r="J10" s="51">
        <f t="shared" ref="J10:J23" si="2">+B10-(F10+H10)</f>
        <v>6511</v>
      </c>
      <c r="K10" s="85">
        <f t="shared" ref="K10" si="3">+(E10+C10)-(G10+I10)</f>
        <v>49820655.450000003</v>
      </c>
      <c r="L10" s="152"/>
      <c r="M10" s="152"/>
    </row>
    <row r="11" spans="1:13" x14ac:dyDescent="0.25">
      <c r="A11" s="75" t="s">
        <v>89</v>
      </c>
      <c r="B11" s="192">
        <v>905</v>
      </c>
      <c r="C11" s="192">
        <v>15761730.609999999</v>
      </c>
      <c r="D11" s="192">
        <v>53</v>
      </c>
      <c r="E11" s="192">
        <v>783739.99</v>
      </c>
      <c r="F11" s="192">
        <v>283</v>
      </c>
      <c r="G11" s="192">
        <v>2941843.77</v>
      </c>
      <c r="H11" s="192">
        <v>346</v>
      </c>
      <c r="I11" s="192">
        <v>3847902.1100000003</v>
      </c>
      <c r="J11" s="51">
        <f>+B11-(F11+H11)</f>
        <v>276</v>
      </c>
      <c r="K11" s="85">
        <f>+(E11+C11)-(G11+I11)</f>
        <v>9755724.7199999988</v>
      </c>
      <c r="L11" s="152"/>
      <c r="M11" s="152"/>
    </row>
    <row r="12" spans="1:13" x14ac:dyDescent="0.25">
      <c r="A12" s="50" t="s">
        <v>94</v>
      </c>
      <c r="B12" s="8">
        <f>SUM(B9:B11)</f>
        <v>9564</v>
      </c>
      <c r="C12" s="8">
        <f>SUM(C9:C11)</f>
        <v>87300619.409999996</v>
      </c>
      <c r="D12" s="8">
        <f>SUM(D9:D11)</f>
        <v>6631</v>
      </c>
      <c r="E12" s="8">
        <f t="shared" ref="E12:I12" si="4">SUM(E9:E11)</f>
        <v>15793995.91</v>
      </c>
      <c r="F12" s="8">
        <f t="shared" si="4"/>
        <v>1342</v>
      </c>
      <c r="G12" s="8">
        <f t="shared" si="4"/>
        <v>14778463.140000001</v>
      </c>
      <c r="H12" s="8">
        <f t="shared" si="4"/>
        <v>1102</v>
      </c>
      <c r="I12" s="8">
        <f t="shared" si="4"/>
        <v>11928020.949999999</v>
      </c>
      <c r="J12" s="8">
        <f>SUM(J9:J11)</f>
        <v>7120</v>
      </c>
      <c r="K12" s="86">
        <f>SUM(K9:K11)</f>
        <v>76388131.230000004</v>
      </c>
      <c r="L12" s="152"/>
      <c r="M12" s="152"/>
    </row>
    <row r="13" spans="1:13" hidden="1" x14ac:dyDescent="0.25">
      <c r="A13" s="75" t="s">
        <v>35</v>
      </c>
      <c r="B13" s="192"/>
      <c r="C13" s="192"/>
      <c r="D13" s="192"/>
      <c r="E13" s="192"/>
      <c r="F13" s="192"/>
      <c r="G13" s="192"/>
      <c r="H13" s="192"/>
      <c r="I13" s="192"/>
      <c r="J13" s="51">
        <f t="shared" si="2"/>
        <v>0</v>
      </c>
      <c r="K13" s="51">
        <f t="shared" ref="K13:K23" si="5">+G13+I13+E13+C13</f>
        <v>0</v>
      </c>
      <c r="L13" s="152"/>
      <c r="M13" s="152"/>
    </row>
    <row r="14" spans="1:13" hidden="1" x14ac:dyDescent="0.25">
      <c r="A14" s="75" t="s">
        <v>36</v>
      </c>
      <c r="B14" s="192"/>
      <c r="C14" s="192"/>
      <c r="D14" s="192"/>
      <c r="E14" s="192"/>
      <c r="F14" s="192"/>
      <c r="G14" s="192"/>
      <c r="H14" s="192"/>
      <c r="I14" s="192"/>
      <c r="J14" s="51">
        <f t="shared" si="2"/>
        <v>0</v>
      </c>
      <c r="K14" s="51">
        <f t="shared" si="5"/>
        <v>0</v>
      </c>
      <c r="L14" s="152"/>
      <c r="M14" s="152"/>
    </row>
    <row r="15" spans="1:13" hidden="1" x14ac:dyDescent="0.25">
      <c r="A15" s="75" t="s">
        <v>37</v>
      </c>
      <c r="B15" s="192"/>
      <c r="C15" s="192"/>
      <c r="D15" s="192"/>
      <c r="E15" s="192"/>
      <c r="F15" s="192"/>
      <c r="G15" s="192"/>
      <c r="H15" s="192"/>
      <c r="I15" s="192"/>
      <c r="J15" s="51">
        <f t="shared" si="2"/>
        <v>0</v>
      </c>
      <c r="K15" s="51">
        <f t="shared" si="5"/>
        <v>0</v>
      </c>
      <c r="L15" s="152"/>
      <c r="M15" s="152"/>
    </row>
    <row r="16" spans="1:13" hidden="1" x14ac:dyDescent="0.25">
      <c r="A16" s="50" t="s">
        <v>130</v>
      </c>
      <c r="B16" s="8">
        <f t="shared" ref="B16:K16" si="6">SUM(B13:B15)</f>
        <v>0</v>
      </c>
      <c r="C16" s="8">
        <f t="shared" si="6"/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  <c r="H16" s="8">
        <f t="shared" si="6"/>
        <v>0</v>
      </c>
      <c r="I16" s="8">
        <f t="shared" si="6"/>
        <v>0</v>
      </c>
      <c r="J16" s="8">
        <f t="shared" si="6"/>
        <v>0</v>
      </c>
      <c r="K16" s="8">
        <f t="shared" si="6"/>
        <v>0</v>
      </c>
      <c r="L16" s="152"/>
      <c r="M16" s="152"/>
    </row>
    <row r="17" spans="1:13" hidden="1" x14ac:dyDescent="0.25">
      <c r="A17" s="75" t="s">
        <v>86</v>
      </c>
      <c r="B17" s="192"/>
      <c r="C17" s="192"/>
      <c r="D17" s="192"/>
      <c r="E17" s="192"/>
      <c r="F17" s="192"/>
      <c r="G17" s="192"/>
      <c r="H17" s="192"/>
      <c r="I17" s="192"/>
      <c r="J17" s="51">
        <f t="shared" si="2"/>
        <v>0</v>
      </c>
      <c r="K17" s="51">
        <f t="shared" si="5"/>
        <v>0</v>
      </c>
      <c r="L17" s="152"/>
      <c r="M17" s="152"/>
    </row>
    <row r="18" spans="1:13" hidden="1" x14ac:dyDescent="0.25">
      <c r="A18" s="75" t="s">
        <v>87</v>
      </c>
      <c r="B18" s="192"/>
      <c r="C18" s="192"/>
      <c r="D18" s="192"/>
      <c r="E18" s="192"/>
      <c r="F18" s="192"/>
      <c r="G18" s="192"/>
      <c r="H18" s="192"/>
      <c r="I18" s="192"/>
      <c r="J18" s="51">
        <f t="shared" si="2"/>
        <v>0</v>
      </c>
      <c r="K18" s="51">
        <f t="shared" si="5"/>
        <v>0</v>
      </c>
      <c r="L18" s="152"/>
      <c r="M18" s="152"/>
    </row>
    <row r="19" spans="1:13" hidden="1" x14ac:dyDescent="0.25">
      <c r="A19" s="75" t="s">
        <v>88</v>
      </c>
      <c r="B19" s="192"/>
      <c r="C19" s="192"/>
      <c r="D19" s="192"/>
      <c r="E19" s="192"/>
      <c r="F19" s="192"/>
      <c r="G19" s="192"/>
      <c r="H19" s="192"/>
      <c r="I19" s="192"/>
      <c r="J19" s="51">
        <f t="shared" si="2"/>
        <v>0</v>
      </c>
      <c r="K19" s="51">
        <f t="shared" si="5"/>
        <v>0</v>
      </c>
      <c r="L19" s="152"/>
      <c r="M19" s="152"/>
    </row>
    <row r="20" spans="1:13" hidden="1" x14ac:dyDescent="0.25">
      <c r="A20" s="50" t="s">
        <v>93</v>
      </c>
      <c r="B20" s="8">
        <f t="shared" ref="B20:K20" si="7">SUM(B17:B19)</f>
        <v>0</v>
      </c>
      <c r="C20" s="8">
        <f t="shared" si="7"/>
        <v>0</v>
      </c>
      <c r="D20" s="8">
        <f t="shared" si="7"/>
        <v>0</v>
      </c>
      <c r="E20" s="8">
        <f t="shared" si="7"/>
        <v>0</v>
      </c>
      <c r="F20" s="8">
        <f t="shared" si="7"/>
        <v>0</v>
      </c>
      <c r="G20" s="8">
        <f t="shared" si="7"/>
        <v>0</v>
      </c>
      <c r="H20" s="8">
        <f t="shared" si="7"/>
        <v>0</v>
      </c>
      <c r="I20" s="8">
        <f t="shared" si="7"/>
        <v>0</v>
      </c>
      <c r="J20" s="8">
        <f t="shared" si="7"/>
        <v>0</v>
      </c>
      <c r="K20" s="8">
        <f t="shared" si="7"/>
        <v>0</v>
      </c>
      <c r="L20" s="152"/>
      <c r="M20" s="152"/>
    </row>
    <row r="21" spans="1:13" hidden="1" x14ac:dyDescent="0.25">
      <c r="A21" s="75" t="s">
        <v>89</v>
      </c>
      <c r="B21" s="192"/>
      <c r="C21" s="192"/>
      <c r="D21" s="192"/>
      <c r="E21" s="192"/>
      <c r="F21" s="192"/>
      <c r="G21" s="192"/>
      <c r="H21" s="192"/>
      <c r="I21" s="192"/>
      <c r="J21" s="51">
        <f t="shared" si="2"/>
        <v>0</v>
      </c>
      <c r="K21" s="51">
        <f t="shared" si="5"/>
        <v>0</v>
      </c>
      <c r="L21" s="152"/>
      <c r="M21" s="152"/>
    </row>
    <row r="22" spans="1:13" hidden="1" x14ac:dyDescent="0.25">
      <c r="A22" s="75" t="s">
        <v>90</v>
      </c>
      <c r="B22" s="192"/>
      <c r="C22" s="192"/>
      <c r="D22" s="192"/>
      <c r="E22" s="192"/>
      <c r="F22" s="192"/>
      <c r="G22" s="192"/>
      <c r="H22" s="192"/>
      <c r="I22" s="192"/>
      <c r="J22" s="51">
        <f t="shared" si="2"/>
        <v>0</v>
      </c>
      <c r="K22" s="51">
        <f t="shared" si="5"/>
        <v>0</v>
      </c>
      <c r="L22" s="152"/>
      <c r="M22" s="152"/>
    </row>
    <row r="23" spans="1:13" hidden="1" x14ac:dyDescent="0.25">
      <c r="A23" s="75" t="s">
        <v>91</v>
      </c>
      <c r="B23" s="192"/>
      <c r="C23" s="192"/>
      <c r="D23" s="192"/>
      <c r="E23" s="192"/>
      <c r="F23" s="192"/>
      <c r="G23" s="192"/>
      <c r="H23" s="192"/>
      <c r="I23" s="192"/>
      <c r="J23" s="51">
        <f t="shared" si="2"/>
        <v>0</v>
      </c>
      <c r="K23" s="51">
        <f t="shared" si="5"/>
        <v>0</v>
      </c>
      <c r="L23" s="152"/>
      <c r="M23" s="152"/>
    </row>
    <row r="24" spans="1:13" hidden="1" x14ac:dyDescent="0.25">
      <c r="A24" s="50" t="s">
        <v>94</v>
      </c>
      <c r="B24" s="8">
        <f t="shared" ref="B24:K24" si="8">SUM(B21:B23)</f>
        <v>0</v>
      </c>
      <c r="C24" s="8">
        <f t="shared" si="8"/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8">
        <f t="shared" si="8"/>
        <v>0</v>
      </c>
      <c r="I24" s="8">
        <f t="shared" si="8"/>
        <v>0</v>
      </c>
      <c r="J24" s="8">
        <f t="shared" si="8"/>
        <v>0</v>
      </c>
      <c r="K24" s="8">
        <f t="shared" si="8"/>
        <v>0</v>
      </c>
      <c r="L24" s="152"/>
      <c r="M24" s="152"/>
    </row>
    <row r="25" spans="1:13" hidden="1" x14ac:dyDescent="0.25">
      <c r="A25" s="53" t="s">
        <v>9</v>
      </c>
      <c r="B25" s="54">
        <f>+B12+B16+B20+B24</f>
        <v>9564</v>
      </c>
      <c r="C25" s="52">
        <f t="shared" ref="C25:K25" si="9">+C12+C16+C20+C24</f>
        <v>87300619.409999996</v>
      </c>
      <c r="D25" s="52">
        <f t="shared" si="9"/>
        <v>6631</v>
      </c>
      <c r="E25" s="52">
        <f t="shared" si="9"/>
        <v>15793995.91</v>
      </c>
      <c r="F25" s="52">
        <f t="shared" si="9"/>
        <v>1342</v>
      </c>
      <c r="G25" s="52">
        <f t="shared" si="9"/>
        <v>14778463.140000001</v>
      </c>
      <c r="H25" s="52">
        <f t="shared" si="9"/>
        <v>1102</v>
      </c>
      <c r="I25" s="52">
        <f t="shared" si="9"/>
        <v>11928020.949999999</v>
      </c>
      <c r="J25" s="52">
        <f t="shared" si="9"/>
        <v>7120</v>
      </c>
      <c r="K25" s="52">
        <f t="shared" si="9"/>
        <v>76388131.230000004</v>
      </c>
      <c r="L25" s="152"/>
      <c r="M25" s="152"/>
    </row>
    <row r="26" spans="1:13" x14ac:dyDescent="0.25">
      <c r="A26" s="161" t="s">
        <v>175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</row>
    <row r="27" spans="1:13" x14ac:dyDescent="0.25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</row>
    <row r="28" spans="1:13" x14ac:dyDescent="0.25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</row>
    <row r="29" spans="1:13" x14ac:dyDescent="0.25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3" x14ac:dyDescent="0.25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</row>
    <row r="31" spans="1:13" x14ac:dyDescent="0.25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</row>
    <row r="32" spans="1:13" x14ac:dyDescent="0.25">
      <c r="A32" s="152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</row>
    <row r="33" spans="1:13" x14ac:dyDescent="0.25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</row>
    <row r="34" spans="1:13" x14ac:dyDescent="0.25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</row>
    <row r="35" spans="1:13" x14ac:dyDescent="0.25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</row>
    <row r="36" spans="1:13" x14ac:dyDescent="0.2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</row>
    <row r="37" spans="1:13" x14ac:dyDescent="0.25">
      <c r="A37" s="152"/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</row>
    <row r="38" spans="1:13" x14ac:dyDescent="0.25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</row>
    <row r="39" spans="1:13" x14ac:dyDescent="0.25">
      <c r="A39" s="152"/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</row>
    <row r="42" spans="1:13" x14ac:dyDescent="0.25">
      <c r="B42" s="75"/>
      <c r="C42" s="192"/>
      <c r="D42" s="192"/>
      <c r="E42" s="192"/>
      <c r="F42" s="192"/>
      <c r="G42" s="192"/>
      <c r="H42" s="192"/>
      <c r="I42" s="192"/>
      <c r="J42" s="192"/>
      <c r="K42" s="51"/>
      <c r="L42" s="85"/>
    </row>
    <row r="44" spans="1:13" x14ac:dyDescent="0.25">
      <c r="B44" s="75"/>
      <c r="C44" s="192"/>
      <c r="D44" s="192"/>
      <c r="E44" s="192"/>
      <c r="F44" s="192"/>
      <c r="G44" s="192"/>
      <c r="H44" s="192"/>
      <c r="I44" s="192"/>
      <c r="J44" s="192"/>
      <c r="K44" s="51"/>
      <c r="L44" s="85"/>
    </row>
  </sheetData>
  <mergeCells count="11">
    <mergeCell ref="B7:C7"/>
    <mergeCell ref="D7:E7"/>
    <mergeCell ref="F7:G7"/>
    <mergeCell ref="H7:I7"/>
    <mergeCell ref="J7:K7"/>
    <mergeCell ref="A6:K6"/>
    <mergeCell ref="A1:K1"/>
    <mergeCell ref="A2:K2"/>
    <mergeCell ref="A3:K3"/>
    <mergeCell ref="A5:K5"/>
    <mergeCell ref="A4:K4"/>
  </mergeCells>
  <pageMargins left="0.7" right="0.7" top="0.75" bottom="0.75" header="0.3" footer="0.3"/>
  <pageSetup paperSize="9" scale="52" orientation="portrait" r:id="rId1"/>
  <ignoredErrors>
    <ignoredError sqref="J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12</vt:i4>
      </vt:variant>
    </vt:vector>
  </HeadingPairs>
  <TitlesOfParts>
    <vt:vector size="29" baseType="lpstr">
      <vt:lpstr>Presupuesto Adm.</vt:lpstr>
      <vt:lpstr>Afiliados y Cotizantes</vt:lpstr>
      <vt:lpstr>Cotizantes</vt:lpstr>
      <vt:lpstr>Empleador</vt:lpstr>
      <vt:lpstr>Aportes</vt:lpstr>
      <vt:lpstr>Traspaso</vt:lpstr>
      <vt:lpstr>Presupuesto de Pensiones</vt:lpstr>
      <vt:lpstr>Nómina</vt:lpstr>
      <vt:lpstr>Movimientos</vt:lpstr>
      <vt:lpstr>Tipo de Pension</vt:lpstr>
      <vt:lpstr>Hoja1</vt:lpstr>
      <vt:lpstr>Modalidad</vt:lpstr>
      <vt:lpstr>Retroactivos</vt:lpstr>
      <vt:lpstr>Reintegros</vt:lpstr>
      <vt:lpstr>Créditos Rechazados</vt:lpstr>
      <vt:lpstr>Recuperación Fondos</vt:lpstr>
      <vt:lpstr>Servicios</vt:lpstr>
      <vt:lpstr>'Afiliados y Cotizantes'!Área_de_impresión</vt:lpstr>
      <vt:lpstr>Aportes!Área_de_impresión</vt:lpstr>
      <vt:lpstr>Cotizantes!Área_de_impresión</vt:lpstr>
      <vt:lpstr>Modalidad!Área_de_impresión</vt:lpstr>
      <vt:lpstr>Movimientos!Área_de_impresión</vt:lpstr>
      <vt:lpstr>Nómina!Área_de_impresión</vt:lpstr>
      <vt:lpstr>'Presupuesto de Pensiones'!Área_de_impresión</vt:lpstr>
      <vt:lpstr>'Recuperación Fondos'!Área_de_impresión</vt:lpstr>
      <vt:lpstr>Retroactivos!Área_de_impresión</vt:lpstr>
      <vt:lpstr>Servicios!Área_de_impresión</vt:lpstr>
      <vt:lpstr>'Tipo de Pension'!Área_de_impresión</vt:lpstr>
      <vt:lpstr>Traspaso!Área_de_impresión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Roa</dc:creator>
  <cp:lastModifiedBy>César Augusto Roa Meran</cp:lastModifiedBy>
  <cp:lastPrinted>2021-10-14T16:56:56Z</cp:lastPrinted>
  <dcterms:created xsi:type="dcterms:W3CDTF">2019-06-03T16:17:46Z</dcterms:created>
  <dcterms:modified xsi:type="dcterms:W3CDTF">2022-01-25T20:45:42Z</dcterms:modified>
</cp:coreProperties>
</file>